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3.xml" ContentType="application/vnd.openxmlformats-officedocument.drawing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drawings/drawing4.xml" ContentType="application/vnd.openxmlformats-officedocument.drawing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F:\FILE GAMBAR RUMAH\1. STYLE CLASSIC\63.IBU WIDIA 2 @ SUMATERA SELATAN\RAB\"/>
    </mc:Choice>
  </mc:AlternateContent>
  <xr:revisionPtr revIDLastSave="0" documentId="13_ncr:1_{5937EEC0-3E89-49CD-9C01-277D2D281E07}" xr6:coauthVersionLast="45" xr6:coauthVersionMax="47" xr10:uidLastSave="{00000000-0000-0000-0000-000000000000}"/>
  <bookViews>
    <workbookView xWindow="5955" yWindow="1050" windowWidth="12435" windowHeight="13755" xr2:uid="{00000000-000D-0000-FFFF-FFFF00000000}"/>
  </bookViews>
  <sheets>
    <sheet name="REKAP " sheetId="6" r:id="rId1"/>
    <sheet name="KUSTOM NAMA" sheetId="46" state="hidden" r:id="rId2"/>
    <sheet name="IDC" sheetId="44" state="hidden" r:id="rId3"/>
    <sheet name="BOQ" sheetId="1" r:id="rId4"/>
    <sheet name="HARGA SATUAN PEKERJAAN" sheetId="27" state="hidden" r:id="rId5"/>
    <sheet name="KEB. MATERIAL" sheetId="32" r:id="rId6"/>
    <sheet name="BAHAN" sheetId="25" state="hidden" r:id="rId7"/>
    <sheet name="UPAH" sheetId="26" state="hidden" r:id="rId8"/>
    <sheet name="PONDASI DAN SLOOF" sheetId="43" state="hidden" r:id="rId9"/>
    <sheet name="HIT. BESI, BETON, DAN BEKISTING" sheetId="38" state="hidden" r:id="rId10"/>
    <sheet name="BTN" sheetId="47" state="hidden" r:id="rId11"/>
    <sheet name="HIT.PINTU" sheetId="40" state="hidden" r:id="rId12"/>
    <sheet name="ANALISA HARGA PINTU" sheetId="36" state="hidden" r:id="rId13"/>
    <sheet name="ACC PINTU JENDELA" sheetId="34" state="hidden" r:id="rId14"/>
    <sheet name="HIT.DINDING,ATAP" sheetId="39" state="hidden" r:id="rId15"/>
    <sheet name="DINDING BATA" sheetId="49" state="hidden" r:id="rId16"/>
    <sheet name="KUSEN PINTU" sheetId="50" state="hidden" r:id="rId17"/>
    <sheet name="INSTALASI AIR" sheetId="51" state="hidden" r:id="rId18"/>
    <sheet name="LISTRIK" sheetId="48" state="hidden" r:id="rId19"/>
    <sheet name="PRP" sheetId="42" state="hidden" r:id="rId20"/>
    <sheet name="PSP" sheetId="9" state="hidden" r:id="rId21"/>
    <sheet name="B" sheetId="10" state="hidden" r:id="rId22"/>
    <sheet name="C" sheetId="11" state="hidden" r:id="rId23"/>
    <sheet name="D" sheetId="12" state="hidden" r:id="rId24"/>
    <sheet name="E" sheetId="13" state="hidden" r:id="rId25"/>
    <sheet name="F" sheetId="14" state="hidden" r:id="rId26"/>
    <sheet name="G" sheetId="15" state="hidden" r:id="rId27"/>
    <sheet name="H" sheetId="16" state="hidden" r:id="rId28"/>
    <sheet name="I" sheetId="17" state="hidden" r:id="rId29"/>
    <sheet name="J" sheetId="18" state="hidden" r:id="rId30"/>
    <sheet name="K" sheetId="19" state="hidden" r:id="rId31"/>
    <sheet name="L" sheetId="20" state="hidden" r:id="rId32"/>
    <sheet name="M" sheetId="21" state="hidden" r:id="rId33"/>
    <sheet name="N" sheetId="22" state="hidden" r:id="rId34"/>
    <sheet name="O" sheetId="23" state="hidden" r:id="rId35"/>
    <sheet name="P" sheetId="24" state="hidden" r:id="rId36"/>
  </sheets>
  <externalReferences>
    <externalReference r:id="rId37"/>
  </externalReferences>
  <definedNames>
    <definedName name="f207." localSheetId="10">[1]HRGST!#REF!</definedName>
    <definedName name="f207." localSheetId="9">[1]HRGST!#REF!</definedName>
    <definedName name="f207." localSheetId="14">[1]HRGST!#REF!</definedName>
    <definedName name="f207." localSheetId="11">[1]HRGST!#REF!</definedName>
    <definedName name="f207." localSheetId="16">[1]HRGST!#REF!</definedName>
    <definedName name="f207.">'HARGA SATUAN PEKERJAAN'!$F$243</definedName>
    <definedName name="H23e137">BAHAN!$H$23</definedName>
    <definedName name="_xlnm.Print_Area" localSheetId="13">'ACC PINTU JENDELA'!$B$2:$H$230</definedName>
    <definedName name="_xlnm.Print_Area" localSheetId="12">'ANALISA HARGA PINTU'!$A$2:$G$73</definedName>
    <definedName name="_xlnm.Print_Area" localSheetId="21">B!$B$2:$H$56</definedName>
    <definedName name="_xlnm.Print_Area" localSheetId="6">BAHAN!$B$1:$G$407</definedName>
    <definedName name="_xlnm.Print_Area" localSheetId="3">BOQ!$A$2:$L$1290</definedName>
    <definedName name="_xlnm.Print_Area" localSheetId="22">'C'!$B$2:$H$100</definedName>
    <definedName name="_xlnm.Print_Area" localSheetId="23">D!$B$2:$H$303</definedName>
    <definedName name="_xlnm.Print_Area" localSheetId="24">E!$B$2:$H$270</definedName>
    <definedName name="_xlnm.Print_Area" localSheetId="25">F!$B$2:$H$22</definedName>
    <definedName name="_xlnm.Print_Area" localSheetId="26">G!$B$2:$H$309</definedName>
    <definedName name="_xlnm.Print_Area" localSheetId="27">H!$B$2:$H$81</definedName>
    <definedName name="_xlnm.Print_Area" localSheetId="4">'HARGA SATUAN PEKERJAAN'!$B$2:$F$407</definedName>
    <definedName name="_xlnm.Print_Area" localSheetId="28">I!$B$2:$H$247</definedName>
    <definedName name="_xlnm.Print_Area" localSheetId="2">IDC!$A$1:$C$35</definedName>
    <definedName name="_xlnm.Print_Area" localSheetId="29">J!$B$2:$H$101</definedName>
    <definedName name="_xlnm.Print_Area" localSheetId="30">K!$B$2:$H$270</definedName>
    <definedName name="_xlnm.Print_Area" localSheetId="5">'KEB. MATERIAL'!$A$1:$F$302</definedName>
    <definedName name="_xlnm.Print_Area" localSheetId="1">'KUSTOM NAMA'!$C$9:$M$39</definedName>
    <definedName name="_xlnm.Print_Area" localSheetId="31">L!$B$2:$H$157</definedName>
    <definedName name="_xlnm.Print_Area" localSheetId="32">M!$B$2:$H$408</definedName>
    <definedName name="_xlnm.Print_Area" localSheetId="33">N!$B$2:$H$129</definedName>
    <definedName name="_xlnm.Print_Area" localSheetId="35">P!$A$1:$I$415</definedName>
    <definedName name="_xlnm.Print_Area" localSheetId="20">PSP!$B$2:$H$104</definedName>
    <definedName name="_xlnm.Print_Area" localSheetId="0">'REKAP '!$A$1:$M$87</definedName>
    <definedName name="_xlnm.Print_Area" localSheetId="7">UPAH!$B$2:$F$36</definedName>
    <definedName name="_xlnm.Print_Titles" localSheetId="21">B!$4:$5</definedName>
    <definedName name="_xlnm.Print_Titles" localSheetId="3">BOQ!$1:$4</definedName>
    <definedName name="_xlnm.Print_Titles" localSheetId="22">'C'!$4:$5</definedName>
    <definedName name="_xlnm.Print_Titles" localSheetId="23">D!$4:$5</definedName>
    <definedName name="_xlnm.Print_Titles" localSheetId="24">E!$4:$5</definedName>
    <definedName name="_xlnm.Print_Titles" localSheetId="25">F!$4:$5</definedName>
    <definedName name="_xlnm.Print_Titles" localSheetId="26">G!$4:$5</definedName>
    <definedName name="_xlnm.Print_Titles" localSheetId="27">H!$4:$5</definedName>
    <definedName name="_xlnm.Print_Titles" localSheetId="4">'HARGA SATUAN PEKERJAAN'!$4:$4</definedName>
    <definedName name="_xlnm.Print_Titles" localSheetId="28">I!$4:$5</definedName>
    <definedName name="_xlnm.Print_Titles" localSheetId="29">J!$4:$5</definedName>
    <definedName name="_xlnm.Print_Titles" localSheetId="30">K!$4:$5</definedName>
    <definedName name="_xlnm.Print_Titles" localSheetId="31">L!$4:$5</definedName>
    <definedName name="_xlnm.Print_Titles" localSheetId="32">M!$4:$5</definedName>
    <definedName name="_xlnm.Print_Titles" localSheetId="33">N!$4:$5</definedName>
    <definedName name="_xlnm.Print_Titles" localSheetId="20">PSP!$4:$5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87" i="32" l="1"/>
  <c r="A48" i="50"/>
  <c r="I1260" i="1"/>
  <c r="G117" i="17"/>
  <c r="D117" i="17"/>
  <c r="E130" i="25"/>
  <c r="D964" i="1"/>
  <c r="E976" i="1"/>
  <c r="C155" i="47"/>
  <c r="B9" i="49"/>
  <c r="D12" i="49" s="1"/>
  <c r="G258" i="21"/>
  <c r="D660" i="1"/>
  <c r="G372" i="21"/>
  <c r="D653" i="1"/>
  <c r="G336" i="21"/>
  <c r="D663" i="1"/>
  <c r="D671" i="1"/>
  <c r="D435" i="1"/>
  <c r="D441" i="1"/>
  <c r="W10" i="43"/>
  <c r="D673" i="1"/>
  <c r="G363" i="21"/>
  <c r="E638" i="1"/>
  <c r="E639" i="1"/>
  <c r="D658" i="1"/>
  <c r="B5" i="51"/>
  <c r="F35" i="47"/>
  <c r="F34" i="47"/>
  <c r="B438" i="47"/>
  <c r="D928" i="1" l="1"/>
  <c r="C215" i="17"/>
  <c r="G216" i="17"/>
  <c r="D216" i="17"/>
  <c r="D921" i="1"/>
  <c r="E1215" i="1"/>
  <c r="E998" i="1"/>
  <c r="AY4" i="48"/>
  <c r="AU13" i="48"/>
  <c r="AS13" i="48"/>
  <c r="E999" i="1"/>
  <c r="C1859" i="47"/>
  <c r="D1859" i="47" s="1"/>
  <c r="B1859" i="47"/>
  <c r="B1868" i="47"/>
  <c r="C1826" i="47"/>
  <c r="AO16" i="50"/>
  <c r="AO17" i="50"/>
  <c r="A17" i="49"/>
  <c r="E585" i="47"/>
  <c r="D268" i="47"/>
  <c r="B285" i="47"/>
  <c r="G285" i="47"/>
  <c r="C292" i="47"/>
  <c r="J59" i="47"/>
  <c r="K59" i="47"/>
  <c r="B5" i="49" l="1"/>
  <c r="N57" i="47"/>
  <c r="H23" i="43"/>
  <c r="A39" i="49"/>
  <c r="D3" i="49"/>
  <c r="C69" i="43"/>
  <c r="E23" i="43"/>
  <c r="J27" i="43"/>
  <c r="H10" i="43" l="1"/>
  <c r="E10" i="43"/>
  <c r="N10" i="43"/>
  <c r="E13" i="43"/>
  <c r="C3" i="42"/>
  <c r="C8" i="42"/>
  <c r="E104" i="25"/>
  <c r="D942" i="1" l="1"/>
  <c r="H182" i="32" s="1"/>
  <c r="B182" i="32" s="1"/>
  <c r="D936" i="1"/>
  <c r="D920" i="1"/>
  <c r="N238" i="15" l="1"/>
  <c r="F237" i="15" s="1"/>
  <c r="C4" i="49"/>
  <c r="C5" i="49"/>
  <c r="E1800" i="47"/>
  <c r="E122" i="25" l="1"/>
  <c r="G84" i="17" s="1"/>
  <c r="E114" i="25"/>
  <c r="E107" i="25"/>
  <c r="G459" i="21" l="1"/>
  <c r="H459" i="21" s="1"/>
  <c r="K459" i="21"/>
  <c r="C277" i="27"/>
  <c r="G464" i="21" l="1"/>
  <c r="H464" i="21" s="1"/>
  <c r="I459" i="21" s="1"/>
  <c r="B292" i="32" l="1"/>
  <c r="AD35" i="50" l="1"/>
  <c r="E930" i="1" l="1"/>
  <c r="E723" i="1"/>
  <c r="E47" i="25" l="1"/>
  <c r="D1278" i="1" l="1"/>
  <c r="B195" i="32" s="1"/>
  <c r="B1278" i="1"/>
  <c r="D324" i="13"/>
  <c r="C323" i="13"/>
  <c r="C98" i="27" s="1"/>
  <c r="G331" i="13"/>
  <c r="H331" i="13" s="1"/>
  <c r="G330" i="13"/>
  <c r="H330" i="13" s="1"/>
  <c r="G329" i="13"/>
  <c r="H329" i="13" s="1"/>
  <c r="G328" i="13"/>
  <c r="H328" i="13" s="1"/>
  <c r="G327" i="13"/>
  <c r="H327" i="13" s="1"/>
  <c r="E118" i="25"/>
  <c r="G324" i="13" s="1"/>
  <c r="E195" i="32" s="1"/>
  <c r="H118" i="25"/>
  <c r="I331" i="13" l="1"/>
  <c r="H324" i="13"/>
  <c r="B38" i="50"/>
  <c r="B39" i="50"/>
  <c r="B40" i="50"/>
  <c r="B41" i="50"/>
  <c r="B42" i="50"/>
  <c r="B43" i="50"/>
  <c r="B44" i="50"/>
  <c r="AO44" i="50" s="1"/>
  <c r="B45" i="50"/>
  <c r="B46" i="50"/>
  <c r="B47" i="50"/>
  <c r="B52" i="50"/>
  <c r="B53" i="50"/>
  <c r="B54" i="50"/>
  <c r="B55" i="50"/>
  <c r="B56" i="50"/>
  <c r="B57" i="50"/>
  <c r="D926" i="1"/>
  <c r="D946" i="1"/>
  <c r="D927" i="1" l="1"/>
  <c r="D923" i="1"/>
  <c r="P1058" i="1" l="1"/>
  <c r="E744" i="1" l="1"/>
  <c r="E743" i="1"/>
  <c r="E298" i="1"/>
  <c r="E297" i="1"/>
  <c r="A279" i="1"/>
  <c r="E150" i="1"/>
  <c r="E1799" i="47" l="1"/>
  <c r="E166" i="1" l="1"/>
  <c r="E73" i="1"/>
  <c r="B136" i="47"/>
  <c r="C96" i="27" l="1"/>
  <c r="C10" i="1"/>
  <c r="B297" i="32" l="1"/>
  <c r="B296" i="32"/>
  <c r="B295" i="32"/>
  <c r="B294" i="32"/>
  <c r="D1277" i="1"/>
  <c r="B194" i="32" s="1"/>
  <c r="B1277" i="1"/>
  <c r="G316" i="13"/>
  <c r="G317" i="13"/>
  <c r="G318" i="13"/>
  <c r="G319" i="13"/>
  <c r="G320" i="13"/>
  <c r="G13" i="13"/>
  <c r="G12" i="13"/>
  <c r="G11" i="13"/>
  <c r="G10" i="13"/>
  <c r="C312" i="13"/>
  <c r="C97" i="27" s="1"/>
  <c r="E132" i="25"/>
  <c r="G313" i="13" s="1"/>
  <c r="H313" i="13" l="1"/>
  <c r="G303" i="13"/>
  <c r="H303" i="13" l="1"/>
  <c r="D947" i="1" l="1"/>
  <c r="H181" i="32" s="1"/>
  <c r="D676" i="1" l="1"/>
  <c r="D675" i="1"/>
  <c r="D674" i="1"/>
  <c r="P676" i="1"/>
  <c r="P675" i="1"/>
  <c r="C273" i="27"/>
  <c r="C274" i="27"/>
  <c r="C275" i="27"/>
  <c r="C276" i="27"/>
  <c r="G450" i="21"/>
  <c r="H450" i="21" s="1"/>
  <c r="G441" i="21"/>
  <c r="H441" i="21"/>
  <c r="G432" i="21"/>
  <c r="H432" i="21" s="1"/>
  <c r="G423" i="21"/>
  <c r="H423" i="21" s="1"/>
  <c r="G428" i="21"/>
  <c r="G437" i="21" s="1"/>
  <c r="H437" i="21" s="1"/>
  <c r="H428" i="21" l="1"/>
  <c r="G455" i="21"/>
  <c r="H455" i="21" s="1"/>
  <c r="I450" i="21" s="1"/>
  <c r="G446" i="21"/>
  <c r="H446" i="21" s="1"/>
  <c r="I441" i="21" s="1"/>
  <c r="J673" i="1" s="1"/>
  <c r="J674" i="1" l="1"/>
  <c r="E39" i="49"/>
  <c r="D39" i="49"/>
  <c r="B1561" i="47" l="1"/>
  <c r="B1228" i="47"/>
  <c r="I107" i="25" l="1"/>
  <c r="H114" i="25"/>
  <c r="K1256" i="1"/>
  <c r="G1256" i="1"/>
  <c r="I1256" i="1" s="1"/>
  <c r="J1256" i="1" l="1"/>
  <c r="L1256" i="1" s="1"/>
  <c r="H21" i="46"/>
  <c r="I48" i="25" l="1"/>
  <c r="J47" i="25"/>
  <c r="K46" i="25"/>
  <c r="J46" i="25"/>
  <c r="K1263" i="1" l="1"/>
  <c r="K1255" i="1"/>
  <c r="G1255" i="1"/>
  <c r="J1255" i="1" s="1"/>
  <c r="G1254" i="1"/>
  <c r="J1254" i="1" s="1"/>
  <c r="K1254" i="1"/>
  <c r="L1254" i="1" l="1"/>
  <c r="L1255" i="1"/>
  <c r="I1255" i="1"/>
  <c r="I1254" i="1"/>
  <c r="D924" i="1" l="1"/>
  <c r="AP17" i="50"/>
  <c r="E154" i="1" l="1"/>
  <c r="E153" i="1" l="1"/>
  <c r="L104" i="47"/>
  <c r="L103" i="47"/>
  <c r="L102" i="47"/>
  <c r="L101" i="47"/>
  <c r="J104" i="47"/>
  <c r="J103" i="47"/>
  <c r="J102" i="47"/>
  <c r="J101" i="47"/>
  <c r="H104" i="47"/>
  <c r="H103" i="47"/>
  <c r="H102" i="47"/>
  <c r="H101" i="47"/>
  <c r="B95" i="47"/>
  <c r="B93" i="47"/>
  <c r="B90" i="47"/>
  <c r="C90" i="47" s="1"/>
  <c r="D90" i="47" s="1"/>
  <c r="B88" i="47"/>
  <c r="C88" i="47" s="1"/>
  <c r="D88" i="47" s="1"/>
  <c r="B87" i="47"/>
  <c r="R61" i="43"/>
  <c r="R59" i="43"/>
  <c r="R58" i="43"/>
  <c r="R39" i="43"/>
  <c r="R38" i="43"/>
  <c r="R37" i="43"/>
  <c r="R36" i="43"/>
  <c r="T13" i="43"/>
  <c r="T12" i="43"/>
  <c r="T10" i="43"/>
  <c r="M101" i="47" l="1"/>
  <c r="E88" i="47"/>
  <c r="F88" i="47" s="1"/>
  <c r="G88" i="47" s="1"/>
  <c r="E90" i="47"/>
  <c r="F90" i="47" s="1"/>
  <c r="B1898" i="47"/>
  <c r="G90" i="47" l="1"/>
  <c r="G91" i="47" s="1"/>
  <c r="B48" i="50"/>
  <c r="B50" i="50"/>
  <c r="B51" i="50"/>
  <c r="J91" i="47" l="1"/>
  <c r="H91" i="47"/>
  <c r="I91" i="47"/>
  <c r="B46" i="32"/>
  <c r="I110" i="25"/>
  <c r="D941" i="1" l="1"/>
  <c r="D925" i="1"/>
  <c r="I112" i="25"/>
  <c r="E112" i="25" s="1"/>
  <c r="H178" i="32" l="1"/>
  <c r="E44" i="25"/>
  <c r="E38" i="25"/>
  <c r="E29" i="25"/>
  <c r="E23" i="25"/>
  <c r="D473" i="1" l="1"/>
  <c r="A216" i="1" l="1"/>
  <c r="A1876" i="47"/>
  <c r="B1869" i="47"/>
  <c r="A1869" i="47"/>
  <c r="C1860" i="47"/>
  <c r="B1860" i="47"/>
  <c r="A1669" i="47"/>
  <c r="A1694" i="47" s="1"/>
  <c r="A1668" i="47"/>
  <c r="A1693" i="47" s="1"/>
  <c r="A1667" i="47"/>
  <c r="A1692" i="47" s="1"/>
  <c r="A1666" i="47"/>
  <c r="A1691" i="47" s="1"/>
  <c r="A1665" i="47"/>
  <c r="A1690" i="47" s="1"/>
  <c r="G1642" i="47"/>
  <c r="F1642" i="47"/>
  <c r="E1642" i="47"/>
  <c r="D1642" i="47"/>
  <c r="C1642" i="47"/>
  <c r="B1642" i="47"/>
  <c r="N1642" i="47" s="1"/>
  <c r="G1641" i="47"/>
  <c r="F1641" i="47"/>
  <c r="E1641" i="47"/>
  <c r="D1641" i="47"/>
  <c r="C1641" i="47"/>
  <c r="B1641" i="47"/>
  <c r="N1641" i="47" s="1"/>
  <c r="G1640" i="47"/>
  <c r="F1640" i="47"/>
  <c r="E1640" i="47"/>
  <c r="D1640" i="47"/>
  <c r="C1640" i="47"/>
  <c r="B1640" i="47"/>
  <c r="N1640" i="47" s="1"/>
  <c r="G1639" i="47"/>
  <c r="F1639" i="47"/>
  <c r="E1639" i="47"/>
  <c r="D1639" i="47"/>
  <c r="C1639" i="47"/>
  <c r="B1639" i="47"/>
  <c r="N1639" i="47" s="1"/>
  <c r="G1638" i="47"/>
  <c r="F1638" i="47"/>
  <c r="E1638" i="47"/>
  <c r="D1638" i="47"/>
  <c r="C1638" i="47"/>
  <c r="B1638" i="47"/>
  <c r="N1638" i="47" s="1"/>
  <c r="B1413" i="47"/>
  <c r="B1438" i="47" s="1"/>
  <c r="A1413" i="47"/>
  <c r="A1438" i="47" s="1"/>
  <c r="B1412" i="47"/>
  <c r="B1437" i="47" s="1"/>
  <c r="A1412" i="47"/>
  <c r="A1437" i="47" s="1"/>
  <c r="B1411" i="47"/>
  <c r="B1436" i="47" s="1"/>
  <c r="A1411" i="47"/>
  <c r="A1436" i="47" s="1"/>
  <c r="B1410" i="47"/>
  <c r="B1435" i="47" s="1"/>
  <c r="A1410" i="47"/>
  <c r="A1435" i="47" s="1"/>
  <c r="B1409" i="47"/>
  <c r="B1434" i="47" s="1"/>
  <c r="A1409" i="47"/>
  <c r="A1434" i="47" s="1"/>
  <c r="O1386" i="47"/>
  <c r="N1386" i="47"/>
  <c r="O1385" i="47"/>
  <c r="N1385" i="47"/>
  <c r="O1384" i="47"/>
  <c r="N1384" i="47"/>
  <c r="O1383" i="47"/>
  <c r="N1383" i="47"/>
  <c r="O1382" i="47"/>
  <c r="N1382" i="47"/>
  <c r="A1336" i="47"/>
  <c r="A1361" i="47" s="1"/>
  <c r="A1335" i="47"/>
  <c r="A1360" i="47" s="1"/>
  <c r="A1334" i="47"/>
  <c r="A1359" i="47" s="1"/>
  <c r="A1333" i="47"/>
  <c r="A1358" i="47" s="1"/>
  <c r="A1332" i="47"/>
  <c r="A1357" i="47" s="1"/>
  <c r="B1309" i="47"/>
  <c r="N1309" i="47" s="1"/>
  <c r="B1308" i="47"/>
  <c r="N1308" i="47" s="1"/>
  <c r="B1307" i="47"/>
  <c r="N1307" i="47" s="1"/>
  <c r="B1306" i="47"/>
  <c r="N1306" i="47" s="1"/>
  <c r="B1305" i="47"/>
  <c r="N1305" i="47" s="1"/>
  <c r="A1071" i="47"/>
  <c r="A1096" i="47" s="1"/>
  <c r="A1070" i="47"/>
  <c r="A1095" i="47" s="1"/>
  <c r="A1069" i="47"/>
  <c r="A1094" i="47" s="1"/>
  <c r="A1068" i="47"/>
  <c r="A1093" i="47" s="1"/>
  <c r="A1067" i="47"/>
  <c r="A1092" i="47" s="1"/>
  <c r="G1044" i="47"/>
  <c r="F1044" i="47"/>
  <c r="E1044" i="47"/>
  <c r="D1044" i="47"/>
  <c r="C1044" i="47"/>
  <c r="B1044" i="47"/>
  <c r="N1044" i="47" s="1"/>
  <c r="G1043" i="47"/>
  <c r="F1043" i="47"/>
  <c r="E1043" i="47"/>
  <c r="D1043" i="47"/>
  <c r="C1043" i="47"/>
  <c r="B1043" i="47"/>
  <c r="N1043" i="47" s="1"/>
  <c r="G1042" i="47"/>
  <c r="F1042" i="47"/>
  <c r="E1042" i="47"/>
  <c r="D1042" i="47"/>
  <c r="C1042" i="47"/>
  <c r="B1042" i="47"/>
  <c r="N1042" i="47" s="1"/>
  <c r="G1041" i="47"/>
  <c r="F1041" i="47"/>
  <c r="E1041" i="47"/>
  <c r="D1041" i="47"/>
  <c r="C1041" i="47"/>
  <c r="B1041" i="47"/>
  <c r="N1041" i="47" s="1"/>
  <c r="G1040" i="47"/>
  <c r="F1040" i="47"/>
  <c r="E1040" i="47"/>
  <c r="D1040" i="47"/>
  <c r="C1040" i="47"/>
  <c r="B1040" i="47"/>
  <c r="N1040" i="47" s="1"/>
  <c r="B1045" i="47"/>
  <c r="C1045" i="47"/>
  <c r="D1045" i="47"/>
  <c r="E1045" i="47"/>
  <c r="F1045" i="47"/>
  <c r="G1045" i="47"/>
  <c r="A806" i="47"/>
  <c r="A831" i="47" s="1"/>
  <c r="A805" i="47"/>
  <c r="A830" i="47" s="1"/>
  <c r="A804" i="47"/>
  <c r="A829" i="47" s="1"/>
  <c r="A803" i="47"/>
  <c r="A828" i="47" s="1"/>
  <c r="A802" i="47"/>
  <c r="A827" i="47" s="1"/>
  <c r="B779" i="47"/>
  <c r="N779" i="47" s="1"/>
  <c r="B778" i="47"/>
  <c r="N778" i="47" s="1"/>
  <c r="B777" i="47"/>
  <c r="N777" i="47" s="1"/>
  <c r="B776" i="47"/>
  <c r="N776" i="47" s="1"/>
  <c r="B775" i="47"/>
  <c r="N775" i="47" s="1"/>
  <c r="A541" i="47"/>
  <c r="A566" i="47" s="1"/>
  <c r="A540" i="47"/>
  <c r="A565" i="47" s="1"/>
  <c r="A539" i="47"/>
  <c r="A564" i="47" s="1"/>
  <c r="A538" i="47"/>
  <c r="A563" i="47" s="1"/>
  <c r="A537" i="47"/>
  <c r="A562" i="47" s="1"/>
  <c r="B514" i="47"/>
  <c r="N514" i="47" s="1"/>
  <c r="B513" i="47"/>
  <c r="N513" i="47" s="1"/>
  <c r="B512" i="47"/>
  <c r="N512" i="47" s="1"/>
  <c r="B511" i="47"/>
  <c r="N511" i="47" s="1"/>
  <c r="B510" i="47"/>
  <c r="N510" i="47" s="1"/>
  <c r="P464" i="47"/>
  <c r="O464" i="47"/>
  <c r="N464" i="47"/>
  <c r="M464" i="47"/>
  <c r="L464" i="47"/>
  <c r="K464" i="47"/>
  <c r="J464" i="47"/>
  <c r="I464" i="47"/>
  <c r="H464" i="47"/>
  <c r="G464" i="47"/>
  <c r="C489" i="47" s="1"/>
  <c r="C1361" i="47" s="1"/>
  <c r="F464" i="47"/>
  <c r="C464" i="47" s="1"/>
  <c r="C541" i="47" s="1"/>
  <c r="C1413" i="47" s="1"/>
  <c r="A464" i="47"/>
  <c r="A489" i="47" s="1"/>
  <c r="P463" i="47"/>
  <c r="O463" i="47"/>
  <c r="N463" i="47"/>
  <c r="M463" i="47"/>
  <c r="L463" i="47"/>
  <c r="K463" i="47"/>
  <c r="J463" i="47"/>
  <c r="I463" i="47"/>
  <c r="H463" i="47"/>
  <c r="G463" i="47"/>
  <c r="C488" i="47" s="1"/>
  <c r="C1693" i="47" s="1"/>
  <c r="F463" i="47"/>
  <c r="C463" i="47" s="1"/>
  <c r="C540" i="47" s="1"/>
  <c r="C1412" i="47" s="1"/>
  <c r="A463" i="47"/>
  <c r="A488" i="47" s="1"/>
  <c r="P462" i="47"/>
  <c r="O462" i="47"/>
  <c r="N462" i="47"/>
  <c r="M462" i="47"/>
  <c r="L462" i="47"/>
  <c r="K462" i="47"/>
  <c r="J462" i="47"/>
  <c r="I462" i="47"/>
  <c r="H462" i="47"/>
  <c r="G462" i="47"/>
  <c r="C487" i="47" s="1"/>
  <c r="C1692" i="47" s="1"/>
  <c r="F462" i="47"/>
  <c r="A462" i="47"/>
  <c r="A487" i="47" s="1"/>
  <c r="P461" i="47"/>
  <c r="O461" i="47"/>
  <c r="N461" i="47"/>
  <c r="M461" i="47"/>
  <c r="L461" i="47"/>
  <c r="K461" i="47"/>
  <c r="J461" i="47"/>
  <c r="I461" i="47"/>
  <c r="H461" i="47"/>
  <c r="G461" i="47"/>
  <c r="C486" i="47" s="1"/>
  <c r="C1093" i="47" s="1"/>
  <c r="F461" i="47"/>
  <c r="A461" i="47"/>
  <c r="A486" i="47" s="1"/>
  <c r="P460" i="47"/>
  <c r="O460" i="47"/>
  <c r="N460" i="47"/>
  <c r="M460" i="47"/>
  <c r="L460" i="47"/>
  <c r="K460" i="47"/>
  <c r="J460" i="47"/>
  <c r="I460" i="47"/>
  <c r="H460" i="47"/>
  <c r="G460" i="47"/>
  <c r="C485" i="47" s="1"/>
  <c r="C1357" i="47" s="1"/>
  <c r="F460" i="47"/>
  <c r="A460" i="47"/>
  <c r="A485" i="47" s="1"/>
  <c r="Q437" i="47"/>
  <c r="Q514" i="47" s="1"/>
  <c r="Q1386" i="47" s="1"/>
  <c r="G437" i="47"/>
  <c r="G1309" i="47" s="1"/>
  <c r="F437" i="47"/>
  <c r="F1309" i="47" s="1"/>
  <c r="E437" i="47"/>
  <c r="E1309" i="47" s="1"/>
  <c r="D437" i="47"/>
  <c r="D1309" i="47" s="1"/>
  <c r="C437" i="47"/>
  <c r="B437" i="47"/>
  <c r="K437" i="47" s="1"/>
  <c r="Q436" i="47"/>
  <c r="Q513" i="47" s="1"/>
  <c r="Q1385" i="47" s="1"/>
  <c r="G436" i="47"/>
  <c r="G1308" i="47" s="1"/>
  <c r="F436" i="47"/>
  <c r="F513" i="47" s="1"/>
  <c r="F1385" i="47" s="1"/>
  <c r="K1385" i="47" s="1"/>
  <c r="E436" i="47"/>
  <c r="E1308" i="47" s="1"/>
  <c r="D436" i="47"/>
  <c r="C436" i="47"/>
  <c r="B436" i="47"/>
  <c r="O436" i="47" s="1"/>
  <c r="Q435" i="47"/>
  <c r="Q512" i="47" s="1"/>
  <c r="Q1384" i="47" s="1"/>
  <c r="G435" i="47"/>
  <c r="F435" i="47"/>
  <c r="F1307" i="47" s="1"/>
  <c r="E435" i="47"/>
  <c r="E1307" i="47" s="1"/>
  <c r="D435" i="47"/>
  <c r="D777" i="47" s="1"/>
  <c r="C435" i="47"/>
  <c r="B435" i="47"/>
  <c r="O435" i="47" s="1"/>
  <c r="Q434" i="47"/>
  <c r="Q511" i="47" s="1"/>
  <c r="Q1383" i="47" s="1"/>
  <c r="G434" i="47"/>
  <c r="G1306" i="47" s="1"/>
  <c r="F434" i="47"/>
  <c r="F511" i="47" s="1"/>
  <c r="F1383" i="47" s="1"/>
  <c r="K1383" i="47" s="1"/>
  <c r="E434" i="47"/>
  <c r="E1306" i="47" s="1"/>
  <c r="D434" i="47"/>
  <c r="D1306" i="47" s="1"/>
  <c r="C434" i="47"/>
  <c r="C1306" i="47" s="1"/>
  <c r="B434" i="47"/>
  <c r="O434" i="47" s="1"/>
  <c r="B433" i="47"/>
  <c r="O433" i="47" s="1"/>
  <c r="P1383" i="47" l="1"/>
  <c r="F778" i="47"/>
  <c r="D514" i="47"/>
  <c r="D1386" i="47" s="1"/>
  <c r="I1386" i="47" s="1"/>
  <c r="F776" i="47"/>
  <c r="F1308" i="47"/>
  <c r="C1360" i="47"/>
  <c r="C1694" i="47"/>
  <c r="D779" i="47"/>
  <c r="F1306" i="47"/>
  <c r="L1045" i="47"/>
  <c r="C462" i="47"/>
  <c r="C539" i="47" s="1"/>
  <c r="C1411" i="47" s="1"/>
  <c r="D1411" i="47" s="1"/>
  <c r="C1359" i="47"/>
  <c r="B806" i="47"/>
  <c r="B831" i="47" s="1"/>
  <c r="B1667" i="47"/>
  <c r="B1692" i="47" s="1"/>
  <c r="D1692" i="47" s="1"/>
  <c r="H435" i="47"/>
  <c r="H436" i="47"/>
  <c r="H437" i="47"/>
  <c r="B1070" i="47"/>
  <c r="B1095" i="47" s="1"/>
  <c r="B1332" i="47"/>
  <c r="B1357" i="47" s="1"/>
  <c r="B1665" i="47"/>
  <c r="B1690" i="47" s="1"/>
  <c r="B1669" i="47"/>
  <c r="B1694" i="47" s="1"/>
  <c r="D1694" i="47" s="1"/>
  <c r="N435" i="47"/>
  <c r="P435" i="47" s="1"/>
  <c r="R435" i="47" s="1"/>
  <c r="I436" i="47"/>
  <c r="K436" i="47"/>
  <c r="B1068" i="47"/>
  <c r="B1093" i="47" s="1"/>
  <c r="D1093" i="47" s="1"/>
  <c r="J1642" i="47"/>
  <c r="B1666" i="47"/>
  <c r="B1691" i="47" s="1"/>
  <c r="B1668" i="47"/>
  <c r="B1693" i="47" s="1"/>
  <c r="D1693" i="47" s="1"/>
  <c r="C460" i="47"/>
  <c r="C537" i="47" s="1"/>
  <c r="C1409" i="47" s="1"/>
  <c r="D1409" i="47" s="1"/>
  <c r="C461" i="47"/>
  <c r="C538" i="47" s="1"/>
  <c r="C1410" i="47" s="1"/>
  <c r="D1410" i="47" s="1"/>
  <c r="D1357" i="47"/>
  <c r="C1358" i="47"/>
  <c r="C1690" i="47"/>
  <c r="D1690" i="47" s="1"/>
  <c r="B1067" i="47"/>
  <c r="B1092" i="47" s="1"/>
  <c r="C1691" i="47"/>
  <c r="D1860" i="47"/>
  <c r="K1045" i="47"/>
  <c r="B802" i="47"/>
  <c r="C1668" i="47"/>
  <c r="C1669" i="47"/>
  <c r="J1638" i="47"/>
  <c r="J1639" i="47"/>
  <c r="J1641" i="47"/>
  <c r="O1641" i="47"/>
  <c r="P1641" i="47" s="1"/>
  <c r="O1642" i="47"/>
  <c r="P1642" i="47" s="1"/>
  <c r="K1638" i="47"/>
  <c r="K1639" i="47"/>
  <c r="K1640" i="47"/>
  <c r="K1641" i="47"/>
  <c r="K1642" i="47"/>
  <c r="J1640" i="47"/>
  <c r="H1638" i="47"/>
  <c r="L1638" i="47"/>
  <c r="H1639" i="47"/>
  <c r="L1639" i="47"/>
  <c r="Q1639" i="47"/>
  <c r="H1640" i="47"/>
  <c r="L1640" i="47"/>
  <c r="Q1640" i="47"/>
  <c r="H1641" i="47"/>
  <c r="L1641" i="47"/>
  <c r="Q1641" i="47"/>
  <c r="H1642" i="47"/>
  <c r="L1642" i="47"/>
  <c r="Q1642" i="47"/>
  <c r="O1638" i="47"/>
  <c r="P1638" i="47" s="1"/>
  <c r="O1639" i="47"/>
  <c r="P1639" i="47" s="1"/>
  <c r="O1640" i="47"/>
  <c r="P1640" i="47" s="1"/>
  <c r="I1638" i="47"/>
  <c r="I1639" i="47"/>
  <c r="I1640" i="47"/>
  <c r="I1641" i="47"/>
  <c r="I1642" i="47"/>
  <c r="P1382" i="47"/>
  <c r="P1384" i="47"/>
  <c r="R1384" i="47" s="1"/>
  <c r="P1385" i="47"/>
  <c r="R1385" i="47" s="1"/>
  <c r="P1386" i="47"/>
  <c r="R1386" i="47" s="1"/>
  <c r="D1412" i="47"/>
  <c r="D1413" i="47"/>
  <c r="R1383" i="47"/>
  <c r="C1094" i="47"/>
  <c r="C564" i="47"/>
  <c r="C1436" i="47" s="1"/>
  <c r="D1436" i="47" s="1"/>
  <c r="C829" i="47"/>
  <c r="C830" i="47"/>
  <c r="C1095" i="47"/>
  <c r="C565" i="47"/>
  <c r="C1437" i="47" s="1"/>
  <c r="D1437" i="47" s="1"/>
  <c r="C831" i="47"/>
  <c r="C1096" i="47"/>
  <c r="C566" i="47"/>
  <c r="C1438" i="47" s="1"/>
  <c r="D1438" i="47" s="1"/>
  <c r="C827" i="47"/>
  <c r="C1092" i="47"/>
  <c r="C562" i="47"/>
  <c r="C1434" i="47" s="1"/>
  <c r="D1434" i="47" s="1"/>
  <c r="D1095" i="47"/>
  <c r="B540" i="47"/>
  <c r="D540" i="47" s="1"/>
  <c r="C563" i="47"/>
  <c r="C1435" i="47" s="1"/>
  <c r="D1435" i="47" s="1"/>
  <c r="D1307" i="47"/>
  <c r="N433" i="47"/>
  <c r="P433" i="47" s="1"/>
  <c r="N436" i="47"/>
  <c r="P436" i="47" s="1"/>
  <c r="R436" i="47" s="1"/>
  <c r="I437" i="47"/>
  <c r="C511" i="47"/>
  <c r="C1383" i="47" s="1"/>
  <c r="H1383" i="47" s="1"/>
  <c r="G511" i="47"/>
  <c r="G1383" i="47" s="1"/>
  <c r="L1383" i="47" s="1"/>
  <c r="E512" i="47"/>
  <c r="E1384" i="47" s="1"/>
  <c r="J1384" i="47" s="1"/>
  <c r="C513" i="47"/>
  <c r="G513" i="47"/>
  <c r="G1385" i="47" s="1"/>
  <c r="L1385" i="47" s="1"/>
  <c r="E514" i="47"/>
  <c r="E1386" i="47" s="1"/>
  <c r="J1386" i="47" s="1"/>
  <c r="B537" i="47"/>
  <c r="D537" i="47" s="1"/>
  <c r="C776" i="47"/>
  <c r="H776" i="47" s="1"/>
  <c r="G776" i="47"/>
  <c r="E777" i="47"/>
  <c r="C778" i="47"/>
  <c r="G778" i="47"/>
  <c r="L778" i="47" s="1"/>
  <c r="E779" i="47"/>
  <c r="B805" i="47"/>
  <c r="B827" i="47"/>
  <c r="D827" i="47" s="1"/>
  <c r="C828" i="47"/>
  <c r="O1045" i="47"/>
  <c r="I1045" i="47"/>
  <c r="J1045" i="47"/>
  <c r="B1069" i="47"/>
  <c r="B1094" i="47" s="1"/>
  <c r="D1094" i="47" s="1"/>
  <c r="C1308" i="47"/>
  <c r="C1335" i="47"/>
  <c r="D512" i="47"/>
  <c r="D1384" i="47" s="1"/>
  <c r="I1384" i="47" s="1"/>
  <c r="D511" i="47"/>
  <c r="D1383" i="47" s="1"/>
  <c r="I1383" i="47" s="1"/>
  <c r="F512" i="47"/>
  <c r="F1384" i="47" s="1"/>
  <c r="K1384" i="47" s="1"/>
  <c r="D513" i="47"/>
  <c r="D1385" i="47" s="1"/>
  <c r="I1385" i="47" s="1"/>
  <c r="F514" i="47"/>
  <c r="B539" i="47"/>
  <c r="D539" i="47" s="1"/>
  <c r="B541" i="47"/>
  <c r="D541" i="47" s="1"/>
  <c r="D776" i="47"/>
  <c r="F777" i="47"/>
  <c r="K777" i="47" s="1"/>
  <c r="D778" i="47"/>
  <c r="F779" i="47"/>
  <c r="K779" i="47" s="1"/>
  <c r="B804" i="47"/>
  <c r="B829" i="47" s="1"/>
  <c r="N1045" i="47"/>
  <c r="H1045" i="47"/>
  <c r="B1071" i="47"/>
  <c r="D1308" i="47"/>
  <c r="I1308" i="47" s="1"/>
  <c r="B1334" i="47"/>
  <c r="B1359" i="47" s="1"/>
  <c r="B1335" i="47"/>
  <c r="B1360" i="47" s="1"/>
  <c r="D1360" i="47" s="1"/>
  <c r="L435" i="47"/>
  <c r="L437" i="47"/>
  <c r="E511" i="47"/>
  <c r="E1383" i="47" s="1"/>
  <c r="J1383" i="47" s="1"/>
  <c r="C512" i="47"/>
  <c r="C1384" i="47" s="1"/>
  <c r="H1384" i="47" s="1"/>
  <c r="G512" i="47"/>
  <c r="G1384" i="47" s="1"/>
  <c r="L1384" i="47" s="1"/>
  <c r="E513" i="47"/>
  <c r="C514" i="47"/>
  <c r="C1386" i="47" s="1"/>
  <c r="H1386" i="47" s="1"/>
  <c r="G514" i="47"/>
  <c r="G1386" i="47" s="1"/>
  <c r="L1386" i="47" s="1"/>
  <c r="B538" i="47"/>
  <c r="B563" i="47" s="1"/>
  <c r="E776" i="47"/>
  <c r="C777" i="47"/>
  <c r="G777" i="47"/>
  <c r="E778" i="47"/>
  <c r="J778" i="47" s="1"/>
  <c r="C779" i="47"/>
  <c r="H779" i="47" s="1"/>
  <c r="G779" i="47"/>
  <c r="L779" i="47" s="1"/>
  <c r="B803" i="47"/>
  <c r="B828" i="47" s="1"/>
  <c r="C1307" i="47"/>
  <c r="H1307" i="47" s="1"/>
  <c r="G1307" i="47"/>
  <c r="C1309" i="47"/>
  <c r="B1333" i="47"/>
  <c r="B1358" i="47" s="1"/>
  <c r="D1358" i="47" s="1"/>
  <c r="B1336" i="47"/>
  <c r="B1361" i="47" s="1"/>
  <c r="D1361" i="47" s="1"/>
  <c r="C1070" i="47"/>
  <c r="D1070" i="47" s="1"/>
  <c r="C1071" i="47"/>
  <c r="C1336" i="47"/>
  <c r="C1333" i="47"/>
  <c r="C1334" i="47"/>
  <c r="K1306" i="47"/>
  <c r="K1307" i="47"/>
  <c r="K1308" i="47"/>
  <c r="K1309" i="47"/>
  <c r="J1306" i="47"/>
  <c r="O1306" i="47"/>
  <c r="P1306" i="47" s="1"/>
  <c r="J1307" i="47"/>
  <c r="O1309" i="47"/>
  <c r="P1309" i="47" s="1"/>
  <c r="H1306" i="47"/>
  <c r="L1306" i="47"/>
  <c r="Q1306" i="47"/>
  <c r="L1307" i="47"/>
  <c r="Q1307" i="47"/>
  <c r="H1308" i="47"/>
  <c r="L1308" i="47"/>
  <c r="Q1308" i="47"/>
  <c r="H1309" i="47"/>
  <c r="L1309" i="47"/>
  <c r="Q1309" i="47"/>
  <c r="O1305" i="47"/>
  <c r="P1305" i="47" s="1"/>
  <c r="O1307" i="47"/>
  <c r="P1307" i="47" s="1"/>
  <c r="J1308" i="47"/>
  <c r="O1308" i="47"/>
  <c r="P1308" i="47" s="1"/>
  <c r="J1309" i="47"/>
  <c r="I1306" i="47"/>
  <c r="I1307" i="47"/>
  <c r="I1309" i="47"/>
  <c r="C1068" i="47"/>
  <c r="C1069" i="47"/>
  <c r="J1040" i="47"/>
  <c r="O1041" i="47"/>
  <c r="P1041" i="47" s="1"/>
  <c r="K1040" i="47"/>
  <c r="K1041" i="47"/>
  <c r="K1042" i="47"/>
  <c r="K1043" i="47"/>
  <c r="K1044" i="47"/>
  <c r="O1040" i="47"/>
  <c r="P1040" i="47" s="1"/>
  <c r="O1042" i="47"/>
  <c r="P1042" i="47" s="1"/>
  <c r="J1043" i="47"/>
  <c r="J1044" i="47"/>
  <c r="C805" i="47"/>
  <c r="D805" i="47" s="1"/>
  <c r="H1040" i="47"/>
  <c r="L1040" i="47"/>
  <c r="H1041" i="47"/>
  <c r="L1041" i="47"/>
  <c r="Q1041" i="47"/>
  <c r="H1042" i="47"/>
  <c r="L1042" i="47"/>
  <c r="Q1042" i="47"/>
  <c r="H1043" i="47"/>
  <c r="L1043" i="47"/>
  <c r="Q1043" i="47"/>
  <c r="H1044" i="47"/>
  <c r="L1044" i="47"/>
  <c r="Q1044" i="47"/>
  <c r="J1041" i="47"/>
  <c r="J1042" i="47"/>
  <c r="O1043" i="47"/>
  <c r="P1043" i="47" s="1"/>
  <c r="O1044" i="47"/>
  <c r="P1044" i="47" s="1"/>
  <c r="R1044" i="47" s="1"/>
  <c r="I1040" i="47"/>
  <c r="I1041" i="47"/>
  <c r="I1042" i="47"/>
  <c r="I1043" i="47"/>
  <c r="I1044" i="47"/>
  <c r="C806" i="47"/>
  <c r="D806" i="47" s="1"/>
  <c r="C803" i="47"/>
  <c r="C804" i="47"/>
  <c r="D804" i="47" s="1"/>
  <c r="O775" i="47"/>
  <c r="P775" i="47" s="1"/>
  <c r="O776" i="47"/>
  <c r="P776" i="47" s="1"/>
  <c r="J777" i="47"/>
  <c r="O779" i="47"/>
  <c r="P779" i="47" s="1"/>
  <c r="K776" i="47"/>
  <c r="K778" i="47"/>
  <c r="O777" i="47"/>
  <c r="P777" i="47" s="1"/>
  <c r="O778" i="47"/>
  <c r="P778" i="47" s="1"/>
  <c r="J779" i="47"/>
  <c r="L776" i="47"/>
  <c r="Q776" i="47"/>
  <c r="H777" i="47"/>
  <c r="L777" i="47"/>
  <c r="Q777" i="47"/>
  <c r="H778" i="47"/>
  <c r="Q778" i="47"/>
  <c r="Q779" i="47"/>
  <c r="J776" i="47"/>
  <c r="I776" i="47"/>
  <c r="I777" i="47"/>
  <c r="I778" i="47"/>
  <c r="I779" i="47"/>
  <c r="J512" i="47"/>
  <c r="O514" i="47"/>
  <c r="P514" i="47" s="1"/>
  <c r="R514" i="47" s="1"/>
  <c r="K511" i="47"/>
  <c r="K513" i="47"/>
  <c r="J511" i="47"/>
  <c r="O513" i="47"/>
  <c r="P513" i="47" s="1"/>
  <c r="R513" i="47" s="1"/>
  <c r="H511" i="47"/>
  <c r="L511" i="47"/>
  <c r="H512" i="47"/>
  <c r="L514" i="47"/>
  <c r="O510" i="47"/>
  <c r="P510" i="47" s="1"/>
  <c r="O511" i="47"/>
  <c r="P511" i="47" s="1"/>
  <c r="R511" i="47" s="1"/>
  <c r="O512" i="47"/>
  <c r="P512" i="47" s="1"/>
  <c r="R512" i="47" s="1"/>
  <c r="J514" i="47"/>
  <c r="I511" i="47"/>
  <c r="I512" i="47"/>
  <c r="I513" i="47"/>
  <c r="I514" i="47"/>
  <c r="H434" i="47"/>
  <c r="L434" i="47"/>
  <c r="B460" i="47"/>
  <c r="B485" i="47" s="1"/>
  <c r="D485" i="47" s="1"/>
  <c r="B461" i="47"/>
  <c r="B486" i="47" s="1"/>
  <c r="D486" i="47" s="1"/>
  <c r="B462" i="47"/>
  <c r="B487" i="47" s="1"/>
  <c r="D487" i="47" s="1"/>
  <c r="B463" i="47"/>
  <c r="B488" i="47" s="1"/>
  <c r="D488" i="47" s="1"/>
  <c r="B464" i="47"/>
  <c r="B489" i="47" s="1"/>
  <c r="D489" i="47" s="1"/>
  <c r="I434" i="47"/>
  <c r="K434" i="47"/>
  <c r="N437" i="47"/>
  <c r="N434" i="47"/>
  <c r="P434" i="47" s="1"/>
  <c r="R434" i="47" s="1"/>
  <c r="I435" i="47"/>
  <c r="K435" i="47"/>
  <c r="L436" i="47"/>
  <c r="J434" i="47"/>
  <c r="J435" i="47"/>
  <c r="J436" i="47"/>
  <c r="J437" i="47"/>
  <c r="O437" i="47"/>
  <c r="R1307" i="47" l="1"/>
  <c r="D1359" i="47"/>
  <c r="C1667" i="47"/>
  <c r="D1667" i="47" s="1"/>
  <c r="L513" i="47"/>
  <c r="D828" i="47"/>
  <c r="D831" i="47"/>
  <c r="H514" i="47"/>
  <c r="D803" i="47"/>
  <c r="D829" i="47"/>
  <c r="R1639" i="47"/>
  <c r="D1669" i="47"/>
  <c r="D1691" i="47"/>
  <c r="K512" i="47"/>
  <c r="D1071" i="47"/>
  <c r="L512" i="47"/>
  <c r="K514" i="47"/>
  <c r="F1386" i="47"/>
  <c r="K1386" i="47" s="1"/>
  <c r="J513" i="47"/>
  <c r="E1385" i="47"/>
  <c r="J1385" i="47" s="1"/>
  <c r="H513" i="47"/>
  <c r="C1385" i="47"/>
  <c r="H1385" i="47" s="1"/>
  <c r="C802" i="47"/>
  <c r="D802" i="47" s="1"/>
  <c r="C1666" i="47"/>
  <c r="D1666" i="47" s="1"/>
  <c r="D1068" i="47"/>
  <c r="C1332" i="47"/>
  <c r="D1332" i="47" s="1"/>
  <c r="D538" i="47"/>
  <c r="C1067" i="47"/>
  <c r="D1067" i="47" s="1"/>
  <c r="C1665" i="47"/>
  <c r="D1665" i="47" s="1"/>
  <c r="D1335" i="47"/>
  <c r="D1668" i="47"/>
  <c r="D1069" i="47"/>
  <c r="D1336" i="47"/>
  <c r="R1642" i="47"/>
  <c r="R1640" i="47"/>
  <c r="R1641" i="47"/>
  <c r="P1045" i="47"/>
  <c r="R1309" i="47"/>
  <c r="R1043" i="47"/>
  <c r="D1333" i="47"/>
  <c r="B564" i="47"/>
  <c r="D564" i="47" s="1"/>
  <c r="D563" i="47"/>
  <c r="B830" i="47"/>
  <c r="D830" i="47" s="1"/>
  <c r="B562" i="47"/>
  <c r="D562" i="47" s="1"/>
  <c r="B565" i="47"/>
  <c r="D565" i="47" s="1"/>
  <c r="D1092" i="47"/>
  <c r="D1334" i="47"/>
  <c r="B1096" i="47"/>
  <c r="D1096" i="47" s="1"/>
  <c r="B566" i="47"/>
  <c r="D566" i="47" s="1"/>
  <c r="R1308" i="47"/>
  <c r="R1306" i="47"/>
  <c r="R1042" i="47"/>
  <c r="R1041" i="47"/>
  <c r="R778" i="47"/>
  <c r="R779" i="47"/>
  <c r="R776" i="47"/>
  <c r="R777" i="47"/>
  <c r="P437" i="47"/>
  <c r="R437" i="47" s="1"/>
  <c r="D464" i="47"/>
  <c r="E464" i="47"/>
  <c r="D462" i="47"/>
  <c r="E462" i="47"/>
  <c r="D460" i="47"/>
  <c r="E460" i="47"/>
  <c r="D463" i="47"/>
  <c r="E463" i="47"/>
  <c r="D461" i="47"/>
  <c r="E461" i="47"/>
  <c r="G1280" i="1"/>
  <c r="G1259" i="1"/>
  <c r="G1258" i="1"/>
  <c r="I1258" i="1" s="1"/>
  <c r="G1257" i="1"/>
  <c r="K1258" i="1"/>
  <c r="D935" i="1"/>
  <c r="D934" i="1"/>
  <c r="D922" i="1"/>
  <c r="E374" i="25"/>
  <c r="E365" i="25"/>
  <c r="E373" i="25"/>
  <c r="E390" i="25"/>
  <c r="I390" i="25"/>
  <c r="E393" i="25"/>
  <c r="E391" i="25"/>
  <c r="E359" i="25"/>
  <c r="E360" i="25"/>
  <c r="I255" i="25"/>
  <c r="J255" i="25" s="1"/>
  <c r="E256" i="25"/>
  <c r="E231" i="25"/>
  <c r="E230" i="25"/>
  <c r="E228" i="25"/>
  <c r="E227" i="25"/>
  <c r="E226" i="25"/>
  <c r="I225" i="25"/>
  <c r="E224" i="25"/>
  <c r="I224" i="25"/>
  <c r="E223" i="25"/>
  <c r="I223" i="25"/>
  <c r="I222" i="25"/>
  <c r="E221" i="25"/>
  <c r="I221" i="25"/>
  <c r="E220" i="25"/>
  <c r="I220" i="25"/>
  <c r="E219" i="25"/>
  <c r="I219" i="25"/>
  <c r="E218" i="25"/>
  <c r="I218" i="25"/>
  <c r="E217" i="25"/>
  <c r="I217" i="25"/>
  <c r="E199" i="25"/>
  <c r="E198" i="25"/>
  <c r="E197" i="25"/>
  <c r="E214" i="25"/>
  <c r="E213" i="25"/>
  <c r="E211" i="25"/>
  <c r="H176" i="32" l="1"/>
  <c r="H177" i="32"/>
  <c r="G424" i="21"/>
  <c r="H424" i="21" s="1"/>
  <c r="I424" i="21" s="1"/>
  <c r="J675" i="1" s="1"/>
  <c r="G433" i="21"/>
  <c r="H433" i="21" s="1"/>
  <c r="I433" i="21" s="1"/>
  <c r="J676" i="1" s="1"/>
  <c r="J1258" i="1"/>
  <c r="L1258" i="1" s="1"/>
  <c r="E208" i="25"/>
  <c r="E216" i="25"/>
  <c r="E159" i="25"/>
  <c r="E158" i="25"/>
  <c r="E157" i="25"/>
  <c r="E156" i="25"/>
  <c r="E155" i="25"/>
  <c r="E153" i="25"/>
  <c r="E150" i="25"/>
  <c r="Q150" i="25"/>
  <c r="E149" i="25"/>
  <c r="Q149" i="25"/>
  <c r="E148" i="25"/>
  <c r="Q148" i="25"/>
  <c r="E147" i="25"/>
  <c r="Q147" i="25"/>
  <c r="E145" i="25"/>
  <c r="E134" i="25"/>
  <c r="E135" i="25"/>
  <c r="E81" i="25"/>
  <c r="E98" i="25"/>
  <c r="E97" i="25"/>
  <c r="E96" i="25"/>
  <c r="E76" i="25"/>
  <c r="E66" i="25"/>
  <c r="E80" i="25"/>
  <c r="E78" i="25"/>
  <c r="E77" i="25"/>
  <c r="E73" i="25"/>
  <c r="E72" i="25"/>
  <c r="E71" i="25"/>
  <c r="E70" i="25"/>
  <c r="E69" i="25"/>
  <c r="E68" i="25"/>
  <c r="E67" i="25"/>
  <c r="E60" i="25"/>
  <c r="E58" i="25"/>
  <c r="E57" i="25"/>
  <c r="I51" i="25"/>
  <c r="E706" i="1" l="1"/>
  <c r="E705" i="1"/>
  <c r="B29" i="50"/>
  <c r="E93" i="25"/>
  <c r="I1302" i="1"/>
  <c r="C292" i="32" l="1"/>
  <c r="E1807" i="47" l="1"/>
  <c r="M4" i="6" l="1"/>
  <c r="J107" i="25"/>
  <c r="K107" i="25" s="1"/>
  <c r="AO45" i="50"/>
  <c r="AO46" i="50"/>
  <c r="AO47" i="50"/>
  <c r="AO48" i="50"/>
  <c r="AO49" i="50"/>
  <c r="AO50" i="50"/>
  <c r="AO51" i="50"/>
  <c r="AO52" i="50"/>
  <c r="AO53" i="50"/>
  <c r="AO54" i="50"/>
  <c r="AO55" i="50"/>
  <c r="AO56" i="50"/>
  <c r="AO57" i="50"/>
  <c r="B30" i="50"/>
  <c r="AO30" i="50" s="1"/>
  <c r="B31" i="50"/>
  <c r="AO31" i="50" s="1"/>
  <c r="B32" i="50"/>
  <c r="AO32" i="50" s="1"/>
  <c r="B33" i="50"/>
  <c r="AO33" i="50" s="1"/>
  <c r="B34" i="50"/>
  <c r="AO34" i="50" s="1"/>
  <c r="B35" i="50"/>
  <c r="AO35" i="50" s="1"/>
  <c r="B36" i="50"/>
  <c r="AO36" i="50" s="1"/>
  <c r="B37" i="50"/>
  <c r="AO37" i="50" s="1"/>
  <c r="AO38" i="50"/>
  <c r="AO39" i="50"/>
  <c r="AO40" i="50"/>
  <c r="AO41" i="50"/>
  <c r="AO42" i="50"/>
  <c r="AO43" i="50"/>
  <c r="AO29" i="50"/>
  <c r="I1259" i="1"/>
  <c r="K1259" i="1"/>
  <c r="J1259" i="1" l="1"/>
  <c r="L1259" i="1" s="1"/>
  <c r="O1175" i="47" l="1"/>
  <c r="O1176" i="47"/>
  <c r="O1177" i="47"/>
  <c r="O1178" i="47"/>
  <c r="C1196" i="47"/>
  <c r="C1197" i="47"/>
  <c r="C1195" i="47"/>
  <c r="C1194" i="47"/>
  <c r="C1193" i="47"/>
  <c r="C1185" i="47"/>
  <c r="C1186" i="47"/>
  <c r="C1187" i="47"/>
  <c r="C1188" i="47"/>
  <c r="C1184" i="47"/>
  <c r="B1175" i="47"/>
  <c r="B1176" i="47"/>
  <c r="B1177" i="47"/>
  <c r="J1177" i="47" s="1"/>
  <c r="B1178" i="47"/>
  <c r="L1178" i="47" s="1"/>
  <c r="A1188" i="47"/>
  <c r="A1197" i="47" s="1"/>
  <c r="B1187" i="47"/>
  <c r="A1187" i="47"/>
  <c r="A1196" i="47" s="1"/>
  <c r="H1178" i="47"/>
  <c r="M1177" i="47"/>
  <c r="L1177" i="47"/>
  <c r="B1174" i="47"/>
  <c r="C929" i="47"/>
  <c r="C930" i="47"/>
  <c r="C664" i="47"/>
  <c r="H1177" i="47" l="1"/>
  <c r="I1177" i="47"/>
  <c r="G1177" i="47"/>
  <c r="N1177" i="47"/>
  <c r="P1177" i="47" s="1"/>
  <c r="D1187" i="47"/>
  <c r="B1196" i="47"/>
  <c r="D1196" i="47" s="1"/>
  <c r="M1178" i="47"/>
  <c r="N1178" i="47" s="1"/>
  <c r="P1178" i="47" s="1"/>
  <c r="I1178" i="47"/>
  <c r="B1188" i="47"/>
  <c r="J1178" i="47"/>
  <c r="G1178" i="47"/>
  <c r="B1276" i="1"/>
  <c r="D1188" i="47" l="1"/>
  <c r="B1197" i="47"/>
  <c r="D1197" i="47" s="1"/>
  <c r="AP15" i="50" l="1"/>
  <c r="AP14" i="50"/>
  <c r="AP9" i="50"/>
  <c r="AP5" i="50"/>
  <c r="J148" i="19" l="1"/>
  <c r="B6" i="51" l="1"/>
  <c r="A204" i="1"/>
  <c r="I44" i="43" l="1"/>
  <c r="I66" i="43" s="1"/>
  <c r="F44" i="43"/>
  <c r="F66" i="43" s="1"/>
  <c r="C44" i="43"/>
  <c r="C66" i="43" s="1"/>
  <c r="K23" i="43"/>
  <c r="A334" i="1" l="1"/>
  <c r="C324" i="47"/>
  <c r="C7" i="42" l="1"/>
  <c r="M11" i="6"/>
  <c r="B3" i="32" s="1"/>
  <c r="AP16" i="50" l="1"/>
  <c r="D954" i="1"/>
  <c r="G256" i="19" l="1"/>
  <c r="K472" i="1"/>
  <c r="A1875" i="47" l="1"/>
  <c r="K1257" i="1"/>
  <c r="I1257" i="1"/>
  <c r="J1257" i="1" l="1"/>
  <c r="L1257" i="1" s="1"/>
  <c r="G161" i="13" l="1"/>
  <c r="AY5" i="48" l="1"/>
  <c r="I114" i="25" l="1"/>
  <c r="J114" i="25" s="1"/>
  <c r="G272" i="13"/>
  <c r="F187" i="32" s="1"/>
  <c r="M257" i="19"/>
  <c r="O645" i="47" l="1"/>
  <c r="O646" i="47"/>
  <c r="O647" i="47"/>
  <c r="O648" i="47"/>
  <c r="O910" i="47"/>
  <c r="O911" i="47"/>
  <c r="O912" i="47"/>
  <c r="O913" i="47"/>
  <c r="A28" i="49" l="1"/>
  <c r="B176" i="32" l="1"/>
  <c r="D748" i="1"/>
  <c r="D753" i="1" l="1"/>
  <c r="B4" i="51"/>
  <c r="E728" i="1" l="1"/>
  <c r="E649" i="1"/>
  <c r="I1252" i="1"/>
  <c r="K1252" i="1"/>
  <c r="B177" i="32" l="1"/>
  <c r="J1252" i="1"/>
  <c r="L1252" i="1" s="1"/>
  <c r="J161" i="13"/>
  <c r="A1868" i="47"/>
  <c r="C1868" i="47" s="1"/>
  <c r="C931" i="47"/>
  <c r="C932" i="47"/>
  <c r="C928" i="47"/>
  <c r="C920" i="47"/>
  <c r="C921" i="47"/>
  <c r="C922" i="47"/>
  <c r="C923" i="47"/>
  <c r="C919" i="47"/>
  <c r="B910" i="47"/>
  <c r="B911" i="47"/>
  <c r="J911" i="47" s="1"/>
  <c r="B912" i="47"/>
  <c r="B922" i="47" s="1"/>
  <c r="B913" i="47"/>
  <c r="B909" i="47"/>
  <c r="A922" i="47"/>
  <c r="A931" i="47" s="1"/>
  <c r="A921" i="47"/>
  <c r="A930" i="47" s="1"/>
  <c r="B645" i="47"/>
  <c r="B646" i="47"/>
  <c r="B647" i="47"/>
  <c r="M647" i="47" s="1"/>
  <c r="B648" i="47"/>
  <c r="B644" i="47"/>
  <c r="C666" i="47"/>
  <c r="C667" i="47"/>
  <c r="C665" i="47"/>
  <c r="C663" i="47"/>
  <c r="C655" i="47"/>
  <c r="C656" i="47"/>
  <c r="C657" i="47"/>
  <c r="C658" i="47"/>
  <c r="A657" i="47"/>
  <c r="A666" i="47" s="1"/>
  <c r="H647" i="47"/>
  <c r="A656" i="47"/>
  <c r="C654" i="47"/>
  <c r="B305" i="47"/>
  <c r="B306" i="47"/>
  <c r="B307" i="47"/>
  <c r="I307" i="47" s="1"/>
  <c r="B308" i="47"/>
  <c r="B304" i="47"/>
  <c r="C326" i="47"/>
  <c r="C327" i="47"/>
  <c r="C325" i="47"/>
  <c r="C323" i="47"/>
  <c r="C315" i="47"/>
  <c r="C316" i="47"/>
  <c r="C317" i="47"/>
  <c r="C318" i="47"/>
  <c r="C314" i="47"/>
  <c r="A326" i="47"/>
  <c r="A317" i="47"/>
  <c r="J307" i="47" l="1"/>
  <c r="B657" i="47"/>
  <c r="B666" i="47" s="1"/>
  <c r="D666" i="47" s="1"/>
  <c r="I647" i="47"/>
  <c r="J647" i="47"/>
  <c r="G647" i="47"/>
  <c r="L307" i="47"/>
  <c r="J912" i="47"/>
  <c r="G307" i="47"/>
  <c r="B317" i="47"/>
  <c r="D317" i="47" s="1"/>
  <c r="L647" i="47"/>
  <c r="N647" i="47" s="1"/>
  <c r="P647" i="47" s="1"/>
  <c r="M307" i="47"/>
  <c r="H307" i="47"/>
  <c r="M912" i="47"/>
  <c r="H912" i="47"/>
  <c r="I912" i="47"/>
  <c r="G912" i="47"/>
  <c r="L912" i="47"/>
  <c r="N912" i="47" s="1"/>
  <c r="P912" i="47" s="1"/>
  <c r="I911" i="47"/>
  <c r="L911" i="47"/>
  <c r="G911" i="47"/>
  <c r="D922" i="47"/>
  <c r="D657" i="47"/>
  <c r="H911" i="47"/>
  <c r="M911" i="47"/>
  <c r="B921" i="47"/>
  <c r="B931" i="47"/>
  <c r="D931" i="47" s="1"/>
  <c r="A267" i="1"/>
  <c r="C698" i="47"/>
  <c r="N911" i="47" l="1"/>
  <c r="P911" i="47" s="1"/>
  <c r="N307" i="47"/>
  <c r="P307" i="47" s="1"/>
  <c r="B326" i="47"/>
  <c r="D326" i="47" s="1"/>
  <c r="D921" i="47"/>
  <c r="B930" i="47"/>
  <c r="D930" i="47" s="1"/>
  <c r="A961" i="1"/>
  <c r="A958" i="1"/>
  <c r="A949" i="1"/>
  <c r="A944" i="1"/>
  <c r="A939" i="1"/>
  <c r="A931" i="1"/>
  <c r="D979" i="1"/>
  <c r="D956" i="1"/>
  <c r="D952" i="1"/>
  <c r="D953" i="1"/>
  <c r="D951" i="1"/>
  <c r="D955" i="1"/>
  <c r="D933" i="1"/>
  <c r="C6" i="17"/>
  <c r="D256" i="17" s="1"/>
  <c r="G270" i="17"/>
  <c r="G271" i="17"/>
  <c r="D257" i="17"/>
  <c r="D258" i="17"/>
  <c r="D260" i="17"/>
  <c r="D261" i="17"/>
  <c r="D262" i="17"/>
  <c r="D264" i="17"/>
  <c r="D265" i="17"/>
  <c r="D266" i="17"/>
  <c r="D267" i="17"/>
  <c r="D268" i="17"/>
  <c r="D269" i="17"/>
  <c r="D270" i="17"/>
  <c r="D271" i="17"/>
  <c r="D272" i="17"/>
  <c r="D273" i="17"/>
  <c r="D274" i="17"/>
  <c r="D275" i="17"/>
  <c r="D277" i="17"/>
  <c r="D278" i="17"/>
  <c r="G1286" i="1"/>
  <c r="J230" i="19" l="1"/>
  <c r="J176" i="19"/>
  <c r="G255" i="19"/>
  <c r="M256" i="19"/>
  <c r="F255" i="19" s="1"/>
  <c r="K1261" i="1"/>
  <c r="I1261" i="1"/>
  <c r="J1261" i="1" l="1"/>
  <c r="L1261" i="1" s="1"/>
  <c r="B69" i="6" l="1"/>
  <c r="B50" i="6"/>
  <c r="J220" i="6" l="1"/>
  <c r="P220" i="6" s="1"/>
  <c r="J222" i="6"/>
  <c r="P222" i="6" s="1"/>
  <c r="J224" i="6"/>
  <c r="P224" i="6" s="1"/>
  <c r="J226" i="6"/>
  <c r="P226" i="6" s="1"/>
  <c r="J228" i="6"/>
  <c r="P228" i="6" s="1"/>
  <c r="J230" i="6"/>
  <c r="P230" i="6" s="1"/>
  <c r="J200" i="6"/>
  <c r="P200" i="6" s="1"/>
  <c r="J202" i="6"/>
  <c r="P202" i="6" s="1"/>
  <c r="J204" i="6"/>
  <c r="P204" i="6" s="1"/>
  <c r="J205" i="6"/>
  <c r="P205" i="6" s="1"/>
  <c r="J207" i="6"/>
  <c r="P207" i="6" s="1"/>
  <c r="J209" i="6"/>
  <c r="P209" i="6" s="1"/>
  <c r="J211" i="6"/>
  <c r="P211" i="6" s="1"/>
  <c r="J213" i="6"/>
  <c r="P213" i="6" s="1"/>
  <c r="J215" i="6"/>
  <c r="P215" i="6" s="1"/>
  <c r="J217" i="6"/>
  <c r="P217" i="6" s="1"/>
  <c r="J218" i="6"/>
  <c r="P218" i="6" s="1"/>
  <c r="J181" i="6"/>
  <c r="P181" i="6" s="1"/>
  <c r="J182" i="6"/>
  <c r="P182" i="6" s="1"/>
  <c r="J184" i="6"/>
  <c r="P184" i="6" s="1"/>
  <c r="J186" i="6"/>
  <c r="P186" i="6" s="1"/>
  <c r="J188" i="6"/>
  <c r="P188" i="6" s="1"/>
  <c r="J190" i="6"/>
  <c r="P190" i="6" s="1"/>
  <c r="J192" i="6"/>
  <c r="P192" i="6" s="1"/>
  <c r="J194" i="6"/>
  <c r="P194" i="6" s="1"/>
  <c r="J196" i="6"/>
  <c r="P196" i="6" s="1"/>
  <c r="J198" i="6"/>
  <c r="P198" i="6" s="1"/>
  <c r="J157" i="6"/>
  <c r="P157" i="6" s="1"/>
  <c r="J159" i="6"/>
  <c r="P159" i="6" s="1"/>
  <c r="J160" i="6"/>
  <c r="P160" i="6" s="1"/>
  <c r="J162" i="6"/>
  <c r="P162" i="6" s="1"/>
  <c r="J164" i="6"/>
  <c r="P164" i="6" s="1"/>
  <c r="J166" i="6"/>
  <c r="P166" i="6" s="1"/>
  <c r="J168" i="6"/>
  <c r="P168" i="6" s="1"/>
  <c r="J170" i="6"/>
  <c r="P170" i="6" s="1"/>
  <c r="J172" i="6"/>
  <c r="P172" i="6" s="1"/>
  <c r="J173" i="6"/>
  <c r="P173" i="6" s="1"/>
  <c r="J175" i="6"/>
  <c r="P175" i="6" s="1"/>
  <c r="J177" i="6"/>
  <c r="P177" i="6" s="1"/>
  <c r="J179" i="6"/>
  <c r="P179" i="6" s="1"/>
  <c r="J138" i="6"/>
  <c r="P138" i="6" s="1"/>
  <c r="J140" i="6"/>
  <c r="P140" i="6" s="1"/>
  <c r="J142" i="6"/>
  <c r="P142" i="6" s="1"/>
  <c r="J144" i="6"/>
  <c r="P144" i="6" s="1"/>
  <c r="J146" i="6"/>
  <c r="P146" i="6" s="1"/>
  <c r="J148" i="6"/>
  <c r="P148" i="6" s="1"/>
  <c r="J149" i="6"/>
  <c r="P149" i="6" s="1"/>
  <c r="J151" i="6"/>
  <c r="P151" i="6" s="1"/>
  <c r="J153" i="6"/>
  <c r="P153" i="6" s="1"/>
  <c r="J155" i="6"/>
  <c r="P155" i="6" s="1"/>
  <c r="J118" i="6"/>
  <c r="P118" i="6" s="1"/>
  <c r="J120" i="6"/>
  <c r="P120" i="6" s="1"/>
  <c r="J121" i="6"/>
  <c r="P121" i="6" s="1"/>
  <c r="J123" i="6"/>
  <c r="P123" i="6" s="1"/>
  <c r="J125" i="6"/>
  <c r="P125" i="6" s="1"/>
  <c r="J127" i="6"/>
  <c r="P127" i="6" s="1"/>
  <c r="J129" i="6"/>
  <c r="P129" i="6" s="1"/>
  <c r="J131" i="6"/>
  <c r="P131" i="6" s="1"/>
  <c r="J133" i="6"/>
  <c r="P133" i="6" s="1"/>
  <c r="J134" i="6"/>
  <c r="P134" i="6" s="1"/>
  <c r="J136" i="6"/>
  <c r="P136" i="6" s="1"/>
  <c r="J116" i="6"/>
  <c r="B226" i="6"/>
  <c r="O227" i="6" s="1"/>
  <c r="B227" i="6"/>
  <c r="O228" i="6" s="1"/>
  <c r="B228" i="6"/>
  <c r="O229" i="6" s="1"/>
  <c r="B229" i="6"/>
  <c r="O230" i="6" s="1"/>
  <c r="B230" i="6"/>
  <c r="O231" i="6" s="1"/>
  <c r="B231" i="6"/>
  <c r="B206" i="6"/>
  <c r="O207" i="6" s="1"/>
  <c r="B207" i="6"/>
  <c r="O208" i="6" s="1"/>
  <c r="B208" i="6"/>
  <c r="O209" i="6" s="1"/>
  <c r="B209" i="6"/>
  <c r="O210" i="6" s="1"/>
  <c r="B210" i="6"/>
  <c r="O211" i="6" s="1"/>
  <c r="B211" i="6"/>
  <c r="O212" i="6" s="1"/>
  <c r="B212" i="6"/>
  <c r="O213" i="6" s="1"/>
  <c r="B213" i="6"/>
  <c r="O214" i="6" s="1"/>
  <c r="B214" i="6"/>
  <c r="O215" i="6" s="1"/>
  <c r="B215" i="6"/>
  <c r="O216" i="6" s="1"/>
  <c r="B216" i="6"/>
  <c r="O217" i="6" s="1"/>
  <c r="B217" i="6"/>
  <c r="O218" i="6" s="1"/>
  <c r="B218" i="6"/>
  <c r="O219" i="6" s="1"/>
  <c r="B219" i="6"/>
  <c r="O220" i="6" s="1"/>
  <c r="B220" i="6"/>
  <c r="O221" i="6" s="1"/>
  <c r="B221" i="6"/>
  <c r="O222" i="6" s="1"/>
  <c r="B222" i="6"/>
  <c r="O223" i="6" s="1"/>
  <c r="B223" i="6"/>
  <c r="O224" i="6" s="1"/>
  <c r="B224" i="6"/>
  <c r="O225" i="6" s="1"/>
  <c r="B225" i="6"/>
  <c r="O226" i="6" s="1"/>
  <c r="B187" i="6"/>
  <c r="O188" i="6" s="1"/>
  <c r="B188" i="6"/>
  <c r="O189" i="6" s="1"/>
  <c r="B189" i="6"/>
  <c r="O190" i="6" s="1"/>
  <c r="B190" i="6"/>
  <c r="O191" i="6" s="1"/>
  <c r="B191" i="6"/>
  <c r="O192" i="6" s="1"/>
  <c r="B192" i="6"/>
  <c r="O193" i="6" s="1"/>
  <c r="B193" i="6"/>
  <c r="O194" i="6" s="1"/>
  <c r="B194" i="6"/>
  <c r="O195" i="6" s="1"/>
  <c r="B195" i="6"/>
  <c r="O196" i="6" s="1"/>
  <c r="B196" i="6"/>
  <c r="O197" i="6" s="1"/>
  <c r="B197" i="6"/>
  <c r="O198" i="6" s="1"/>
  <c r="B198" i="6"/>
  <c r="O199" i="6" s="1"/>
  <c r="B199" i="6"/>
  <c r="O200" i="6" s="1"/>
  <c r="B200" i="6"/>
  <c r="O201" i="6" s="1"/>
  <c r="B201" i="6"/>
  <c r="O202" i="6" s="1"/>
  <c r="B202" i="6"/>
  <c r="O203" i="6" s="1"/>
  <c r="B203" i="6"/>
  <c r="O204" i="6" s="1"/>
  <c r="B204" i="6"/>
  <c r="O205" i="6" s="1"/>
  <c r="B205" i="6"/>
  <c r="O206" i="6" s="1"/>
  <c r="B168" i="6"/>
  <c r="O169" i="6" s="1"/>
  <c r="B169" i="6"/>
  <c r="O170" i="6" s="1"/>
  <c r="B170" i="6"/>
  <c r="O171" i="6" s="1"/>
  <c r="B171" i="6"/>
  <c r="O172" i="6" s="1"/>
  <c r="B172" i="6"/>
  <c r="O173" i="6" s="1"/>
  <c r="B173" i="6"/>
  <c r="O174" i="6" s="1"/>
  <c r="B174" i="6"/>
  <c r="O175" i="6" s="1"/>
  <c r="B175" i="6"/>
  <c r="O176" i="6" s="1"/>
  <c r="B176" i="6"/>
  <c r="O177" i="6" s="1"/>
  <c r="B177" i="6"/>
  <c r="O178" i="6" s="1"/>
  <c r="B178" i="6"/>
  <c r="O179" i="6" s="1"/>
  <c r="B179" i="6"/>
  <c r="O180" i="6" s="1"/>
  <c r="B180" i="6"/>
  <c r="O181" i="6" s="1"/>
  <c r="B181" i="6"/>
  <c r="O182" i="6" s="1"/>
  <c r="B182" i="6"/>
  <c r="O183" i="6" s="1"/>
  <c r="B183" i="6"/>
  <c r="O184" i="6" s="1"/>
  <c r="B184" i="6"/>
  <c r="O185" i="6" s="1"/>
  <c r="B185" i="6"/>
  <c r="O186" i="6" s="1"/>
  <c r="B186" i="6"/>
  <c r="O187" i="6" s="1"/>
  <c r="B145" i="6"/>
  <c r="O146" i="6" s="1"/>
  <c r="B146" i="6"/>
  <c r="O147" i="6" s="1"/>
  <c r="B147" i="6"/>
  <c r="O148" i="6" s="1"/>
  <c r="B148" i="6"/>
  <c r="O149" i="6" s="1"/>
  <c r="B149" i="6"/>
  <c r="O150" i="6" s="1"/>
  <c r="B150" i="6"/>
  <c r="O151" i="6" s="1"/>
  <c r="B151" i="6"/>
  <c r="O152" i="6" s="1"/>
  <c r="B152" i="6"/>
  <c r="O153" i="6" s="1"/>
  <c r="B153" i="6"/>
  <c r="O154" i="6" s="1"/>
  <c r="B154" i="6"/>
  <c r="O155" i="6" s="1"/>
  <c r="B155" i="6"/>
  <c r="O156" i="6" s="1"/>
  <c r="B156" i="6"/>
  <c r="O157" i="6" s="1"/>
  <c r="B157" i="6"/>
  <c r="O158" i="6" s="1"/>
  <c r="B158" i="6"/>
  <c r="O159" i="6" s="1"/>
  <c r="B159" i="6"/>
  <c r="O160" i="6" s="1"/>
  <c r="B160" i="6"/>
  <c r="O161" i="6" s="1"/>
  <c r="B161" i="6"/>
  <c r="O162" i="6" s="1"/>
  <c r="B162" i="6"/>
  <c r="O163" i="6" s="1"/>
  <c r="B163" i="6"/>
  <c r="O164" i="6" s="1"/>
  <c r="B164" i="6"/>
  <c r="O165" i="6" s="1"/>
  <c r="B165" i="6"/>
  <c r="O166" i="6" s="1"/>
  <c r="B166" i="6"/>
  <c r="O167" i="6" s="1"/>
  <c r="B167" i="6"/>
  <c r="O168" i="6" s="1"/>
  <c r="B127" i="6"/>
  <c r="O128" i="6" s="1"/>
  <c r="B128" i="6"/>
  <c r="O129" i="6" s="1"/>
  <c r="B129" i="6"/>
  <c r="O130" i="6" s="1"/>
  <c r="B130" i="6"/>
  <c r="O131" i="6" s="1"/>
  <c r="B131" i="6"/>
  <c r="O132" i="6" s="1"/>
  <c r="B132" i="6"/>
  <c r="O133" i="6" s="1"/>
  <c r="B133" i="6"/>
  <c r="O134" i="6" s="1"/>
  <c r="B134" i="6"/>
  <c r="O135" i="6" s="1"/>
  <c r="B135" i="6"/>
  <c r="O136" i="6" s="1"/>
  <c r="B136" i="6"/>
  <c r="O137" i="6" s="1"/>
  <c r="B137" i="6"/>
  <c r="O138" i="6" s="1"/>
  <c r="B138" i="6"/>
  <c r="O139" i="6" s="1"/>
  <c r="B139" i="6"/>
  <c r="O140" i="6" s="1"/>
  <c r="B140" i="6"/>
  <c r="O141" i="6" s="1"/>
  <c r="B141" i="6"/>
  <c r="O142" i="6" s="1"/>
  <c r="B142" i="6"/>
  <c r="O143" i="6" s="1"/>
  <c r="B143" i="6"/>
  <c r="O144" i="6" s="1"/>
  <c r="B144" i="6"/>
  <c r="O145" i="6" s="1"/>
  <c r="B117" i="6"/>
  <c r="O118" i="6" s="1"/>
  <c r="B118" i="6"/>
  <c r="O119" i="6" s="1"/>
  <c r="B119" i="6"/>
  <c r="O120" i="6" s="1"/>
  <c r="B120" i="6"/>
  <c r="O121" i="6" s="1"/>
  <c r="B121" i="6"/>
  <c r="O122" i="6" s="1"/>
  <c r="B122" i="6"/>
  <c r="O123" i="6" s="1"/>
  <c r="B123" i="6"/>
  <c r="O124" i="6" s="1"/>
  <c r="B124" i="6"/>
  <c r="O125" i="6" s="1"/>
  <c r="B125" i="6"/>
  <c r="O126" i="6" s="1"/>
  <c r="B126" i="6"/>
  <c r="O127" i="6" s="1"/>
  <c r="B116" i="6"/>
  <c r="O117" i="6" s="1"/>
  <c r="E611" i="1"/>
  <c r="E612" i="1"/>
  <c r="E613" i="1"/>
  <c r="E614" i="1"/>
  <c r="E615" i="1"/>
  <c r="E616" i="1"/>
  <c r="E617" i="1"/>
  <c r="E618" i="1"/>
  <c r="E619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591" i="1"/>
  <c r="E583" i="1"/>
  <c r="E584" i="1"/>
  <c r="E585" i="1"/>
  <c r="E586" i="1"/>
  <c r="E587" i="1"/>
  <c r="E588" i="1"/>
  <c r="E561" i="1"/>
  <c r="E563" i="1"/>
  <c r="E564" i="1"/>
  <c r="E565" i="1"/>
  <c r="E566" i="1"/>
  <c r="E567" i="1"/>
  <c r="E568" i="1"/>
  <c r="E569" i="1"/>
  <c r="E570" i="1"/>
  <c r="E571" i="1"/>
  <c r="E572" i="1"/>
  <c r="E575" i="1"/>
  <c r="E576" i="1"/>
  <c r="E577" i="1"/>
  <c r="E578" i="1"/>
  <c r="E579" i="1"/>
  <c r="E580" i="1"/>
  <c r="E581" i="1"/>
  <c r="E582" i="1"/>
  <c r="E560" i="1"/>
  <c r="E550" i="1"/>
  <c r="E551" i="1"/>
  <c r="E552" i="1"/>
  <c r="E553" i="1"/>
  <c r="E554" i="1"/>
  <c r="E555" i="1"/>
  <c r="E556" i="1"/>
  <c r="E557" i="1"/>
  <c r="E530" i="1"/>
  <c r="E531" i="1"/>
  <c r="E532" i="1"/>
  <c r="E533" i="1"/>
  <c r="E536" i="1"/>
  <c r="E537" i="1"/>
  <c r="E539" i="1"/>
  <c r="E542" i="1"/>
  <c r="E543" i="1"/>
  <c r="E545" i="1"/>
  <c r="E548" i="1"/>
  <c r="E549" i="1"/>
  <c r="E529" i="1"/>
  <c r="E518" i="1"/>
  <c r="E519" i="1"/>
  <c r="E520" i="1"/>
  <c r="E521" i="1"/>
  <c r="E522" i="1"/>
  <c r="E523" i="1"/>
  <c r="E524" i="1"/>
  <c r="E525" i="1"/>
  <c r="E526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498" i="1"/>
  <c r="H520" i="1"/>
  <c r="H551" i="1" s="1"/>
  <c r="H582" i="1" s="1"/>
  <c r="H613" i="1" s="1"/>
  <c r="H521" i="1"/>
  <c r="H552" i="1" s="1"/>
  <c r="H583" i="1" s="1"/>
  <c r="H614" i="1" s="1"/>
  <c r="H522" i="1"/>
  <c r="H553" i="1" s="1"/>
  <c r="H584" i="1" s="1"/>
  <c r="H615" i="1" s="1"/>
  <c r="H523" i="1"/>
  <c r="H554" i="1" s="1"/>
  <c r="H585" i="1" s="1"/>
  <c r="H616" i="1" s="1"/>
  <c r="H524" i="1"/>
  <c r="H555" i="1" s="1"/>
  <c r="H586" i="1" s="1"/>
  <c r="H617" i="1" s="1"/>
  <c r="H525" i="1"/>
  <c r="H556" i="1" s="1"/>
  <c r="H587" i="1" s="1"/>
  <c r="H618" i="1" s="1"/>
  <c r="H526" i="1"/>
  <c r="H557" i="1" s="1"/>
  <c r="H588" i="1" s="1"/>
  <c r="H619" i="1" s="1"/>
  <c r="H530" i="1"/>
  <c r="H561" i="1" s="1"/>
  <c r="H592" i="1" s="1"/>
  <c r="H531" i="1"/>
  <c r="H562" i="1" s="1"/>
  <c r="H593" i="1" s="1"/>
  <c r="H532" i="1"/>
  <c r="H563" i="1" s="1"/>
  <c r="H594" i="1" s="1"/>
  <c r="H533" i="1"/>
  <c r="H564" i="1" s="1"/>
  <c r="H595" i="1" s="1"/>
  <c r="H534" i="1"/>
  <c r="H565" i="1" s="1"/>
  <c r="H596" i="1" s="1"/>
  <c r="H535" i="1"/>
  <c r="H566" i="1" s="1"/>
  <c r="H597" i="1" s="1"/>
  <c r="H536" i="1"/>
  <c r="H567" i="1" s="1"/>
  <c r="H598" i="1" s="1"/>
  <c r="H537" i="1"/>
  <c r="H568" i="1" s="1"/>
  <c r="H599" i="1" s="1"/>
  <c r="H538" i="1"/>
  <c r="H569" i="1" s="1"/>
  <c r="H600" i="1" s="1"/>
  <c r="H539" i="1"/>
  <c r="H570" i="1" s="1"/>
  <c r="H601" i="1" s="1"/>
  <c r="H540" i="1"/>
  <c r="H571" i="1" s="1"/>
  <c r="H602" i="1" s="1"/>
  <c r="H541" i="1"/>
  <c r="H572" i="1" s="1"/>
  <c r="H603" i="1" s="1"/>
  <c r="H542" i="1"/>
  <c r="H573" i="1" s="1"/>
  <c r="H604" i="1" s="1"/>
  <c r="H543" i="1"/>
  <c r="H574" i="1" s="1"/>
  <c r="H605" i="1" s="1"/>
  <c r="H544" i="1"/>
  <c r="H575" i="1" s="1"/>
  <c r="H606" i="1" s="1"/>
  <c r="H545" i="1"/>
  <c r="H576" i="1" s="1"/>
  <c r="H607" i="1" s="1"/>
  <c r="H546" i="1"/>
  <c r="H577" i="1" s="1"/>
  <c r="H608" i="1" s="1"/>
  <c r="H547" i="1"/>
  <c r="H578" i="1" s="1"/>
  <c r="H609" i="1" s="1"/>
  <c r="H548" i="1"/>
  <c r="H579" i="1" s="1"/>
  <c r="H610" i="1" s="1"/>
  <c r="H549" i="1"/>
  <c r="H580" i="1" s="1"/>
  <c r="H611" i="1" s="1"/>
  <c r="H519" i="1"/>
  <c r="H550" i="1" s="1"/>
  <c r="H581" i="1" s="1"/>
  <c r="H612" i="1" s="1"/>
  <c r="H529" i="1"/>
  <c r="H560" i="1" s="1"/>
  <c r="H591" i="1" s="1"/>
  <c r="C403" i="27"/>
  <c r="C407" i="27"/>
  <c r="H90" i="50"/>
  <c r="C95" i="32" s="1"/>
  <c r="B90" i="50"/>
  <c r="B526" i="1" s="1"/>
  <c r="H89" i="50"/>
  <c r="W89" i="50" s="1"/>
  <c r="B89" i="50"/>
  <c r="B525" i="1" s="1"/>
  <c r="H88" i="50"/>
  <c r="T88" i="50" s="1"/>
  <c r="B88" i="50"/>
  <c r="B524" i="1" s="1"/>
  <c r="H87" i="50"/>
  <c r="W87" i="50" s="1"/>
  <c r="B87" i="50"/>
  <c r="B523" i="1" s="1"/>
  <c r="H86" i="50"/>
  <c r="T86" i="50" s="1"/>
  <c r="B86" i="50"/>
  <c r="B522" i="1" s="1"/>
  <c r="H85" i="50"/>
  <c r="W85" i="50" s="1"/>
  <c r="B85" i="50"/>
  <c r="B521" i="1" s="1"/>
  <c r="H84" i="50"/>
  <c r="W84" i="50" s="1"/>
  <c r="B84" i="50"/>
  <c r="B520" i="1" s="1"/>
  <c r="H83" i="50"/>
  <c r="W83" i="50" s="1"/>
  <c r="B83" i="50"/>
  <c r="B519" i="1" s="1"/>
  <c r="H82" i="50"/>
  <c r="Z82" i="50" s="1"/>
  <c r="B82" i="50"/>
  <c r="B518" i="1" s="1"/>
  <c r="H81" i="50"/>
  <c r="W81" i="50" s="1"/>
  <c r="B81" i="50"/>
  <c r="B517" i="1" s="1"/>
  <c r="H80" i="50"/>
  <c r="X80" i="50" s="1"/>
  <c r="B80" i="50"/>
  <c r="B516" i="1" s="1"/>
  <c r="H79" i="50"/>
  <c r="W79" i="50" s="1"/>
  <c r="B79" i="50"/>
  <c r="B515" i="1" s="1"/>
  <c r="H78" i="50"/>
  <c r="C83" i="32" s="1"/>
  <c r="B78" i="50"/>
  <c r="B514" i="1" s="1"/>
  <c r="H77" i="50"/>
  <c r="W77" i="50" s="1"/>
  <c r="B77" i="50"/>
  <c r="B513" i="1" s="1"/>
  <c r="H76" i="50"/>
  <c r="T76" i="50" s="1"/>
  <c r="B76" i="50"/>
  <c r="B512" i="1" s="1"/>
  <c r="H75" i="50"/>
  <c r="W75" i="50" s="1"/>
  <c r="B75" i="50"/>
  <c r="B511" i="1" s="1"/>
  <c r="H74" i="50"/>
  <c r="C79" i="32" s="1"/>
  <c r="B74" i="50"/>
  <c r="B510" i="1" s="1"/>
  <c r="H73" i="50"/>
  <c r="W73" i="50" s="1"/>
  <c r="B73" i="50"/>
  <c r="B509" i="1" s="1"/>
  <c r="H72" i="50"/>
  <c r="X72" i="50" s="1"/>
  <c r="B72" i="50"/>
  <c r="B508" i="1" s="1"/>
  <c r="H71" i="50"/>
  <c r="W71" i="50" s="1"/>
  <c r="B71" i="50"/>
  <c r="B507" i="1" s="1"/>
  <c r="H70" i="50"/>
  <c r="C75" i="32" s="1"/>
  <c r="B70" i="50"/>
  <c r="B506" i="1" s="1"/>
  <c r="H69" i="50"/>
  <c r="W69" i="50" s="1"/>
  <c r="B69" i="50"/>
  <c r="B505" i="1" s="1"/>
  <c r="H68" i="50"/>
  <c r="S68" i="50" s="1"/>
  <c r="B68" i="50"/>
  <c r="B504" i="1" s="1"/>
  <c r="H67" i="50"/>
  <c r="W67" i="50" s="1"/>
  <c r="B67" i="50"/>
  <c r="B503" i="1" s="1"/>
  <c r="H66" i="50"/>
  <c r="S66" i="50" s="1"/>
  <c r="B66" i="50"/>
  <c r="B502" i="1" s="1"/>
  <c r="H65" i="50"/>
  <c r="W65" i="50" s="1"/>
  <c r="B65" i="50"/>
  <c r="B501" i="1" s="1"/>
  <c r="H64" i="50"/>
  <c r="C69" i="32" s="1"/>
  <c r="B64" i="50"/>
  <c r="B500" i="1" s="1"/>
  <c r="H63" i="50"/>
  <c r="W63" i="50" s="1"/>
  <c r="B63" i="50"/>
  <c r="B499" i="1" s="1"/>
  <c r="A63" i="50"/>
  <c r="A64" i="50" s="1"/>
  <c r="A65" i="50" s="1"/>
  <c r="A66" i="50" s="1"/>
  <c r="A67" i="50" s="1"/>
  <c r="A68" i="50" s="1"/>
  <c r="A69" i="50" s="1"/>
  <c r="A70" i="50" s="1"/>
  <c r="A71" i="50" s="1"/>
  <c r="A72" i="50" s="1"/>
  <c r="A73" i="50" s="1"/>
  <c r="A74" i="50" s="1"/>
  <c r="A75" i="50" s="1"/>
  <c r="A76" i="50" s="1"/>
  <c r="A77" i="50" s="1"/>
  <c r="A78" i="50" s="1"/>
  <c r="A79" i="50" s="1"/>
  <c r="A80" i="50" s="1"/>
  <c r="A81" i="50" s="1"/>
  <c r="A82" i="50" s="1"/>
  <c r="A83" i="50" s="1"/>
  <c r="A84" i="50" s="1"/>
  <c r="A85" i="50" s="1"/>
  <c r="A86" i="50" s="1"/>
  <c r="A87" i="50" s="1"/>
  <c r="A88" i="50" s="1"/>
  <c r="A89" i="50" s="1"/>
  <c r="A90" i="50" s="1"/>
  <c r="H62" i="50"/>
  <c r="S62" i="50" s="1"/>
  <c r="B62" i="50"/>
  <c r="B498" i="1" s="1"/>
  <c r="AX57" i="50"/>
  <c r="BB57" i="50" s="1"/>
  <c r="AW57" i="50"/>
  <c r="BA57" i="50" s="1"/>
  <c r="C408" i="27"/>
  <c r="A57" i="50"/>
  <c r="AX56" i="50"/>
  <c r="BB56" i="50" s="1"/>
  <c r="AW56" i="50"/>
  <c r="BA56" i="50" s="1"/>
  <c r="C376" i="27"/>
  <c r="A56" i="50"/>
  <c r="AX55" i="50"/>
  <c r="BB55" i="50" s="1"/>
  <c r="AW55" i="50"/>
  <c r="BA55" i="50" s="1"/>
  <c r="C375" i="27"/>
  <c r="A55" i="50"/>
  <c r="AX54" i="50"/>
  <c r="BB54" i="50" s="1"/>
  <c r="AW54" i="50"/>
  <c r="BA54" i="50" s="1"/>
  <c r="C374" i="27"/>
  <c r="A54" i="50"/>
  <c r="AW53" i="50"/>
  <c r="BA53" i="50" s="1"/>
  <c r="C404" i="27"/>
  <c r="A53" i="50"/>
  <c r="AX52" i="50"/>
  <c r="BB52" i="50" s="1"/>
  <c r="AW52" i="50"/>
  <c r="BA52" i="50" s="1"/>
  <c r="C372" i="27"/>
  <c r="A52" i="50"/>
  <c r="AX51" i="50"/>
  <c r="BB51" i="50" s="1"/>
  <c r="AW51" i="50"/>
  <c r="BA51" i="50" s="1"/>
  <c r="C371" i="27"/>
  <c r="A51" i="50"/>
  <c r="AX50" i="50"/>
  <c r="BB50" i="50" s="1"/>
  <c r="AW50" i="50"/>
  <c r="BA50" i="50" s="1"/>
  <c r="C401" i="27"/>
  <c r="A50" i="50"/>
  <c r="AW49" i="50"/>
  <c r="BA49" i="50" s="1"/>
  <c r="C400" i="27"/>
  <c r="AW48" i="50"/>
  <c r="BA48" i="50" s="1"/>
  <c r="C399" i="27"/>
  <c r="AW47" i="50"/>
  <c r="BA47" i="50" s="1"/>
  <c r="C367" i="27"/>
  <c r="A47" i="50"/>
  <c r="AW46" i="50"/>
  <c r="BA46" i="50" s="1"/>
  <c r="C366" i="27"/>
  <c r="A46" i="50"/>
  <c r="AW45" i="50"/>
  <c r="BA45" i="50" s="1"/>
  <c r="C396" i="27"/>
  <c r="A45" i="50"/>
  <c r="AW44" i="50"/>
  <c r="BA44" i="50" s="1"/>
  <c r="C395" i="27"/>
  <c r="AW43" i="50"/>
  <c r="BA43" i="50" s="1"/>
  <c r="C363" i="27"/>
  <c r="A43" i="50"/>
  <c r="C393" i="27"/>
  <c r="A42" i="50"/>
  <c r="C392" i="27"/>
  <c r="A41" i="50"/>
  <c r="C391" i="27"/>
  <c r="A40" i="50"/>
  <c r="C359" i="27"/>
  <c r="A39" i="50"/>
  <c r="C389" i="27"/>
  <c r="A38" i="50"/>
  <c r="C388" i="27"/>
  <c r="A37" i="50"/>
  <c r="C387" i="27"/>
  <c r="A36" i="50"/>
  <c r="C355" i="27"/>
  <c r="A35" i="50"/>
  <c r="C385" i="27"/>
  <c r="A34" i="50"/>
  <c r="C384" i="27"/>
  <c r="A33" i="50"/>
  <c r="C383" i="27"/>
  <c r="A32" i="50"/>
  <c r="C351" i="27"/>
  <c r="A31" i="50"/>
  <c r="C381" i="27"/>
  <c r="A30" i="50"/>
  <c r="C380" i="27"/>
  <c r="A29" i="50"/>
  <c r="AM48" i="50"/>
  <c r="AL48" i="50"/>
  <c r="AK54" i="50"/>
  <c r="AJ53" i="50"/>
  <c r="AI45" i="50"/>
  <c r="AH32" i="50"/>
  <c r="AG43" i="50"/>
  <c r="AE57" i="50"/>
  <c r="AD45" i="50"/>
  <c r="AC55" i="50"/>
  <c r="AB49" i="50"/>
  <c r="N87" i="50" l="1"/>
  <c r="I86" i="50"/>
  <c r="T89" i="50"/>
  <c r="W86" i="50"/>
  <c r="T87" i="50"/>
  <c r="I88" i="50"/>
  <c r="J89" i="50"/>
  <c r="X89" i="50"/>
  <c r="P90" i="50"/>
  <c r="C93" i="32"/>
  <c r="Y87" i="50"/>
  <c r="W88" i="50"/>
  <c r="N89" i="50"/>
  <c r="Y89" i="50"/>
  <c r="R89" i="50"/>
  <c r="P87" i="50"/>
  <c r="U87" i="50"/>
  <c r="Z87" i="50"/>
  <c r="C92" i="32"/>
  <c r="I87" i="50"/>
  <c r="Q87" i="50"/>
  <c r="V87" i="50"/>
  <c r="J87" i="50"/>
  <c r="R87" i="50"/>
  <c r="X87" i="50"/>
  <c r="O88" i="50"/>
  <c r="X88" i="50"/>
  <c r="P88" i="50"/>
  <c r="T90" i="50"/>
  <c r="I90" i="50"/>
  <c r="W90" i="50"/>
  <c r="O90" i="50"/>
  <c r="X90" i="50"/>
  <c r="P89" i="50"/>
  <c r="U89" i="50"/>
  <c r="Z89" i="50"/>
  <c r="I89" i="50"/>
  <c r="Q89" i="50"/>
  <c r="V89" i="50"/>
  <c r="C94" i="32"/>
  <c r="O86" i="50"/>
  <c r="X86" i="50"/>
  <c r="C91" i="32"/>
  <c r="P86" i="50"/>
  <c r="I85" i="50"/>
  <c r="Q85" i="50"/>
  <c r="V85" i="50"/>
  <c r="O84" i="50"/>
  <c r="J85" i="50"/>
  <c r="R85" i="50"/>
  <c r="X85" i="50"/>
  <c r="C90" i="32"/>
  <c r="Q83" i="50"/>
  <c r="N85" i="50"/>
  <c r="T85" i="50"/>
  <c r="Y85" i="50"/>
  <c r="P85" i="50"/>
  <c r="U85" i="50"/>
  <c r="Z85" i="50"/>
  <c r="X84" i="50"/>
  <c r="V83" i="50"/>
  <c r="I83" i="50"/>
  <c r="P84" i="50"/>
  <c r="C89" i="32"/>
  <c r="T84" i="50"/>
  <c r="I84" i="50"/>
  <c r="N73" i="50"/>
  <c r="AX36" i="50"/>
  <c r="BB36" i="50" s="1"/>
  <c r="I69" i="50"/>
  <c r="C377" i="27"/>
  <c r="C406" i="27"/>
  <c r="C402" i="27"/>
  <c r="C405" i="27"/>
  <c r="C373" i="27"/>
  <c r="C369" i="27"/>
  <c r="R69" i="50"/>
  <c r="AW42" i="50"/>
  <c r="BA42" i="50" s="1"/>
  <c r="Z72" i="50"/>
  <c r="Y69" i="50"/>
  <c r="C358" i="27"/>
  <c r="C354" i="27"/>
  <c r="C370" i="27"/>
  <c r="C398" i="27"/>
  <c r="J69" i="50"/>
  <c r="T73" i="50"/>
  <c r="S80" i="50"/>
  <c r="N81" i="50"/>
  <c r="J83" i="50"/>
  <c r="R83" i="50"/>
  <c r="X83" i="50"/>
  <c r="C85" i="32"/>
  <c r="C88" i="32"/>
  <c r="V73" i="50"/>
  <c r="Z80" i="50"/>
  <c r="T81" i="50"/>
  <c r="N83" i="50"/>
  <c r="T83" i="50"/>
  <c r="Y83" i="50"/>
  <c r="T69" i="50"/>
  <c r="I72" i="50"/>
  <c r="J73" i="50"/>
  <c r="Y81" i="50"/>
  <c r="P83" i="50"/>
  <c r="U83" i="50"/>
  <c r="Z83" i="50"/>
  <c r="W82" i="50"/>
  <c r="N82" i="50"/>
  <c r="O82" i="50"/>
  <c r="T82" i="50"/>
  <c r="P81" i="50"/>
  <c r="Z81" i="50"/>
  <c r="I81" i="50"/>
  <c r="Q81" i="50"/>
  <c r="V81" i="50"/>
  <c r="C86" i="32"/>
  <c r="U81" i="50"/>
  <c r="J81" i="50"/>
  <c r="R81" i="50"/>
  <c r="X81" i="50"/>
  <c r="N69" i="50"/>
  <c r="V69" i="50"/>
  <c r="Q69" i="50"/>
  <c r="X69" i="50"/>
  <c r="C74" i="32"/>
  <c r="X63" i="50"/>
  <c r="I80" i="50"/>
  <c r="O78" i="50"/>
  <c r="N80" i="50"/>
  <c r="T80" i="50"/>
  <c r="O80" i="50"/>
  <c r="W80" i="50"/>
  <c r="R80" i="50"/>
  <c r="P79" i="50"/>
  <c r="U79" i="50"/>
  <c r="C84" i="32"/>
  <c r="I79" i="50"/>
  <c r="V79" i="50"/>
  <c r="J79" i="50"/>
  <c r="R79" i="50"/>
  <c r="X79" i="50"/>
  <c r="Z79" i="50"/>
  <c r="Q79" i="50"/>
  <c r="N79" i="50"/>
  <c r="T79" i="50"/>
  <c r="Y79" i="50"/>
  <c r="T78" i="50"/>
  <c r="W78" i="50"/>
  <c r="N78" i="50"/>
  <c r="R82" i="50"/>
  <c r="X82" i="50"/>
  <c r="C87" i="32"/>
  <c r="I82" i="50"/>
  <c r="S82" i="50"/>
  <c r="R78" i="50"/>
  <c r="X78" i="50"/>
  <c r="I78" i="50"/>
  <c r="S78" i="50"/>
  <c r="Z78" i="50"/>
  <c r="O76" i="50"/>
  <c r="W76" i="50"/>
  <c r="J75" i="50"/>
  <c r="X75" i="50"/>
  <c r="R75" i="50"/>
  <c r="I75" i="50"/>
  <c r="V75" i="50"/>
  <c r="Q75" i="50"/>
  <c r="Q73" i="50"/>
  <c r="X73" i="50"/>
  <c r="I73" i="50"/>
  <c r="R73" i="50"/>
  <c r="Y73" i="50"/>
  <c r="C78" i="32"/>
  <c r="N72" i="50"/>
  <c r="S72" i="50"/>
  <c r="T72" i="50"/>
  <c r="Q71" i="50"/>
  <c r="Y71" i="50"/>
  <c r="R71" i="50"/>
  <c r="J71" i="50"/>
  <c r="T71" i="50"/>
  <c r="I71" i="50"/>
  <c r="Z71" i="50"/>
  <c r="N71" i="50"/>
  <c r="V71" i="50"/>
  <c r="R67" i="50"/>
  <c r="J67" i="50"/>
  <c r="X67" i="50"/>
  <c r="C70" i="32"/>
  <c r="R65" i="50"/>
  <c r="J65" i="50"/>
  <c r="X65" i="50"/>
  <c r="J63" i="50"/>
  <c r="R63" i="50"/>
  <c r="AL33" i="50"/>
  <c r="AH38" i="50"/>
  <c r="AD52" i="50"/>
  <c r="AH30" i="50"/>
  <c r="AC32" i="50"/>
  <c r="AH45" i="50"/>
  <c r="AK32" i="50"/>
  <c r="AD33" i="50"/>
  <c r="C365" i="27"/>
  <c r="C394" i="27"/>
  <c r="C368" i="27"/>
  <c r="C397" i="27"/>
  <c r="C362" i="27"/>
  <c r="C386" i="27"/>
  <c r="C349" i="27"/>
  <c r="AM29" i="50"/>
  <c r="AE46" i="50"/>
  <c r="AH29" i="50"/>
  <c r="AI30" i="50"/>
  <c r="AD32" i="50"/>
  <c r="AL32" i="50"/>
  <c r="AE33" i="50"/>
  <c r="AM33" i="50"/>
  <c r="AI35" i="50"/>
  <c r="AI38" i="50"/>
  <c r="AL41" i="50"/>
  <c r="AD44" i="50"/>
  <c r="AK46" i="50"/>
  <c r="AH47" i="50"/>
  <c r="AL51" i="50"/>
  <c r="AM52" i="50"/>
  <c r="AK55" i="50"/>
  <c r="AE29" i="50"/>
  <c r="AM36" i="50"/>
  <c r="AE53" i="50"/>
  <c r="AI29" i="50"/>
  <c r="AD30" i="50"/>
  <c r="AL30" i="50"/>
  <c r="AG32" i="50"/>
  <c r="AH33" i="50"/>
  <c r="AE34" i="50"/>
  <c r="AD37" i="50"/>
  <c r="AI39" i="50"/>
  <c r="AD40" i="50"/>
  <c r="AG42" i="50"/>
  <c r="AK44" i="50"/>
  <c r="AE48" i="50"/>
  <c r="AK50" i="50"/>
  <c r="AL55" i="50"/>
  <c r="AL56" i="50"/>
  <c r="AM57" i="50"/>
  <c r="AE35" i="50"/>
  <c r="AE41" i="50"/>
  <c r="AD29" i="50"/>
  <c r="AL29" i="50"/>
  <c r="AE30" i="50"/>
  <c r="AM30" i="50"/>
  <c r="AI33" i="50"/>
  <c r="AI34" i="50"/>
  <c r="AK36" i="50"/>
  <c r="AL37" i="50"/>
  <c r="AM40" i="50"/>
  <c r="AI42" i="50"/>
  <c r="AM49" i="50"/>
  <c r="AC54" i="50"/>
  <c r="AM56" i="50"/>
  <c r="C350" i="27"/>
  <c r="C390" i="27"/>
  <c r="C382" i="27"/>
  <c r="C361" i="27"/>
  <c r="C357" i="27"/>
  <c r="C353" i="27"/>
  <c r="C364" i="27"/>
  <c r="C360" i="27"/>
  <c r="C356" i="27"/>
  <c r="C352" i="27"/>
  <c r="X74" i="50"/>
  <c r="U77" i="50"/>
  <c r="N63" i="50"/>
  <c r="T63" i="50"/>
  <c r="Y63" i="50"/>
  <c r="N65" i="50"/>
  <c r="T65" i="50"/>
  <c r="Y65" i="50"/>
  <c r="N67" i="50"/>
  <c r="T67" i="50"/>
  <c r="Y67" i="50"/>
  <c r="I74" i="50"/>
  <c r="S74" i="50"/>
  <c r="Z74" i="50"/>
  <c r="R76" i="50"/>
  <c r="X76" i="50"/>
  <c r="I77" i="50"/>
  <c r="Q77" i="50"/>
  <c r="V77" i="50"/>
  <c r="C81" i="32"/>
  <c r="C77" i="32"/>
  <c r="C73" i="32"/>
  <c r="R74" i="50"/>
  <c r="P77" i="50"/>
  <c r="P63" i="50"/>
  <c r="U63" i="50"/>
  <c r="Z63" i="50"/>
  <c r="P65" i="50"/>
  <c r="U65" i="50"/>
  <c r="Z65" i="50"/>
  <c r="P67" i="50"/>
  <c r="U67" i="50"/>
  <c r="Z67" i="50"/>
  <c r="P69" i="50"/>
  <c r="U69" i="50"/>
  <c r="Z69" i="50"/>
  <c r="P71" i="50"/>
  <c r="U71" i="50"/>
  <c r="O72" i="50"/>
  <c r="W72" i="50"/>
  <c r="P73" i="50"/>
  <c r="U73" i="50"/>
  <c r="Z73" i="50"/>
  <c r="N74" i="50"/>
  <c r="T74" i="50"/>
  <c r="N75" i="50"/>
  <c r="T75" i="50"/>
  <c r="Y75" i="50"/>
  <c r="I76" i="50"/>
  <c r="S76" i="50"/>
  <c r="Z76" i="50"/>
  <c r="J77" i="50"/>
  <c r="R77" i="50"/>
  <c r="X77" i="50"/>
  <c r="C80" i="32"/>
  <c r="C76" i="32"/>
  <c r="C72" i="32"/>
  <c r="C68" i="32"/>
  <c r="Z77" i="50"/>
  <c r="C82" i="32"/>
  <c r="I63" i="50"/>
  <c r="Q63" i="50"/>
  <c r="V63" i="50"/>
  <c r="I65" i="50"/>
  <c r="Q65" i="50"/>
  <c r="V65" i="50"/>
  <c r="I67" i="50"/>
  <c r="Q67" i="50"/>
  <c r="V67" i="50"/>
  <c r="R72" i="50"/>
  <c r="O74" i="50"/>
  <c r="W74" i="50"/>
  <c r="P75" i="50"/>
  <c r="U75" i="50"/>
  <c r="Z75" i="50"/>
  <c r="N76" i="50"/>
  <c r="N77" i="50"/>
  <c r="T77" i="50"/>
  <c r="Y77" i="50"/>
  <c r="C67" i="32"/>
  <c r="C71" i="32"/>
  <c r="AF55" i="50"/>
  <c r="AF51" i="50"/>
  <c r="AF56" i="50"/>
  <c r="AF52" i="50"/>
  <c r="AF48" i="50"/>
  <c r="AF44" i="50"/>
  <c r="AF45" i="50"/>
  <c r="AF42" i="50"/>
  <c r="AF40" i="50"/>
  <c r="AF37" i="50"/>
  <c r="AF57" i="50"/>
  <c r="AF54" i="50"/>
  <c r="AF53" i="50"/>
  <c r="AF50" i="50"/>
  <c r="AF49" i="50"/>
  <c r="AF47" i="50"/>
  <c r="AF38" i="50"/>
  <c r="AN55" i="50"/>
  <c r="AN51" i="50"/>
  <c r="AN56" i="50"/>
  <c r="AN52" i="50"/>
  <c r="AN48" i="50"/>
  <c r="AN44" i="50"/>
  <c r="AN46" i="50"/>
  <c r="AN41" i="50"/>
  <c r="AN37" i="50"/>
  <c r="AN57" i="50"/>
  <c r="AN54" i="50"/>
  <c r="AN53" i="50"/>
  <c r="AN50" i="50"/>
  <c r="AN49" i="50"/>
  <c r="AN43" i="50"/>
  <c r="AN38" i="50"/>
  <c r="AN34" i="50"/>
  <c r="AB31" i="50"/>
  <c r="AF31" i="50"/>
  <c r="AJ31" i="50"/>
  <c r="AN31" i="50"/>
  <c r="AF36" i="50"/>
  <c r="AB53" i="50"/>
  <c r="Z64" i="50"/>
  <c r="V64" i="50"/>
  <c r="R64" i="50"/>
  <c r="N64" i="50"/>
  <c r="Y64" i="50"/>
  <c r="U64" i="50"/>
  <c r="Q64" i="50"/>
  <c r="J64" i="50"/>
  <c r="X64" i="50"/>
  <c r="P64" i="50"/>
  <c r="W64" i="50"/>
  <c r="O64" i="50"/>
  <c r="Z70" i="50"/>
  <c r="V70" i="50"/>
  <c r="R70" i="50"/>
  <c r="N70" i="50"/>
  <c r="Y70" i="50"/>
  <c r="U70" i="50"/>
  <c r="Q70" i="50"/>
  <c r="J70" i="50"/>
  <c r="X70" i="50"/>
  <c r="P70" i="50"/>
  <c r="W70" i="50"/>
  <c r="O70" i="50"/>
  <c r="AG56" i="50"/>
  <c r="AG52" i="50"/>
  <c r="AG48" i="50"/>
  <c r="AG57" i="50"/>
  <c r="AG53" i="50"/>
  <c r="AG49" i="50"/>
  <c r="AG45" i="50"/>
  <c r="AG41" i="50"/>
  <c r="AG40" i="50"/>
  <c r="AG54" i="50"/>
  <c r="AG50" i="50"/>
  <c r="AG47" i="50"/>
  <c r="AG38" i="50"/>
  <c r="AG55" i="50"/>
  <c r="AG51" i="50"/>
  <c r="AG46" i="50"/>
  <c r="AG44" i="50"/>
  <c r="AG39" i="50"/>
  <c r="AG35" i="50"/>
  <c r="AF30" i="50"/>
  <c r="AG31" i="50"/>
  <c r="AK31" i="50"/>
  <c r="AF34" i="50"/>
  <c r="AJ35" i="50"/>
  <c r="AB36" i="50"/>
  <c r="AJ47" i="50"/>
  <c r="AC51" i="50"/>
  <c r="AB57" i="50"/>
  <c r="I62" i="50"/>
  <c r="I66" i="50"/>
  <c r="I68" i="50"/>
  <c r="I70" i="50"/>
  <c r="AD57" i="50"/>
  <c r="AD53" i="50"/>
  <c r="AD49" i="50"/>
  <c r="AD54" i="50"/>
  <c r="AD50" i="50"/>
  <c r="AD46" i="50"/>
  <c r="AD42" i="50"/>
  <c r="AD43" i="50"/>
  <c r="AD41" i="50"/>
  <c r="AD39" i="50"/>
  <c r="AD36" i="50"/>
  <c r="AH57" i="50"/>
  <c r="AH53" i="50"/>
  <c r="AH49" i="50"/>
  <c r="AH54" i="50"/>
  <c r="AH50" i="50"/>
  <c r="AH46" i="50"/>
  <c r="AH42" i="50"/>
  <c r="AH55" i="50"/>
  <c r="AH51" i="50"/>
  <c r="AH44" i="50"/>
  <c r="AH39" i="50"/>
  <c r="AH56" i="50"/>
  <c r="AH52" i="50"/>
  <c r="AH48" i="50"/>
  <c r="AH43" i="50"/>
  <c r="AH41" i="50"/>
  <c r="AH36" i="50"/>
  <c r="AL57" i="50"/>
  <c r="AL53" i="50"/>
  <c r="AL49" i="50"/>
  <c r="AL54" i="50"/>
  <c r="AL50" i="50"/>
  <c r="AL46" i="50"/>
  <c r="AL42" i="50"/>
  <c r="AL47" i="50"/>
  <c r="AL45" i="50"/>
  <c r="AL40" i="50"/>
  <c r="AL39" i="50"/>
  <c r="AL44" i="50"/>
  <c r="AL36" i="50"/>
  <c r="AB29" i="50"/>
  <c r="AF29" i="50"/>
  <c r="AJ29" i="50"/>
  <c r="AN29" i="50"/>
  <c r="AC30" i="50"/>
  <c r="AG30" i="50"/>
  <c r="AK30" i="50"/>
  <c r="AD31" i="50"/>
  <c r="AH31" i="50"/>
  <c r="AL31" i="50"/>
  <c r="AE32" i="50"/>
  <c r="AI32" i="50"/>
  <c r="AM32" i="50"/>
  <c r="AB33" i="50"/>
  <c r="AF33" i="50"/>
  <c r="AJ33" i="50"/>
  <c r="AN33" i="50"/>
  <c r="AC34" i="50"/>
  <c r="AG34" i="50"/>
  <c r="AL34" i="50"/>
  <c r="AF35" i="50"/>
  <c r="AL35" i="50"/>
  <c r="AC36" i="50"/>
  <c r="AI36" i="50"/>
  <c r="AN36" i="50"/>
  <c r="AB37" i="50"/>
  <c r="AH37" i="50"/>
  <c r="AD38" i="50"/>
  <c r="AL38" i="50"/>
  <c r="AE39" i="50"/>
  <c r="AM39" i="50"/>
  <c r="AH40" i="50"/>
  <c r="AF41" i="50"/>
  <c r="AB42" i="50"/>
  <c r="AM42" i="50"/>
  <c r="AB43" i="50"/>
  <c r="AL43" i="50"/>
  <c r="AE44" i="50"/>
  <c r="AF46" i="50"/>
  <c r="AC47" i="50"/>
  <c r="AN47" i="50"/>
  <c r="AC50" i="50"/>
  <c r="AD51" i="50"/>
  <c r="AE52" i="50"/>
  <c r="AD56" i="50"/>
  <c r="S64" i="50"/>
  <c r="S70" i="50"/>
  <c r="AB55" i="50"/>
  <c r="AB51" i="50"/>
  <c r="AB56" i="50"/>
  <c r="AB52" i="50"/>
  <c r="AB48" i="50"/>
  <c r="AB44" i="50"/>
  <c r="AB47" i="50"/>
  <c r="AB46" i="50"/>
  <c r="AB41" i="50"/>
  <c r="AB38" i="50"/>
  <c r="AJ55" i="50"/>
  <c r="AJ51" i="50"/>
  <c r="AJ56" i="50"/>
  <c r="AJ52" i="50"/>
  <c r="AJ48" i="50"/>
  <c r="AJ44" i="50"/>
  <c r="AJ43" i="50"/>
  <c r="AJ37" i="50"/>
  <c r="AJ45" i="50"/>
  <c r="AJ42" i="50"/>
  <c r="AJ40" i="50"/>
  <c r="AJ38" i="50"/>
  <c r="AJ34" i="50"/>
  <c r="AN35" i="50"/>
  <c r="AB40" i="50"/>
  <c r="AN45" i="50"/>
  <c r="AJ49" i="50"/>
  <c r="Z62" i="50"/>
  <c r="V62" i="50"/>
  <c r="R62" i="50"/>
  <c r="N62" i="50"/>
  <c r="Y62" i="50"/>
  <c r="U62" i="50"/>
  <c r="Q62" i="50"/>
  <c r="J62" i="50"/>
  <c r="X62" i="50"/>
  <c r="P62" i="50"/>
  <c r="W62" i="50"/>
  <c r="O62" i="50"/>
  <c r="Z66" i="50"/>
  <c r="V66" i="50"/>
  <c r="R66" i="50"/>
  <c r="N66" i="50"/>
  <c r="Y66" i="50"/>
  <c r="U66" i="50"/>
  <c r="Q66" i="50"/>
  <c r="J66" i="50"/>
  <c r="X66" i="50"/>
  <c r="P66" i="50"/>
  <c r="W66" i="50"/>
  <c r="O66" i="50"/>
  <c r="Z68" i="50"/>
  <c r="V68" i="50"/>
  <c r="R68" i="50"/>
  <c r="N68" i="50"/>
  <c r="Y68" i="50"/>
  <c r="U68" i="50"/>
  <c r="Q68" i="50"/>
  <c r="J68" i="50"/>
  <c r="X68" i="50"/>
  <c r="P68" i="50"/>
  <c r="W68" i="50"/>
  <c r="O68" i="50"/>
  <c r="AC56" i="50"/>
  <c r="AC52" i="50"/>
  <c r="AC48" i="50"/>
  <c r="AC57" i="50"/>
  <c r="AC53" i="50"/>
  <c r="AC49" i="50"/>
  <c r="AC45" i="50"/>
  <c r="AC41" i="50"/>
  <c r="AC40" i="50"/>
  <c r="AC46" i="50"/>
  <c r="AC44" i="50"/>
  <c r="AC38" i="50"/>
  <c r="AC43" i="50"/>
  <c r="AC39" i="50"/>
  <c r="AC35" i="50"/>
  <c r="AK56" i="50"/>
  <c r="AK52" i="50"/>
  <c r="AK48" i="50"/>
  <c r="AK57" i="50"/>
  <c r="AK53" i="50"/>
  <c r="AK49" i="50"/>
  <c r="AK45" i="50"/>
  <c r="AK41" i="50"/>
  <c r="AK40" i="50"/>
  <c r="AK42" i="50"/>
  <c r="AK38" i="50"/>
  <c r="AK47" i="50"/>
  <c r="AK39" i="50"/>
  <c r="AK35" i="50"/>
  <c r="AB30" i="50"/>
  <c r="AJ30" i="50"/>
  <c r="AN30" i="50"/>
  <c r="AC31" i="50"/>
  <c r="AB34" i="50"/>
  <c r="AK34" i="50"/>
  <c r="AG36" i="50"/>
  <c r="AG37" i="50"/>
  <c r="AB39" i="50"/>
  <c r="AJ39" i="50"/>
  <c r="AN40" i="50"/>
  <c r="AK43" i="50"/>
  <c r="AB50" i="50"/>
  <c r="AJ54" i="50"/>
  <c r="I64" i="50"/>
  <c r="AE54" i="50"/>
  <c r="AE50" i="50"/>
  <c r="AE55" i="50"/>
  <c r="AE51" i="50"/>
  <c r="AE47" i="50"/>
  <c r="AE43" i="50"/>
  <c r="AE45" i="50"/>
  <c r="AE42" i="50"/>
  <c r="AE40" i="50"/>
  <c r="AE37" i="50"/>
  <c r="AI54" i="50"/>
  <c r="AI50" i="50"/>
  <c r="AI55" i="50"/>
  <c r="AI51" i="50"/>
  <c r="AI47" i="50"/>
  <c r="AI43" i="50"/>
  <c r="AI57" i="50"/>
  <c r="AI56" i="50"/>
  <c r="AI53" i="50"/>
  <c r="AI52" i="50"/>
  <c r="AI49" i="50"/>
  <c r="AI48" i="50"/>
  <c r="AI46" i="50"/>
  <c r="AI41" i="50"/>
  <c r="AI37" i="50"/>
  <c r="AM54" i="50"/>
  <c r="AM50" i="50"/>
  <c r="AM55" i="50"/>
  <c r="AM51" i="50"/>
  <c r="AM47" i="50"/>
  <c r="AM43" i="50"/>
  <c r="AM44" i="50"/>
  <c r="AM46" i="50"/>
  <c r="AM41" i="50"/>
  <c r="AM37" i="50"/>
  <c r="AC29" i="50"/>
  <c r="AG29" i="50"/>
  <c r="AK29" i="50"/>
  <c r="AE31" i="50"/>
  <c r="AI31" i="50"/>
  <c r="AM31" i="50"/>
  <c r="AB32" i="50"/>
  <c r="AF32" i="50"/>
  <c r="AJ32" i="50"/>
  <c r="AN32" i="50"/>
  <c r="AC33" i="50"/>
  <c r="AG33" i="50"/>
  <c r="AK33" i="50"/>
  <c r="AD34" i="50"/>
  <c r="AH34" i="50"/>
  <c r="AM34" i="50"/>
  <c r="AB35" i="50"/>
  <c r="AH35" i="50"/>
  <c r="AM35" i="50"/>
  <c r="AE36" i="50"/>
  <c r="AJ36" i="50"/>
  <c r="AC37" i="50"/>
  <c r="AK37" i="50"/>
  <c r="AE38" i="50"/>
  <c r="AM38" i="50"/>
  <c r="AF39" i="50"/>
  <c r="AN39" i="50"/>
  <c r="AI40" i="50"/>
  <c r="AJ41" i="50"/>
  <c r="AC42" i="50"/>
  <c r="AN42" i="50"/>
  <c r="AF43" i="50"/>
  <c r="AI44" i="50"/>
  <c r="AB45" i="50"/>
  <c r="AM45" i="50"/>
  <c r="AJ46" i="50"/>
  <c r="AD47" i="50"/>
  <c r="AD48" i="50"/>
  <c r="AE49" i="50"/>
  <c r="AJ50" i="50"/>
  <c r="AK51" i="50"/>
  <c r="AL52" i="50"/>
  <c r="AM53" i="50"/>
  <c r="AB54" i="50"/>
  <c r="AD55" i="50"/>
  <c r="AE56" i="50"/>
  <c r="AJ57" i="50"/>
  <c r="T62" i="50"/>
  <c r="T64" i="50"/>
  <c r="T66" i="50"/>
  <c r="T68" i="50"/>
  <c r="T70" i="50"/>
  <c r="O63" i="50"/>
  <c r="S63" i="50"/>
  <c r="O65" i="50"/>
  <c r="S65" i="50"/>
  <c r="O67" i="50"/>
  <c r="S67" i="50"/>
  <c r="O69" i="50"/>
  <c r="S69" i="50"/>
  <c r="O71" i="50"/>
  <c r="S71" i="50"/>
  <c r="X71" i="50"/>
  <c r="Y72" i="50"/>
  <c r="U72" i="50"/>
  <c r="Q72" i="50"/>
  <c r="J72" i="50"/>
  <c r="P72" i="50"/>
  <c r="V72" i="50"/>
  <c r="Y74" i="50"/>
  <c r="U74" i="50"/>
  <c r="Q74" i="50"/>
  <c r="J74" i="50"/>
  <c r="P74" i="50"/>
  <c r="V74" i="50"/>
  <c r="Y76" i="50"/>
  <c r="U76" i="50"/>
  <c r="Q76" i="50"/>
  <c r="J76" i="50"/>
  <c r="P76" i="50"/>
  <c r="V76" i="50"/>
  <c r="Y78" i="50"/>
  <c r="U78" i="50"/>
  <c r="Q78" i="50"/>
  <c r="J78" i="50"/>
  <c r="P78" i="50"/>
  <c r="V78" i="50"/>
  <c r="Y80" i="50"/>
  <c r="U80" i="50"/>
  <c r="Q80" i="50"/>
  <c r="J80" i="50"/>
  <c r="P80" i="50"/>
  <c r="V80" i="50"/>
  <c r="Y82" i="50"/>
  <c r="U82" i="50"/>
  <c r="Q82" i="50"/>
  <c r="J82" i="50"/>
  <c r="P82" i="50"/>
  <c r="V82" i="50"/>
  <c r="Z84" i="50"/>
  <c r="V84" i="50"/>
  <c r="R84" i="50"/>
  <c r="N84" i="50"/>
  <c r="Y84" i="50"/>
  <c r="U84" i="50"/>
  <c r="Q84" i="50"/>
  <c r="J84" i="50"/>
  <c r="S84" i="50"/>
  <c r="Z86" i="50"/>
  <c r="V86" i="50"/>
  <c r="R86" i="50"/>
  <c r="N86" i="50"/>
  <c r="Y86" i="50"/>
  <c r="U86" i="50"/>
  <c r="Q86" i="50"/>
  <c r="J86" i="50"/>
  <c r="S86" i="50"/>
  <c r="Z88" i="50"/>
  <c r="V88" i="50"/>
  <c r="R88" i="50"/>
  <c r="N88" i="50"/>
  <c r="Y88" i="50"/>
  <c r="U88" i="50"/>
  <c r="Q88" i="50"/>
  <c r="J88" i="50"/>
  <c r="S88" i="50"/>
  <c r="Z90" i="50"/>
  <c r="V90" i="50"/>
  <c r="R90" i="50"/>
  <c r="N90" i="50"/>
  <c r="Y90" i="50"/>
  <c r="U90" i="50"/>
  <c r="Q90" i="50"/>
  <c r="J90" i="50"/>
  <c r="S90" i="50"/>
  <c r="O73" i="50"/>
  <c r="S73" i="50"/>
  <c r="O75" i="50"/>
  <c r="S75" i="50"/>
  <c r="O77" i="50"/>
  <c r="S77" i="50"/>
  <c r="O79" i="50"/>
  <c r="S79" i="50"/>
  <c r="O81" i="50"/>
  <c r="S81" i="50"/>
  <c r="O83" i="50"/>
  <c r="S83" i="50"/>
  <c r="O85" i="50"/>
  <c r="S85" i="50"/>
  <c r="O87" i="50"/>
  <c r="S87" i="50"/>
  <c r="O89" i="50"/>
  <c r="S89" i="50"/>
  <c r="AP29" i="50" l="1"/>
  <c r="F380" i="27" s="1"/>
  <c r="AP49" i="50"/>
  <c r="F400" i="27" s="1"/>
  <c r="AP56" i="50"/>
  <c r="F407" i="27" s="1"/>
  <c r="AP40" i="50"/>
  <c r="F391" i="27" s="1"/>
  <c r="S91" i="50"/>
  <c r="C100" i="50" s="1"/>
  <c r="E627" i="1" s="1"/>
  <c r="T91" i="50"/>
  <c r="C101" i="50" s="1"/>
  <c r="E628" i="1" s="1"/>
  <c r="W91" i="50"/>
  <c r="C104" i="50" s="1"/>
  <c r="E631" i="1" s="1"/>
  <c r="R91" i="50"/>
  <c r="C99" i="50" s="1"/>
  <c r="E626" i="1" s="1"/>
  <c r="AP43" i="50"/>
  <c r="F394" i="27" s="1"/>
  <c r="AP31" i="50"/>
  <c r="F382" i="27" s="1"/>
  <c r="AP39" i="50"/>
  <c r="F390" i="27" s="1"/>
  <c r="AP30" i="50"/>
  <c r="F381" i="27" s="1"/>
  <c r="U91" i="50"/>
  <c r="C102" i="50" s="1"/>
  <c r="E629" i="1" s="1"/>
  <c r="V91" i="50"/>
  <c r="C103" i="50" s="1"/>
  <c r="E630" i="1" s="1"/>
  <c r="AP38" i="50"/>
  <c r="F389" i="27" s="1"/>
  <c r="AP44" i="50"/>
  <c r="F395" i="27" s="1"/>
  <c r="AP51" i="50"/>
  <c r="F402" i="27" s="1"/>
  <c r="AP45" i="50"/>
  <c r="F396" i="27" s="1"/>
  <c r="X91" i="50"/>
  <c r="C105" i="50" s="1"/>
  <c r="E632" i="1" s="1"/>
  <c r="Y91" i="50"/>
  <c r="C106" i="50" s="1"/>
  <c r="E633" i="1" s="1"/>
  <c r="Z91" i="50"/>
  <c r="C107" i="50" s="1"/>
  <c r="E634" i="1" s="1"/>
  <c r="AP41" i="50"/>
  <c r="F392" i="27" s="1"/>
  <c r="AP48" i="50"/>
  <c r="F399" i="27" s="1"/>
  <c r="AP55" i="50"/>
  <c r="F406" i="27" s="1"/>
  <c r="AP33" i="50"/>
  <c r="F384" i="27" s="1"/>
  <c r="I91" i="50"/>
  <c r="Q91" i="50"/>
  <c r="AP47" i="50"/>
  <c r="F398" i="27" s="1"/>
  <c r="AP36" i="50"/>
  <c r="F387" i="27" s="1"/>
  <c r="AP54" i="50"/>
  <c r="F405" i="27" s="1"/>
  <c r="AP50" i="50"/>
  <c r="F401" i="27" s="1"/>
  <c r="AP34" i="50"/>
  <c r="F385" i="27" s="1"/>
  <c r="P91" i="50"/>
  <c r="C97" i="50" s="1"/>
  <c r="E624" i="1" s="1"/>
  <c r="AP35" i="50"/>
  <c r="F386" i="27" s="1"/>
  <c r="AP32" i="50"/>
  <c r="F383" i="27" s="1"/>
  <c r="O91" i="50"/>
  <c r="C96" i="50" s="1"/>
  <c r="E623" i="1" s="1"/>
  <c r="J91" i="50"/>
  <c r="E1280" i="1" s="1"/>
  <c r="N91" i="50"/>
  <c r="AP46" i="50"/>
  <c r="F397" i="27" s="1"/>
  <c r="AP52" i="50"/>
  <c r="F403" i="27" s="1"/>
  <c r="AP42" i="50"/>
  <c r="F393" i="27" s="1"/>
  <c r="AP37" i="50"/>
  <c r="F388" i="27" s="1"/>
  <c r="AP57" i="50"/>
  <c r="F408" i="27" s="1"/>
  <c r="AP53" i="50"/>
  <c r="F404" i="27" s="1"/>
  <c r="C98" i="50" l="1"/>
  <c r="E625" i="1" s="1"/>
  <c r="C95" i="50"/>
  <c r="E622" i="1" s="1"/>
  <c r="J49" i="15"/>
  <c r="B287" i="32" l="1"/>
  <c r="AR12" i="48" l="1"/>
  <c r="AR13" i="48"/>
  <c r="AR14" i="48"/>
  <c r="AR15" i="48"/>
  <c r="AR11" i="48"/>
  <c r="AY8" i="48"/>
  <c r="BA8" i="48" s="1"/>
  <c r="K1199" i="1"/>
  <c r="J1199" i="1"/>
  <c r="I1199" i="1"/>
  <c r="P1187" i="1"/>
  <c r="P1186" i="1"/>
  <c r="D1181" i="1"/>
  <c r="D1178" i="1"/>
  <c r="D1177" i="1"/>
  <c r="D1176" i="1"/>
  <c r="K1172" i="1"/>
  <c r="J1172" i="1"/>
  <c r="I1172" i="1"/>
  <c r="P1170" i="1"/>
  <c r="P1169" i="1"/>
  <c r="P1168" i="1"/>
  <c r="P1167" i="1"/>
  <c r="P1166" i="1"/>
  <c r="P1165" i="1"/>
  <c r="P1164" i="1"/>
  <c r="P1163" i="1"/>
  <c r="P1162" i="1"/>
  <c r="K1161" i="1"/>
  <c r="J1161" i="1"/>
  <c r="I1161" i="1"/>
  <c r="E797" i="1"/>
  <c r="E821" i="1"/>
  <c r="E822" i="1"/>
  <c r="C11" i="1"/>
  <c r="AS11" i="48" l="1"/>
  <c r="E1002" i="1" s="1"/>
  <c r="AU12" i="48"/>
  <c r="AS12" i="48"/>
  <c r="AU14" i="48"/>
  <c r="AS14" i="48"/>
  <c r="AT15" i="48"/>
  <c r="AS15" i="48"/>
  <c r="AU11" i="48"/>
  <c r="E1000" i="1" s="1"/>
  <c r="L1172" i="1"/>
  <c r="L1161" i="1"/>
  <c r="L1199" i="1"/>
  <c r="K332" i="1"/>
  <c r="J332" i="1"/>
  <c r="I332" i="1"/>
  <c r="K265" i="1"/>
  <c r="J265" i="1"/>
  <c r="I265" i="1"/>
  <c r="J1104" i="47"/>
  <c r="J1103" i="47"/>
  <c r="J1102" i="47"/>
  <c r="J1101" i="47"/>
  <c r="J839" i="47"/>
  <c r="J838" i="47"/>
  <c r="J837" i="47"/>
  <c r="J836" i="47"/>
  <c r="J218" i="47"/>
  <c r="J219" i="47"/>
  <c r="J220" i="47"/>
  <c r="J217" i="47"/>
  <c r="J221" i="47" l="1"/>
  <c r="E118" i="1" s="1"/>
  <c r="J1105" i="47"/>
  <c r="E333" i="1" s="1"/>
  <c r="L332" i="1"/>
  <c r="L265" i="1"/>
  <c r="J840" i="47"/>
  <c r="E266" i="1" s="1"/>
  <c r="H872" i="1" l="1"/>
  <c r="K872" i="1" s="1"/>
  <c r="G872" i="1"/>
  <c r="J872" i="1" s="1"/>
  <c r="I871" i="1"/>
  <c r="E871" i="1"/>
  <c r="K871" i="1" s="1"/>
  <c r="K870" i="1"/>
  <c r="D870" i="1"/>
  <c r="D869" i="1"/>
  <c r="D864" i="1"/>
  <c r="K850" i="1"/>
  <c r="K849" i="1"/>
  <c r="K848" i="1"/>
  <c r="J848" i="1"/>
  <c r="I848" i="1"/>
  <c r="P847" i="1"/>
  <c r="P839" i="1"/>
  <c r="L848" i="1" l="1"/>
  <c r="J871" i="1"/>
  <c r="L871" i="1" s="1"/>
  <c r="L872" i="1"/>
  <c r="I872" i="1"/>
  <c r="A469" i="1"/>
  <c r="A463" i="1"/>
  <c r="A457" i="1"/>
  <c r="A451" i="1"/>
  <c r="A445" i="1"/>
  <c r="A439" i="1"/>
  <c r="A984" i="1"/>
  <c r="A981" i="1"/>
  <c r="A977" i="1"/>
  <c r="A974" i="1"/>
  <c r="A970" i="1"/>
  <c r="A966" i="1"/>
  <c r="A1250" i="1"/>
  <c r="A1245" i="1"/>
  <c r="A1238" i="1"/>
  <c r="A1231" i="1"/>
  <c r="A1224" i="1"/>
  <c r="A1217" i="1"/>
  <c r="E1244" i="1"/>
  <c r="E1243" i="1"/>
  <c r="A914" i="1"/>
  <c r="A909" i="1"/>
  <c r="A906" i="1"/>
  <c r="A898" i="1"/>
  <c r="A890" i="1"/>
  <c r="A882" i="1"/>
  <c r="A1244" i="1"/>
  <c r="E1242" i="1"/>
  <c r="E1249" i="1"/>
  <c r="E1248" i="1"/>
  <c r="E980" i="1"/>
  <c r="E973" i="1"/>
  <c r="D468" i="1"/>
  <c r="D467" i="1"/>
  <c r="K466" i="1"/>
  <c r="J466" i="1"/>
  <c r="I466" i="1"/>
  <c r="B64" i="49"/>
  <c r="D67" i="49" s="1"/>
  <c r="A63" i="49"/>
  <c r="C72" i="49"/>
  <c r="B72" i="49"/>
  <c r="A72" i="49"/>
  <c r="D72" i="49" s="1"/>
  <c r="C61" i="49"/>
  <c r="B61" i="49"/>
  <c r="A61" i="49"/>
  <c r="B53" i="49"/>
  <c r="D56" i="49" s="1"/>
  <c r="A52" i="49"/>
  <c r="C50" i="49"/>
  <c r="B50" i="49"/>
  <c r="A50" i="49"/>
  <c r="B42" i="49"/>
  <c r="D45" i="49" s="1"/>
  <c r="E3" i="49" s="1"/>
  <c r="A41" i="49"/>
  <c r="C39" i="49"/>
  <c r="B39" i="49"/>
  <c r="F39" i="49" s="1"/>
  <c r="B31" i="49"/>
  <c r="D34" i="49" s="1"/>
  <c r="A30" i="49"/>
  <c r="C28" i="49"/>
  <c r="B28" i="49"/>
  <c r="A19" i="49"/>
  <c r="D17" i="49"/>
  <c r="C17" i="49"/>
  <c r="B17" i="49"/>
  <c r="E17" i="49" s="1"/>
  <c r="B4" i="49" s="1"/>
  <c r="E1214" i="1" s="1"/>
  <c r="A8" i="49"/>
  <c r="D2" i="49" l="1"/>
  <c r="D61" i="49"/>
  <c r="D50" i="49"/>
  <c r="E2" i="49" s="1"/>
  <c r="E1235" i="1" s="1"/>
  <c r="L466" i="1"/>
  <c r="G2" i="49"/>
  <c r="E465" i="1" s="1"/>
  <c r="F2" i="49"/>
  <c r="F3" i="49" s="1"/>
  <c r="E1228" i="1"/>
  <c r="D28" i="49"/>
  <c r="B2" i="49" l="1"/>
  <c r="B3" i="49" s="1"/>
  <c r="E1213" i="1" s="1"/>
  <c r="E459" i="1"/>
  <c r="E453" i="1"/>
  <c r="E1234" i="1"/>
  <c r="E447" i="1"/>
  <c r="E1227" i="1"/>
  <c r="E1241" i="1"/>
  <c r="E468" i="1"/>
  <c r="E467" i="1"/>
  <c r="E435" i="1" l="1"/>
  <c r="B851" i="47"/>
  <c r="B847" i="47"/>
  <c r="P991" i="47"/>
  <c r="B1116" i="47"/>
  <c r="B1112" i="47"/>
  <c r="K429" i="1" l="1"/>
  <c r="J429" i="1"/>
  <c r="I429" i="1"/>
  <c r="K427" i="1"/>
  <c r="J427" i="1"/>
  <c r="I427" i="1"/>
  <c r="AG426" i="1"/>
  <c r="AF426" i="1"/>
  <c r="AE426" i="1"/>
  <c r="K423" i="1"/>
  <c r="J423" i="1"/>
  <c r="I423" i="1"/>
  <c r="K421" i="1"/>
  <c r="J421" i="1"/>
  <c r="I421" i="1"/>
  <c r="K417" i="1"/>
  <c r="J417" i="1"/>
  <c r="I417" i="1"/>
  <c r="K415" i="1"/>
  <c r="J415" i="1"/>
  <c r="I415" i="1"/>
  <c r="K411" i="1"/>
  <c r="J411" i="1"/>
  <c r="I411" i="1"/>
  <c r="K403" i="1"/>
  <c r="J403" i="1"/>
  <c r="I403" i="1"/>
  <c r="K401" i="1"/>
  <c r="J401" i="1"/>
  <c r="I401" i="1"/>
  <c r="K397" i="1"/>
  <c r="J397" i="1"/>
  <c r="I397" i="1"/>
  <c r="K395" i="1"/>
  <c r="J395" i="1"/>
  <c r="I395" i="1"/>
  <c r="A401" i="1"/>
  <c r="A411" i="1" s="1"/>
  <c r="K387" i="1"/>
  <c r="J387" i="1"/>
  <c r="I387" i="1"/>
  <c r="K385" i="1"/>
  <c r="J385" i="1"/>
  <c r="I385" i="1"/>
  <c r="C1914" i="47"/>
  <c r="B1924" i="47" s="1"/>
  <c r="B1903" i="47"/>
  <c r="C1903" i="47" s="1"/>
  <c r="D1903" i="47" s="1"/>
  <c r="E1903" i="47"/>
  <c r="C1901" i="47"/>
  <c r="D1901" i="47" s="1"/>
  <c r="B1753" i="47"/>
  <c r="B1497" i="47"/>
  <c r="B1155" i="47"/>
  <c r="B890" i="47"/>
  <c r="B625" i="47"/>
  <c r="D1914" i="47" l="1"/>
  <c r="C1924" i="47" s="1"/>
  <c r="D1924" i="47"/>
  <c r="E382" i="1" s="1"/>
  <c r="F1903" i="47"/>
  <c r="G1903" i="47" s="1"/>
  <c r="L385" i="1"/>
  <c r="L397" i="1"/>
  <c r="L403" i="1"/>
  <c r="L421" i="1"/>
  <c r="L401" i="1"/>
  <c r="L415" i="1"/>
  <c r="L417" i="1"/>
  <c r="L395" i="1"/>
  <c r="L411" i="1"/>
  <c r="L423" i="1"/>
  <c r="L427" i="1"/>
  <c r="L387" i="1"/>
  <c r="L429" i="1"/>
  <c r="E1914" i="47"/>
  <c r="E379" i="1" s="1"/>
  <c r="E1901" i="47"/>
  <c r="F1901" i="47" s="1"/>
  <c r="G1901" i="47" s="1"/>
  <c r="G1904" i="47" s="1"/>
  <c r="H1904" i="47" s="1"/>
  <c r="E381" i="1" s="1"/>
  <c r="B1206" i="47"/>
  <c r="B941" i="47"/>
  <c r="B676" i="47"/>
  <c r="B134" i="47"/>
  <c r="B135" i="47" s="1"/>
  <c r="B334" i="47"/>
  <c r="F1819" i="47"/>
  <c r="B1819" i="47"/>
  <c r="C1819" i="47" s="1"/>
  <c r="F1818" i="47"/>
  <c r="B1818" i="47"/>
  <c r="C1818" i="47" s="1"/>
  <c r="E1817" i="47"/>
  <c r="B1817" i="47" s="1"/>
  <c r="C1817" i="47" s="1"/>
  <c r="D1623" i="47"/>
  <c r="E1623" i="47"/>
  <c r="F1623" i="47"/>
  <c r="G1623" i="47"/>
  <c r="D1624" i="47"/>
  <c r="E1624" i="47"/>
  <c r="F1624" i="47"/>
  <c r="G1624" i="47"/>
  <c r="D1625" i="47"/>
  <c r="E1625" i="47"/>
  <c r="F1625" i="47"/>
  <c r="G1625" i="47"/>
  <c r="D1626" i="47"/>
  <c r="E1626" i="47"/>
  <c r="F1626" i="47"/>
  <c r="G1626" i="47"/>
  <c r="D1627" i="47"/>
  <c r="E1627" i="47"/>
  <c r="F1627" i="47"/>
  <c r="G1627" i="47"/>
  <c r="D1628" i="47"/>
  <c r="E1628" i="47"/>
  <c r="F1628" i="47"/>
  <c r="G1628" i="47"/>
  <c r="D1629" i="47"/>
  <c r="E1629" i="47"/>
  <c r="F1629" i="47"/>
  <c r="G1629" i="47"/>
  <c r="D1630" i="47"/>
  <c r="E1630" i="47"/>
  <c r="F1630" i="47"/>
  <c r="G1630" i="47"/>
  <c r="D1631" i="47"/>
  <c r="E1631" i="47"/>
  <c r="F1631" i="47"/>
  <c r="G1631" i="47"/>
  <c r="D1632" i="47"/>
  <c r="E1632" i="47"/>
  <c r="F1632" i="47"/>
  <c r="G1632" i="47"/>
  <c r="D1633" i="47"/>
  <c r="E1633" i="47"/>
  <c r="F1633" i="47"/>
  <c r="G1633" i="47"/>
  <c r="D1634" i="47"/>
  <c r="E1634" i="47"/>
  <c r="F1634" i="47"/>
  <c r="G1634" i="47"/>
  <c r="D1635" i="47"/>
  <c r="E1635" i="47"/>
  <c r="F1635" i="47"/>
  <c r="G1635" i="47"/>
  <c r="D1636" i="47"/>
  <c r="E1636" i="47"/>
  <c r="F1636" i="47"/>
  <c r="G1636" i="47"/>
  <c r="D1637" i="47"/>
  <c r="E1637" i="47"/>
  <c r="F1637" i="47"/>
  <c r="G1637" i="47"/>
  <c r="D1643" i="47"/>
  <c r="E1643" i="47"/>
  <c r="F1643" i="47"/>
  <c r="G1643" i="47"/>
  <c r="C1624" i="47"/>
  <c r="C1625" i="47"/>
  <c r="C1626" i="47"/>
  <c r="C1627" i="47"/>
  <c r="C1628" i="47"/>
  <c r="C1629" i="47"/>
  <c r="C1630" i="47"/>
  <c r="C1631" i="47"/>
  <c r="C1632" i="47"/>
  <c r="C1633" i="47"/>
  <c r="C1634" i="47"/>
  <c r="C1635" i="47"/>
  <c r="C1636" i="47"/>
  <c r="C1637" i="47"/>
  <c r="C1643" i="47"/>
  <c r="C1623" i="47"/>
  <c r="B1624" i="47"/>
  <c r="B1625" i="47"/>
  <c r="B1626" i="47"/>
  <c r="B1627" i="47"/>
  <c r="B1628" i="47"/>
  <c r="B1629" i="47"/>
  <c r="B1630" i="47"/>
  <c r="B1631" i="47"/>
  <c r="B1632" i="47"/>
  <c r="B1633" i="47"/>
  <c r="B1634" i="47"/>
  <c r="B1635" i="47"/>
  <c r="B1636" i="47"/>
  <c r="B1637" i="47"/>
  <c r="B1643" i="47"/>
  <c r="B1623" i="47"/>
  <c r="E1566" i="47"/>
  <c r="F1566" i="47"/>
  <c r="G1566" i="47"/>
  <c r="E1567" i="47"/>
  <c r="F1567" i="47"/>
  <c r="G1567" i="47"/>
  <c r="E1568" i="47"/>
  <c r="F1568" i="47"/>
  <c r="G1568" i="47"/>
  <c r="E1569" i="47"/>
  <c r="F1569" i="47"/>
  <c r="G1569" i="47"/>
  <c r="E1570" i="47"/>
  <c r="F1570" i="47"/>
  <c r="G1570" i="47"/>
  <c r="E1571" i="47"/>
  <c r="F1571" i="47"/>
  <c r="G1571" i="47"/>
  <c r="E1572" i="47"/>
  <c r="F1572" i="47"/>
  <c r="G1572" i="47"/>
  <c r="E1573" i="47"/>
  <c r="F1573" i="47"/>
  <c r="G1573" i="47"/>
  <c r="E1574" i="47"/>
  <c r="F1574" i="47"/>
  <c r="G1574" i="47"/>
  <c r="E1575" i="47"/>
  <c r="F1575" i="47"/>
  <c r="G1575" i="47"/>
  <c r="E1576" i="47"/>
  <c r="F1576" i="47"/>
  <c r="G1576" i="47"/>
  <c r="E1577" i="47"/>
  <c r="F1577" i="47"/>
  <c r="G1577" i="47"/>
  <c r="E1578" i="47"/>
  <c r="F1578" i="47"/>
  <c r="G1578" i="47"/>
  <c r="E1579" i="47"/>
  <c r="F1579" i="47"/>
  <c r="G1579" i="47"/>
  <c r="E1580" i="47"/>
  <c r="F1580" i="47"/>
  <c r="G1580" i="47"/>
  <c r="E1581" i="47"/>
  <c r="F1581" i="47"/>
  <c r="G1581" i="47"/>
  <c r="E1582" i="47"/>
  <c r="F1582" i="47"/>
  <c r="G1582" i="47"/>
  <c r="E1583" i="47"/>
  <c r="F1583" i="47"/>
  <c r="G1583" i="47"/>
  <c r="D1567" i="47"/>
  <c r="D1568" i="47"/>
  <c r="D1569" i="47"/>
  <c r="D1570" i="47"/>
  <c r="D1571" i="47"/>
  <c r="D1572" i="47"/>
  <c r="D1573" i="47"/>
  <c r="D1574" i="47"/>
  <c r="D1575" i="47"/>
  <c r="D1576" i="47"/>
  <c r="D1577" i="47"/>
  <c r="D1578" i="47"/>
  <c r="D1579" i="47"/>
  <c r="D1580" i="47"/>
  <c r="D1581" i="47"/>
  <c r="D1582" i="47"/>
  <c r="D1583" i="47"/>
  <c r="D1566" i="47"/>
  <c r="B944" i="47" l="1"/>
  <c r="B945" i="47"/>
  <c r="B691" i="47"/>
  <c r="B692" i="47"/>
  <c r="B142" i="47"/>
  <c r="B140" i="47"/>
  <c r="B141" i="47"/>
  <c r="B143" i="47"/>
  <c r="B147" i="47"/>
  <c r="B144" i="47"/>
  <c r="B148" i="47"/>
  <c r="B145" i="47"/>
  <c r="B139" i="47"/>
  <c r="B166" i="47" s="1"/>
  <c r="B138" i="47"/>
  <c r="B137" i="47"/>
  <c r="B680" i="47"/>
  <c r="B684" i="47"/>
  <c r="B688" i="47"/>
  <c r="B687" i="47"/>
  <c r="B681" i="47"/>
  <c r="B685" i="47"/>
  <c r="B689" i="47"/>
  <c r="B693" i="47"/>
  <c r="B679" i="47"/>
  <c r="B678" i="47"/>
  <c r="B682" i="47"/>
  <c r="B686" i="47"/>
  <c r="B690" i="47"/>
  <c r="B677" i="47"/>
  <c r="B683" i="47"/>
  <c r="B942" i="47"/>
  <c r="B955" i="47"/>
  <c r="B951" i="47"/>
  <c r="B947" i="47"/>
  <c r="B943" i="47"/>
  <c r="B958" i="47"/>
  <c r="B962" i="47" s="1"/>
  <c r="B954" i="47"/>
  <c r="B950" i="47"/>
  <c r="B946" i="47"/>
  <c r="B957" i="47"/>
  <c r="B953" i="47"/>
  <c r="B949" i="47"/>
  <c r="B956" i="47"/>
  <c r="B952" i="47"/>
  <c r="B948" i="47"/>
  <c r="F1817" i="47"/>
  <c r="F1820" i="47" s="1"/>
  <c r="E412" i="1" s="1"/>
  <c r="E1820" i="47"/>
  <c r="B697" i="47" l="1"/>
  <c r="E414" i="1"/>
  <c r="E413" i="1"/>
  <c r="I1626" i="47"/>
  <c r="H1627" i="47"/>
  <c r="L1627" i="47"/>
  <c r="K1628" i="47"/>
  <c r="I1630" i="47"/>
  <c r="H1631" i="47"/>
  <c r="I1634" i="47"/>
  <c r="H1635" i="47"/>
  <c r="K1643" i="47"/>
  <c r="C1567" i="47"/>
  <c r="C1568" i="47"/>
  <c r="C1569" i="47"/>
  <c r="C1570" i="47"/>
  <c r="C1571" i="47"/>
  <c r="C1572" i="47"/>
  <c r="C1573" i="47"/>
  <c r="C1574" i="47"/>
  <c r="C1575" i="47"/>
  <c r="C1576" i="47"/>
  <c r="C1577" i="47"/>
  <c r="C1578" i="47"/>
  <c r="C1579" i="47"/>
  <c r="C1580" i="47"/>
  <c r="C1581" i="47"/>
  <c r="C1582" i="47"/>
  <c r="C1583" i="47"/>
  <c r="C1566" i="47"/>
  <c r="C1539" i="47"/>
  <c r="C1594" i="47" s="1"/>
  <c r="C1584" i="47"/>
  <c r="C1560" i="47"/>
  <c r="C1617" i="47" s="1"/>
  <c r="C1556" i="47"/>
  <c r="C1540" i="47"/>
  <c r="C1541" i="47"/>
  <c r="C1596" i="47" s="1"/>
  <c r="C1542" i="47"/>
  <c r="C1543" i="47"/>
  <c r="C1598" i="47" s="1"/>
  <c r="C1544" i="47"/>
  <c r="C1545" i="47"/>
  <c r="C1546" i="47"/>
  <c r="C1601" i="47" s="1"/>
  <c r="C1547" i="47"/>
  <c r="C1602" i="47" s="1"/>
  <c r="C1548" i="47"/>
  <c r="C1549" i="47"/>
  <c r="C1550" i="47"/>
  <c r="C1605" i="47" s="1"/>
  <c r="C1551" i="47"/>
  <c r="C1606" i="47" s="1"/>
  <c r="C1552" i="47"/>
  <c r="C1607" i="47" s="1"/>
  <c r="C1553" i="47"/>
  <c r="C1608" i="47" s="1"/>
  <c r="C1554" i="47"/>
  <c r="C1609" i="47" s="1"/>
  <c r="C1555" i="47"/>
  <c r="C1610" i="47" s="1"/>
  <c r="C1787" i="47"/>
  <c r="C1782" i="47"/>
  <c r="B1782" i="47"/>
  <c r="D1782" i="47" s="1"/>
  <c r="A1782" i="47"/>
  <c r="A1789" i="47" s="1"/>
  <c r="C1781" i="47"/>
  <c r="B1781" i="47"/>
  <c r="B1788" i="47" s="1"/>
  <c r="D1788" i="47" s="1"/>
  <c r="A1781" i="47"/>
  <c r="A1788" i="47" s="1"/>
  <c r="C1780" i="47"/>
  <c r="B1780" i="47"/>
  <c r="A1780" i="47"/>
  <c r="A1787" i="47" s="1"/>
  <c r="M1774" i="47"/>
  <c r="L1774" i="47"/>
  <c r="J1774" i="47"/>
  <c r="I1774" i="47"/>
  <c r="H1774" i="47"/>
  <c r="G1774" i="47"/>
  <c r="M1773" i="47"/>
  <c r="L1773" i="47"/>
  <c r="N1773" i="47" s="1"/>
  <c r="P1773" i="47" s="1"/>
  <c r="J1773" i="47"/>
  <c r="I1773" i="47"/>
  <c r="H1773" i="47"/>
  <c r="G1773" i="47"/>
  <c r="O1772" i="47"/>
  <c r="M1772" i="47"/>
  <c r="L1772" i="47"/>
  <c r="J1772" i="47"/>
  <c r="I1772" i="47"/>
  <c r="H1772" i="47"/>
  <c r="G1772" i="47"/>
  <c r="C1766" i="47"/>
  <c r="B1761" i="47"/>
  <c r="A1761" i="47"/>
  <c r="A1767" i="47" s="1"/>
  <c r="C1760" i="47"/>
  <c r="B1760" i="47"/>
  <c r="A1760" i="47"/>
  <c r="A1766" i="47" s="1"/>
  <c r="M1754" i="47"/>
  <c r="L1754" i="47"/>
  <c r="J1754" i="47"/>
  <c r="I1754" i="47"/>
  <c r="H1754" i="47"/>
  <c r="G1754" i="47"/>
  <c r="O1753" i="47"/>
  <c r="M1753" i="47"/>
  <c r="L1753" i="47"/>
  <c r="J1753" i="47"/>
  <c r="I1753" i="47"/>
  <c r="I1755" i="47" s="1"/>
  <c r="I1756" i="47" s="1"/>
  <c r="H1753" i="47"/>
  <c r="G1753" i="47"/>
  <c r="C1748" i="47"/>
  <c r="B1748" i="47"/>
  <c r="D1748" i="47" s="1"/>
  <c r="C1747" i="47"/>
  <c r="B1747" i="47"/>
  <c r="B1742" i="47"/>
  <c r="C1742" i="47" s="1"/>
  <c r="D1742" i="47" s="1"/>
  <c r="E1741" i="47"/>
  <c r="B1741" i="47"/>
  <c r="E1742" i="47" s="1"/>
  <c r="D1737" i="47"/>
  <c r="D1738" i="47" s="1"/>
  <c r="C1732" i="47"/>
  <c r="B1732" i="47"/>
  <c r="C1731" i="47"/>
  <c r="B1731" i="47"/>
  <c r="C1730" i="47"/>
  <c r="B1730" i="47"/>
  <c r="C1729" i="47"/>
  <c r="B1729" i="47"/>
  <c r="C1724" i="47"/>
  <c r="D1724" i="47" s="1"/>
  <c r="E1723" i="47"/>
  <c r="B1723" i="47"/>
  <c r="E1724" i="47" s="1"/>
  <c r="C1720" i="47"/>
  <c r="D1720" i="47" s="1"/>
  <c r="E1718" i="47"/>
  <c r="B1718" i="47"/>
  <c r="C1718" i="47" s="1"/>
  <c r="D1718" i="47" s="1"/>
  <c r="F1718" i="47" s="1"/>
  <c r="G1718" i="47" s="1"/>
  <c r="D1714" i="47"/>
  <c r="E1713" i="47"/>
  <c r="B1713" i="47"/>
  <c r="C1710" i="47"/>
  <c r="D1710" i="47" s="1"/>
  <c r="E1708" i="47"/>
  <c r="B1708" i="47"/>
  <c r="E1710" i="47" s="1"/>
  <c r="E1703" i="47"/>
  <c r="E1702" i="47"/>
  <c r="E1701" i="47"/>
  <c r="E1700" i="47"/>
  <c r="A1670" i="47"/>
  <c r="A1695" i="47" s="1"/>
  <c r="B1664" i="47"/>
  <c r="A1664" i="47"/>
  <c r="A1689" i="47" s="1"/>
  <c r="A1663" i="47"/>
  <c r="A1688" i="47" s="1"/>
  <c r="B1662" i="47"/>
  <c r="B1687" i="47" s="1"/>
  <c r="A1662" i="47"/>
  <c r="A1687" i="47" s="1"/>
  <c r="A1661" i="47"/>
  <c r="A1686" i="47" s="1"/>
  <c r="B1660" i="47"/>
  <c r="B1685" i="47" s="1"/>
  <c r="A1660" i="47"/>
  <c r="A1685" i="47" s="1"/>
  <c r="A1659" i="47"/>
  <c r="A1684" i="47" s="1"/>
  <c r="B1658" i="47"/>
  <c r="A1658" i="47"/>
  <c r="A1683" i="47" s="1"/>
  <c r="A1657" i="47"/>
  <c r="A1682" i="47" s="1"/>
  <c r="B1656" i="47"/>
  <c r="A1656" i="47"/>
  <c r="A1681" i="47" s="1"/>
  <c r="A1655" i="47"/>
  <c r="A1680" i="47" s="1"/>
  <c r="B1654" i="47"/>
  <c r="B1679" i="47" s="1"/>
  <c r="A1654" i="47"/>
  <c r="A1679" i="47" s="1"/>
  <c r="A1653" i="47"/>
  <c r="A1678" i="47" s="1"/>
  <c r="B1652" i="47"/>
  <c r="B1677" i="47" s="1"/>
  <c r="A1652" i="47"/>
  <c r="A1677" i="47" s="1"/>
  <c r="A1651" i="47"/>
  <c r="A1676" i="47" s="1"/>
  <c r="A1650" i="47"/>
  <c r="A1675" i="47" s="1"/>
  <c r="N1643" i="47"/>
  <c r="I1643" i="47"/>
  <c r="L1643" i="47"/>
  <c r="H1643" i="47"/>
  <c r="B1670" i="47"/>
  <c r="N1637" i="47"/>
  <c r="K1637" i="47"/>
  <c r="I1637" i="47"/>
  <c r="L1637" i="47"/>
  <c r="H1637" i="47"/>
  <c r="O1637" i="47"/>
  <c r="N1636" i="47"/>
  <c r="K1636" i="47"/>
  <c r="H1636" i="47"/>
  <c r="L1636" i="47"/>
  <c r="I1636" i="47"/>
  <c r="O1636" i="47"/>
  <c r="N1635" i="47"/>
  <c r="K1635" i="47"/>
  <c r="L1635" i="47"/>
  <c r="I1635" i="47"/>
  <c r="O1635" i="47"/>
  <c r="N1634" i="47"/>
  <c r="K1634" i="47"/>
  <c r="H1634" i="47"/>
  <c r="L1634" i="47"/>
  <c r="B1661" i="47"/>
  <c r="N1633" i="47"/>
  <c r="K1633" i="47"/>
  <c r="H1633" i="47"/>
  <c r="L1633" i="47"/>
  <c r="I1633" i="47"/>
  <c r="O1633" i="47"/>
  <c r="N1632" i="47"/>
  <c r="K1632" i="47"/>
  <c r="H1632" i="47"/>
  <c r="L1632" i="47"/>
  <c r="I1632" i="47"/>
  <c r="O1632" i="47"/>
  <c r="N1631" i="47"/>
  <c r="K1631" i="47"/>
  <c r="L1631" i="47"/>
  <c r="I1631" i="47"/>
  <c r="O1631" i="47"/>
  <c r="N1630" i="47"/>
  <c r="K1630" i="47"/>
  <c r="H1630" i="47"/>
  <c r="L1630" i="47"/>
  <c r="B1657" i="47"/>
  <c r="N1629" i="47"/>
  <c r="K1629" i="47"/>
  <c r="H1629" i="47"/>
  <c r="L1629" i="47"/>
  <c r="I1629" i="47"/>
  <c r="O1629" i="47"/>
  <c r="N1628" i="47"/>
  <c r="H1628" i="47"/>
  <c r="L1628" i="47"/>
  <c r="I1628" i="47"/>
  <c r="O1628" i="47"/>
  <c r="N1627" i="47"/>
  <c r="K1627" i="47"/>
  <c r="I1627" i="47"/>
  <c r="O1627" i="47"/>
  <c r="N1626" i="47"/>
  <c r="K1626" i="47"/>
  <c r="H1626" i="47"/>
  <c r="L1626" i="47"/>
  <c r="B1653" i="47"/>
  <c r="N1625" i="47"/>
  <c r="K1625" i="47"/>
  <c r="H1625" i="47"/>
  <c r="L1625" i="47"/>
  <c r="I1625" i="47"/>
  <c r="O1625" i="47"/>
  <c r="K1624" i="47"/>
  <c r="H1624" i="47"/>
  <c r="O1623" i="47"/>
  <c r="J1623" i="47"/>
  <c r="H1623" i="47"/>
  <c r="A1611" i="47"/>
  <c r="A1610" i="47"/>
  <c r="A1609" i="47"/>
  <c r="A1608" i="47"/>
  <c r="A1607" i="47"/>
  <c r="A1606" i="47"/>
  <c r="A1605" i="47"/>
  <c r="A1604" i="47"/>
  <c r="A1603" i="47"/>
  <c r="A1602" i="47"/>
  <c r="A1601" i="47"/>
  <c r="A1600" i="47"/>
  <c r="A1599" i="47"/>
  <c r="A1598" i="47"/>
  <c r="A1597" i="47"/>
  <c r="A1596" i="47"/>
  <c r="A1595" i="47"/>
  <c r="A1594" i="47"/>
  <c r="B1589" i="47"/>
  <c r="A1589" i="47"/>
  <c r="A1618" i="47" s="1"/>
  <c r="A1588" i="47"/>
  <c r="A1617" i="47" s="1"/>
  <c r="P1583" i="47"/>
  <c r="A1583" i="47"/>
  <c r="P1582" i="47"/>
  <c r="A1582" i="47"/>
  <c r="P1581" i="47"/>
  <c r="A1581" i="47"/>
  <c r="P1580" i="47"/>
  <c r="A1580" i="47"/>
  <c r="A1579" i="47"/>
  <c r="A1578" i="47"/>
  <c r="A1577" i="47"/>
  <c r="A1576" i="47"/>
  <c r="A1575" i="47"/>
  <c r="A1574" i="47"/>
  <c r="A1573" i="47"/>
  <c r="A1572" i="47"/>
  <c r="A1571" i="47"/>
  <c r="A1570" i="47"/>
  <c r="A1569" i="47"/>
  <c r="A1568" i="47"/>
  <c r="A1567" i="47"/>
  <c r="A1566" i="47"/>
  <c r="C1611" i="47"/>
  <c r="C1604" i="47"/>
  <c r="C1603" i="47"/>
  <c r="C1600" i="47"/>
  <c r="C1599" i="47"/>
  <c r="C1597" i="47"/>
  <c r="C1595" i="47"/>
  <c r="B1539" i="47"/>
  <c r="U37" i="43"/>
  <c r="U38" i="43"/>
  <c r="U36" i="43"/>
  <c r="U59" i="43"/>
  <c r="U58" i="43"/>
  <c r="O59" i="43"/>
  <c r="O58" i="43"/>
  <c r="L59" i="43"/>
  <c r="L58" i="43"/>
  <c r="O61" i="43"/>
  <c r="O37" i="43"/>
  <c r="O38" i="43"/>
  <c r="O39" i="43"/>
  <c r="O36" i="43"/>
  <c r="Q13" i="43"/>
  <c r="Q12" i="43"/>
  <c r="Q10" i="43"/>
  <c r="C1708" i="47" l="1"/>
  <c r="D1708" i="47" s="1"/>
  <c r="J1775" i="47"/>
  <c r="J1776" i="47" s="1"/>
  <c r="G1755" i="47"/>
  <c r="G1756" i="47" s="1"/>
  <c r="N1754" i="47"/>
  <c r="P1754" i="47" s="1"/>
  <c r="F1708" i="47"/>
  <c r="G1708" i="47" s="1"/>
  <c r="D1731" i="47"/>
  <c r="N1753" i="47"/>
  <c r="P1753" i="47" s="1"/>
  <c r="H1775" i="47"/>
  <c r="H1776" i="47" s="1"/>
  <c r="D1730" i="47"/>
  <c r="F1742" i="47"/>
  <c r="F1744" i="47" s="1"/>
  <c r="P1637" i="47"/>
  <c r="D1747" i="47"/>
  <c r="D1749" i="47" s="1"/>
  <c r="C1723" i="47"/>
  <c r="D1723" i="47" s="1"/>
  <c r="F1723" i="47" s="1"/>
  <c r="G1723" i="47" s="1"/>
  <c r="G1775" i="47"/>
  <c r="G1776" i="47" s="1"/>
  <c r="D1780" i="47"/>
  <c r="F1710" i="47"/>
  <c r="G1710" i="47" s="1"/>
  <c r="F1724" i="47"/>
  <c r="G1724" i="47" s="1"/>
  <c r="B1787" i="47"/>
  <c r="D1787" i="47" s="1"/>
  <c r="D1729" i="47"/>
  <c r="C1741" i="47"/>
  <c r="D1741" i="47" s="1"/>
  <c r="I1775" i="47"/>
  <c r="I1776" i="47" s="1"/>
  <c r="E1704" i="47"/>
  <c r="N1774" i="47"/>
  <c r="P1774" i="47" s="1"/>
  <c r="C1588" i="47"/>
  <c r="H1755" i="47"/>
  <c r="H1756" i="47" s="1"/>
  <c r="J1755" i="47"/>
  <c r="J1756" i="47" s="1"/>
  <c r="P1635" i="47"/>
  <c r="B1681" i="47"/>
  <c r="B1689" i="47"/>
  <c r="B1683" i="47"/>
  <c r="P1631" i="47"/>
  <c r="P1633" i="47"/>
  <c r="P1636" i="47"/>
  <c r="P1629" i="47"/>
  <c r="B1686" i="47"/>
  <c r="B1594" i="47"/>
  <c r="B1566" i="47"/>
  <c r="P1625" i="47"/>
  <c r="P1627" i="47"/>
  <c r="B1618" i="47"/>
  <c r="M1589" i="47"/>
  <c r="N1589" i="47"/>
  <c r="H1644" i="47"/>
  <c r="H1645" i="47" s="1"/>
  <c r="E404" i="1" s="1"/>
  <c r="P1632" i="47"/>
  <c r="P1755" i="47"/>
  <c r="P1756" i="47" s="1"/>
  <c r="O1624" i="47"/>
  <c r="J1624" i="47"/>
  <c r="B1651" i="47"/>
  <c r="I1624" i="47"/>
  <c r="L1624" i="47"/>
  <c r="N1624" i="47"/>
  <c r="B1678" i="47"/>
  <c r="P1628" i="47"/>
  <c r="B1682" i="47"/>
  <c r="D1761" i="47"/>
  <c r="B1767" i="47"/>
  <c r="D1767" i="47" s="1"/>
  <c r="N1623" i="47"/>
  <c r="P1623" i="47" s="1"/>
  <c r="I1623" i="47"/>
  <c r="K1623" i="47"/>
  <c r="K1644" i="47" s="1"/>
  <c r="K1645" i="47" s="1"/>
  <c r="E407" i="1" s="1"/>
  <c r="L1623" i="47"/>
  <c r="B1695" i="47"/>
  <c r="B1650" i="47"/>
  <c r="C1713" i="47"/>
  <c r="D1713" i="47" s="1"/>
  <c r="F1713" i="47" s="1"/>
  <c r="G1713" i="47" s="1"/>
  <c r="G1725" i="47" s="1"/>
  <c r="E1714" i="47"/>
  <c r="F1714" i="47" s="1"/>
  <c r="G1714" i="47" s="1"/>
  <c r="B1766" i="47"/>
  <c r="D1766" i="47" s="1"/>
  <c r="D1760" i="47"/>
  <c r="D1732" i="47"/>
  <c r="D1733" i="47" s="1"/>
  <c r="D1781" i="47"/>
  <c r="D1783" i="47" s="1"/>
  <c r="E1720" i="47"/>
  <c r="F1720" i="47" s="1"/>
  <c r="G1720" i="47" s="1"/>
  <c r="F1741" i="47"/>
  <c r="F1743" i="47" s="1"/>
  <c r="N1772" i="47"/>
  <c r="P1772" i="47" s="1"/>
  <c r="B1655" i="47"/>
  <c r="B1659" i="47"/>
  <c r="B1663" i="47"/>
  <c r="B1789" i="47"/>
  <c r="D1789" i="47" s="1"/>
  <c r="D1790" i="47" s="1"/>
  <c r="J1625" i="47"/>
  <c r="J1626" i="47"/>
  <c r="O1626" i="47"/>
  <c r="P1626" i="47" s="1"/>
  <c r="J1627" i="47"/>
  <c r="J1628" i="47"/>
  <c r="J1629" i="47"/>
  <c r="J1630" i="47"/>
  <c r="O1630" i="47"/>
  <c r="P1630" i="47" s="1"/>
  <c r="J1631" i="47"/>
  <c r="J1632" i="47"/>
  <c r="J1633" i="47"/>
  <c r="J1634" i="47"/>
  <c r="O1634" i="47"/>
  <c r="P1634" i="47" s="1"/>
  <c r="J1635" i="47"/>
  <c r="J1636" i="47"/>
  <c r="J1637" i="47"/>
  <c r="J1643" i="47"/>
  <c r="O1643" i="47"/>
  <c r="P1643" i="47" s="1"/>
  <c r="P1775" i="47" l="1"/>
  <c r="P1776" i="47" s="1"/>
  <c r="D1768" i="47"/>
  <c r="I1644" i="47"/>
  <c r="I1645" i="47" s="1"/>
  <c r="L1644" i="47"/>
  <c r="L1645" i="47" s="1"/>
  <c r="E405" i="1" s="1"/>
  <c r="P1624" i="47"/>
  <c r="J1644" i="47"/>
  <c r="J1645" i="47" s="1"/>
  <c r="E406" i="1" s="1"/>
  <c r="G1726" i="47"/>
  <c r="B1688" i="47"/>
  <c r="B1675" i="47"/>
  <c r="B1676" i="47"/>
  <c r="K1566" i="47"/>
  <c r="J1566" i="47"/>
  <c r="N1566" i="47"/>
  <c r="I1566" i="47"/>
  <c r="M1566" i="47"/>
  <c r="H1566" i="47"/>
  <c r="B1684" i="47"/>
  <c r="B1680" i="47"/>
  <c r="D1762" i="47"/>
  <c r="O1566" i="47" l="1"/>
  <c r="I460" i="1"/>
  <c r="J460" i="1"/>
  <c r="K460" i="1"/>
  <c r="I454" i="1"/>
  <c r="J454" i="1"/>
  <c r="K454" i="1"/>
  <c r="I448" i="1"/>
  <c r="J448" i="1"/>
  <c r="K448" i="1"/>
  <c r="I442" i="1"/>
  <c r="J442" i="1"/>
  <c r="K442" i="1"/>
  <c r="I436" i="1"/>
  <c r="J436" i="1"/>
  <c r="K436" i="1"/>
  <c r="C14" i="44"/>
  <c r="D792" i="1"/>
  <c r="K37" i="36"/>
  <c r="K48" i="36"/>
  <c r="E61" i="36"/>
  <c r="E60" i="36"/>
  <c r="E58" i="36"/>
  <c r="E51" i="36"/>
  <c r="E50" i="36"/>
  <c r="E40" i="36"/>
  <c r="E39" i="36"/>
  <c r="K25" i="36"/>
  <c r="F26" i="36"/>
  <c r="B246" i="36"/>
  <c r="B247" i="36"/>
  <c r="B248" i="36"/>
  <c r="L448" i="1" l="1"/>
  <c r="L460" i="1"/>
  <c r="L436" i="1"/>
  <c r="L454" i="1"/>
  <c r="L442" i="1"/>
  <c r="AJ23" i="48" l="1"/>
  <c r="C1228" i="47"/>
  <c r="A346" i="1"/>
  <c r="E1804" i="47"/>
  <c r="E1808" i="47"/>
  <c r="P673" i="1"/>
  <c r="I87" i="25" l="1"/>
  <c r="D462" i="1" l="1"/>
  <c r="D461" i="1"/>
  <c r="D456" i="1"/>
  <c r="D455" i="1"/>
  <c r="D450" i="1"/>
  <c r="D449" i="1"/>
  <c r="D444" i="1"/>
  <c r="D443" i="1"/>
  <c r="D438" i="1"/>
  <c r="D437" i="1"/>
  <c r="K119" i="36"/>
  <c r="K111" i="36"/>
  <c r="K16" i="36"/>
  <c r="K7" i="36"/>
  <c r="E222" i="25"/>
  <c r="D705" i="1"/>
  <c r="D743" i="1"/>
  <c r="E122" i="36" l="1"/>
  <c r="E121" i="36"/>
  <c r="E114" i="36"/>
  <c r="E113" i="36"/>
  <c r="K103" i="36"/>
  <c r="E106" i="36"/>
  <c r="E96" i="36"/>
  <c r="E87" i="36"/>
  <c r="E78" i="36"/>
  <c r="E69" i="36"/>
  <c r="E70" i="36"/>
  <c r="E48" i="36"/>
  <c r="E28" i="36"/>
  <c r="E17" i="36"/>
  <c r="E16" i="36"/>
  <c r="E9" i="36"/>
  <c r="E8" i="36"/>
  <c r="E7" i="36"/>
  <c r="F9" i="36"/>
  <c r="B249" i="36"/>
  <c r="B250" i="36"/>
  <c r="B251" i="36"/>
  <c r="B252" i="36"/>
  <c r="B253" i="36"/>
  <c r="B254" i="36"/>
  <c r="B255" i="36"/>
  <c r="B256" i="36"/>
  <c r="B257" i="36"/>
  <c r="G9" i="36" l="1"/>
  <c r="S22" i="48"/>
  <c r="T22" i="48"/>
  <c r="U22" i="48"/>
  <c r="V22" i="48"/>
  <c r="W22" i="48"/>
  <c r="X22" i="48"/>
  <c r="Y22" i="48"/>
  <c r="Z22" i="48"/>
  <c r="AA22" i="48"/>
  <c r="AB22" i="48"/>
  <c r="AC22" i="48"/>
  <c r="AD22" i="48"/>
  <c r="AE22" i="48"/>
  <c r="AF22" i="48"/>
  <c r="AG22" i="48"/>
  <c r="AH22" i="48"/>
  <c r="AI22" i="48"/>
  <c r="AJ22" i="48" l="1"/>
  <c r="AK22" i="48" s="1"/>
  <c r="C963" i="47"/>
  <c r="A352" i="1" l="1"/>
  <c r="A362" i="1" s="1"/>
  <c r="A366" i="1" s="1"/>
  <c r="A378" i="1" s="1"/>
  <c r="P1025" i="1"/>
  <c r="P1024" i="1"/>
  <c r="P1023" i="1"/>
  <c r="P1022" i="1"/>
  <c r="P1027" i="1"/>
  <c r="P1021" i="1"/>
  <c r="P1020" i="1"/>
  <c r="P1019" i="1"/>
  <c r="P1018" i="1"/>
  <c r="P1015" i="1"/>
  <c r="P1006" i="1"/>
  <c r="P1007" i="1"/>
  <c r="P1008" i="1"/>
  <c r="P1009" i="1"/>
  <c r="P1010" i="1"/>
  <c r="P1011" i="1"/>
  <c r="P1012" i="1"/>
  <c r="P1013" i="1"/>
  <c r="P1014" i="1"/>
  <c r="P1016" i="1"/>
  <c r="P1017" i="1"/>
  <c r="P1026" i="1"/>
  <c r="C83" i="17" l="1"/>
  <c r="D263" i="17" s="1"/>
  <c r="B76" i="6" l="1"/>
  <c r="B75" i="6"/>
  <c r="B74" i="6"/>
  <c r="B73" i="6"/>
  <c r="B72" i="6"/>
  <c r="B70" i="6"/>
  <c r="B68" i="6"/>
  <c r="B67" i="6"/>
  <c r="B66" i="6"/>
  <c r="B65" i="6"/>
  <c r="B61" i="6"/>
  <c r="B60" i="6"/>
  <c r="B59" i="6"/>
  <c r="B58" i="6"/>
  <c r="B56" i="6"/>
  <c r="B55" i="6"/>
  <c r="B54" i="6"/>
  <c r="B53" i="6"/>
  <c r="B52" i="6"/>
  <c r="B49" i="6"/>
  <c r="B48" i="6"/>
  <c r="B47" i="6"/>
  <c r="B46" i="6"/>
  <c r="B43" i="6"/>
  <c r="B42" i="6"/>
  <c r="B41" i="6"/>
  <c r="B40" i="6"/>
  <c r="B39" i="6"/>
  <c r="B36" i="6"/>
  <c r="B35" i="6"/>
  <c r="B34" i="6"/>
  <c r="B33" i="6"/>
  <c r="B31" i="6"/>
  <c r="B29" i="6"/>
  <c r="B28" i="6"/>
  <c r="B27" i="6"/>
  <c r="B26" i="6"/>
  <c r="B25" i="6"/>
  <c r="B24" i="6"/>
  <c r="B22" i="6"/>
  <c r="B21" i="6"/>
  <c r="B20" i="6"/>
  <c r="B19" i="6"/>
  <c r="B18" i="6"/>
  <c r="B17" i="6"/>
  <c r="B16" i="6"/>
  <c r="B15" i="6"/>
  <c r="K75" i="36" l="1"/>
  <c r="K84" i="36"/>
  <c r="K93" i="36"/>
  <c r="K163" i="36"/>
  <c r="F136" i="36"/>
  <c r="F128" i="36"/>
  <c r="E136" i="36"/>
  <c r="E119" i="36"/>
  <c r="E128" i="36"/>
  <c r="E95" i="36"/>
  <c r="E86" i="36"/>
  <c r="K1156" i="1"/>
  <c r="J1156" i="1"/>
  <c r="I1156" i="1"/>
  <c r="J1147" i="1"/>
  <c r="P1144" i="1"/>
  <c r="P1143" i="1"/>
  <c r="D1138" i="1"/>
  <c r="D1135" i="1"/>
  <c r="D1134" i="1"/>
  <c r="D1133" i="1"/>
  <c r="K1129" i="1"/>
  <c r="J1129" i="1"/>
  <c r="I1129" i="1"/>
  <c r="P1126" i="1"/>
  <c r="P1125" i="1"/>
  <c r="P1124" i="1"/>
  <c r="P1123" i="1"/>
  <c r="P1122" i="1"/>
  <c r="P1121" i="1"/>
  <c r="P1120" i="1"/>
  <c r="P1119" i="1"/>
  <c r="K1118" i="1"/>
  <c r="J1118" i="1"/>
  <c r="I1118" i="1"/>
  <c r="L1118" i="1" l="1"/>
  <c r="L1129" i="1"/>
  <c r="G128" i="36"/>
  <c r="L1156" i="1"/>
  <c r="G136" i="36"/>
  <c r="AY7" i="48" l="1"/>
  <c r="BA7" i="48" s="1"/>
  <c r="AT14" i="48" s="1"/>
  <c r="C962" i="47" l="1"/>
  <c r="C942" i="47"/>
  <c r="C943" i="47"/>
  <c r="C944" i="47"/>
  <c r="C945" i="47"/>
  <c r="C946" i="47"/>
  <c r="C947" i="47"/>
  <c r="C948" i="47"/>
  <c r="C949" i="47"/>
  <c r="C950" i="47"/>
  <c r="C951" i="47"/>
  <c r="C952" i="47"/>
  <c r="C953" i="47"/>
  <c r="C954" i="47"/>
  <c r="C955" i="47"/>
  <c r="C956" i="47"/>
  <c r="C957" i="47"/>
  <c r="C958" i="47"/>
  <c r="C941" i="47"/>
  <c r="K329" i="1"/>
  <c r="J329" i="1"/>
  <c r="I329" i="1"/>
  <c r="K327" i="1"/>
  <c r="J327" i="1"/>
  <c r="I327" i="1"/>
  <c r="K311" i="1"/>
  <c r="J311" i="1"/>
  <c r="I311" i="1"/>
  <c r="K309" i="1"/>
  <c r="J309" i="1"/>
  <c r="I309" i="1"/>
  <c r="U302" i="1"/>
  <c r="A285" i="1"/>
  <c r="A299" i="1" s="1"/>
  <c r="H1807" i="47"/>
  <c r="A315" i="1" l="1"/>
  <c r="A327" i="1" s="1"/>
  <c r="A332" i="1" s="1"/>
  <c r="A303" i="1"/>
  <c r="L327" i="1"/>
  <c r="L311" i="1"/>
  <c r="L309" i="1"/>
  <c r="L329" i="1"/>
  <c r="A309" i="1"/>
  <c r="F1808" i="47"/>
  <c r="B1808" i="47"/>
  <c r="C1808" i="47" s="1"/>
  <c r="C1026" i="47"/>
  <c r="D1026" i="47"/>
  <c r="E1026" i="47"/>
  <c r="F1026" i="47"/>
  <c r="G1026" i="47"/>
  <c r="C1027" i="47"/>
  <c r="D1027" i="47"/>
  <c r="E1027" i="47"/>
  <c r="F1027" i="47"/>
  <c r="G1027" i="47"/>
  <c r="C1028" i="47"/>
  <c r="D1028" i="47"/>
  <c r="E1028" i="47"/>
  <c r="F1028" i="47"/>
  <c r="G1028" i="47"/>
  <c r="C1029" i="47"/>
  <c r="D1029" i="47"/>
  <c r="E1029" i="47"/>
  <c r="F1029" i="47"/>
  <c r="G1029" i="47"/>
  <c r="C1030" i="47"/>
  <c r="D1030" i="47"/>
  <c r="E1030" i="47"/>
  <c r="F1030" i="47"/>
  <c r="G1030" i="47"/>
  <c r="C1031" i="47"/>
  <c r="D1031" i="47"/>
  <c r="E1031" i="47"/>
  <c r="F1031" i="47"/>
  <c r="G1031" i="47"/>
  <c r="C1032" i="47"/>
  <c r="D1032" i="47"/>
  <c r="E1032" i="47"/>
  <c r="F1032" i="47"/>
  <c r="G1032" i="47"/>
  <c r="C1033" i="47"/>
  <c r="D1033" i="47"/>
  <c r="E1033" i="47"/>
  <c r="F1033" i="47"/>
  <c r="G1033" i="47"/>
  <c r="C1034" i="47"/>
  <c r="D1034" i="47"/>
  <c r="E1034" i="47"/>
  <c r="F1034" i="47"/>
  <c r="G1034" i="47"/>
  <c r="C1035" i="47"/>
  <c r="D1035" i="47"/>
  <c r="E1035" i="47"/>
  <c r="F1035" i="47"/>
  <c r="G1035" i="47"/>
  <c r="C1036" i="47"/>
  <c r="D1036" i="47"/>
  <c r="E1036" i="47"/>
  <c r="F1036" i="47"/>
  <c r="G1036" i="47"/>
  <c r="C1037" i="47"/>
  <c r="D1037" i="47"/>
  <c r="E1037" i="47"/>
  <c r="F1037" i="47"/>
  <c r="G1037" i="47"/>
  <c r="C1038" i="47"/>
  <c r="D1038" i="47"/>
  <c r="E1038" i="47"/>
  <c r="F1038" i="47"/>
  <c r="G1038" i="47"/>
  <c r="C1039" i="47"/>
  <c r="D1039" i="47"/>
  <c r="E1039" i="47"/>
  <c r="F1039" i="47"/>
  <c r="G1039" i="47"/>
  <c r="D1025" i="47"/>
  <c r="E1025" i="47"/>
  <c r="F1025" i="47"/>
  <c r="G1025" i="47"/>
  <c r="C1025" i="47"/>
  <c r="B1026" i="47"/>
  <c r="B1027" i="47"/>
  <c r="B1028" i="47"/>
  <c r="O1028" i="47" s="1"/>
  <c r="B1029" i="47"/>
  <c r="O1029" i="47" s="1"/>
  <c r="B1030" i="47"/>
  <c r="B1031" i="47"/>
  <c r="O1031" i="47" s="1"/>
  <c r="B1032" i="47"/>
  <c r="B1033" i="47"/>
  <c r="O1033" i="47" s="1"/>
  <c r="B1034" i="47"/>
  <c r="B1035" i="47"/>
  <c r="B1036" i="47"/>
  <c r="B1037" i="47"/>
  <c r="O1037" i="47" s="1"/>
  <c r="B1038" i="47"/>
  <c r="B1039" i="47"/>
  <c r="B1072" i="47"/>
  <c r="B1025" i="47"/>
  <c r="D969" i="47"/>
  <c r="E969" i="47"/>
  <c r="F969" i="47"/>
  <c r="G969" i="47"/>
  <c r="D970" i="47"/>
  <c r="E970" i="47"/>
  <c r="F970" i="47"/>
  <c r="G970" i="47"/>
  <c r="D971" i="47"/>
  <c r="E971" i="47"/>
  <c r="F971" i="47"/>
  <c r="G971" i="47"/>
  <c r="D972" i="47"/>
  <c r="E972" i="47"/>
  <c r="F972" i="47"/>
  <c r="G972" i="47"/>
  <c r="D973" i="47"/>
  <c r="E973" i="47"/>
  <c r="F973" i="47"/>
  <c r="G973" i="47"/>
  <c r="D974" i="47"/>
  <c r="E974" i="47"/>
  <c r="F974" i="47"/>
  <c r="G974" i="47"/>
  <c r="D975" i="47"/>
  <c r="E975" i="47"/>
  <c r="F975" i="47"/>
  <c r="G975" i="47"/>
  <c r="D976" i="47"/>
  <c r="E976" i="47"/>
  <c r="F976" i="47"/>
  <c r="G976" i="47"/>
  <c r="D977" i="47"/>
  <c r="E977" i="47"/>
  <c r="F977" i="47"/>
  <c r="G977" i="47"/>
  <c r="D978" i="47"/>
  <c r="E978" i="47"/>
  <c r="F978" i="47"/>
  <c r="G978" i="47"/>
  <c r="D979" i="47"/>
  <c r="E979" i="47"/>
  <c r="F979" i="47"/>
  <c r="G979" i="47"/>
  <c r="D980" i="47"/>
  <c r="E980" i="47"/>
  <c r="F980" i="47"/>
  <c r="G980" i="47"/>
  <c r="D981" i="47"/>
  <c r="E981" i="47"/>
  <c r="F981" i="47"/>
  <c r="G981" i="47"/>
  <c r="D982" i="47"/>
  <c r="E982" i="47"/>
  <c r="F982" i="47"/>
  <c r="G982" i="47"/>
  <c r="D983" i="47"/>
  <c r="E983" i="47"/>
  <c r="F983" i="47"/>
  <c r="G983" i="47"/>
  <c r="D984" i="47"/>
  <c r="E984" i="47"/>
  <c r="F984" i="47"/>
  <c r="G984" i="47"/>
  <c r="D985" i="47"/>
  <c r="E985" i="47"/>
  <c r="F985" i="47"/>
  <c r="G985" i="47"/>
  <c r="E968" i="47"/>
  <c r="F968" i="47"/>
  <c r="G968" i="47"/>
  <c r="C969" i="47"/>
  <c r="C970" i="47"/>
  <c r="C971" i="47"/>
  <c r="C972" i="47"/>
  <c r="C973" i="47"/>
  <c r="C974" i="47"/>
  <c r="C975" i="47"/>
  <c r="C976" i="47"/>
  <c r="C977" i="47"/>
  <c r="C978" i="47"/>
  <c r="C979" i="47"/>
  <c r="C980" i="47"/>
  <c r="C981" i="47"/>
  <c r="C982" i="47"/>
  <c r="C983" i="47"/>
  <c r="C984" i="47"/>
  <c r="C985" i="47"/>
  <c r="C968" i="47"/>
  <c r="B1186" i="47"/>
  <c r="A1186" i="47"/>
  <c r="A1195" i="47" s="1"/>
  <c r="B1185" i="47"/>
  <c r="D1185" i="47" s="1"/>
  <c r="A1185" i="47"/>
  <c r="A1194" i="47" s="1"/>
  <c r="B1184" i="47"/>
  <c r="A1184" i="47"/>
  <c r="A1193" i="47" s="1"/>
  <c r="M1176" i="47"/>
  <c r="L1176" i="47"/>
  <c r="J1176" i="47"/>
  <c r="I1176" i="47"/>
  <c r="H1176" i="47"/>
  <c r="G1176" i="47"/>
  <c r="M1175" i="47"/>
  <c r="L1175" i="47"/>
  <c r="J1175" i="47"/>
  <c r="I1175" i="47"/>
  <c r="H1175" i="47"/>
  <c r="G1175" i="47"/>
  <c r="O1174" i="47"/>
  <c r="M1174" i="47"/>
  <c r="L1174" i="47"/>
  <c r="J1174" i="47"/>
  <c r="I1174" i="47"/>
  <c r="H1174" i="47"/>
  <c r="G1174" i="47"/>
  <c r="C1168" i="47"/>
  <c r="B1163" i="47"/>
  <c r="B1169" i="47" s="1"/>
  <c r="D1169" i="47" s="1"/>
  <c r="A1163" i="47"/>
  <c r="A1169" i="47" s="1"/>
  <c r="C1162" i="47"/>
  <c r="B1162" i="47"/>
  <c r="B1168" i="47" s="1"/>
  <c r="A1162" i="47"/>
  <c r="A1168" i="47" s="1"/>
  <c r="M1156" i="47"/>
  <c r="L1156" i="47"/>
  <c r="J1156" i="47"/>
  <c r="I1156" i="47"/>
  <c r="H1156" i="47"/>
  <c r="G1156" i="47"/>
  <c r="O1155" i="47"/>
  <c r="M1155" i="47"/>
  <c r="L1155" i="47"/>
  <c r="J1155" i="47"/>
  <c r="I1155" i="47"/>
  <c r="I1157" i="47" s="1"/>
  <c r="I1158" i="47" s="1"/>
  <c r="H1155" i="47"/>
  <c r="G1155" i="47"/>
  <c r="C1150" i="47"/>
  <c r="B1150" i="47"/>
  <c r="D1150" i="47" s="1"/>
  <c r="C1149" i="47"/>
  <c r="B1149" i="47"/>
  <c r="B1144" i="47"/>
  <c r="B1143" i="47"/>
  <c r="E1144" i="47" s="1"/>
  <c r="D1139" i="47"/>
  <c r="D1140" i="47" s="1"/>
  <c r="E310" i="1" s="1"/>
  <c r="C1134" i="47"/>
  <c r="B1134" i="47"/>
  <c r="C1133" i="47"/>
  <c r="D1133" i="47" s="1"/>
  <c r="B1133" i="47"/>
  <c r="C1132" i="47"/>
  <c r="B1132" i="47"/>
  <c r="C1131" i="47"/>
  <c r="B1131" i="47"/>
  <c r="C1126" i="47"/>
  <c r="D1126" i="47" s="1"/>
  <c r="E1125" i="47"/>
  <c r="B1125" i="47"/>
  <c r="E1126" i="47" s="1"/>
  <c r="C1122" i="47"/>
  <c r="D1122" i="47" s="1"/>
  <c r="E1120" i="47"/>
  <c r="B1120" i="47"/>
  <c r="C1120" i="47" s="1"/>
  <c r="D1120" i="47" s="1"/>
  <c r="D1116" i="47"/>
  <c r="E1115" i="47"/>
  <c r="B1115" i="47"/>
  <c r="C1115" i="47" s="1"/>
  <c r="D1115" i="47" s="1"/>
  <c r="C1112" i="47"/>
  <c r="D1112" i="47" s="1"/>
  <c r="E1110" i="47"/>
  <c r="B1110" i="47"/>
  <c r="E1112" i="47" s="1"/>
  <c r="E1105" i="47"/>
  <c r="E1104" i="47"/>
  <c r="E1103" i="47"/>
  <c r="E1102" i="47"/>
  <c r="A1072" i="47"/>
  <c r="A1097" i="47" s="1"/>
  <c r="A1066" i="47"/>
  <c r="A1091" i="47" s="1"/>
  <c r="A1065" i="47"/>
  <c r="A1090" i="47" s="1"/>
  <c r="A1064" i="47"/>
  <c r="A1089" i="47" s="1"/>
  <c r="A1063" i="47"/>
  <c r="A1088" i="47" s="1"/>
  <c r="A1062" i="47"/>
  <c r="A1087" i="47" s="1"/>
  <c r="A1061" i="47"/>
  <c r="A1086" i="47" s="1"/>
  <c r="A1060" i="47"/>
  <c r="A1085" i="47" s="1"/>
  <c r="A1059" i="47"/>
  <c r="A1084" i="47" s="1"/>
  <c r="A1058" i="47"/>
  <c r="A1083" i="47" s="1"/>
  <c r="A1057" i="47"/>
  <c r="A1082" i="47" s="1"/>
  <c r="A1056" i="47"/>
  <c r="A1081" i="47" s="1"/>
  <c r="A1055" i="47"/>
  <c r="A1080" i="47" s="1"/>
  <c r="A1054" i="47"/>
  <c r="A1079" i="47" s="1"/>
  <c r="A1053" i="47"/>
  <c r="A1078" i="47" s="1"/>
  <c r="A1052" i="47"/>
  <c r="A1077" i="47" s="1"/>
  <c r="O1039" i="47"/>
  <c r="O1038" i="47"/>
  <c r="O1030" i="47"/>
  <c r="A1013" i="47"/>
  <c r="A1012" i="47"/>
  <c r="A1011" i="47"/>
  <c r="A1010" i="47"/>
  <c r="A1009" i="47"/>
  <c r="A1008" i="47"/>
  <c r="A1007" i="47"/>
  <c r="A1006" i="47"/>
  <c r="A1005" i="47"/>
  <c r="A1004" i="47"/>
  <c r="A1003" i="47"/>
  <c r="A1002" i="47"/>
  <c r="A1001" i="47"/>
  <c r="A1000" i="47"/>
  <c r="A999" i="47"/>
  <c r="A998" i="47"/>
  <c r="A997" i="47"/>
  <c r="A996" i="47"/>
  <c r="C991" i="47"/>
  <c r="C1020" i="47" s="1"/>
  <c r="B991" i="47"/>
  <c r="B1020" i="47" s="1"/>
  <c r="A991" i="47"/>
  <c r="A1020" i="47" s="1"/>
  <c r="A990" i="47"/>
  <c r="A1019" i="47" s="1"/>
  <c r="A985" i="47"/>
  <c r="A984" i="47"/>
  <c r="A983" i="47"/>
  <c r="A982" i="47"/>
  <c r="A981" i="47"/>
  <c r="A980" i="47"/>
  <c r="A979" i="47"/>
  <c r="A978" i="47"/>
  <c r="A977" i="47"/>
  <c r="A976" i="47"/>
  <c r="A975" i="47"/>
  <c r="A974" i="47"/>
  <c r="A973" i="47"/>
  <c r="A972" i="47"/>
  <c r="A971" i="47"/>
  <c r="A970" i="47"/>
  <c r="A969" i="47"/>
  <c r="A968" i="47"/>
  <c r="C990" i="47"/>
  <c r="C1013" i="47"/>
  <c r="C1012" i="47"/>
  <c r="C1011" i="47"/>
  <c r="C1010" i="47"/>
  <c r="C1009" i="47"/>
  <c r="C1008" i="47"/>
  <c r="C1007" i="47"/>
  <c r="H38" i="40"/>
  <c r="H39" i="40"/>
  <c r="H40" i="40"/>
  <c r="H41" i="40"/>
  <c r="H42" i="40"/>
  <c r="H43" i="40"/>
  <c r="H44" i="40"/>
  <c r="H45" i="40"/>
  <c r="H46" i="40"/>
  <c r="H47" i="40"/>
  <c r="H48" i="40"/>
  <c r="H49" i="40"/>
  <c r="H50" i="40"/>
  <c r="H51" i="40"/>
  <c r="H52" i="40"/>
  <c r="H53" i="40"/>
  <c r="H54" i="40"/>
  <c r="H55" i="40"/>
  <c r="H56" i="40"/>
  <c r="H57" i="40"/>
  <c r="H58" i="40"/>
  <c r="H59" i="40"/>
  <c r="H60" i="40"/>
  <c r="H61" i="40"/>
  <c r="H62" i="40"/>
  <c r="H63" i="40"/>
  <c r="H64" i="40"/>
  <c r="H65" i="40"/>
  <c r="H37" i="40"/>
  <c r="H794" i="1"/>
  <c r="G794" i="1"/>
  <c r="E794" i="1"/>
  <c r="I793" i="1"/>
  <c r="E793" i="1"/>
  <c r="J793" i="1" s="1"/>
  <c r="D783" i="1"/>
  <c r="D779" i="1"/>
  <c r="D777" i="1"/>
  <c r="D775" i="1"/>
  <c r="D773" i="1"/>
  <c r="K772" i="1"/>
  <c r="K771" i="1"/>
  <c r="K770" i="1"/>
  <c r="J770" i="1"/>
  <c r="I770" i="1"/>
  <c r="P769" i="1"/>
  <c r="P761" i="1"/>
  <c r="P948" i="1"/>
  <c r="E1237" i="1"/>
  <c r="E1236" i="1"/>
  <c r="A901" i="1"/>
  <c r="A1236" i="1"/>
  <c r="A1237" i="1" s="1"/>
  <c r="G1157" i="47" l="1"/>
  <c r="G1158" i="47" s="1"/>
  <c r="J1025" i="47"/>
  <c r="D1168" i="47"/>
  <c r="D1170" i="47" s="1"/>
  <c r="E320" i="1" s="1"/>
  <c r="A321" i="1"/>
  <c r="O1025" i="47"/>
  <c r="J1031" i="47"/>
  <c r="D1134" i="47"/>
  <c r="J1157" i="47"/>
  <c r="J1158" i="47" s="1"/>
  <c r="E318" i="1" s="1"/>
  <c r="E1116" i="47"/>
  <c r="F1116" i="47" s="1"/>
  <c r="G1116" i="47" s="1"/>
  <c r="F1115" i="47"/>
  <c r="G1115" i="47" s="1"/>
  <c r="J1026" i="47"/>
  <c r="N1155" i="47"/>
  <c r="P1155" i="47" s="1"/>
  <c r="N1175" i="47"/>
  <c r="P1175" i="47" s="1"/>
  <c r="N1176" i="47"/>
  <c r="P1176" i="47" s="1"/>
  <c r="H1179" i="47"/>
  <c r="H1180" i="47" s="1"/>
  <c r="D1149" i="47"/>
  <c r="D1151" i="47" s="1"/>
  <c r="E314" i="1" s="1"/>
  <c r="K593" i="1"/>
  <c r="K606" i="1"/>
  <c r="K594" i="1"/>
  <c r="K598" i="1"/>
  <c r="K602" i="1"/>
  <c r="K601" i="1"/>
  <c r="L770" i="1"/>
  <c r="K794" i="1"/>
  <c r="I794" i="1"/>
  <c r="K597" i="1"/>
  <c r="K617" i="1"/>
  <c r="K591" i="1"/>
  <c r="K616" i="1"/>
  <c r="K612" i="1"/>
  <c r="K608" i="1"/>
  <c r="K604" i="1"/>
  <c r="K600" i="1"/>
  <c r="K596" i="1"/>
  <c r="K793" i="1"/>
  <c r="L793" i="1" s="1"/>
  <c r="G1179" i="47"/>
  <c r="G1180" i="47" s="1"/>
  <c r="K615" i="1"/>
  <c r="K603" i="1"/>
  <c r="K599" i="1"/>
  <c r="K592" i="1"/>
  <c r="K611" i="1"/>
  <c r="K619" i="1"/>
  <c r="K595" i="1"/>
  <c r="K614" i="1"/>
  <c r="K610" i="1"/>
  <c r="K607" i="1"/>
  <c r="O1026" i="47"/>
  <c r="F991" i="47"/>
  <c r="F1112" i="47"/>
  <c r="G1112" i="47" s="1"/>
  <c r="F1126" i="47"/>
  <c r="G1126" i="47" s="1"/>
  <c r="D1132" i="47"/>
  <c r="C1143" i="47"/>
  <c r="D1143" i="47" s="1"/>
  <c r="H1157" i="47"/>
  <c r="H1158" i="47" s="1"/>
  <c r="N1156" i="47"/>
  <c r="P1156" i="47" s="1"/>
  <c r="D1163" i="47"/>
  <c r="D1184" i="47"/>
  <c r="C1110" i="47"/>
  <c r="D1110" i="47" s="1"/>
  <c r="F1110" i="47" s="1"/>
  <c r="G1110" i="47" s="1"/>
  <c r="F1120" i="47"/>
  <c r="G1120" i="47" s="1"/>
  <c r="C1125" i="47"/>
  <c r="D1125" i="47" s="1"/>
  <c r="F1125" i="47" s="1"/>
  <c r="G1125" i="47" s="1"/>
  <c r="D1131" i="47"/>
  <c r="D1162" i="47"/>
  <c r="J1179" i="47"/>
  <c r="J1180" i="47" s="1"/>
  <c r="E324" i="1" s="1"/>
  <c r="J1030" i="47"/>
  <c r="B1064" i="47"/>
  <c r="B1089" i="47" s="1"/>
  <c r="N1174" i="47"/>
  <c r="P1174" i="47" s="1"/>
  <c r="D1186" i="47"/>
  <c r="C996" i="47"/>
  <c r="C997" i="47"/>
  <c r="C998" i="47"/>
  <c r="C999" i="47"/>
  <c r="C1000" i="47"/>
  <c r="C1001" i="47"/>
  <c r="C1005" i="47"/>
  <c r="C1004" i="47"/>
  <c r="C1019" i="47"/>
  <c r="C1003" i="47"/>
  <c r="B996" i="47"/>
  <c r="B968" i="47"/>
  <c r="C1002" i="47"/>
  <c r="C1006" i="47"/>
  <c r="B1054" i="47"/>
  <c r="N1027" i="47"/>
  <c r="L1027" i="47"/>
  <c r="K1027" i="47"/>
  <c r="B1059" i="47"/>
  <c r="N1032" i="47"/>
  <c r="I1032" i="47"/>
  <c r="L1032" i="47"/>
  <c r="H1032" i="47"/>
  <c r="K1032" i="47"/>
  <c r="O1027" i="47"/>
  <c r="N1033" i="47"/>
  <c r="P1033" i="47" s="1"/>
  <c r="B1060" i="47"/>
  <c r="N1034" i="47"/>
  <c r="B1061" i="47"/>
  <c r="O1034" i="47"/>
  <c r="I1179" i="47"/>
  <c r="I1180" i="47" s="1"/>
  <c r="N1025" i="47"/>
  <c r="P1025" i="47" s="1"/>
  <c r="I1025" i="47"/>
  <c r="B1052" i="47"/>
  <c r="L1025" i="47"/>
  <c r="H1025" i="47"/>
  <c r="K1025" i="47"/>
  <c r="N1029" i="47"/>
  <c r="P1029" i="47" s="1"/>
  <c r="I1029" i="47"/>
  <c r="B1056" i="47"/>
  <c r="L1029" i="47"/>
  <c r="H1029" i="47"/>
  <c r="K1029" i="47"/>
  <c r="B1057" i="47"/>
  <c r="N1030" i="47"/>
  <c r="P1030" i="47" s="1"/>
  <c r="I1030" i="47"/>
  <c r="L1030" i="47"/>
  <c r="H1030" i="47"/>
  <c r="K1030" i="47"/>
  <c r="J1032" i="47"/>
  <c r="B1053" i="47"/>
  <c r="N1026" i="47"/>
  <c r="I1026" i="47"/>
  <c r="L1026" i="47"/>
  <c r="H1026" i="47"/>
  <c r="K1026" i="47"/>
  <c r="B1055" i="47"/>
  <c r="N1028" i="47"/>
  <c r="P1028" i="47" s="1"/>
  <c r="L1028" i="47"/>
  <c r="H1028" i="47"/>
  <c r="K1028" i="47"/>
  <c r="B1058" i="47"/>
  <c r="N1031" i="47"/>
  <c r="P1031" i="47" s="1"/>
  <c r="I1031" i="47"/>
  <c r="L1031" i="47"/>
  <c r="H1031" i="47"/>
  <c r="K1031" i="47"/>
  <c r="O1032" i="47"/>
  <c r="M991" i="47"/>
  <c r="B1063" i="47"/>
  <c r="O1036" i="47"/>
  <c r="N1036" i="47"/>
  <c r="B1097" i="47"/>
  <c r="E1122" i="47"/>
  <c r="F1122" i="47" s="1"/>
  <c r="G1122" i="47" s="1"/>
  <c r="E1143" i="47"/>
  <c r="C1144" i="47"/>
  <c r="D1144" i="47" s="1"/>
  <c r="F1144" i="47" s="1"/>
  <c r="F1146" i="47" s="1"/>
  <c r="E312" i="1" s="1"/>
  <c r="N991" i="47"/>
  <c r="E1106" i="47"/>
  <c r="E304" i="1" s="1"/>
  <c r="B1065" i="47"/>
  <c r="B1195" i="47"/>
  <c r="D1195" i="47" s="1"/>
  <c r="N1037" i="47"/>
  <c r="P1037" i="47" s="1"/>
  <c r="N1038" i="47"/>
  <c r="P1038" i="47" s="1"/>
  <c r="N1039" i="47"/>
  <c r="P1039" i="47" s="1"/>
  <c r="B1066" i="47"/>
  <c r="B1193" i="47"/>
  <c r="D1193" i="47" s="1"/>
  <c r="B1194" i="47"/>
  <c r="D1194" i="47" s="1"/>
  <c r="K618" i="1"/>
  <c r="K605" i="1"/>
  <c r="K609" i="1"/>
  <c r="K613" i="1"/>
  <c r="J794" i="1"/>
  <c r="D1164" i="47" l="1"/>
  <c r="E316" i="1" s="1"/>
  <c r="P1179" i="47"/>
  <c r="P1180" i="47" s="1"/>
  <c r="E325" i="1" s="1"/>
  <c r="G1127" i="47"/>
  <c r="E306" i="1" s="1"/>
  <c r="K620" i="1"/>
  <c r="G1128" i="47"/>
  <c r="E307" i="1" s="1"/>
  <c r="D1135" i="47"/>
  <c r="E308" i="1" s="1"/>
  <c r="P1026" i="47"/>
  <c r="P1157" i="47"/>
  <c r="P1158" i="47" s="1"/>
  <c r="E319" i="1" s="1"/>
  <c r="L794" i="1"/>
  <c r="F1143" i="47"/>
  <c r="F1145" i="47" s="1"/>
  <c r="E313" i="1" s="1"/>
  <c r="P1034" i="47"/>
  <c r="P1036" i="47"/>
  <c r="D1189" i="47"/>
  <c r="E322" i="1" s="1"/>
  <c r="O991" i="47"/>
  <c r="Q991" i="47" s="1"/>
  <c r="B1090" i="47"/>
  <c r="B1082" i="47"/>
  <c r="D1198" i="47"/>
  <c r="E326" i="1" s="1"/>
  <c r="B1083" i="47"/>
  <c r="B1080" i="47"/>
  <c r="B1084" i="47"/>
  <c r="B1086" i="47"/>
  <c r="B1077" i="47"/>
  <c r="J968" i="47"/>
  <c r="N968" i="47"/>
  <c r="I968" i="47"/>
  <c r="M968" i="47"/>
  <c r="K968" i="47"/>
  <c r="B1081" i="47"/>
  <c r="B1085" i="47"/>
  <c r="B1091" i="47"/>
  <c r="B1088" i="47"/>
  <c r="B1078" i="47"/>
  <c r="P1027" i="47"/>
  <c r="P1032" i="47"/>
  <c r="B1079" i="47"/>
  <c r="K156" i="36"/>
  <c r="K149" i="36"/>
  <c r="K142" i="36"/>
  <c r="K135" i="36"/>
  <c r="K127" i="36"/>
  <c r="K67" i="36"/>
  <c r="K58" i="36"/>
  <c r="E84" i="36"/>
  <c r="O968" i="47" l="1"/>
  <c r="E456" i="1"/>
  <c r="E455" i="1"/>
  <c r="D1095" i="1" l="1"/>
  <c r="D1010" i="1"/>
  <c r="H417" i="24"/>
  <c r="D1013" i="1"/>
  <c r="D1005" i="1"/>
  <c r="C272" i="27" l="1"/>
  <c r="G284" i="21"/>
  <c r="H284" i="21" s="1"/>
  <c r="D670" i="1"/>
  <c r="G289" i="21" l="1"/>
  <c r="H289" i="21" s="1"/>
  <c r="I284" i="21" s="1"/>
  <c r="B291" i="32" l="1"/>
  <c r="B290" i="32"/>
  <c r="E291" i="25" l="1"/>
  <c r="E292" i="25"/>
  <c r="G252" i="15" l="1"/>
  <c r="G261" i="15"/>
  <c r="H261" i="15" s="1"/>
  <c r="F261" i="15"/>
  <c r="G260" i="15"/>
  <c r="H260" i="15" s="1"/>
  <c r="F260" i="15"/>
  <c r="G259" i="15"/>
  <c r="H259" i="15" s="1"/>
  <c r="F259" i="15"/>
  <c r="G258" i="15"/>
  <c r="F258" i="15"/>
  <c r="G257" i="15"/>
  <c r="F257" i="15"/>
  <c r="G255" i="15"/>
  <c r="H255" i="15" s="1"/>
  <c r="F255" i="15"/>
  <c r="G254" i="15"/>
  <c r="H254" i="15" s="1"/>
  <c r="H253" i="15"/>
  <c r="I252" i="15"/>
  <c r="F252" i="15"/>
  <c r="H252" i="15" s="1"/>
  <c r="I251" i="15"/>
  <c r="G251" i="15"/>
  <c r="H257" i="15" l="1"/>
  <c r="H258" i="15"/>
  <c r="I261" i="15"/>
  <c r="B184" i="32"/>
  <c r="D1051" i="1" l="1"/>
  <c r="B1298" i="1" l="1"/>
  <c r="C1227" i="47"/>
  <c r="K244" i="1"/>
  <c r="J244" i="1"/>
  <c r="I244" i="1"/>
  <c r="K242" i="1"/>
  <c r="J242" i="1"/>
  <c r="I242" i="1"/>
  <c r="E25" i="36"/>
  <c r="L242" i="1" l="1"/>
  <c r="L244" i="1"/>
  <c r="D672" i="1" l="1"/>
  <c r="B245" i="36" l="1"/>
  <c r="E26" i="36"/>
  <c r="E151" i="36"/>
  <c r="E150" i="36"/>
  <c r="E158" i="36"/>
  <c r="E157" i="36"/>
  <c r="E164" i="36"/>
  <c r="E165" i="36"/>
  <c r="E171" i="36"/>
  <c r="B276" i="32" l="1"/>
  <c r="C74" i="13"/>
  <c r="F172" i="19" l="1"/>
  <c r="F171" i="19"/>
  <c r="F170" i="19"/>
  <c r="F169" i="19"/>
  <c r="F168" i="19"/>
  <c r="F167" i="19"/>
  <c r="E75" i="36"/>
  <c r="E67" i="36"/>
  <c r="E37" i="36"/>
  <c r="B262" i="32" l="1"/>
  <c r="C122" i="32"/>
  <c r="D825" i="1"/>
  <c r="D830" i="1"/>
  <c r="C271" i="27"/>
  <c r="G354" i="21"/>
  <c r="H354" i="21" l="1"/>
  <c r="G359" i="21" s="1"/>
  <c r="H359" i="21" s="1"/>
  <c r="I354" i="21" s="1"/>
  <c r="F122" i="32"/>
  <c r="G830" i="1" l="1"/>
  <c r="G753" i="1"/>
  <c r="J753" i="1" s="1"/>
  <c r="G869" i="1"/>
  <c r="J869" i="1" s="1"/>
  <c r="G792" i="1"/>
  <c r="D740" i="1"/>
  <c r="D738" i="1"/>
  <c r="D736" i="1"/>
  <c r="D734" i="1"/>
  <c r="D744" i="1"/>
  <c r="D706" i="1"/>
  <c r="D700" i="1"/>
  <c r="D698" i="1"/>
  <c r="D696" i="1"/>
  <c r="D664" i="1"/>
  <c r="D654" i="1"/>
  <c r="D1276" i="1" l="1"/>
  <c r="B193" i="32" s="1"/>
  <c r="C118" i="13"/>
  <c r="C96" i="13"/>
  <c r="G263" i="13"/>
  <c r="C207" i="27"/>
  <c r="G267" i="19"/>
  <c r="H267" i="19" s="1"/>
  <c r="H268" i="19"/>
  <c r="F163" i="19"/>
  <c r="F162" i="19"/>
  <c r="F148" i="19"/>
  <c r="C206" i="27"/>
  <c r="G263" i="19"/>
  <c r="H263" i="19" s="1"/>
  <c r="F263" i="19"/>
  <c r="G262" i="19"/>
  <c r="F262" i="19"/>
  <c r="G261" i="19"/>
  <c r="F261" i="19"/>
  <c r="G260" i="19"/>
  <c r="G259" i="19"/>
  <c r="H259" i="19" s="1"/>
  <c r="G258" i="19"/>
  <c r="H258" i="19" s="1"/>
  <c r="G257" i="19"/>
  <c r="H257" i="19" s="1"/>
  <c r="I256" i="19"/>
  <c r="H256" i="19"/>
  <c r="I255" i="19"/>
  <c r="H255" i="19"/>
  <c r="F176" i="19"/>
  <c r="H261" i="19" l="1"/>
  <c r="K1286" i="1"/>
  <c r="I268" i="19"/>
  <c r="H1285" i="1" s="1"/>
  <c r="K1285" i="1" s="1"/>
  <c r="H269" i="19"/>
  <c r="H270" i="19" s="1"/>
  <c r="F207" i="27" s="1"/>
  <c r="I267" i="19"/>
  <c r="H260" i="19"/>
  <c r="H262" i="19"/>
  <c r="I259" i="19"/>
  <c r="G1263" i="1" s="1"/>
  <c r="J1263" i="1" l="1"/>
  <c r="L1263" i="1" s="1"/>
  <c r="I1263" i="1"/>
  <c r="J1286" i="1"/>
  <c r="L1286" i="1" s="1"/>
  <c r="G1285" i="1"/>
  <c r="G1262" i="1"/>
  <c r="I1286" i="1"/>
  <c r="H264" i="19"/>
  <c r="H265" i="19" s="1"/>
  <c r="F206" i="27" s="1"/>
  <c r="I263" i="19"/>
  <c r="E144" i="36"/>
  <c r="E143" i="36"/>
  <c r="J1285" i="1" l="1"/>
  <c r="L1285" i="1" s="1"/>
  <c r="I1285" i="1"/>
  <c r="I472" i="1"/>
  <c r="J472" i="1"/>
  <c r="L472" i="1" s="1"/>
  <c r="Y15" i="48"/>
  <c r="V14" i="48"/>
  <c r="T14" i="48"/>
  <c r="S14" i="48"/>
  <c r="U14" i="48"/>
  <c r="W14" i="48"/>
  <c r="X14" i="48"/>
  <c r="Y14" i="48"/>
  <c r="Z14" i="48"/>
  <c r="AA14" i="48"/>
  <c r="AB14" i="48"/>
  <c r="AC14" i="48"/>
  <c r="AD14" i="48"/>
  <c r="AE14" i="48"/>
  <c r="AF14" i="48"/>
  <c r="AG14" i="48"/>
  <c r="AH14" i="48"/>
  <c r="AI14" i="48"/>
  <c r="S15" i="48"/>
  <c r="T15" i="48"/>
  <c r="U15" i="48"/>
  <c r="V15" i="48"/>
  <c r="W15" i="48"/>
  <c r="X15" i="48"/>
  <c r="Z15" i="48"/>
  <c r="AA15" i="48"/>
  <c r="AB15" i="48"/>
  <c r="AC15" i="48"/>
  <c r="AD15" i="48"/>
  <c r="AE15" i="48"/>
  <c r="AF15" i="48"/>
  <c r="AG15" i="48"/>
  <c r="AH15" i="48"/>
  <c r="AI15" i="48"/>
  <c r="S16" i="48"/>
  <c r="T16" i="48"/>
  <c r="U16" i="48"/>
  <c r="V16" i="48"/>
  <c r="W16" i="48"/>
  <c r="X16" i="48"/>
  <c r="Y16" i="48"/>
  <c r="Z16" i="48"/>
  <c r="AA16" i="48"/>
  <c r="AB16" i="48"/>
  <c r="AC16" i="48"/>
  <c r="AD16" i="48"/>
  <c r="AE16" i="48"/>
  <c r="AF16" i="48"/>
  <c r="AG16" i="48"/>
  <c r="AH16" i="48"/>
  <c r="AI16" i="48"/>
  <c r="S17" i="48"/>
  <c r="T17" i="48"/>
  <c r="U17" i="48"/>
  <c r="V17" i="48"/>
  <c r="W17" i="48"/>
  <c r="X17" i="48"/>
  <c r="Y17" i="48"/>
  <c r="Z17" i="48"/>
  <c r="AA17" i="48"/>
  <c r="AB17" i="48"/>
  <c r="AC17" i="48"/>
  <c r="AD17" i="48"/>
  <c r="AE17" i="48"/>
  <c r="AF17" i="48"/>
  <c r="AG17" i="48"/>
  <c r="AH17" i="48"/>
  <c r="AI17" i="48"/>
  <c r="S18" i="48"/>
  <c r="T18" i="48"/>
  <c r="U18" i="48"/>
  <c r="V18" i="48"/>
  <c r="W18" i="48"/>
  <c r="X18" i="48"/>
  <c r="Y18" i="48"/>
  <c r="Z18" i="48"/>
  <c r="AA18" i="48"/>
  <c r="AB18" i="48"/>
  <c r="AC18" i="48"/>
  <c r="AD18" i="48"/>
  <c r="AE18" i="48"/>
  <c r="AF18" i="48"/>
  <c r="AG18" i="48"/>
  <c r="AH18" i="48"/>
  <c r="AI18" i="48"/>
  <c r="S19" i="48"/>
  <c r="T19" i="48"/>
  <c r="U19" i="48"/>
  <c r="V19" i="48"/>
  <c r="W19" i="48"/>
  <c r="X19" i="48"/>
  <c r="Y19" i="48"/>
  <c r="Z19" i="48"/>
  <c r="AA19" i="48"/>
  <c r="AB19" i="48"/>
  <c r="AC19" i="48"/>
  <c r="AD19" i="48"/>
  <c r="AE19" i="48"/>
  <c r="AF19" i="48"/>
  <c r="AG19" i="48"/>
  <c r="AH19" i="48"/>
  <c r="AI19" i="48"/>
  <c r="S20" i="48"/>
  <c r="T20" i="48"/>
  <c r="U20" i="48"/>
  <c r="V20" i="48"/>
  <c r="W20" i="48"/>
  <c r="X20" i="48"/>
  <c r="Y20" i="48"/>
  <c r="Z20" i="48"/>
  <c r="AA20" i="48"/>
  <c r="AB20" i="48"/>
  <c r="AC20" i="48"/>
  <c r="AD20" i="48"/>
  <c r="AE20" i="48"/>
  <c r="AF20" i="48"/>
  <c r="AG20" i="48"/>
  <c r="AH20" i="48"/>
  <c r="AI20" i="48"/>
  <c r="S21" i="48"/>
  <c r="T21" i="48"/>
  <c r="U21" i="48"/>
  <c r="V21" i="48"/>
  <c r="W21" i="48"/>
  <c r="X21" i="48"/>
  <c r="Y21" i="48"/>
  <c r="Z21" i="48"/>
  <c r="AA21" i="48"/>
  <c r="AB21" i="48"/>
  <c r="AC21" i="48"/>
  <c r="AD21" i="48"/>
  <c r="AE21" i="48"/>
  <c r="AF21" i="48"/>
  <c r="AG21" i="48"/>
  <c r="AH21" i="48"/>
  <c r="AI21" i="48"/>
  <c r="D972" i="1"/>
  <c r="D968" i="1"/>
  <c r="D963" i="1"/>
  <c r="B183" i="32" s="1"/>
  <c r="AJ14" i="48" l="1"/>
  <c r="AJ20" i="48"/>
  <c r="AJ16" i="48"/>
  <c r="AJ17" i="48"/>
  <c r="AJ19" i="48"/>
  <c r="AJ18" i="48"/>
  <c r="AJ21" i="48"/>
  <c r="AJ15" i="48"/>
  <c r="D203" i="1"/>
  <c r="G287" i="12"/>
  <c r="D287" i="12"/>
  <c r="C286" i="12"/>
  <c r="K288" i="12"/>
  <c r="P147" i="25"/>
  <c r="M147" i="25"/>
  <c r="H287" i="12" l="1"/>
  <c r="G289" i="12" s="1"/>
  <c r="H289" i="12" s="1"/>
  <c r="I289" i="12" s="1"/>
  <c r="H203" i="1" s="1"/>
  <c r="K201" i="1"/>
  <c r="J201" i="1"/>
  <c r="I201" i="1"/>
  <c r="K117" i="1"/>
  <c r="J117" i="1"/>
  <c r="I117" i="1"/>
  <c r="K473" i="1" l="1"/>
  <c r="G288" i="12"/>
  <c r="H288" i="12" s="1"/>
  <c r="H290" i="12" s="1"/>
  <c r="H291" i="12" s="1"/>
  <c r="L117" i="1"/>
  <c r="L201" i="1"/>
  <c r="C697" i="47"/>
  <c r="H1027" i="47" s="1"/>
  <c r="I288" i="12" l="1"/>
  <c r="C226" i="32"/>
  <c r="G203" i="1" l="1"/>
  <c r="B191" i="32"/>
  <c r="J473" i="1" l="1"/>
  <c r="L473" i="1" s="1"/>
  <c r="I473" i="1"/>
  <c r="K191" i="36"/>
  <c r="K184" i="36"/>
  <c r="E192" i="36"/>
  <c r="E193" i="36"/>
  <c r="E185" i="36"/>
  <c r="E186" i="36"/>
  <c r="J449" i="47" l="1"/>
  <c r="J448" i="47"/>
  <c r="B1291" i="47"/>
  <c r="B1292" i="47"/>
  <c r="B1293" i="47"/>
  <c r="B1294" i="47"/>
  <c r="B1295" i="47"/>
  <c r="B1296" i="47"/>
  <c r="B1297" i="47"/>
  <c r="B1298" i="47"/>
  <c r="B1299" i="47"/>
  <c r="B1300" i="47"/>
  <c r="B1301" i="47"/>
  <c r="B1302" i="47"/>
  <c r="B1303" i="47"/>
  <c r="B1304" i="47"/>
  <c r="B1310" i="47"/>
  <c r="B1290" i="47"/>
  <c r="C1207" i="47"/>
  <c r="C1208" i="47"/>
  <c r="C1209" i="47"/>
  <c r="C1210" i="47"/>
  <c r="C1211" i="47"/>
  <c r="C1212" i="47"/>
  <c r="C1213" i="47"/>
  <c r="C1214" i="47"/>
  <c r="C1215" i="47"/>
  <c r="C1216" i="47"/>
  <c r="C1217" i="47"/>
  <c r="C1218" i="47"/>
  <c r="C1219" i="47"/>
  <c r="C1220" i="47"/>
  <c r="C1221" i="47"/>
  <c r="C1222" i="47"/>
  <c r="C1223" i="47"/>
  <c r="C1206" i="47"/>
  <c r="B761" i="47"/>
  <c r="B762" i="47"/>
  <c r="B763" i="47"/>
  <c r="B764" i="47"/>
  <c r="B765" i="47"/>
  <c r="B766" i="47"/>
  <c r="B767" i="47"/>
  <c r="B768" i="47"/>
  <c r="B769" i="47"/>
  <c r="B770" i="47"/>
  <c r="B771" i="47"/>
  <c r="B772" i="47"/>
  <c r="B773" i="47"/>
  <c r="B774" i="47"/>
  <c r="B780" i="47"/>
  <c r="B760" i="47"/>
  <c r="C677" i="47"/>
  <c r="C678" i="47"/>
  <c r="C679" i="47"/>
  <c r="C680" i="47"/>
  <c r="C681" i="47"/>
  <c r="C682" i="47"/>
  <c r="C683" i="47"/>
  <c r="C684" i="47"/>
  <c r="C685" i="47"/>
  <c r="C686" i="47"/>
  <c r="C687" i="47"/>
  <c r="C688" i="47"/>
  <c r="C689" i="47"/>
  <c r="C690" i="47"/>
  <c r="C691" i="47"/>
  <c r="C692" i="47"/>
  <c r="C693" i="47"/>
  <c r="C676" i="47"/>
  <c r="B496" i="47"/>
  <c r="B497" i="47"/>
  <c r="B498" i="47"/>
  <c r="B499" i="47"/>
  <c r="B500" i="47"/>
  <c r="B501" i="47"/>
  <c r="B502" i="47"/>
  <c r="B503" i="47"/>
  <c r="B504" i="47"/>
  <c r="B505" i="47"/>
  <c r="B506" i="47"/>
  <c r="B507" i="47"/>
  <c r="B508" i="47"/>
  <c r="B509" i="47"/>
  <c r="B515" i="47"/>
  <c r="B495" i="47"/>
  <c r="B419" i="47"/>
  <c r="B420" i="47"/>
  <c r="B421" i="47"/>
  <c r="B422" i="47"/>
  <c r="B423" i="47"/>
  <c r="B424" i="47"/>
  <c r="B425" i="47"/>
  <c r="B426" i="47"/>
  <c r="B427" i="47"/>
  <c r="B428" i="47"/>
  <c r="B429" i="47"/>
  <c r="B430" i="47"/>
  <c r="B431" i="47"/>
  <c r="B432" i="47"/>
  <c r="B418" i="47"/>
  <c r="C356" i="47"/>
  <c r="C355" i="47"/>
  <c r="C335" i="47"/>
  <c r="C336" i="47"/>
  <c r="C337" i="47"/>
  <c r="C338" i="47"/>
  <c r="C339" i="47"/>
  <c r="C340" i="47"/>
  <c r="C341" i="47"/>
  <c r="C342" i="47"/>
  <c r="C343" i="47"/>
  <c r="C344" i="47"/>
  <c r="C345" i="47"/>
  <c r="C346" i="47"/>
  <c r="C347" i="47"/>
  <c r="C348" i="47"/>
  <c r="C349" i="47"/>
  <c r="C350" i="47"/>
  <c r="C351" i="47"/>
  <c r="C334" i="47"/>
  <c r="C156" i="47"/>
  <c r="C135" i="47"/>
  <c r="C136" i="47"/>
  <c r="C137" i="47"/>
  <c r="C138" i="47"/>
  <c r="C139" i="47"/>
  <c r="C140" i="47"/>
  <c r="C141" i="47"/>
  <c r="C142" i="47"/>
  <c r="C143" i="47"/>
  <c r="C144" i="47"/>
  <c r="C145" i="47"/>
  <c r="C146" i="47"/>
  <c r="C147" i="47"/>
  <c r="C148" i="47"/>
  <c r="C149" i="47"/>
  <c r="C150" i="47"/>
  <c r="C151" i="47"/>
  <c r="C134" i="47"/>
  <c r="F446" i="47"/>
  <c r="G446" i="47"/>
  <c r="C471" i="47" s="1"/>
  <c r="H446" i="47"/>
  <c r="I446" i="47"/>
  <c r="J446" i="47"/>
  <c r="K446" i="47"/>
  <c r="L446" i="47"/>
  <c r="M446" i="47"/>
  <c r="N446" i="47"/>
  <c r="O446" i="47"/>
  <c r="P446" i="47"/>
  <c r="F447" i="47"/>
  <c r="G447" i="47"/>
  <c r="C472" i="47" s="1"/>
  <c r="H447" i="47"/>
  <c r="I447" i="47"/>
  <c r="J447" i="47"/>
  <c r="K447" i="47"/>
  <c r="L447" i="47"/>
  <c r="M447" i="47"/>
  <c r="N447" i="47"/>
  <c r="O447" i="47"/>
  <c r="P447" i="47"/>
  <c r="F448" i="47"/>
  <c r="G448" i="47"/>
  <c r="C473" i="47" s="1"/>
  <c r="H448" i="47"/>
  <c r="I448" i="47"/>
  <c r="K448" i="47"/>
  <c r="L448" i="47"/>
  <c r="M448" i="47"/>
  <c r="N448" i="47"/>
  <c r="O448" i="47"/>
  <c r="P448" i="47"/>
  <c r="F449" i="47"/>
  <c r="G449" i="47"/>
  <c r="C474" i="47" s="1"/>
  <c r="H449" i="47"/>
  <c r="I449" i="47"/>
  <c r="K449" i="47"/>
  <c r="L449" i="47"/>
  <c r="M449" i="47"/>
  <c r="N449" i="47"/>
  <c r="O449" i="47"/>
  <c r="P449" i="47"/>
  <c r="F450" i="47"/>
  <c r="G450" i="47"/>
  <c r="C475" i="47" s="1"/>
  <c r="H450" i="47"/>
  <c r="I450" i="47"/>
  <c r="J450" i="47"/>
  <c r="K450" i="47"/>
  <c r="L450" i="47"/>
  <c r="M450" i="47"/>
  <c r="N450" i="47"/>
  <c r="O450" i="47"/>
  <c r="P450" i="47"/>
  <c r="F451" i="47"/>
  <c r="G451" i="47"/>
  <c r="C476" i="47" s="1"/>
  <c r="H451" i="47"/>
  <c r="I451" i="47"/>
  <c r="J451" i="47"/>
  <c r="K451" i="47"/>
  <c r="L451" i="47"/>
  <c r="M451" i="47"/>
  <c r="N451" i="47"/>
  <c r="O451" i="47"/>
  <c r="P451" i="47"/>
  <c r="F452" i="47"/>
  <c r="G452" i="47"/>
  <c r="C477" i="47" s="1"/>
  <c r="H452" i="47"/>
  <c r="I452" i="47"/>
  <c r="J452" i="47"/>
  <c r="K452" i="47"/>
  <c r="L452" i="47"/>
  <c r="M452" i="47"/>
  <c r="N452" i="47"/>
  <c r="O452" i="47"/>
  <c r="P452" i="47"/>
  <c r="F453" i="47"/>
  <c r="G453" i="47"/>
  <c r="C478" i="47" s="1"/>
  <c r="H453" i="47"/>
  <c r="I453" i="47"/>
  <c r="J453" i="47"/>
  <c r="K453" i="47"/>
  <c r="L453" i="47"/>
  <c r="M453" i="47"/>
  <c r="N453" i="47"/>
  <c r="O453" i="47"/>
  <c r="P453" i="47"/>
  <c r="F454" i="47"/>
  <c r="G454" i="47"/>
  <c r="C479" i="47" s="1"/>
  <c r="H454" i="47"/>
  <c r="I454" i="47"/>
  <c r="J454" i="47"/>
  <c r="K454" i="47"/>
  <c r="L454" i="47"/>
  <c r="M454" i="47"/>
  <c r="N454" i="47"/>
  <c r="O454" i="47"/>
  <c r="P454" i="47"/>
  <c r="F455" i="47"/>
  <c r="E1660" i="47" s="1"/>
  <c r="G455" i="47"/>
  <c r="C480" i="47" s="1"/>
  <c r="H455" i="47"/>
  <c r="I455" i="47"/>
  <c r="J455" i="47"/>
  <c r="K455" i="47"/>
  <c r="L455" i="47"/>
  <c r="M455" i="47"/>
  <c r="N455" i="47"/>
  <c r="O455" i="47"/>
  <c r="P455" i="47"/>
  <c r="F456" i="47"/>
  <c r="G456" i="47"/>
  <c r="C481" i="47" s="1"/>
  <c r="H456" i="47"/>
  <c r="I456" i="47"/>
  <c r="J456" i="47"/>
  <c r="K456" i="47"/>
  <c r="L456" i="47"/>
  <c r="M456" i="47"/>
  <c r="N456" i="47"/>
  <c r="O456" i="47"/>
  <c r="P456" i="47"/>
  <c r="F457" i="47"/>
  <c r="G457" i="47"/>
  <c r="C482" i="47" s="1"/>
  <c r="H457" i="47"/>
  <c r="I457" i="47"/>
  <c r="J457" i="47"/>
  <c r="K457" i="47"/>
  <c r="L457" i="47"/>
  <c r="M457" i="47"/>
  <c r="N457" i="47"/>
  <c r="O457" i="47"/>
  <c r="P457" i="47"/>
  <c r="F458" i="47"/>
  <c r="G458" i="47"/>
  <c r="C483" i="47" s="1"/>
  <c r="H458" i="47"/>
  <c r="I458" i="47"/>
  <c r="J458" i="47"/>
  <c r="K458" i="47"/>
  <c r="L458" i="47"/>
  <c r="M458" i="47"/>
  <c r="N458" i="47"/>
  <c r="O458" i="47"/>
  <c r="P458" i="47"/>
  <c r="F459" i="47"/>
  <c r="G459" i="47"/>
  <c r="C484" i="47" s="1"/>
  <c r="H459" i="47"/>
  <c r="I459" i="47"/>
  <c r="J459" i="47"/>
  <c r="K459" i="47"/>
  <c r="L459" i="47"/>
  <c r="M459" i="47"/>
  <c r="N459" i="47"/>
  <c r="O459" i="47"/>
  <c r="P459" i="47"/>
  <c r="F465" i="47"/>
  <c r="G465" i="47"/>
  <c r="C490" i="47" s="1"/>
  <c r="H465" i="47"/>
  <c r="I465" i="47"/>
  <c r="J465" i="47"/>
  <c r="K465" i="47"/>
  <c r="L465" i="47"/>
  <c r="C433" i="47" s="1"/>
  <c r="M465" i="47"/>
  <c r="D433" i="47" s="1"/>
  <c r="N465" i="47"/>
  <c r="E433" i="47" s="1"/>
  <c r="O465" i="47"/>
  <c r="F433" i="47" s="1"/>
  <c r="P465" i="47"/>
  <c r="G433" i="47" s="1"/>
  <c r="G445" i="47"/>
  <c r="C470" i="47" s="1"/>
  <c r="H445" i="47"/>
  <c r="I445" i="47"/>
  <c r="J445" i="47"/>
  <c r="K445" i="47"/>
  <c r="Q1048" i="47" s="1"/>
  <c r="R1048" i="47" s="1"/>
  <c r="L445" i="47"/>
  <c r="M445" i="47"/>
  <c r="N445" i="47"/>
  <c r="O445" i="47"/>
  <c r="P445" i="47"/>
  <c r="F445" i="47"/>
  <c r="G135" i="47"/>
  <c r="H135" i="47"/>
  <c r="I135" i="47"/>
  <c r="J135" i="47"/>
  <c r="K135" i="47"/>
  <c r="L135" i="47"/>
  <c r="M135" i="47"/>
  <c r="G136" i="47"/>
  <c r="H136" i="47"/>
  <c r="I136" i="47"/>
  <c r="J136" i="47"/>
  <c r="K136" i="47"/>
  <c r="L136" i="47"/>
  <c r="M136" i="47"/>
  <c r="G137" i="47"/>
  <c r="H137" i="47"/>
  <c r="I137" i="47"/>
  <c r="J137" i="47"/>
  <c r="K137" i="47"/>
  <c r="L137" i="47"/>
  <c r="M137" i="47"/>
  <c r="G138" i="47"/>
  <c r="H138" i="47"/>
  <c r="I138" i="47"/>
  <c r="J138" i="47"/>
  <c r="K138" i="47"/>
  <c r="L138" i="47"/>
  <c r="M138" i="47"/>
  <c r="G139" i="47"/>
  <c r="H139" i="47"/>
  <c r="I139" i="47"/>
  <c r="J139" i="47"/>
  <c r="K139" i="47"/>
  <c r="L139" i="47"/>
  <c r="M139" i="47"/>
  <c r="G140" i="47"/>
  <c r="H140" i="47"/>
  <c r="I140" i="47"/>
  <c r="J140" i="47"/>
  <c r="K140" i="47"/>
  <c r="L140" i="47"/>
  <c r="M140" i="47"/>
  <c r="G141" i="47"/>
  <c r="H141" i="47"/>
  <c r="I141" i="47"/>
  <c r="J141" i="47"/>
  <c r="K141" i="47"/>
  <c r="L141" i="47"/>
  <c r="M141" i="47"/>
  <c r="G142" i="47"/>
  <c r="H142" i="47"/>
  <c r="I142" i="47"/>
  <c r="J142" i="47"/>
  <c r="K142" i="47"/>
  <c r="L142" i="47"/>
  <c r="M142" i="47"/>
  <c r="G143" i="47"/>
  <c r="H143" i="47"/>
  <c r="I143" i="47"/>
  <c r="J143" i="47"/>
  <c r="K143" i="47"/>
  <c r="L143" i="47"/>
  <c r="M143" i="47"/>
  <c r="G144" i="47"/>
  <c r="H144" i="47"/>
  <c r="I144" i="47"/>
  <c r="J144" i="47"/>
  <c r="K144" i="47"/>
  <c r="L144" i="47"/>
  <c r="M144" i="47"/>
  <c r="G145" i="47"/>
  <c r="H145" i="47"/>
  <c r="I145" i="47"/>
  <c r="J145" i="47"/>
  <c r="K145" i="47"/>
  <c r="L145" i="47"/>
  <c r="M145" i="47"/>
  <c r="G146" i="47"/>
  <c r="H146" i="47"/>
  <c r="I146" i="47"/>
  <c r="J146" i="47"/>
  <c r="K146" i="47"/>
  <c r="L146" i="47"/>
  <c r="M146" i="47"/>
  <c r="G147" i="47"/>
  <c r="H147" i="47"/>
  <c r="I147" i="47"/>
  <c r="J147" i="47"/>
  <c r="K147" i="47"/>
  <c r="L147" i="47"/>
  <c r="M147" i="47"/>
  <c r="G148" i="47"/>
  <c r="H148" i="47"/>
  <c r="I148" i="47"/>
  <c r="J148" i="47"/>
  <c r="K148" i="47"/>
  <c r="L148" i="47"/>
  <c r="M148" i="47"/>
  <c r="G149" i="47"/>
  <c r="H149" i="47"/>
  <c r="I149" i="47"/>
  <c r="J149" i="47"/>
  <c r="K149" i="47"/>
  <c r="L149" i="47"/>
  <c r="M149" i="47"/>
  <c r="G150" i="47"/>
  <c r="H150" i="47"/>
  <c r="I150" i="47"/>
  <c r="J150" i="47"/>
  <c r="K150" i="47"/>
  <c r="L150" i="47"/>
  <c r="M150" i="47"/>
  <c r="G151" i="47"/>
  <c r="H151" i="47"/>
  <c r="I151" i="47"/>
  <c r="J151" i="47"/>
  <c r="K151" i="47"/>
  <c r="L151" i="47"/>
  <c r="M151" i="47"/>
  <c r="H134" i="47"/>
  <c r="I134" i="47"/>
  <c r="J134" i="47"/>
  <c r="K134" i="47"/>
  <c r="L134" i="47"/>
  <c r="M134" i="47"/>
  <c r="G134" i="47"/>
  <c r="H120" i="47"/>
  <c r="H121" i="47"/>
  <c r="C120" i="47"/>
  <c r="C121" i="47"/>
  <c r="H119" i="47"/>
  <c r="C119" i="47"/>
  <c r="Q433" i="47" l="1"/>
  <c r="Q1638" i="47" s="1"/>
  <c r="R1638" i="47" s="1"/>
  <c r="E1666" i="47"/>
  <c r="E1668" i="47"/>
  <c r="E1667" i="47"/>
  <c r="E1410" i="47"/>
  <c r="E1412" i="47"/>
  <c r="E1413" i="47"/>
  <c r="E1665" i="47"/>
  <c r="E1409" i="47"/>
  <c r="E1669" i="47"/>
  <c r="E1411" i="47"/>
  <c r="F1305" i="47"/>
  <c r="K1305" i="47" s="1"/>
  <c r="F775" i="47"/>
  <c r="K775" i="47" s="1"/>
  <c r="F510" i="47"/>
  <c r="K433" i="47"/>
  <c r="E1068" i="47"/>
  <c r="E804" i="47"/>
  <c r="E538" i="47"/>
  <c r="E1069" i="47"/>
  <c r="E1333" i="47"/>
  <c r="E803" i="47"/>
  <c r="E802" i="47"/>
  <c r="E1067" i="47"/>
  <c r="E806" i="47"/>
  <c r="E1332" i="47"/>
  <c r="E1070" i="47"/>
  <c r="E539" i="47"/>
  <c r="E805" i="47"/>
  <c r="E540" i="47"/>
  <c r="E541" i="47"/>
  <c r="E1336" i="47"/>
  <c r="E1334" i="47"/>
  <c r="E1335" i="47"/>
  <c r="E537" i="47"/>
  <c r="E1071" i="47"/>
  <c r="E1305" i="47"/>
  <c r="J1305" i="47" s="1"/>
  <c r="E775" i="47"/>
  <c r="J775" i="47" s="1"/>
  <c r="E510" i="47"/>
  <c r="J433" i="47"/>
  <c r="I433" i="47"/>
  <c r="D510" i="47"/>
  <c r="D1305" i="47"/>
  <c r="I1305" i="47" s="1"/>
  <c r="D775" i="47"/>
  <c r="I775" i="47" s="1"/>
  <c r="Q510" i="47"/>
  <c r="Q1305" i="47"/>
  <c r="R1305" i="47" s="1"/>
  <c r="Q775" i="47"/>
  <c r="R775" i="47" s="1"/>
  <c r="Q1040" i="47"/>
  <c r="R1040" i="47" s="1"/>
  <c r="R433" i="47"/>
  <c r="L433" i="47"/>
  <c r="G1305" i="47"/>
  <c r="L1305" i="47" s="1"/>
  <c r="G775" i="47"/>
  <c r="L775" i="47" s="1"/>
  <c r="G510" i="47"/>
  <c r="H433" i="47"/>
  <c r="C1305" i="47"/>
  <c r="H1305" i="47" s="1"/>
  <c r="C775" i="47"/>
  <c r="H775" i="47" s="1"/>
  <c r="C510" i="47"/>
  <c r="Q1646" i="47"/>
  <c r="R1646" i="47" s="1"/>
  <c r="E1066" i="47"/>
  <c r="E1664" i="47"/>
  <c r="E1058" i="47"/>
  <c r="E1656" i="47"/>
  <c r="E1072" i="47"/>
  <c r="E1670" i="47"/>
  <c r="E1063" i="47"/>
  <c r="E1661" i="47"/>
  <c r="E1059" i="47"/>
  <c r="E1657" i="47"/>
  <c r="E1056" i="47"/>
  <c r="E1654" i="47"/>
  <c r="E1053" i="47"/>
  <c r="E1651" i="47"/>
  <c r="E1064" i="47"/>
  <c r="E1662" i="47"/>
  <c r="E1060" i="47"/>
  <c r="E1658" i="47"/>
  <c r="E1054" i="47"/>
  <c r="E1652" i="47"/>
  <c r="E1052" i="47"/>
  <c r="E1650" i="47"/>
  <c r="E1065" i="47"/>
  <c r="E1663" i="47"/>
  <c r="E1061" i="47"/>
  <c r="E1659" i="47"/>
  <c r="E1057" i="47"/>
  <c r="E1655" i="47"/>
  <c r="E1055" i="47"/>
  <c r="E1653" i="47"/>
  <c r="E716" i="1"/>
  <c r="I510" i="47" l="1"/>
  <c r="D1382" i="47"/>
  <c r="I1382" i="47" s="1"/>
  <c r="H510" i="47"/>
  <c r="C1382" i="47"/>
  <c r="H1382" i="47" s="1"/>
  <c r="L510" i="47"/>
  <c r="G1382" i="47"/>
  <c r="L1382" i="47" s="1"/>
  <c r="J510" i="47"/>
  <c r="E1382" i="47"/>
  <c r="J1382" i="47" s="1"/>
  <c r="K510" i="47"/>
  <c r="F1382" i="47"/>
  <c r="K1382" i="47" s="1"/>
  <c r="R510" i="47"/>
  <c r="Q1382" i="47"/>
  <c r="R1382" i="47" s="1"/>
  <c r="E1671" i="47"/>
  <c r="G1817" i="47" s="1"/>
  <c r="B277" i="32"/>
  <c r="B259" i="32"/>
  <c r="D656" i="1" l="1"/>
  <c r="D1090" i="1" l="1"/>
  <c r="D1092" i="1"/>
  <c r="D1091" i="1"/>
  <c r="D1048" i="1"/>
  <c r="D1047" i="1"/>
  <c r="D1008" i="1"/>
  <c r="D1004" i="1"/>
  <c r="D1003" i="1"/>
  <c r="H182" i="24"/>
  <c r="H173" i="24"/>
  <c r="C68" i="27" l="1"/>
  <c r="C134" i="27"/>
  <c r="C205" i="27"/>
  <c r="F241" i="19"/>
  <c r="G251" i="19"/>
  <c r="F251" i="19"/>
  <c r="G250" i="19"/>
  <c r="F250" i="19"/>
  <c r="G249" i="19"/>
  <c r="H249" i="19" s="1"/>
  <c r="F249" i="19"/>
  <c r="G248" i="19"/>
  <c r="F248" i="19"/>
  <c r="G247" i="19"/>
  <c r="H247" i="19" s="1"/>
  <c r="G246" i="19"/>
  <c r="H246" i="19" s="1"/>
  <c r="G245" i="19"/>
  <c r="H245" i="19" s="1"/>
  <c r="H244" i="19"/>
  <c r="I242" i="19"/>
  <c r="G242" i="19"/>
  <c r="H242" i="19" s="1"/>
  <c r="J242" i="19"/>
  <c r="I241" i="19"/>
  <c r="G241" i="19"/>
  <c r="B920" i="47"/>
  <c r="B929" i="47" s="1"/>
  <c r="D929" i="47" s="1"/>
  <c r="A920" i="47"/>
  <c r="A929" i="47" s="1"/>
  <c r="M910" i="47"/>
  <c r="L910" i="47"/>
  <c r="J910" i="47"/>
  <c r="I910" i="47"/>
  <c r="H910" i="47"/>
  <c r="G910" i="47"/>
  <c r="H251" i="19" l="1"/>
  <c r="H241" i="19"/>
  <c r="H250" i="19"/>
  <c r="H248" i="19"/>
  <c r="N910" i="47"/>
  <c r="P910" i="47" s="1"/>
  <c r="D920" i="47"/>
  <c r="J244" i="19"/>
  <c r="K242" i="19"/>
  <c r="K241" i="19"/>
  <c r="A325" i="47"/>
  <c r="B316" i="47"/>
  <c r="D316" i="47" s="1"/>
  <c r="A316" i="47"/>
  <c r="M306" i="47"/>
  <c r="L306" i="47"/>
  <c r="J306" i="47"/>
  <c r="I306" i="47"/>
  <c r="H306" i="47"/>
  <c r="G306" i="47"/>
  <c r="A324" i="47"/>
  <c r="A327" i="47"/>
  <c r="A323" i="47"/>
  <c r="A315" i="47"/>
  <c r="A318" i="47"/>
  <c r="A314" i="47"/>
  <c r="B315" i="47"/>
  <c r="D315" i="47" s="1"/>
  <c r="M305" i="47"/>
  <c r="L305" i="47"/>
  <c r="J305" i="47"/>
  <c r="I305" i="47"/>
  <c r="H305" i="47"/>
  <c r="G305" i="47"/>
  <c r="N306" i="47" l="1"/>
  <c r="P306" i="47" s="1"/>
  <c r="I251" i="19"/>
  <c r="H1267" i="1" s="1"/>
  <c r="K1267" i="1" s="1"/>
  <c r="N305" i="47"/>
  <c r="P305" i="47" s="1"/>
  <c r="J245" i="19"/>
  <c r="K244" i="19"/>
  <c r="B324" i="47"/>
  <c r="D324" i="47" s="1"/>
  <c r="B325" i="47"/>
  <c r="D325" i="47" s="1"/>
  <c r="J246" i="19" l="1"/>
  <c r="K245" i="19"/>
  <c r="J247" i="19" l="1"/>
  <c r="K247" i="19" s="1"/>
  <c r="K246" i="19"/>
  <c r="E754" i="1"/>
  <c r="G293" i="15"/>
  <c r="H293" i="15" s="1"/>
  <c r="G293" i="12"/>
  <c r="P148" i="25" l="1"/>
  <c r="M148" i="25"/>
  <c r="K294" i="12"/>
  <c r="H293" i="12"/>
  <c r="G295" i="12" s="1"/>
  <c r="H295" i="12" s="1"/>
  <c r="I295" i="12" s="1"/>
  <c r="H333" i="1" l="1"/>
  <c r="H266" i="1"/>
  <c r="H118" i="1"/>
  <c r="H166" i="1"/>
  <c r="K166" i="1"/>
  <c r="K73" i="1"/>
  <c r="K333" i="1"/>
  <c r="K266" i="1"/>
  <c r="K203" i="1"/>
  <c r="K118" i="1"/>
  <c r="G294" i="12"/>
  <c r="H294" i="12" s="1"/>
  <c r="I294" i="12" s="1"/>
  <c r="G166" i="1" l="1"/>
  <c r="G333" i="1"/>
  <c r="G266" i="1"/>
  <c r="G118" i="1"/>
  <c r="H296" i="12"/>
  <c r="H297" i="12" s="1"/>
  <c r="F68" i="27" s="1"/>
  <c r="I166" i="1" l="1"/>
  <c r="J166" i="1"/>
  <c r="L166" i="1" s="1"/>
  <c r="I73" i="1"/>
  <c r="J73" i="1"/>
  <c r="L73" i="1" s="1"/>
  <c r="I266" i="1"/>
  <c r="J266" i="1"/>
  <c r="L266" i="1" s="1"/>
  <c r="I333" i="1"/>
  <c r="J333" i="1"/>
  <c r="L333" i="1" s="1"/>
  <c r="J118" i="1"/>
  <c r="L118" i="1" s="1"/>
  <c r="I118" i="1"/>
  <c r="I203" i="1"/>
  <c r="J203" i="1"/>
  <c r="L203" i="1" s="1"/>
  <c r="I179" i="19"/>
  <c r="H179" i="19"/>
  <c r="J141" i="13" l="1"/>
  <c r="B293" i="32"/>
  <c r="D831" i="1"/>
  <c r="K831" i="1"/>
  <c r="E250" i="25"/>
  <c r="K230" i="19"/>
  <c r="C202" i="32" s="1"/>
  <c r="C204" i="27"/>
  <c r="C203" i="27"/>
  <c r="G230" i="19"/>
  <c r="G237" i="19"/>
  <c r="F237" i="19"/>
  <c r="G236" i="19"/>
  <c r="F236" i="19"/>
  <c r="G235" i="19"/>
  <c r="F235" i="19"/>
  <c r="G234" i="19"/>
  <c r="F234" i="19"/>
  <c r="G233" i="19"/>
  <c r="F233" i="19"/>
  <c r="G232" i="19"/>
  <c r="F232" i="19"/>
  <c r="G231" i="19"/>
  <c r="H231" i="19" s="1"/>
  <c r="I230" i="19"/>
  <c r="G180" i="19"/>
  <c r="H180" i="19" s="1"/>
  <c r="D937" i="1"/>
  <c r="I263" i="17"/>
  <c r="D929" i="1"/>
  <c r="P943" i="1"/>
  <c r="C298" i="47"/>
  <c r="C632" i="47"/>
  <c r="C638" i="47"/>
  <c r="C903" i="47"/>
  <c r="C1510" i="47"/>
  <c r="C1504" i="47"/>
  <c r="C897" i="47"/>
  <c r="K380" i="1"/>
  <c r="J380" i="1"/>
  <c r="I380" i="1"/>
  <c r="K378" i="1"/>
  <c r="J378" i="1"/>
  <c r="I378" i="1"/>
  <c r="K262" i="1"/>
  <c r="J262" i="1"/>
  <c r="I262" i="1"/>
  <c r="K260" i="1"/>
  <c r="J260" i="1"/>
  <c r="I260" i="1"/>
  <c r="K198" i="1"/>
  <c r="J198" i="1"/>
  <c r="I198" i="1"/>
  <c r="K196" i="1"/>
  <c r="J196" i="1"/>
  <c r="I196" i="1"/>
  <c r="K114" i="1"/>
  <c r="J114" i="1"/>
  <c r="I114" i="1"/>
  <c r="K112" i="1"/>
  <c r="J112" i="1"/>
  <c r="I112" i="1"/>
  <c r="D1913" i="47"/>
  <c r="C1923" i="47" s="1"/>
  <c r="C1913" i="47"/>
  <c r="B1923" i="47" s="1"/>
  <c r="D1912" i="47"/>
  <c r="C1922" i="47" s="1"/>
  <c r="C1912" i="47"/>
  <c r="D1911" i="47"/>
  <c r="C1921" i="47" s="1"/>
  <c r="C1911" i="47"/>
  <c r="D1910" i="47"/>
  <c r="C1920" i="47" s="1"/>
  <c r="C1910" i="47"/>
  <c r="B1920" i="47" s="1"/>
  <c r="E1898" i="47"/>
  <c r="C1898" i="47"/>
  <c r="D1898" i="47" s="1"/>
  <c r="E1896" i="47"/>
  <c r="C1896" i="47"/>
  <c r="D1896" i="47" s="1"/>
  <c r="E1893" i="47"/>
  <c r="C1893" i="47"/>
  <c r="D1893" i="47" s="1"/>
  <c r="E1891" i="47"/>
  <c r="C1891" i="47"/>
  <c r="D1891" i="47" s="1"/>
  <c r="E1888" i="47"/>
  <c r="C1888" i="47"/>
  <c r="D1888" i="47" s="1"/>
  <c r="E1886" i="47"/>
  <c r="C1886" i="47"/>
  <c r="D1886" i="47" s="1"/>
  <c r="B1885" i="47"/>
  <c r="B1890" i="47" s="1"/>
  <c r="B1895" i="47" s="1"/>
  <c r="B1900" i="47" s="1"/>
  <c r="E1883" i="47"/>
  <c r="C1883" i="47"/>
  <c r="D1883" i="47" s="1"/>
  <c r="E1881" i="47"/>
  <c r="C1881" i="47"/>
  <c r="D1881" i="47" s="1"/>
  <c r="B1208" i="47"/>
  <c r="C419" i="47"/>
  <c r="D419" i="47"/>
  <c r="E419" i="47"/>
  <c r="F419" i="47"/>
  <c r="G419" i="47"/>
  <c r="C420" i="47"/>
  <c r="D420" i="47"/>
  <c r="E420" i="47"/>
  <c r="F420" i="47"/>
  <c r="G420" i="47"/>
  <c r="C421" i="47"/>
  <c r="D421" i="47"/>
  <c r="E421" i="47"/>
  <c r="F421" i="47"/>
  <c r="G421" i="47"/>
  <c r="C422" i="47"/>
  <c r="D422" i="47"/>
  <c r="E422" i="47"/>
  <c r="F422" i="47"/>
  <c r="G422" i="47"/>
  <c r="C423" i="47"/>
  <c r="D423" i="47"/>
  <c r="E423" i="47"/>
  <c r="F423" i="47"/>
  <c r="G423" i="47"/>
  <c r="C424" i="47"/>
  <c r="D424" i="47"/>
  <c r="E424" i="47"/>
  <c r="F424" i="47"/>
  <c r="G424" i="47"/>
  <c r="C425" i="47"/>
  <c r="D425" i="47"/>
  <c r="E425" i="47"/>
  <c r="F425" i="47"/>
  <c r="G425" i="47"/>
  <c r="C426" i="47"/>
  <c r="D426" i="47"/>
  <c r="E426" i="47"/>
  <c r="F426" i="47"/>
  <c r="G426" i="47"/>
  <c r="C427" i="47"/>
  <c r="D427" i="47"/>
  <c r="E427" i="47"/>
  <c r="F427" i="47"/>
  <c r="G427" i="47"/>
  <c r="C428" i="47"/>
  <c r="D428" i="47"/>
  <c r="E428" i="47"/>
  <c r="F428" i="47"/>
  <c r="G428" i="47"/>
  <c r="C429" i="47"/>
  <c r="D429" i="47"/>
  <c r="E429" i="47"/>
  <c r="F429" i="47"/>
  <c r="G429" i="47"/>
  <c r="C430" i="47"/>
  <c r="D430" i="47"/>
  <c r="E430" i="47"/>
  <c r="F430" i="47"/>
  <c r="G430" i="47"/>
  <c r="C431" i="47"/>
  <c r="D431" i="47"/>
  <c r="E431" i="47"/>
  <c r="F431" i="47"/>
  <c r="G431" i="47"/>
  <c r="C432" i="47"/>
  <c r="D432" i="47"/>
  <c r="E432" i="47"/>
  <c r="F432" i="47"/>
  <c r="G432" i="47"/>
  <c r="C438" i="47"/>
  <c r="D438" i="47"/>
  <c r="E438" i="47"/>
  <c r="F438" i="47"/>
  <c r="G438" i="47"/>
  <c r="D418" i="47"/>
  <c r="E418" i="47"/>
  <c r="F418" i="47"/>
  <c r="G418" i="47"/>
  <c r="C418" i="47"/>
  <c r="M444" i="47"/>
  <c r="N444" i="47"/>
  <c r="O444" i="47"/>
  <c r="P444" i="47"/>
  <c r="L444" i="47"/>
  <c r="D162" i="47"/>
  <c r="E162" i="47"/>
  <c r="F162" i="47"/>
  <c r="G162" i="47"/>
  <c r="D163" i="47"/>
  <c r="E163" i="47"/>
  <c r="F163" i="47"/>
  <c r="G163" i="47"/>
  <c r="D164" i="47"/>
  <c r="E164" i="47"/>
  <c r="F164" i="47"/>
  <c r="G164" i="47"/>
  <c r="D165" i="47"/>
  <c r="E165" i="47"/>
  <c r="F165" i="47"/>
  <c r="G165" i="47"/>
  <c r="D166" i="47"/>
  <c r="E166" i="47"/>
  <c r="F166" i="47"/>
  <c r="G166" i="47"/>
  <c r="D167" i="47"/>
  <c r="E167" i="47"/>
  <c r="F167" i="47"/>
  <c r="G167" i="47"/>
  <c r="D168" i="47"/>
  <c r="E168" i="47"/>
  <c r="F168" i="47"/>
  <c r="G168" i="47"/>
  <c r="D169" i="47"/>
  <c r="E169" i="47"/>
  <c r="F169" i="47"/>
  <c r="G169" i="47"/>
  <c r="D170" i="47"/>
  <c r="E170" i="47"/>
  <c r="F170" i="47"/>
  <c r="G170" i="47"/>
  <c r="D171" i="47"/>
  <c r="E171" i="47"/>
  <c r="F171" i="47"/>
  <c r="G171" i="47"/>
  <c r="D172" i="47"/>
  <c r="E172" i="47"/>
  <c r="F172" i="47"/>
  <c r="G172" i="47"/>
  <c r="D173" i="47"/>
  <c r="E173" i="47"/>
  <c r="F173" i="47"/>
  <c r="G173" i="47"/>
  <c r="D174" i="47"/>
  <c r="E174" i="47"/>
  <c r="F174" i="47"/>
  <c r="G174" i="47"/>
  <c r="D175" i="47"/>
  <c r="E175" i="47"/>
  <c r="F175" i="47"/>
  <c r="G175" i="47"/>
  <c r="D176" i="47"/>
  <c r="E176" i="47"/>
  <c r="F176" i="47"/>
  <c r="G176" i="47"/>
  <c r="D177" i="47"/>
  <c r="E177" i="47"/>
  <c r="F177" i="47"/>
  <c r="G177" i="47"/>
  <c r="D178" i="47"/>
  <c r="E178" i="47"/>
  <c r="F178" i="47"/>
  <c r="G178" i="47"/>
  <c r="E161" i="47"/>
  <c r="F161" i="47"/>
  <c r="G161" i="47"/>
  <c r="D161" i="47"/>
  <c r="K133" i="47"/>
  <c r="L133" i="47"/>
  <c r="M133" i="47"/>
  <c r="J133" i="47"/>
  <c r="H179" i="32" l="1"/>
  <c r="B179" i="32" s="1"/>
  <c r="H180" i="32"/>
  <c r="B180" i="32" s="1"/>
  <c r="H232" i="19"/>
  <c r="H234" i="19"/>
  <c r="H236" i="19"/>
  <c r="B181" i="32"/>
  <c r="B178" i="32"/>
  <c r="G831" i="1"/>
  <c r="I831" i="1" s="1"/>
  <c r="G870" i="1"/>
  <c r="H230" i="19"/>
  <c r="E202" i="32"/>
  <c r="F202" i="32" s="1"/>
  <c r="F1898" i="47"/>
  <c r="G1898" i="47" s="1"/>
  <c r="F293" i="32"/>
  <c r="H233" i="19"/>
  <c r="H237" i="19"/>
  <c r="H235" i="19"/>
  <c r="J231" i="19"/>
  <c r="J232" i="19" s="1"/>
  <c r="J233" i="19" s="1"/>
  <c r="K233" i="19" s="1"/>
  <c r="B1215" i="47"/>
  <c r="D1923" i="47"/>
  <c r="E331" i="1" s="1"/>
  <c r="E1912" i="47"/>
  <c r="E261" i="1" s="1"/>
  <c r="F1888" i="47"/>
  <c r="G1888" i="47" s="1"/>
  <c r="F1881" i="47"/>
  <c r="G1881" i="47" s="1"/>
  <c r="E1911" i="47"/>
  <c r="E197" i="1" s="1"/>
  <c r="J831" i="1"/>
  <c r="L831" i="1" s="1"/>
  <c r="L380" i="1"/>
  <c r="L378" i="1"/>
  <c r="L262" i="1"/>
  <c r="L260" i="1"/>
  <c r="L198" i="1"/>
  <c r="L196" i="1"/>
  <c r="L112" i="1"/>
  <c r="L114" i="1"/>
  <c r="F1896" i="47"/>
  <c r="G1896" i="47" s="1"/>
  <c r="E1913" i="47"/>
  <c r="E328" i="1" s="1"/>
  <c r="F1893" i="47"/>
  <c r="G1893" i="47" s="1"/>
  <c r="B1922" i="47"/>
  <c r="D1922" i="47" s="1"/>
  <c r="E264" i="1" s="1"/>
  <c r="F1891" i="47"/>
  <c r="G1891" i="47" s="1"/>
  <c r="B1921" i="47"/>
  <c r="D1921" i="47" s="1"/>
  <c r="E200" i="1" s="1"/>
  <c r="E1910" i="47"/>
  <c r="E113" i="1" s="1"/>
  <c r="D1920" i="47"/>
  <c r="E116" i="1" s="1"/>
  <c r="F1883" i="47"/>
  <c r="G1883" i="47" s="1"/>
  <c r="F1886" i="47"/>
  <c r="G1886" i="47" s="1"/>
  <c r="B1223" i="47"/>
  <c r="B1227" i="47" s="1"/>
  <c r="P1083" i="1"/>
  <c r="P1082" i="1"/>
  <c r="P1081" i="1"/>
  <c r="P1080" i="1"/>
  <c r="P1079" i="1"/>
  <c r="P1077" i="1"/>
  <c r="P1040" i="1"/>
  <c r="P1035" i="1"/>
  <c r="P1034" i="1"/>
  <c r="P1033" i="1"/>
  <c r="P1032" i="1"/>
  <c r="AN31" i="48"/>
  <c r="AN22" i="48"/>
  <c r="AN23" i="48"/>
  <c r="AN24" i="48"/>
  <c r="AN25" i="48"/>
  <c r="AN26" i="48"/>
  <c r="AN27" i="48"/>
  <c r="AN28" i="48"/>
  <c r="AN29" i="48"/>
  <c r="AN30" i="48"/>
  <c r="AN21" i="48"/>
  <c r="P995" i="1"/>
  <c r="I233" i="19" l="1"/>
  <c r="G1884" i="47"/>
  <c r="H1884" i="47" s="1"/>
  <c r="E115" i="1" s="1"/>
  <c r="J870" i="1"/>
  <c r="L870" i="1" s="1"/>
  <c r="I870" i="1"/>
  <c r="G1899" i="47"/>
  <c r="H1899" i="47" s="1"/>
  <c r="E330" i="1" s="1"/>
  <c r="I237" i="19"/>
  <c r="G1889" i="47"/>
  <c r="H1889" i="47" s="1"/>
  <c r="E199" i="1" s="1"/>
  <c r="H238" i="19"/>
  <c r="H239" i="19" s="1"/>
  <c r="F204" i="27" s="1"/>
  <c r="K232" i="19"/>
  <c r="K231" i="19"/>
  <c r="G1894" i="47"/>
  <c r="H1894" i="47" s="1"/>
  <c r="E263" i="1" s="1"/>
  <c r="P996" i="1"/>
  <c r="P997" i="1" l="1"/>
  <c r="BA5" i="48"/>
  <c r="AT12" i="48" s="1"/>
  <c r="BA6" i="48"/>
  <c r="AT13" i="48" s="1"/>
  <c r="AT11" i="48"/>
  <c r="E1001" i="1" s="1"/>
  <c r="S10" i="48"/>
  <c r="S5" i="48"/>
  <c r="U5" i="48"/>
  <c r="V5" i="48"/>
  <c r="W5" i="48"/>
  <c r="X5" i="48"/>
  <c r="Y5" i="48"/>
  <c r="Z5" i="48"/>
  <c r="AA5" i="48"/>
  <c r="AB5" i="48"/>
  <c r="AC5" i="48"/>
  <c r="AD5" i="48"/>
  <c r="AE5" i="48"/>
  <c r="AF5" i="48"/>
  <c r="AG5" i="48"/>
  <c r="AH5" i="48"/>
  <c r="AI5" i="48"/>
  <c r="S6" i="48"/>
  <c r="T6" i="48"/>
  <c r="U6" i="48"/>
  <c r="V6" i="48"/>
  <c r="W6" i="48"/>
  <c r="X6" i="48"/>
  <c r="Y6" i="48"/>
  <c r="Z6" i="48"/>
  <c r="AA6" i="48"/>
  <c r="AB6" i="48"/>
  <c r="AC6" i="48"/>
  <c r="AD6" i="48"/>
  <c r="AE6" i="48"/>
  <c r="AF6" i="48"/>
  <c r="AG6" i="48"/>
  <c r="AH6" i="48"/>
  <c r="AI6" i="48"/>
  <c r="S7" i="48"/>
  <c r="T7" i="48"/>
  <c r="U7" i="48"/>
  <c r="V7" i="48"/>
  <c r="W7" i="48"/>
  <c r="X7" i="48"/>
  <c r="Y7" i="48"/>
  <c r="Z7" i="48"/>
  <c r="AA7" i="48"/>
  <c r="AB7" i="48"/>
  <c r="AC7" i="48"/>
  <c r="AD7" i="48"/>
  <c r="AE7" i="48"/>
  <c r="AF7" i="48"/>
  <c r="AG7" i="48"/>
  <c r="AH7" i="48"/>
  <c r="AI7" i="48"/>
  <c r="S8" i="48"/>
  <c r="T8" i="48"/>
  <c r="U8" i="48"/>
  <c r="V8" i="48"/>
  <c r="W8" i="48"/>
  <c r="X8" i="48"/>
  <c r="Y8" i="48"/>
  <c r="Z8" i="48"/>
  <c r="AA8" i="48"/>
  <c r="AB8" i="48"/>
  <c r="AC8" i="48"/>
  <c r="AD8" i="48"/>
  <c r="AE8" i="48"/>
  <c r="AF8" i="48"/>
  <c r="AG8" i="48"/>
  <c r="AH8" i="48"/>
  <c r="AI8" i="48"/>
  <c r="S9" i="48"/>
  <c r="T9" i="48"/>
  <c r="U9" i="48"/>
  <c r="V9" i="48"/>
  <c r="W9" i="48"/>
  <c r="X9" i="48"/>
  <c r="Y9" i="48"/>
  <c r="Z9" i="48"/>
  <c r="AA9" i="48"/>
  <c r="AB9" i="48"/>
  <c r="AC9" i="48"/>
  <c r="AD9" i="48"/>
  <c r="AE9" i="48"/>
  <c r="AF9" i="48"/>
  <c r="AG9" i="48"/>
  <c r="AH9" i="48"/>
  <c r="AI9" i="48"/>
  <c r="T10" i="48"/>
  <c r="U10" i="48"/>
  <c r="V10" i="48"/>
  <c r="W10" i="48"/>
  <c r="X10" i="48"/>
  <c r="Y10" i="48"/>
  <c r="Z10" i="48"/>
  <c r="AA10" i="48"/>
  <c r="AB10" i="48"/>
  <c r="AC10" i="48"/>
  <c r="AD10" i="48"/>
  <c r="AE10" i="48"/>
  <c r="AF10" i="48"/>
  <c r="AG10" i="48"/>
  <c r="AH10" i="48"/>
  <c r="AI10" i="48"/>
  <c r="S11" i="48"/>
  <c r="T11" i="48"/>
  <c r="U11" i="48"/>
  <c r="V11" i="48"/>
  <c r="W11" i="48"/>
  <c r="X11" i="48"/>
  <c r="Y11" i="48"/>
  <c r="Z11" i="48"/>
  <c r="AA11" i="48"/>
  <c r="AB11" i="48"/>
  <c r="AC11" i="48"/>
  <c r="AD11" i="48"/>
  <c r="AE11" i="48"/>
  <c r="AF11" i="48"/>
  <c r="AG11" i="48"/>
  <c r="AH11" i="48"/>
  <c r="AI11" i="48"/>
  <c r="S12" i="48"/>
  <c r="T12" i="48"/>
  <c r="U12" i="48"/>
  <c r="V12" i="48"/>
  <c r="W12" i="48"/>
  <c r="X12" i="48"/>
  <c r="Y12" i="48"/>
  <c r="Z12" i="48"/>
  <c r="AA12" i="48"/>
  <c r="AB12" i="48"/>
  <c r="AC12" i="48"/>
  <c r="AD12" i="48"/>
  <c r="AE12" i="48"/>
  <c r="AF12" i="48"/>
  <c r="AG12" i="48"/>
  <c r="AH12" i="48"/>
  <c r="AI12" i="48"/>
  <c r="S13" i="48"/>
  <c r="T13" i="48"/>
  <c r="U13" i="48"/>
  <c r="V13" i="48"/>
  <c r="W13" i="48"/>
  <c r="X13" i="48"/>
  <c r="Y13" i="48"/>
  <c r="Z13" i="48"/>
  <c r="AA13" i="48"/>
  <c r="AB13" i="48"/>
  <c r="AC13" i="48"/>
  <c r="AD13" i="48"/>
  <c r="AE13" i="48"/>
  <c r="AF13" i="48"/>
  <c r="AG13" i="48"/>
  <c r="AH13" i="48"/>
  <c r="AI13" i="48"/>
  <c r="AK21" i="48"/>
  <c r="T4" i="48"/>
  <c r="U4" i="48"/>
  <c r="V4" i="48"/>
  <c r="W4" i="48"/>
  <c r="X4" i="48"/>
  <c r="Y4" i="48"/>
  <c r="Z4" i="48"/>
  <c r="AA4" i="48"/>
  <c r="AB4" i="48"/>
  <c r="AC4" i="48"/>
  <c r="AD4" i="48"/>
  <c r="AE4" i="48"/>
  <c r="AF4" i="48"/>
  <c r="AG4" i="48"/>
  <c r="AH4" i="48"/>
  <c r="AI4" i="48"/>
  <c r="S4" i="48"/>
  <c r="P524" i="1"/>
  <c r="I439" i="34"/>
  <c r="I391" i="34"/>
  <c r="I375" i="34"/>
  <c r="I423" i="34"/>
  <c r="K170" i="36"/>
  <c r="K177" i="36"/>
  <c r="D265" i="36"/>
  <c r="K198" i="36"/>
  <c r="D266" i="36" s="1"/>
  <c r="K205" i="36"/>
  <c r="K219" i="36"/>
  <c r="D269" i="36" s="1"/>
  <c r="K226" i="36"/>
  <c r="D270" i="36" s="1"/>
  <c r="E227" i="36"/>
  <c r="E220" i="36"/>
  <c r="E228" i="36"/>
  <c r="E221" i="36"/>
  <c r="E206" i="36"/>
  <c r="E207" i="36"/>
  <c r="E199" i="36"/>
  <c r="E200" i="36"/>
  <c r="E178" i="36"/>
  <c r="F166" i="36"/>
  <c r="G166" i="36" s="1"/>
  <c r="E235" i="36"/>
  <c r="E234" i="36"/>
  <c r="E233" i="36"/>
  <c r="E226" i="36"/>
  <c r="E219" i="36"/>
  <c r="E213" i="36"/>
  <c r="E212" i="36"/>
  <c r="E205" i="36"/>
  <c r="E198" i="36"/>
  <c r="E191" i="36"/>
  <c r="F229" i="36"/>
  <c r="I229" i="36" s="1"/>
  <c r="F222" i="36"/>
  <c r="H222" i="36" s="1"/>
  <c r="F215" i="36"/>
  <c r="I215" i="36" s="1"/>
  <c r="J214" i="36"/>
  <c r="K212" i="36"/>
  <c r="D268" i="36" s="1"/>
  <c r="F208" i="36"/>
  <c r="I208" i="36" s="1"/>
  <c r="D267" i="36"/>
  <c r="F201" i="36"/>
  <c r="I201" i="36" s="1"/>
  <c r="F194" i="36"/>
  <c r="G194" i="36" s="1"/>
  <c r="B266" i="36"/>
  <c r="B197" i="36" s="1"/>
  <c r="B267" i="36"/>
  <c r="B204" i="36" s="1"/>
  <c r="B268" i="36"/>
  <c r="B211" i="36" s="1"/>
  <c r="B269" i="36"/>
  <c r="B270" i="36"/>
  <c r="D515" i="34" s="1"/>
  <c r="B271" i="36"/>
  <c r="B272" i="36"/>
  <c r="B273" i="36"/>
  <c r="I343" i="34"/>
  <c r="I359" i="34"/>
  <c r="I61" i="40"/>
  <c r="J65" i="40"/>
  <c r="B65" i="40"/>
  <c r="J64" i="40"/>
  <c r="B64" i="40"/>
  <c r="J63" i="40"/>
  <c r="B63" i="40"/>
  <c r="B62" i="40"/>
  <c r="J61" i="40"/>
  <c r="B61" i="40"/>
  <c r="J60" i="40"/>
  <c r="B60" i="40"/>
  <c r="AJ5" i="48" l="1"/>
  <c r="AK5" i="48" s="1"/>
  <c r="AJ11" i="48"/>
  <c r="AJ8" i="48"/>
  <c r="AK8" i="48" s="1"/>
  <c r="AJ7" i="48"/>
  <c r="AK7" i="48" s="1"/>
  <c r="AK11" i="48"/>
  <c r="AJ13" i="48"/>
  <c r="AK13" i="48" s="1"/>
  <c r="AJ10" i="48"/>
  <c r="AK10" i="48" s="1"/>
  <c r="H194" i="36"/>
  <c r="H215" i="36"/>
  <c r="J215" i="36" s="1"/>
  <c r="G229" i="36"/>
  <c r="G201" i="36"/>
  <c r="AJ4" i="48"/>
  <c r="AK4" i="48" s="1"/>
  <c r="I194" i="36"/>
  <c r="G208" i="36"/>
  <c r="G215" i="36"/>
  <c r="I222" i="36"/>
  <c r="J222" i="36" s="1"/>
  <c r="B225" i="36"/>
  <c r="B232" i="36"/>
  <c r="D513" i="34"/>
  <c r="C406" i="34" s="1"/>
  <c r="D516" i="34"/>
  <c r="C454" i="34" s="1"/>
  <c r="D512" i="34"/>
  <c r="C390" i="34" s="1"/>
  <c r="D514" i="34"/>
  <c r="C422" i="34" s="1"/>
  <c r="B218" i="36"/>
  <c r="D511" i="34"/>
  <c r="C374" i="34" s="1"/>
  <c r="I63" i="40"/>
  <c r="J62" i="40"/>
  <c r="K582" i="1"/>
  <c r="K555" i="1"/>
  <c r="K583" i="1"/>
  <c r="K588" i="1"/>
  <c r="K521" i="1"/>
  <c r="K525" i="1"/>
  <c r="K587" i="1"/>
  <c r="AK17" i="48"/>
  <c r="AJ9" i="48"/>
  <c r="AK9" i="48" s="1"/>
  <c r="AK20" i="48"/>
  <c r="AK19" i="48"/>
  <c r="AK18" i="48"/>
  <c r="AK14" i="48"/>
  <c r="AK16" i="48"/>
  <c r="AK15" i="48"/>
  <c r="AJ12" i="48"/>
  <c r="AK12" i="48" s="1"/>
  <c r="AJ6" i="48"/>
  <c r="AK6" i="48" s="1"/>
  <c r="K581" i="1"/>
  <c r="K585" i="1"/>
  <c r="K578" i="1"/>
  <c r="K579" i="1"/>
  <c r="K586" i="1"/>
  <c r="K553" i="1"/>
  <c r="K557" i="1"/>
  <c r="K584" i="1"/>
  <c r="K556" i="1"/>
  <c r="K554" i="1"/>
  <c r="K580" i="1"/>
  <c r="K552" i="1"/>
  <c r="K523" i="1"/>
  <c r="K522" i="1"/>
  <c r="P523" i="1"/>
  <c r="K524" i="1"/>
  <c r="P525" i="1"/>
  <c r="K526" i="1"/>
  <c r="C438" i="34"/>
  <c r="H229" i="36"/>
  <c r="J229" i="36" s="1"/>
  <c r="G222" i="36"/>
  <c r="H208" i="36"/>
  <c r="J208" i="36" s="1"/>
  <c r="H201" i="36"/>
  <c r="J201" i="36" s="1"/>
  <c r="I62" i="40"/>
  <c r="I60" i="40"/>
  <c r="I64" i="40"/>
  <c r="I65" i="40"/>
  <c r="J194" i="36" l="1"/>
  <c r="B94" i="32"/>
  <c r="B556" i="1"/>
  <c r="B587" i="1" s="1"/>
  <c r="B618" i="1" s="1"/>
  <c r="B90" i="32"/>
  <c r="B552" i="1"/>
  <c r="B583" i="1" s="1"/>
  <c r="B614" i="1" s="1"/>
  <c r="B93" i="32"/>
  <c r="B555" i="1"/>
  <c r="B586" i="1" s="1"/>
  <c r="B617" i="1" s="1"/>
  <c r="B92" i="32"/>
  <c r="B554" i="1"/>
  <c r="B585" i="1" s="1"/>
  <c r="B616" i="1" s="1"/>
  <c r="B95" i="32"/>
  <c r="B557" i="1"/>
  <c r="B588" i="1" s="1"/>
  <c r="B619" i="1" s="1"/>
  <c r="B91" i="32"/>
  <c r="B553" i="1"/>
  <c r="B584" i="1" s="1"/>
  <c r="B615" i="1" s="1"/>
  <c r="P526" i="1"/>
  <c r="G11" i="36" l="1"/>
  <c r="U235" i="1"/>
  <c r="G1264" i="1" l="1"/>
  <c r="B998" i="47" l="1"/>
  <c r="B1556" i="47"/>
  <c r="B1554" i="47"/>
  <c r="B1552" i="47"/>
  <c r="B1550" i="47"/>
  <c r="B1548" i="47"/>
  <c r="B1546" i="47"/>
  <c r="B1544" i="47"/>
  <c r="B1542" i="47"/>
  <c r="B1540" i="47"/>
  <c r="B1555" i="47"/>
  <c r="B1553" i="47"/>
  <c r="B1551" i="47"/>
  <c r="B1549" i="47"/>
  <c r="B1547" i="47"/>
  <c r="B1545" i="47"/>
  <c r="B1543" i="47"/>
  <c r="B1541" i="47"/>
  <c r="B997" i="47"/>
  <c r="G171" i="13"/>
  <c r="B1600" i="47" l="1"/>
  <c r="B1572" i="47"/>
  <c r="B1608" i="47"/>
  <c r="B1580" i="47"/>
  <c r="B1599" i="47"/>
  <c r="B1571" i="47"/>
  <c r="B1607" i="47"/>
  <c r="B1579" i="47"/>
  <c r="B1602" i="47"/>
  <c r="B1574" i="47"/>
  <c r="B1610" i="47"/>
  <c r="B1582" i="47"/>
  <c r="B1573" i="47"/>
  <c r="B1601" i="47"/>
  <c r="B1581" i="47"/>
  <c r="B1609" i="47"/>
  <c r="B1596" i="47"/>
  <c r="B1568" i="47"/>
  <c r="B1604" i="47"/>
  <c r="B1576" i="47"/>
  <c r="B1595" i="47"/>
  <c r="B1567" i="47"/>
  <c r="B1603" i="47"/>
  <c r="B1575" i="47"/>
  <c r="B1583" i="47"/>
  <c r="B1611" i="47"/>
  <c r="B1560" i="47"/>
  <c r="B1598" i="47"/>
  <c r="B1570" i="47"/>
  <c r="B1606" i="47"/>
  <c r="B1578" i="47"/>
  <c r="B1569" i="47"/>
  <c r="B1597" i="47"/>
  <c r="B1577" i="47"/>
  <c r="B1605" i="47"/>
  <c r="B1000" i="47"/>
  <c r="B972" i="47"/>
  <c r="B1010" i="47"/>
  <c r="B982" i="47"/>
  <c r="B1011" i="47"/>
  <c r="B983" i="47"/>
  <c r="B1008" i="47"/>
  <c r="B980" i="47"/>
  <c r="B1003" i="47"/>
  <c r="B975" i="47"/>
  <c r="B970" i="47"/>
  <c r="B1012" i="47"/>
  <c r="B984" i="47"/>
  <c r="B1006" i="47"/>
  <c r="B978" i="47"/>
  <c r="B969" i="47"/>
  <c r="B973" i="47"/>
  <c r="B1001" i="47"/>
  <c r="B1007" i="47"/>
  <c r="B979" i="47"/>
  <c r="B977" i="47"/>
  <c r="B1005" i="47"/>
  <c r="B1004" i="47"/>
  <c r="B976" i="47"/>
  <c r="B1002" i="47"/>
  <c r="B974" i="47"/>
  <c r="B999" i="47"/>
  <c r="B971" i="47"/>
  <c r="B981" i="47"/>
  <c r="B1009" i="47"/>
  <c r="B985" i="47"/>
  <c r="B1013" i="47"/>
  <c r="B1271" i="1"/>
  <c r="K1262" i="1"/>
  <c r="J1262" i="1"/>
  <c r="I1262" i="1"/>
  <c r="K1569" i="47" l="1"/>
  <c r="J1569" i="47"/>
  <c r="N1569" i="47"/>
  <c r="I1569" i="47"/>
  <c r="H1569" i="47"/>
  <c r="M1569" i="47"/>
  <c r="B1588" i="47"/>
  <c r="K1575" i="47"/>
  <c r="J1575" i="47"/>
  <c r="N1575" i="47"/>
  <c r="I1575" i="47"/>
  <c r="M1575" i="47"/>
  <c r="O1575" i="47" s="1"/>
  <c r="H1575" i="47"/>
  <c r="K1573" i="47"/>
  <c r="J1573" i="47"/>
  <c r="N1573" i="47"/>
  <c r="I1573" i="47"/>
  <c r="H1573" i="47"/>
  <c r="M1573" i="47"/>
  <c r="K1579" i="47"/>
  <c r="J1579" i="47"/>
  <c r="N1579" i="47"/>
  <c r="I1579" i="47"/>
  <c r="M1579" i="47"/>
  <c r="O1579" i="47" s="1"/>
  <c r="H1579" i="47"/>
  <c r="K1577" i="47"/>
  <c r="J1577" i="47"/>
  <c r="N1577" i="47"/>
  <c r="I1577" i="47"/>
  <c r="H1577" i="47"/>
  <c r="M1577" i="47"/>
  <c r="K1570" i="47"/>
  <c r="J1570" i="47"/>
  <c r="N1570" i="47"/>
  <c r="I1570" i="47"/>
  <c r="H1570" i="47"/>
  <c r="M1570" i="47"/>
  <c r="K1568" i="47"/>
  <c r="J1568" i="47"/>
  <c r="N1568" i="47"/>
  <c r="I1568" i="47"/>
  <c r="M1568" i="47"/>
  <c r="H1568" i="47"/>
  <c r="M1581" i="47"/>
  <c r="H1581" i="47"/>
  <c r="J1581" i="47"/>
  <c r="I1581" i="47"/>
  <c r="N1581" i="47"/>
  <c r="K1581" i="47"/>
  <c r="K1574" i="47"/>
  <c r="J1574" i="47"/>
  <c r="N1574" i="47"/>
  <c r="I1574" i="47"/>
  <c r="H1574" i="47"/>
  <c r="M1574" i="47"/>
  <c r="K1572" i="47"/>
  <c r="J1572" i="47"/>
  <c r="N1572" i="47"/>
  <c r="I1572" i="47"/>
  <c r="M1572" i="47"/>
  <c r="H1572" i="47"/>
  <c r="K1578" i="47"/>
  <c r="J1578" i="47"/>
  <c r="N1578" i="47"/>
  <c r="I1578" i="47"/>
  <c r="H1578" i="47"/>
  <c r="M1578" i="47"/>
  <c r="K1576" i="47"/>
  <c r="J1576" i="47"/>
  <c r="N1576" i="47"/>
  <c r="I1576" i="47"/>
  <c r="M1576" i="47"/>
  <c r="O1576" i="47" s="1"/>
  <c r="H1576" i="47"/>
  <c r="M1580" i="47"/>
  <c r="K1580" i="47"/>
  <c r="J1580" i="47"/>
  <c r="I1580" i="47"/>
  <c r="N1580" i="47"/>
  <c r="H1580" i="47"/>
  <c r="M1583" i="47"/>
  <c r="H1583" i="47"/>
  <c r="J1583" i="47"/>
  <c r="N1583" i="47"/>
  <c r="K1583" i="47"/>
  <c r="I1583" i="47"/>
  <c r="K1567" i="47"/>
  <c r="J1567" i="47"/>
  <c r="N1567" i="47"/>
  <c r="I1567" i="47"/>
  <c r="M1567" i="47"/>
  <c r="H1567" i="47"/>
  <c r="M1582" i="47"/>
  <c r="H1582" i="47"/>
  <c r="J1582" i="47"/>
  <c r="K1582" i="47"/>
  <c r="I1582" i="47"/>
  <c r="N1582" i="47"/>
  <c r="K1571" i="47"/>
  <c r="J1571" i="47"/>
  <c r="N1571" i="47"/>
  <c r="I1571" i="47"/>
  <c r="M1571" i="47"/>
  <c r="H1571" i="47"/>
  <c r="J971" i="47"/>
  <c r="N971" i="47"/>
  <c r="I971" i="47"/>
  <c r="M971" i="47"/>
  <c r="H971" i="47"/>
  <c r="K971" i="47"/>
  <c r="J979" i="47"/>
  <c r="N979" i="47"/>
  <c r="I979" i="47"/>
  <c r="M979" i="47"/>
  <c r="H979" i="47"/>
  <c r="K979" i="47"/>
  <c r="J973" i="47"/>
  <c r="N973" i="47"/>
  <c r="I973" i="47"/>
  <c r="M973" i="47"/>
  <c r="H973" i="47"/>
  <c r="K973" i="47"/>
  <c r="J984" i="47"/>
  <c r="N984" i="47"/>
  <c r="I984" i="47"/>
  <c r="M984" i="47"/>
  <c r="H984" i="47"/>
  <c r="K984" i="47"/>
  <c r="J983" i="47"/>
  <c r="N983" i="47"/>
  <c r="I983" i="47"/>
  <c r="M983" i="47"/>
  <c r="H983" i="47"/>
  <c r="K983" i="47"/>
  <c r="J978" i="47"/>
  <c r="N978" i="47"/>
  <c r="I978" i="47"/>
  <c r="M978" i="47"/>
  <c r="H978" i="47"/>
  <c r="K978" i="47"/>
  <c r="J980" i="47"/>
  <c r="N980" i="47"/>
  <c r="I980" i="47"/>
  <c r="M980" i="47"/>
  <c r="H980" i="47"/>
  <c r="K980" i="47"/>
  <c r="J975" i="47"/>
  <c r="N975" i="47"/>
  <c r="I975" i="47"/>
  <c r="M975" i="47"/>
  <c r="H975" i="47"/>
  <c r="K975" i="47"/>
  <c r="J972" i="47"/>
  <c r="N972" i="47"/>
  <c r="I972" i="47"/>
  <c r="M972" i="47"/>
  <c r="H972" i="47"/>
  <c r="K972" i="47"/>
  <c r="B990" i="47"/>
  <c r="J981" i="47"/>
  <c r="N981" i="47"/>
  <c r="I981" i="47"/>
  <c r="M981" i="47"/>
  <c r="H981" i="47"/>
  <c r="K981" i="47"/>
  <c r="J976" i="47"/>
  <c r="N976" i="47"/>
  <c r="I976" i="47"/>
  <c r="M976" i="47"/>
  <c r="H976" i="47"/>
  <c r="K976" i="47"/>
  <c r="J977" i="47"/>
  <c r="N977" i="47"/>
  <c r="I977" i="47"/>
  <c r="M977" i="47"/>
  <c r="H977" i="47"/>
  <c r="K977" i="47"/>
  <c r="J985" i="47"/>
  <c r="N985" i="47"/>
  <c r="I985" i="47"/>
  <c r="M985" i="47"/>
  <c r="H985" i="47"/>
  <c r="K985" i="47"/>
  <c r="J974" i="47"/>
  <c r="N974" i="47"/>
  <c r="I974" i="47"/>
  <c r="M974" i="47"/>
  <c r="H974" i="47"/>
  <c r="K974" i="47"/>
  <c r="J969" i="47"/>
  <c r="N969" i="47"/>
  <c r="I969" i="47"/>
  <c r="M969" i="47"/>
  <c r="H969" i="47"/>
  <c r="K969" i="47"/>
  <c r="J970" i="47"/>
  <c r="N970" i="47"/>
  <c r="I970" i="47"/>
  <c r="M970" i="47"/>
  <c r="H970" i="47"/>
  <c r="K970" i="47"/>
  <c r="J982" i="47"/>
  <c r="N982" i="47"/>
  <c r="I982" i="47"/>
  <c r="M982" i="47"/>
  <c r="H982" i="47"/>
  <c r="K982" i="47"/>
  <c r="L1262" i="1"/>
  <c r="D40" i="17"/>
  <c r="C39" i="17"/>
  <c r="D259" i="17" s="1"/>
  <c r="O1572" i="47" l="1"/>
  <c r="O1582" i="47"/>
  <c r="Q1582" i="47" s="1"/>
  <c r="O1583" i="47"/>
  <c r="Q1583" i="47" s="1"/>
  <c r="O1569" i="47"/>
  <c r="O1578" i="47"/>
  <c r="O1577" i="47"/>
  <c r="O1571" i="47"/>
  <c r="O1567" i="47"/>
  <c r="I1584" i="47"/>
  <c r="I1585" i="47" s="1"/>
  <c r="E389" i="1" s="1"/>
  <c r="K1584" i="47"/>
  <c r="K1585" i="47" s="1"/>
  <c r="E390" i="1" s="1"/>
  <c r="O1581" i="47"/>
  <c r="Q1581" i="47" s="1"/>
  <c r="O1580" i="47"/>
  <c r="Q1580" i="47" s="1"/>
  <c r="O1574" i="47"/>
  <c r="O1570" i="47"/>
  <c r="H1584" i="47"/>
  <c r="H1585" i="47" s="1"/>
  <c r="E388" i="1" s="1"/>
  <c r="J1584" i="47"/>
  <c r="J1585" i="47" s="1"/>
  <c r="E391" i="1" s="1"/>
  <c r="O1568" i="47"/>
  <c r="O1573" i="47"/>
  <c r="F1588" i="47"/>
  <c r="N1588" i="47"/>
  <c r="B1617" i="47"/>
  <c r="M1588" i="47"/>
  <c r="O972" i="47"/>
  <c r="O980" i="47"/>
  <c r="O973" i="47"/>
  <c r="O982" i="47"/>
  <c r="O969" i="47"/>
  <c r="O985" i="47"/>
  <c r="O976" i="47"/>
  <c r="O971" i="47"/>
  <c r="J986" i="47"/>
  <c r="J987" i="47" s="1"/>
  <c r="E275" i="1" s="1"/>
  <c r="F990" i="47"/>
  <c r="F992" i="47" s="1"/>
  <c r="F993" i="47" s="1"/>
  <c r="E282" i="1" s="1"/>
  <c r="B1019" i="47"/>
  <c r="N990" i="47"/>
  <c r="M990" i="47"/>
  <c r="O984" i="47"/>
  <c r="O979" i="47"/>
  <c r="I986" i="47"/>
  <c r="I987" i="47" s="1"/>
  <c r="E273" i="1" s="1"/>
  <c r="O970" i="47"/>
  <c r="K986" i="47"/>
  <c r="K987" i="47" s="1"/>
  <c r="E274" i="1" s="1"/>
  <c r="O974" i="47"/>
  <c r="O977" i="47"/>
  <c r="O981" i="47"/>
  <c r="O975" i="47"/>
  <c r="O978" i="47"/>
  <c r="O983" i="47"/>
  <c r="D264" i="36"/>
  <c r="I455" i="34"/>
  <c r="I407" i="34"/>
  <c r="E184" i="36"/>
  <c r="F236" i="36"/>
  <c r="I236" i="36" s="1"/>
  <c r="K233" i="36"/>
  <c r="D271" i="36" s="1"/>
  <c r="F187" i="36"/>
  <c r="G187" i="36" s="1"/>
  <c r="B265" i="36"/>
  <c r="B264" i="36"/>
  <c r="B183" i="36" s="1"/>
  <c r="O1588" i="47" l="1"/>
  <c r="O990" i="47"/>
  <c r="H187" i="36"/>
  <c r="B190" i="36"/>
  <c r="D509" i="34"/>
  <c r="C342" i="34" s="1"/>
  <c r="D510" i="34"/>
  <c r="C358" i="34" s="1"/>
  <c r="K551" i="1"/>
  <c r="K550" i="1"/>
  <c r="K519" i="1"/>
  <c r="K520" i="1"/>
  <c r="I187" i="36"/>
  <c r="J187" i="36" s="1"/>
  <c r="G236" i="36"/>
  <c r="H236" i="36"/>
  <c r="J236" i="36" s="1"/>
  <c r="J58" i="40"/>
  <c r="B59" i="40"/>
  <c r="B58" i="40"/>
  <c r="P32" i="40"/>
  <c r="N32" i="40"/>
  <c r="P31" i="40"/>
  <c r="N31" i="40"/>
  <c r="P30" i="40"/>
  <c r="N30" i="40"/>
  <c r="P29" i="40"/>
  <c r="N29" i="40"/>
  <c r="P28" i="40"/>
  <c r="N28" i="40"/>
  <c r="P27" i="40"/>
  <c r="N27" i="40"/>
  <c r="P26" i="40"/>
  <c r="N26" i="40"/>
  <c r="P25" i="40"/>
  <c r="N25" i="40"/>
  <c r="J59" i="40" l="1"/>
  <c r="I59" i="40"/>
  <c r="I58" i="40"/>
  <c r="J159" i="15"/>
  <c r="J97" i="13"/>
  <c r="B89" i="32" l="1"/>
  <c r="B551" i="1"/>
  <c r="B582" i="1" s="1"/>
  <c r="B613" i="1" s="1"/>
  <c r="B88" i="32"/>
  <c r="B550" i="1"/>
  <c r="B581" i="1" s="1"/>
  <c r="B612" i="1" s="1"/>
  <c r="C1270" i="47" l="1"/>
  <c r="B1270" i="47"/>
  <c r="A1270" i="47"/>
  <c r="C1269" i="47"/>
  <c r="A1269" i="47"/>
  <c r="C1268" i="47"/>
  <c r="A1268" i="47"/>
  <c r="C1267" i="47"/>
  <c r="A1267" i="47"/>
  <c r="C1266" i="47"/>
  <c r="A1266" i="47"/>
  <c r="C1265" i="47"/>
  <c r="A1265" i="47"/>
  <c r="C1264" i="47"/>
  <c r="A1264" i="47"/>
  <c r="C1263" i="47"/>
  <c r="A1263" i="47"/>
  <c r="G1242" i="47"/>
  <c r="F1242" i="47"/>
  <c r="E1242" i="47"/>
  <c r="D1242" i="47"/>
  <c r="C1242" i="47"/>
  <c r="B1242" i="47"/>
  <c r="M1242" i="47" s="1"/>
  <c r="A1242" i="47"/>
  <c r="G1241" i="47"/>
  <c r="F1241" i="47"/>
  <c r="E1241" i="47"/>
  <c r="D1241" i="47"/>
  <c r="C1241" i="47"/>
  <c r="A1241" i="47"/>
  <c r="G1240" i="47"/>
  <c r="F1240" i="47"/>
  <c r="E1240" i="47"/>
  <c r="D1240" i="47"/>
  <c r="C1240" i="47"/>
  <c r="A1240" i="47"/>
  <c r="G1239" i="47"/>
  <c r="F1239" i="47"/>
  <c r="E1239" i="47"/>
  <c r="D1239" i="47"/>
  <c r="C1239" i="47"/>
  <c r="A1239" i="47"/>
  <c r="G1238" i="47"/>
  <c r="F1238" i="47"/>
  <c r="E1238" i="47"/>
  <c r="D1238" i="47"/>
  <c r="C1238" i="47"/>
  <c r="A1238" i="47"/>
  <c r="G1237" i="47"/>
  <c r="F1237" i="47"/>
  <c r="E1237" i="47"/>
  <c r="D1237" i="47"/>
  <c r="C1237" i="47"/>
  <c r="A1237" i="47"/>
  <c r="G1236" i="47"/>
  <c r="F1236" i="47"/>
  <c r="E1236" i="47"/>
  <c r="D1236" i="47"/>
  <c r="C1236" i="47"/>
  <c r="A1236" i="47"/>
  <c r="G1235" i="47"/>
  <c r="F1235" i="47"/>
  <c r="E1235" i="47"/>
  <c r="D1235" i="47"/>
  <c r="C1235" i="47"/>
  <c r="A1235" i="47"/>
  <c r="C740" i="47"/>
  <c r="A740" i="47"/>
  <c r="C739" i="47"/>
  <c r="A739" i="47"/>
  <c r="C738" i="47"/>
  <c r="A738" i="47"/>
  <c r="C737" i="47"/>
  <c r="A737" i="47"/>
  <c r="C736" i="47"/>
  <c r="A736" i="47"/>
  <c r="C735" i="47"/>
  <c r="A735" i="47"/>
  <c r="C734" i="47"/>
  <c r="A734" i="47"/>
  <c r="C733" i="47"/>
  <c r="A733" i="47"/>
  <c r="C712" i="47"/>
  <c r="A712" i="47"/>
  <c r="C711" i="47"/>
  <c r="A711" i="47"/>
  <c r="C710" i="47"/>
  <c r="A710" i="47"/>
  <c r="C709" i="47"/>
  <c r="H1039" i="47" s="1"/>
  <c r="A709" i="47"/>
  <c r="C708" i="47"/>
  <c r="H1038" i="47" s="1"/>
  <c r="A708" i="47"/>
  <c r="C707" i="47"/>
  <c r="H1037" i="47" s="1"/>
  <c r="A707" i="47"/>
  <c r="C706" i="47"/>
  <c r="H1036" i="47" s="1"/>
  <c r="A706" i="47"/>
  <c r="C705" i="47"/>
  <c r="A705" i="47"/>
  <c r="C398" i="47"/>
  <c r="A398" i="47"/>
  <c r="C397" i="47"/>
  <c r="A397" i="47"/>
  <c r="C396" i="47"/>
  <c r="A396" i="47"/>
  <c r="C395" i="47"/>
  <c r="A395" i="47"/>
  <c r="C394" i="47"/>
  <c r="A394" i="47"/>
  <c r="C393" i="47"/>
  <c r="A393" i="47"/>
  <c r="C392" i="47"/>
  <c r="A392" i="47"/>
  <c r="C391" i="47"/>
  <c r="A391" i="47"/>
  <c r="G370" i="47"/>
  <c r="G712" i="47" s="1"/>
  <c r="F370" i="47"/>
  <c r="F712" i="47" s="1"/>
  <c r="E370" i="47"/>
  <c r="E712" i="47" s="1"/>
  <c r="D370" i="47"/>
  <c r="D712" i="47" s="1"/>
  <c r="C370" i="47"/>
  <c r="A370" i="47"/>
  <c r="G369" i="47"/>
  <c r="G711" i="47" s="1"/>
  <c r="F369" i="47"/>
  <c r="F711" i="47" s="1"/>
  <c r="E369" i="47"/>
  <c r="E711" i="47" s="1"/>
  <c r="D369" i="47"/>
  <c r="D711" i="47" s="1"/>
  <c r="C369" i="47"/>
  <c r="A369" i="47"/>
  <c r="G368" i="47"/>
  <c r="G710" i="47" s="1"/>
  <c r="F368" i="47"/>
  <c r="F710" i="47" s="1"/>
  <c r="E368" i="47"/>
  <c r="E710" i="47" s="1"/>
  <c r="D368" i="47"/>
  <c r="D710" i="47" s="1"/>
  <c r="C368" i="47"/>
  <c r="A368" i="47"/>
  <c r="G367" i="47"/>
  <c r="G709" i="47" s="1"/>
  <c r="L1039" i="47" s="1"/>
  <c r="F367" i="47"/>
  <c r="F709" i="47" s="1"/>
  <c r="K1039" i="47" s="1"/>
  <c r="E367" i="47"/>
  <c r="E709" i="47" s="1"/>
  <c r="J1039" i="47" s="1"/>
  <c r="D367" i="47"/>
  <c r="D709" i="47" s="1"/>
  <c r="I1039" i="47" s="1"/>
  <c r="C367" i="47"/>
  <c r="A367" i="47"/>
  <c r="G366" i="47"/>
  <c r="G708" i="47" s="1"/>
  <c r="L1038" i="47" s="1"/>
  <c r="F366" i="47"/>
  <c r="F708" i="47" s="1"/>
  <c r="K1038" i="47" s="1"/>
  <c r="E366" i="47"/>
  <c r="E708" i="47" s="1"/>
  <c r="J1038" i="47" s="1"/>
  <c r="D366" i="47"/>
  <c r="D708" i="47" s="1"/>
  <c r="I1038" i="47" s="1"/>
  <c r="C366" i="47"/>
  <c r="A366" i="47"/>
  <c r="G365" i="47"/>
  <c r="G707" i="47" s="1"/>
  <c r="L1037" i="47" s="1"/>
  <c r="F365" i="47"/>
  <c r="F707" i="47" s="1"/>
  <c r="K1037" i="47" s="1"/>
  <c r="E365" i="47"/>
  <c r="E707" i="47" s="1"/>
  <c r="J1037" i="47" s="1"/>
  <c r="D365" i="47"/>
  <c r="D707" i="47" s="1"/>
  <c r="C365" i="47"/>
  <c r="A365" i="47"/>
  <c r="G364" i="47"/>
  <c r="G706" i="47" s="1"/>
  <c r="L1036" i="47" s="1"/>
  <c r="F364" i="47"/>
  <c r="F706" i="47" s="1"/>
  <c r="K1036" i="47" s="1"/>
  <c r="E364" i="47"/>
  <c r="E706" i="47" s="1"/>
  <c r="J1036" i="47" s="1"/>
  <c r="D364" i="47"/>
  <c r="D706" i="47" s="1"/>
  <c r="I1036" i="47" s="1"/>
  <c r="C364" i="47"/>
  <c r="A364" i="47"/>
  <c r="G363" i="47"/>
  <c r="G705" i="47" s="1"/>
  <c r="F363" i="47"/>
  <c r="F705" i="47" s="1"/>
  <c r="E363" i="47"/>
  <c r="E705" i="47" s="1"/>
  <c r="D363" i="47"/>
  <c r="D705" i="47" s="1"/>
  <c r="C363" i="47"/>
  <c r="A363" i="47"/>
  <c r="D198" i="47"/>
  <c r="D1603" i="47" s="1"/>
  <c r="E1603" i="47" s="1"/>
  <c r="A198" i="47"/>
  <c r="D197" i="47"/>
  <c r="D1602" i="47" s="1"/>
  <c r="E1602" i="47" s="1"/>
  <c r="A197" i="47"/>
  <c r="D196" i="47"/>
  <c r="D1601" i="47" s="1"/>
  <c r="E1601" i="47" s="1"/>
  <c r="A196" i="47"/>
  <c r="D195" i="47"/>
  <c r="D1600" i="47" s="1"/>
  <c r="E1600" i="47" s="1"/>
  <c r="A195" i="47"/>
  <c r="D194" i="47"/>
  <c r="D1599" i="47" s="1"/>
  <c r="E1599" i="47" s="1"/>
  <c r="A194" i="47"/>
  <c r="D193" i="47"/>
  <c r="D1598" i="47" s="1"/>
  <c r="E1598" i="47" s="1"/>
  <c r="A193" i="47"/>
  <c r="D192" i="47"/>
  <c r="D1597" i="47" s="1"/>
  <c r="E1597" i="47" s="1"/>
  <c r="A192" i="47"/>
  <c r="D191" i="47"/>
  <c r="D1596" i="47" s="1"/>
  <c r="E1596" i="47" s="1"/>
  <c r="A191" i="47"/>
  <c r="P170" i="47"/>
  <c r="P370" i="47" s="1"/>
  <c r="P712" i="47" s="1"/>
  <c r="P977" i="47" s="1"/>
  <c r="Q977" i="47" s="1"/>
  <c r="C170" i="47"/>
  <c r="C198" i="47" s="1"/>
  <c r="A170" i="47"/>
  <c r="P169" i="47"/>
  <c r="P369" i="47" s="1"/>
  <c r="P711" i="47" s="1"/>
  <c r="P976" i="47" s="1"/>
  <c r="Q976" i="47" s="1"/>
  <c r="C169" i="47"/>
  <c r="C197" i="47" s="1"/>
  <c r="A169" i="47"/>
  <c r="P168" i="47"/>
  <c r="P368" i="47" s="1"/>
  <c r="P710" i="47" s="1"/>
  <c r="P975" i="47" s="1"/>
  <c r="Q975" i="47" s="1"/>
  <c r="C168" i="47"/>
  <c r="C196" i="47" s="1"/>
  <c r="A168" i="47"/>
  <c r="P167" i="47"/>
  <c r="P367" i="47" s="1"/>
  <c r="P709" i="47" s="1"/>
  <c r="P974" i="47" s="1"/>
  <c r="Q974" i="47" s="1"/>
  <c r="C167" i="47"/>
  <c r="C195" i="47" s="1"/>
  <c r="A167" i="47"/>
  <c r="P166" i="47"/>
  <c r="P1238" i="47" s="1"/>
  <c r="C166" i="47"/>
  <c r="C194" i="47" s="1"/>
  <c r="A166" i="47"/>
  <c r="P165" i="47"/>
  <c r="P1237" i="47" s="1"/>
  <c r="C165" i="47"/>
  <c r="C193" i="47" s="1"/>
  <c r="A165" i="47"/>
  <c r="P164" i="47"/>
  <c r="P364" i="47" s="1"/>
  <c r="P706" i="47" s="1"/>
  <c r="P971" i="47" s="1"/>
  <c r="Q971" i="47" s="1"/>
  <c r="C164" i="47"/>
  <c r="C192" i="47" s="1"/>
  <c r="A164" i="47"/>
  <c r="P163" i="47"/>
  <c r="P363" i="47" s="1"/>
  <c r="P705" i="47" s="1"/>
  <c r="P970" i="47" s="1"/>
  <c r="Q970" i="47" s="1"/>
  <c r="C163" i="47"/>
  <c r="C191" i="47" s="1"/>
  <c r="A163" i="47"/>
  <c r="D143" i="47"/>
  <c r="D1548" i="47" s="1"/>
  <c r="E1548" i="47" s="1"/>
  <c r="D142" i="47"/>
  <c r="D1547" i="47" s="1"/>
  <c r="E1547" i="47" s="1"/>
  <c r="D141" i="47"/>
  <c r="D1546" i="47" s="1"/>
  <c r="E1546" i="47" s="1"/>
  <c r="D140" i="47"/>
  <c r="D1545" i="47" s="1"/>
  <c r="E1545" i="47" s="1"/>
  <c r="D139" i="47"/>
  <c r="D1544" i="47" s="1"/>
  <c r="E1544" i="47" s="1"/>
  <c r="D138" i="47"/>
  <c r="D1543" i="47" s="1"/>
  <c r="E1543" i="47" s="1"/>
  <c r="D137" i="47"/>
  <c r="D1542" i="47" s="1"/>
  <c r="E1542" i="47" s="1"/>
  <c r="D136" i="47"/>
  <c r="D1541" i="47" s="1"/>
  <c r="E1541" i="47" s="1"/>
  <c r="D1271" i="1"/>
  <c r="B192" i="32" s="1"/>
  <c r="I1037" i="47" l="1"/>
  <c r="D968" i="47"/>
  <c r="H968" i="47" s="1"/>
  <c r="H986" i="47" s="1"/>
  <c r="H987" i="47" s="1"/>
  <c r="E272" i="1" s="1"/>
  <c r="D679" i="47"/>
  <c r="D944" i="47"/>
  <c r="E944" i="47" s="1"/>
  <c r="D338" i="47"/>
  <c r="D945" i="47"/>
  <c r="E945" i="47" s="1"/>
  <c r="D684" i="47"/>
  <c r="D949" i="47"/>
  <c r="D339" i="47"/>
  <c r="D946" i="47"/>
  <c r="E946" i="47" s="1"/>
  <c r="D685" i="47"/>
  <c r="D950" i="47"/>
  <c r="D1264" i="47"/>
  <c r="D999" i="47"/>
  <c r="E999" i="47" s="1"/>
  <c r="D1266" i="47"/>
  <c r="D1001" i="47"/>
  <c r="E1001" i="47" s="1"/>
  <c r="D1268" i="47"/>
  <c r="D1003" i="47"/>
  <c r="E1003" i="47" s="1"/>
  <c r="D1270" i="47"/>
  <c r="D1005" i="47"/>
  <c r="E1005" i="47" s="1"/>
  <c r="D1208" i="47"/>
  <c r="D943" i="47"/>
  <c r="E943" i="47" s="1"/>
  <c r="D1212" i="47"/>
  <c r="D947" i="47"/>
  <c r="E947" i="47" s="1"/>
  <c r="D683" i="47"/>
  <c r="D948" i="47"/>
  <c r="E948" i="47" s="1"/>
  <c r="D1263" i="47"/>
  <c r="D998" i="47"/>
  <c r="D393" i="47"/>
  <c r="D735" i="47" s="1"/>
  <c r="D1000" i="47"/>
  <c r="E1000" i="47" s="1"/>
  <c r="D1267" i="47"/>
  <c r="D1002" i="47"/>
  <c r="E1002" i="47" s="1"/>
  <c r="D397" i="47"/>
  <c r="D739" i="47" s="1"/>
  <c r="D1004" i="47"/>
  <c r="E1004" i="47" s="1"/>
  <c r="N1242" i="47"/>
  <c r="O1242" i="47" s="1"/>
  <c r="I1242" i="47"/>
  <c r="P366" i="47"/>
  <c r="P708" i="47" s="1"/>
  <c r="P973" i="47" s="1"/>
  <c r="Q973" i="47" s="1"/>
  <c r="D392" i="47"/>
  <c r="D396" i="47"/>
  <c r="P1236" i="47"/>
  <c r="P1240" i="47"/>
  <c r="D1265" i="47"/>
  <c r="D341" i="47"/>
  <c r="D337" i="47"/>
  <c r="D682" i="47"/>
  <c r="D678" i="47"/>
  <c r="D1211" i="47"/>
  <c r="P365" i="47"/>
  <c r="P707" i="47" s="1"/>
  <c r="P972" i="47" s="1"/>
  <c r="Q972" i="47" s="1"/>
  <c r="D391" i="47"/>
  <c r="D395" i="47"/>
  <c r="P1235" i="47"/>
  <c r="P1239" i="47"/>
  <c r="D340" i="47"/>
  <c r="D336" i="47"/>
  <c r="D681" i="47"/>
  <c r="D1210" i="47"/>
  <c r="D394" i="47"/>
  <c r="D680" i="47"/>
  <c r="D1213" i="47"/>
  <c r="D1209" i="47"/>
  <c r="P1241" i="47"/>
  <c r="D1269" i="47"/>
  <c r="D1214" i="47"/>
  <c r="D342" i="47"/>
  <c r="D1215" i="47"/>
  <c r="D343" i="47"/>
  <c r="E1270" i="47"/>
  <c r="P1242" i="47"/>
  <c r="D398" i="47"/>
  <c r="J1242" i="47"/>
  <c r="K1242" i="47"/>
  <c r="H1242" i="47"/>
  <c r="AC470" i="1"/>
  <c r="D736" i="47" l="1"/>
  <c r="D733" i="47"/>
  <c r="D738" i="47"/>
  <c r="D740" i="47"/>
  <c r="D737" i="47"/>
  <c r="D734" i="47"/>
  <c r="Q1242" i="47"/>
  <c r="J282" i="13"/>
  <c r="B37" i="40"/>
  <c r="J230" i="13"/>
  <c r="J171" i="13"/>
  <c r="J231" i="13" l="1"/>
  <c r="K231" i="13" s="1"/>
  <c r="J232" i="13"/>
  <c r="K232" i="13" s="1"/>
  <c r="B185" i="32"/>
  <c r="B186" i="32"/>
  <c r="Q425" i="47"/>
  <c r="Q422" i="47"/>
  <c r="B361" i="47"/>
  <c r="P162" i="47"/>
  <c r="P1234" i="47" s="1"/>
  <c r="P171" i="47"/>
  <c r="P1243" i="47" s="1"/>
  <c r="P172" i="47"/>
  <c r="P173" i="47"/>
  <c r="P1245" i="47" s="1"/>
  <c r="P174" i="47"/>
  <c r="P1246" i="47" s="1"/>
  <c r="P175" i="47"/>
  <c r="P1247" i="47" s="1"/>
  <c r="P176" i="47"/>
  <c r="P1248" i="47" s="1"/>
  <c r="P177" i="47"/>
  <c r="P1249" i="47" s="1"/>
  <c r="P178" i="47"/>
  <c r="P1250" i="47" s="1"/>
  <c r="P161" i="47"/>
  <c r="P1233" i="47" s="1"/>
  <c r="D135" i="47"/>
  <c r="D144" i="47"/>
  <c r="D145" i="47"/>
  <c r="D146" i="47"/>
  <c r="D147" i="47"/>
  <c r="D148" i="47"/>
  <c r="D149" i="47"/>
  <c r="D150" i="47"/>
  <c r="D151" i="47"/>
  <c r="D134" i="47"/>
  <c r="D1539" i="47" s="1"/>
  <c r="E1539" i="47" s="1"/>
  <c r="C129" i="47"/>
  <c r="B129" i="47"/>
  <c r="C128" i="47"/>
  <c r="B128" i="47"/>
  <c r="C127" i="47"/>
  <c r="B127" i="47"/>
  <c r="N121" i="47"/>
  <c r="G121" i="47"/>
  <c r="I121" i="47" s="1"/>
  <c r="B121" i="47"/>
  <c r="N120" i="47"/>
  <c r="G120" i="47"/>
  <c r="I120" i="47" s="1"/>
  <c r="B120" i="47"/>
  <c r="D120" i="47" s="1"/>
  <c r="N119" i="47"/>
  <c r="G119" i="47"/>
  <c r="I119" i="47" s="1"/>
  <c r="B119" i="47"/>
  <c r="K119" i="47" s="1"/>
  <c r="C113" i="47"/>
  <c r="B113" i="47"/>
  <c r="C112" i="47"/>
  <c r="B112" i="47"/>
  <c r="C111" i="47"/>
  <c r="B111" i="47"/>
  <c r="F104" i="47"/>
  <c r="D104" i="47"/>
  <c r="B104" i="47"/>
  <c r="Q103" i="47"/>
  <c r="Q104" i="47" s="1"/>
  <c r="E47" i="1" s="1"/>
  <c r="P103" i="47"/>
  <c r="F103" i="47"/>
  <c r="D103" i="47"/>
  <c r="B103" i="47"/>
  <c r="F102" i="47"/>
  <c r="D102" i="47"/>
  <c r="B102" i="47"/>
  <c r="F101" i="47"/>
  <c r="D101" i="47"/>
  <c r="B101" i="47"/>
  <c r="B85" i="47"/>
  <c r="E83" i="47" s="1"/>
  <c r="B83" i="47"/>
  <c r="C83" i="47" s="1"/>
  <c r="D83" i="47" s="1"/>
  <c r="B80" i="47"/>
  <c r="C80" i="47" s="1"/>
  <c r="D80" i="47" s="1"/>
  <c r="B78" i="47"/>
  <c r="C78" i="47" s="1"/>
  <c r="D78" i="47" s="1"/>
  <c r="B75" i="47"/>
  <c r="C75" i="47" s="1"/>
  <c r="D75" i="47" s="1"/>
  <c r="B73" i="47"/>
  <c r="E75" i="47" s="1"/>
  <c r="B70" i="47"/>
  <c r="C70" i="47" s="1"/>
  <c r="D70" i="47" s="1"/>
  <c r="B68" i="47"/>
  <c r="C68" i="47" s="1"/>
  <c r="D68" i="47" s="1"/>
  <c r="C1876" i="47"/>
  <c r="C1875" i="47"/>
  <c r="C1869" i="47"/>
  <c r="D1861" i="47"/>
  <c r="D1855" i="47"/>
  <c r="D1853" i="47"/>
  <c r="E1850" i="47"/>
  <c r="C1850" i="47"/>
  <c r="D1850" i="47" s="1"/>
  <c r="E1848" i="47"/>
  <c r="C1848" i="47"/>
  <c r="D1848" i="47" s="1"/>
  <c r="E1845" i="47"/>
  <c r="C1845" i="47"/>
  <c r="D1845" i="47" s="1"/>
  <c r="E1843" i="47"/>
  <c r="C1843" i="47"/>
  <c r="D1843" i="47" s="1"/>
  <c r="E1838" i="47"/>
  <c r="C1838" i="47"/>
  <c r="D1838" i="47" s="1"/>
  <c r="E1836" i="47"/>
  <c r="C1836" i="47"/>
  <c r="D1836" i="47" s="1"/>
  <c r="E1833" i="47"/>
  <c r="C1833" i="47"/>
  <c r="D1833" i="47" s="1"/>
  <c r="B1832" i="47"/>
  <c r="B1837" i="47" s="1"/>
  <c r="B1849" i="47" s="1"/>
  <c r="E1831" i="47"/>
  <c r="C1831" i="47"/>
  <c r="D1831" i="47" s="1"/>
  <c r="B1830" i="47"/>
  <c r="B1835" i="47" s="1"/>
  <c r="B1847" i="47" s="1"/>
  <c r="E1828" i="47"/>
  <c r="C1828" i="47"/>
  <c r="D1828" i="47" s="1"/>
  <c r="E1826" i="47"/>
  <c r="D1826" i="47"/>
  <c r="F1813" i="47"/>
  <c r="B1813" i="47"/>
  <c r="C1813" i="47" s="1"/>
  <c r="F1812" i="47"/>
  <c r="B1812" i="47"/>
  <c r="C1812" i="47" s="1"/>
  <c r="F1804" i="47"/>
  <c r="B1804" i="47"/>
  <c r="C1804" i="47" s="1"/>
  <c r="F1799" i="47"/>
  <c r="E152" i="1" s="1"/>
  <c r="B1799" i="47"/>
  <c r="C1799" i="47" s="1"/>
  <c r="C1529" i="47"/>
  <c r="C1524" i="47"/>
  <c r="B1524" i="47"/>
  <c r="A1524" i="47"/>
  <c r="A1530" i="47" s="1"/>
  <c r="C1523" i="47"/>
  <c r="B1523" i="47"/>
  <c r="B1529" i="47" s="1"/>
  <c r="A1523" i="47"/>
  <c r="A1529" i="47" s="1"/>
  <c r="O1517" i="47"/>
  <c r="M1517" i="47"/>
  <c r="L1517" i="47"/>
  <c r="J1517" i="47"/>
  <c r="I1517" i="47"/>
  <c r="H1517" i="47"/>
  <c r="G1517" i="47"/>
  <c r="O1516" i="47"/>
  <c r="M1516" i="47"/>
  <c r="L1516" i="47"/>
  <c r="J1516" i="47"/>
  <c r="I1516" i="47"/>
  <c r="H1516" i="47"/>
  <c r="G1516" i="47"/>
  <c r="C1511" i="47"/>
  <c r="C1505" i="47"/>
  <c r="B1505" i="47"/>
  <c r="B1511" i="47" s="1"/>
  <c r="A1505" i="47"/>
  <c r="A1511" i="47" s="1"/>
  <c r="B1504" i="47"/>
  <c r="B1510" i="47" s="1"/>
  <c r="A1504" i="47"/>
  <c r="A1510" i="47" s="1"/>
  <c r="O1498" i="47"/>
  <c r="M1498" i="47"/>
  <c r="L1498" i="47"/>
  <c r="J1498" i="47"/>
  <c r="I1498" i="47"/>
  <c r="H1498" i="47"/>
  <c r="G1498" i="47"/>
  <c r="O1497" i="47"/>
  <c r="M1497" i="47"/>
  <c r="L1497" i="47"/>
  <c r="J1497" i="47"/>
  <c r="I1497" i="47"/>
  <c r="H1497" i="47"/>
  <c r="G1497" i="47"/>
  <c r="C1492" i="47"/>
  <c r="B1492" i="47"/>
  <c r="C1491" i="47"/>
  <c r="B1491" i="47"/>
  <c r="B1486" i="47"/>
  <c r="B1485" i="47"/>
  <c r="E1486" i="47" s="1"/>
  <c r="D1481" i="47"/>
  <c r="D1482" i="47" s="1"/>
  <c r="C1476" i="47"/>
  <c r="B1476" i="47"/>
  <c r="C1475" i="47"/>
  <c r="B1475" i="47"/>
  <c r="C1474" i="47"/>
  <c r="B1474" i="47"/>
  <c r="C1473" i="47"/>
  <c r="B1473" i="47"/>
  <c r="C1468" i="47"/>
  <c r="D1468" i="47" s="1"/>
  <c r="E1467" i="47"/>
  <c r="B1467" i="47"/>
  <c r="E1468" i="47" s="1"/>
  <c r="C1464" i="47"/>
  <c r="D1464" i="47" s="1"/>
  <c r="E1462" i="47"/>
  <c r="B1462" i="47"/>
  <c r="C1462" i="47" s="1"/>
  <c r="D1462" i="47" s="1"/>
  <c r="D1458" i="47"/>
  <c r="E1457" i="47"/>
  <c r="B1457" i="47"/>
  <c r="C1457" i="47" s="1"/>
  <c r="D1457" i="47" s="1"/>
  <c r="C1454" i="47"/>
  <c r="D1454" i="47" s="1"/>
  <c r="E1452" i="47"/>
  <c r="B1452" i="47"/>
  <c r="E1454" i="47" s="1"/>
  <c r="E1447" i="47"/>
  <c r="E1446" i="47"/>
  <c r="E1445" i="47"/>
  <c r="E1444" i="47"/>
  <c r="B1414" i="47"/>
  <c r="B1439" i="47" s="1"/>
  <c r="A1414" i="47"/>
  <c r="A1439" i="47" s="1"/>
  <c r="B1408" i="47"/>
  <c r="B1433" i="47" s="1"/>
  <c r="A1408" i="47"/>
  <c r="A1433" i="47" s="1"/>
  <c r="B1407" i="47"/>
  <c r="E1407" i="47" s="1"/>
  <c r="A1407" i="47"/>
  <c r="A1432" i="47" s="1"/>
  <c r="B1406" i="47"/>
  <c r="A1406" i="47"/>
  <c r="A1431" i="47" s="1"/>
  <c r="B1405" i="47"/>
  <c r="B1430" i="47" s="1"/>
  <c r="A1405" i="47"/>
  <c r="A1430" i="47" s="1"/>
  <c r="B1404" i="47"/>
  <c r="B1429" i="47" s="1"/>
  <c r="A1404" i="47"/>
  <c r="A1429" i="47" s="1"/>
  <c r="B1403" i="47"/>
  <c r="B1428" i="47" s="1"/>
  <c r="A1403" i="47"/>
  <c r="A1428" i="47" s="1"/>
  <c r="B1402" i="47"/>
  <c r="A1402" i="47"/>
  <c r="A1427" i="47" s="1"/>
  <c r="B1401" i="47"/>
  <c r="B1426" i="47" s="1"/>
  <c r="A1401" i="47"/>
  <c r="A1426" i="47" s="1"/>
  <c r="B1400" i="47"/>
  <c r="B1425" i="47" s="1"/>
  <c r="A1400" i="47"/>
  <c r="A1425" i="47" s="1"/>
  <c r="B1399" i="47"/>
  <c r="B1424" i="47" s="1"/>
  <c r="A1399" i="47"/>
  <c r="A1424" i="47" s="1"/>
  <c r="B1398" i="47"/>
  <c r="A1398" i="47"/>
  <c r="A1423" i="47" s="1"/>
  <c r="B1397" i="47"/>
  <c r="B1422" i="47" s="1"/>
  <c r="A1397" i="47"/>
  <c r="A1422" i="47" s="1"/>
  <c r="B1396" i="47"/>
  <c r="B1421" i="47" s="1"/>
  <c r="A1396" i="47"/>
  <c r="A1421" i="47" s="1"/>
  <c r="B1395" i="47"/>
  <c r="B1420" i="47" s="1"/>
  <c r="A1395" i="47"/>
  <c r="A1420" i="47" s="1"/>
  <c r="B1394" i="47"/>
  <c r="A1394" i="47"/>
  <c r="A1419" i="47" s="1"/>
  <c r="Q1390" i="47"/>
  <c r="R1390" i="47" s="1"/>
  <c r="O1387" i="47"/>
  <c r="N1387" i="47"/>
  <c r="O1381" i="47"/>
  <c r="N1381" i="47"/>
  <c r="O1380" i="47"/>
  <c r="N1380" i="47"/>
  <c r="O1379" i="47"/>
  <c r="N1379" i="47"/>
  <c r="O1378" i="47"/>
  <c r="N1378" i="47"/>
  <c r="O1377" i="47"/>
  <c r="N1377" i="47"/>
  <c r="O1376" i="47"/>
  <c r="N1376" i="47"/>
  <c r="O1375" i="47"/>
  <c r="N1375" i="47"/>
  <c r="O1374" i="47"/>
  <c r="N1374" i="47"/>
  <c r="O1373" i="47"/>
  <c r="N1373" i="47"/>
  <c r="O1372" i="47"/>
  <c r="N1372" i="47"/>
  <c r="O1371" i="47"/>
  <c r="N1371" i="47"/>
  <c r="O1370" i="47"/>
  <c r="N1370" i="47"/>
  <c r="O1369" i="47"/>
  <c r="N1369" i="47"/>
  <c r="O1368" i="47"/>
  <c r="N1368" i="47"/>
  <c r="O1367" i="47"/>
  <c r="N1367" i="47"/>
  <c r="B1337" i="47"/>
  <c r="A1337" i="47"/>
  <c r="A1362" i="47" s="1"/>
  <c r="B1331" i="47"/>
  <c r="A1331" i="47"/>
  <c r="A1356" i="47" s="1"/>
  <c r="B1330" i="47"/>
  <c r="A1330" i="47"/>
  <c r="A1355" i="47" s="1"/>
  <c r="B1329" i="47"/>
  <c r="B1354" i="47" s="1"/>
  <c r="A1329" i="47"/>
  <c r="A1354" i="47" s="1"/>
  <c r="B1328" i="47"/>
  <c r="E1328" i="47" s="1"/>
  <c r="A1328" i="47"/>
  <c r="A1353" i="47" s="1"/>
  <c r="B1327" i="47"/>
  <c r="E1327" i="47" s="1"/>
  <c r="A1327" i="47"/>
  <c r="A1352" i="47" s="1"/>
  <c r="B1326" i="47"/>
  <c r="E1326" i="47" s="1"/>
  <c r="A1326" i="47"/>
  <c r="A1351" i="47" s="1"/>
  <c r="B1325" i="47"/>
  <c r="E1325" i="47" s="1"/>
  <c r="A1325" i="47"/>
  <c r="A1350" i="47" s="1"/>
  <c r="B1324" i="47"/>
  <c r="B1349" i="47" s="1"/>
  <c r="A1324" i="47"/>
  <c r="A1349" i="47" s="1"/>
  <c r="B1323" i="47"/>
  <c r="B1348" i="47" s="1"/>
  <c r="A1323" i="47"/>
  <c r="A1348" i="47" s="1"/>
  <c r="B1322" i="47"/>
  <c r="A1322" i="47"/>
  <c r="A1347" i="47" s="1"/>
  <c r="B1321" i="47"/>
  <c r="B1346" i="47" s="1"/>
  <c r="A1321" i="47"/>
  <c r="A1346" i="47" s="1"/>
  <c r="B1320" i="47"/>
  <c r="E1320" i="47" s="1"/>
  <c r="A1320" i="47"/>
  <c r="A1345" i="47" s="1"/>
  <c r="B1319" i="47"/>
  <c r="E1319" i="47" s="1"/>
  <c r="A1319" i="47"/>
  <c r="A1344" i="47" s="1"/>
  <c r="B1318" i="47"/>
  <c r="B1343" i="47" s="1"/>
  <c r="A1318" i="47"/>
  <c r="A1343" i="47" s="1"/>
  <c r="B1317" i="47"/>
  <c r="B1342" i="47" s="1"/>
  <c r="A1317" i="47"/>
  <c r="A1342" i="47" s="1"/>
  <c r="Q1313" i="47"/>
  <c r="R1313" i="47" s="1"/>
  <c r="O1310" i="47"/>
  <c r="N1310" i="47"/>
  <c r="G1310" i="47"/>
  <c r="L1310" i="47" s="1"/>
  <c r="F1310" i="47"/>
  <c r="K1310" i="47" s="1"/>
  <c r="E1310" i="47"/>
  <c r="J1310" i="47" s="1"/>
  <c r="D1310" i="47"/>
  <c r="I1310" i="47" s="1"/>
  <c r="C1310" i="47"/>
  <c r="H1310" i="47" s="1"/>
  <c r="O1304" i="47"/>
  <c r="N1304" i="47"/>
  <c r="G1304" i="47"/>
  <c r="L1304" i="47" s="1"/>
  <c r="F1304" i="47"/>
  <c r="K1304" i="47" s="1"/>
  <c r="E1304" i="47"/>
  <c r="J1304" i="47" s="1"/>
  <c r="D1304" i="47"/>
  <c r="I1304" i="47" s="1"/>
  <c r="C1304" i="47"/>
  <c r="H1304" i="47" s="1"/>
  <c r="O1303" i="47"/>
  <c r="N1303" i="47"/>
  <c r="G1303" i="47"/>
  <c r="L1303" i="47" s="1"/>
  <c r="F1303" i="47"/>
  <c r="K1303" i="47" s="1"/>
  <c r="E1303" i="47"/>
  <c r="J1303" i="47" s="1"/>
  <c r="D1303" i="47"/>
  <c r="I1303" i="47" s="1"/>
  <c r="C1303" i="47"/>
  <c r="H1303" i="47" s="1"/>
  <c r="O1302" i="47"/>
  <c r="N1302" i="47"/>
  <c r="G1302" i="47"/>
  <c r="L1302" i="47" s="1"/>
  <c r="F1302" i="47"/>
  <c r="K1302" i="47" s="1"/>
  <c r="E1302" i="47"/>
  <c r="J1302" i="47" s="1"/>
  <c r="D1302" i="47"/>
  <c r="I1302" i="47" s="1"/>
  <c r="C1302" i="47"/>
  <c r="H1302" i="47" s="1"/>
  <c r="O1301" i="47"/>
  <c r="N1301" i="47"/>
  <c r="G1301" i="47"/>
  <c r="L1301" i="47" s="1"/>
  <c r="F1301" i="47"/>
  <c r="K1301" i="47" s="1"/>
  <c r="E1301" i="47"/>
  <c r="J1301" i="47" s="1"/>
  <c r="D1301" i="47"/>
  <c r="I1301" i="47" s="1"/>
  <c r="C1301" i="47"/>
  <c r="H1301" i="47" s="1"/>
  <c r="O1300" i="47"/>
  <c r="N1300" i="47"/>
  <c r="G1300" i="47"/>
  <c r="L1300" i="47" s="1"/>
  <c r="F1300" i="47"/>
  <c r="K1300" i="47" s="1"/>
  <c r="E1300" i="47"/>
  <c r="J1300" i="47" s="1"/>
  <c r="D1300" i="47"/>
  <c r="I1300" i="47" s="1"/>
  <c r="C1300" i="47"/>
  <c r="H1300" i="47" s="1"/>
  <c r="O1299" i="47"/>
  <c r="N1299" i="47"/>
  <c r="G1299" i="47"/>
  <c r="L1299" i="47" s="1"/>
  <c r="F1299" i="47"/>
  <c r="K1299" i="47" s="1"/>
  <c r="E1299" i="47"/>
  <c r="J1299" i="47" s="1"/>
  <c r="D1299" i="47"/>
  <c r="I1299" i="47" s="1"/>
  <c r="C1299" i="47"/>
  <c r="H1299" i="47" s="1"/>
  <c r="O1298" i="47"/>
  <c r="N1298" i="47"/>
  <c r="G1298" i="47"/>
  <c r="L1298" i="47" s="1"/>
  <c r="F1298" i="47"/>
  <c r="K1298" i="47" s="1"/>
  <c r="E1298" i="47"/>
  <c r="J1298" i="47" s="1"/>
  <c r="D1298" i="47"/>
  <c r="I1298" i="47" s="1"/>
  <c r="C1298" i="47"/>
  <c r="H1298" i="47" s="1"/>
  <c r="O1297" i="47"/>
  <c r="N1297" i="47"/>
  <c r="G1297" i="47"/>
  <c r="L1297" i="47" s="1"/>
  <c r="F1297" i="47"/>
  <c r="K1297" i="47" s="1"/>
  <c r="E1297" i="47"/>
  <c r="J1297" i="47" s="1"/>
  <c r="D1297" i="47"/>
  <c r="I1297" i="47" s="1"/>
  <c r="C1297" i="47"/>
  <c r="H1297" i="47" s="1"/>
  <c r="O1296" i="47"/>
  <c r="N1296" i="47"/>
  <c r="G1296" i="47"/>
  <c r="L1296" i="47" s="1"/>
  <c r="F1296" i="47"/>
  <c r="K1296" i="47" s="1"/>
  <c r="E1296" i="47"/>
  <c r="J1296" i="47" s="1"/>
  <c r="D1296" i="47"/>
  <c r="I1296" i="47" s="1"/>
  <c r="C1296" i="47"/>
  <c r="H1296" i="47" s="1"/>
  <c r="O1295" i="47"/>
  <c r="N1295" i="47"/>
  <c r="G1295" i="47"/>
  <c r="L1295" i="47" s="1"/>
  <c r="F1295" i="47"/>
  <c r="K1295" i="47" s="1"/>
  <c r="E1295" i="47"/>
  <c r="J1295" i="47" s="1"/>
  <c r="D1295" i="47"/>
  <c r="I1295" i="47" s="1"/>
  <c r="C1295" i="47"/>
  <c r="H1295" i="47" s="1"/>
  <c r="O1294" i="47"/>
  <c r="N1294" i="47"/>
  <c r="G1294" i="47"/>
  <c r="L1294" i="47" s="1"/>
  <c r="F1294" i="47"/>
  <c r="K1294" i="47" s="1"/>
  <c r="E1294" i="47"/>
  <c r="J1294" i="47" s="1"/>
  <c r="D1294" i="47"/>
  <c r="I1294" i="47" s="1"/>
  <c r="C1294" i="47"/>
  <c r="H1294" i="47" s="1"/>
  <c r="O1293" i="47"/>
  <c r="N1293" i="47"/>
  <c r="G1293" i="47"/>
  <c r="L1293" i="47" s="1"/>
  <c r="F1293" i="47"/>
  <c r="K1293" i="47" s="1"/>
  <c r="E1293" i="47"/>
  <c r="J1293" i="47" s="1"/>
  <c r="D1293" i="47"/>
  <c r="I1293" i="47" s="1"/>
  <c r="C1293" i="47"/>
  <c r="H1293" i="47" s="1"/>
  <c r="O1292" i="47"/>
  <c r="N1292" i="47"/>
  <c r="G1292" i="47"/>
  <c r="L1292" i="47" s="1"/>
  <c r="F1292" i="47"/>
  <c r="K1292" i="47" s="1"/>
  <c r="E1292" i="47"/>
  <c r="J1292" i="47" s="1"/>
  <c r="D1292" i="47"/>
  <c r="I1292" i="47" s="1"/>
  <c r="C1292" i="47"/>
  <c r="H1292" i="47" s="1"/>
  <c r="O1291" i="47"/>
  <c r="N1291" i="47"/>
  <c r="G1291" i="47"/>
  <c r="L1291" i="47" s="1"/>
  <c r="F1291" i="47"/>
  <c r="K1291" i="47" s="1"/>
  <c r="E1291" i="47"/>
  <c r="J1291" i="47" s="1"/>
  <c r="D1291" i="47"/>
  <c r="I1291" i="47" s="1"/>
  <c r="C1291" i="47"/>
  <c r="H1291" i="47" s="1"/>
  <c r="O1290" i="47"/>
  <c r="N1290" i="47"/>
  <c r="G1290" i="47"/>
  <c r="L1290" i="47" s="1"/>
  <c r="F1290" i="47"/>
  <c r="K1290" i="47" s="1"/>
  <c r="E1290" i="47"/>
  <c r="J1290" i="47" s="1"/>
  <c r="D1290" i="47"/>
  <c r="I1290" i="47" s="1"/>
  <c r="C1290" i="47"/>
  <c r="H1290" i="47" s="1"/>
  <c r="C1278" i="47"/>
  <c r="B1278" i="47"/>
  <c r="A1278" i="47"/>
  <c r="C1277" i="47"/>
  <c r="A1277" i="47"/>
  <c r="C1276" i="47"/>
  <c r="A1276" i="47"/>
  <c r="C1275" i="47"/>
  <c r="A1275" i="47"/>
  <c r="C1274" i="47"/>
  <c r="A1274" i="47"/>
  <c r="C1273" i="47"/>
  <c r="A1273" i="47"/>
  <c r="C1272" i="47"/>
  <c r="A1272" i="47"/>
  <c r="C1271" i="47"/>
  <c r="A1271" i="47"/>
  <c r="C1262" i="47"/>
  <c r="A1262" i="47"/>
  <c r="C1261" i="47"/>
  <c r="A1261" i="47"/>
  <c r="P1256" i="47"/>
  <c r="P1589" i="47" s="1"/>
  <c r="D1256" i="47"/>
  <c r="C1256" i="47"/>
  <c r="C1285" i="47" s="1"/>
  <c r="B1256" i="47"/>
  <c r="M1256" i="47" s="1"/>
  <c r="A1256" i="47"/>
  <c r="A1285" i="47" s="1"/>
  <c r="D1255" i="47"/>
  <c r="C1255" i="47"/>
  <c r="C1284" i="47" s="1"/>
  <c r="B1255" i="47"/>
  <c r="N1255" i="47" s="1"/>
  <c r="A1255" i="47"/>
  <c r="A1284" i="47" s="1"/>
  <c r="G1250" i="47"/>
  <c r="F1250" i="47"/>
  <c r="E1250" i="47"/>
  <c r="D1250" i="47"/>
  <c r="C1250" i="47"/>
  <c r="B1250" i="47"/>
  <c r="M1250" i="47" s="1"/>
  <c r="A1250" i="47"/>
  <c r="G1249" i="47"/>
  <c r="F1249" i="47"/>
  <c r="E1249" i="47"/>
  <c r="D1249" i="47"/>
  <c r="C1249" i="47"/>
  <c r="A1249" i="47"/>
  <c r="G1248" i="47"/>
  <c r="F1248" i="47"/>
  <c r="E1248" i="47"/>
  <c r="D1248" i="47"/>
  <c r="C1248" i="47"/>
  <c r="A1248" i="47"/>
  <c r="G1247" i="47"/>
  <c r="F1247" i="47"/>
  <c r="E1247" i="47"/>
  <c r="D1247" i="47"/>
  <c r="C1247" i="47"/>
  <c r="A1247" i="47"/>
  <c r="G1246" i="47"/>
  <c r="F1246" i="47"/>
  <c r="E1246" i="47"/>
  <c r="D1246" i="47"/>
  <c r="C1246" i="47"/>
  <c r="A1246" i="47"/>
  <c r="G1245" i="47"/>
  <c r="F1245" i="47"/>
  <c r="E1245" i="47"/>
  <c r="D1245" i="47"/>
  <c r="C1245" i="47"/>
  <c r="A1245" i="47"/>
  <c r="G1244" i="47"/>
  <c r="F1244" i="47"/>
  <c r="E1244" i="47"/>
  <c r="D1244" i="47"/>
  <c r="C1244" i="47"/>
  <c r="A1244" i="47"/>
  <c r="G1243" i="47"/>
  <c r="F1243" i="47"/>
  <c r="E1243" i="47"/>
  <c r="D1243" i="47"/>
  <c r="C1243" i="47"/>
  <c r="A1243" i="47"/>
  <c r="G1234" i="47"/>
  <c r="F1234" i="47"/>
  <c r="E1234" i="47"/>
  <c r="D1234" i="47"/>
  <c r="C1234" i="47"/>
  <c r="A1234" i="47"/>
  <c r="G1233" i="47"/>
  <c r="F1233" i="47"/>
  <c r="E1233" i="47"/>
  <c r="D1233" i="47"/>
  <c r="C1233" i="47"/>
  <c r="A1233" i="47"/>
  <c r="B923" i="47"/>
  <c r="B932" i="47" s="1"/>
  <c r="D932" i="47" s="1"/>
  <c r="A923" i="47"/>
  <c r="A932" i="47" s="1"/>
  <c r="B919" i="47"/>
  <c r="B928" i="47" s="1"/>
  <c r="D928" i="47" s="1"/>
  <c r="A919" i="47"/>
  <c r="A928" i="47" s="1"/>
  <c r="M913" i="47"/>
  <c r="L913" i="47"/>
  <c r="J913" i="47"/>
  <c r="I913" i="47"/>
  <c r="H913" i="47"/>
  <c r="G913" i="47"/>
  <c r="O909" i="47"/>
  <c r="M909" i="47"/>
  <c r="L909" i="47"/>
  <c r="J909" i="47"/>
  <c r="I909" i="47"/>
  <c r="H909" i="47"/>
  <c r="G909" i="47"/>
  <c r="B898" i="47"/>
  <c r="B904" i="47" s="1"/>
  <c r="D904" i="47" s="1"/>
  <c r="A898" i="47"/>
  <c r="A904" i="47" s="1"/>
  <c r="B897" i="47"/>
  <c r="B903" i="47" s="1"/>
  <c r="A897" i="47"/>
  <c r="A903" i="47" s="1"/>
  <c r="M891" i="47"/>
  <c r="L891" i="47"/>
  <c r="J891" i="47"/>
  <c r="I891" i="47"/>
  <c r="H891" i="47"/>
  <c r="G891" i="47"/>
  <c r="O890" i="47"/>
  <c r="M890" i="47"/>
  <c r="L890" i="47"/>
  <c r="J890" i="47"/>
  <c r="I890" i="47"/>
  <c r="H890" i="47"/>
  <c r="G890" i="47"/>
  <c r="C885" i="47"/>
  <c r="B885" i="47"/>
  <c r="C884" i="47"/>
  <c r="B884" i="47"/>
  <c r="B879" i="47"/>
  <c r="E878" i="47" s="1"/>
  <c r="B878" i="47"/>
  <c r="C878" i="47" s="1"/>
  <c r="D878" i="47" s="1"/>
  <c r="D874" i="47"/>
  <c r="C869" i="47"/>
  <c r="B869" i="47"/>
  <c r="C868" i="47"/>
  <c r="B868" i="47"/>
  <c r="C867" i="47"/>
  <c r="B867" i="47"/>
  <c r="C866" i="47"/>
  <c r="B866" i="47"/>
  <c r="C861" i="47"/>
  <c r="D861" i="47" s="1"/>
  <c r="E860" i="47"/>
  <c r="B860" i="47"/>
  <c r="C860" i="47" s="1"/>
  <c r="D860" i="47" s="1"/>
  <c r="C857" i="47"/>
  <c r="D857" i="47" s="1"/>
  <c r="E855" i="47"/>
  <c r="B855" i="47"/>
  <c r="E857" i="47" s="1"/>
  <c r="D851" i="47"/>
  <c r="E850" i="47"/>
  <c r="B850" i="47"/>
  <c r="E851" i="47" s="1"/>
  <c r="C847" i="47"/>
  <c r="D847" i="47" s="1"/>
  <c r="E845" i="47"/>
  <c r="B845" i="47"/>
  <c r="C845" i="47" s="1"/>
  <c r="D845" i="47" s="1"/>
  <c r="E840" i="47"/>
  <c r="E839" i="47"/>
  <c r="E838" i="47"/>
  <c r="E837" i="47"/>
  <c r="B807" i="47"/>
  <c r="A807" i="47"/>
  <c r="A832" i="47" s="1"/>
  <c r="B801" i="47"/>
  <c r="B826" i="47" s="1"/>
  <c r="A801" i="47"/>
  <c r="A826" i="47" s="1"/>
  <c r="B800" i="47"/>
  <c r="B825" i="47" s="1"/>
  <c r="A800" i="47"/>
  <c r="A825" i="47" s="1"/>
  <c r="B799" i="47"/>
  <c r="B824" i="47" s="1"/>
  <c r="A799" i="47"/>
  <c r="A824" i="47" s="1"/>
  <c r="B798" i="47"/>
  <c r="A798" i="47"/>
  <c r="A823" i="47" s="1"/>
  <c r="B797" i="47"/>
  <c r="B822" i="47" s="1"/>
  <c r="A797" i="47"/>
  <c r="A822" i="47" s="1"/>
  <c r="B796" i="47"/>
  <c r="B821" i="47" s="1"/>
  <c r="A796" i="47"/>
  <c r="A821" i="47" s="1"/>
  <c r="B795" i="47"/>
  <c r="B820" i="47" s="1"/>
  <c r="A795" i="47"/>
  <c r="A820" i="47" s="1"/>
  <c r="B794" i="47"/>
  <c r="A794" i="47"/>
  <c r="A819" i="47" s="1"/>
  <c r="B793" i="47"/>
  <c r="B818" i="47" s="1"/>
  <c r="A793" i="47"/>
  <c r="A818" i="47" s="1"/>
  <c r="B792" i="47"/>
  <c r="B817" i="47" s="1"/>
  <c r="A792" i="47"/>
  <c r="A817" i="47" s="1"/>
  <c r="B791" i="47"/>
  <c r="B816" i="47" s="1"/>
  <c r="A791" i="47"/>
  <c r="A816" i="47" s="1"/>
  <c r="B790" i="47"/>
  <c r="A790" i="47"/>
  <c r="A815" i="47" s="1"/>
  <c r="B789" i="47"/>
  <c r="B814" i="47" s="1"/>
  <c r="A789" i="47"/>
  <c r="A814" i="47" s="1"/>
  <c r="B788" i="47"/>
  <c r="B813" i="47" s="1"/>
  <c r="A788" i="47"/>
  <c r="A813" i="47" s="1"/>
  <c r="B787" i="47"/>
  <c r="B812" i="47" s="1"/>
  <c r="A787" i="47"/>
  <c r="A812" i="47" s="1"/>
  <c r="Q783" i="47"/>
  <c r="R783" i="47" s="1"/>
  <c r="O780" i="47"/>
  <c r="N780" i="47"/>
  <c r="G780" i="47"/>
  <c r="L780" i="47" s="1"/>
  <c r="F780" i="47"/>
  <c r="K780" i="47" s="1"/>
  <c r="E780" i="47"/>
  <c r="J780" i="47" s="1"/>
  <c r="D780" i="47"/>
  <c r="I780" i="47" s="1"/>
  <c r="C780" i="47"/>
  <c r="H780" i="47" s="1"/>
  <c r="O774" i="47"/>
  <c r="N774" i="47"/>
  <c r="G774" i="47"/>
  <c r="L774" i="47" s="1"/>
  <c r="F774" i="47"/>
  <c r="K774" i="47" s="1"/>
  <c r="E774" i="47"/>
  <c r="J774" i="47" s="1"/>
  <c r="D774" i="47"/>
  <c r="I774" i="47" s="1"/>
  <c r="C774" i="47"/>
  <c r="H774" i="47" s="1"/>
  <c r="O773" i="47"/>
  <c r="N773" i="47"/>
  <c r="G773" i="47"/>
  <c r="L773" i="47" s="1"/>
  <c r="F773" i="47"/>
  <c r="K773" i="47" s="1"/>
  <c r="E773" i="47"/>
  <c r="J773" i="47" s="1"/>
  <c r="D773" i="47"/>
  <c r="I773" i="47" s="1"/>
  <c r="C773" i="47"/>
  <c r="H773" i="47" s="1"/>
  <c r="O772" i="47"/>
  <c r="N772" i="47"/>
  <c r="G772" i="47"/>
  <c r="L772" i="47" s="1"/>
  <c r="F772" i="47"/>
  <c r="K772" i="47" s="1"/>
  <c r="E772" i="47"/>
  <c r="J772" i="47" s="1"/>
  <c r="D772" i="47"/>
  <c r="I772" i="47" s="1"/>
  <c r="C772" i="47"/>
  <c r="H772" i="47" s="1"/>
  <c r="O771" i="47"/>
  <c r="N771" i="47"/>
  <c r="G771" i="47"/>
  <c r="L771" i="47" s="1"/>
  <c r="F771" i="47"/>
  <c r="K771" i="47" s="1"/>
  <c r="E771" i="47"/>
  <c r="J771" i="47" s="1"/>
  <c r="D771" i="47"/>
  <c r="I771" i="47" s="1"/>
  <c r="C771" i="47"/>
  <c r="H771" i="47" s="1"/>
  <c r="O770" i="47"/>
  <c r="N770" i="47"/>
  <c r="G770" i="47"/>
  <c r="L770" i="47" s="1"/>
  <c r="F770" i="47"/>
  <c r="K770" i="47" s="1"/>
  <c r="E770" i="47"/>
  <c r="J770" i="47" s="1"/>
  <c r="D770" i="47"/>
  <c r="I770" i="47" s="1"/>
  <c r="C770" i="47"/>
  <c r="H770" i="47" s="1"/>
  <c r="O769" i="47"/>
  <c r="N769" i="47"/>
  <c r="G769" i="47"/>
  <c r="L769" i="47" s="1"/>
  <c r="F769" i="47"/>
  <c r="K769" i="47" s="1"/>
  <c r="E769" i="47"/>
  <c r="J769" i="47" s="1"/>
  <c r="D769" i="47"/>
  <c r="I769" i="47" s="1"/>
  <c r="C769" i="47"/>
  <c r="H769" i="47" s="1"/>
  <c r="O768" i="47"/>
  <c r="N768" i="47"/>
  <c r="G768" i="47"/>
  <c r="L768" i="47" s="1"/>
  <c r="F768" i="47"/>
  <c r="K768" i="47" s="1"/>
  <c r="E768" i="47"/>
  <c r="J768" i="47" s="1"/>
  <c r="D768" i="47"/>
  <c r="I768" i="47" s="1"/>
  <c r="C768" i="47"/>
  <c r="H768" i="47" s="1"/>
  <c r="O767" i="47"/>
  <c r="N767" i="47"/>
  <c r="G767" i="47"/>
  <c r="L767" i="47" s="1"/>
  <c r="F767" i="47"/>
  <c r="K767" i="47" s="1"/>
  <c r="E767" i="47"/>
  <c r="J767" i="47" s="1"/>
  <c r="D767" i="47"/>
  <c r="I767" i="47" s="1"/>
  <c r="C767" i="47"/>
  <c r="H767" i="47" s="1"/>
  <c r="O766" i="47"/>
  <c r="N766" i="47"/>
  <c r="G766" i="47"/>
  <c r="L766" i="47" s="1"/>
  <c r="F766" i="47"/>
  <c r="K766" i="47" s="1"/>
  <c r="E766" i="47"/>
  <c r="J766" i="47" s="1"/>
  <c r="D766" i="47"/>
  <c r="I766" i="47" s="1"/>
  <c r="C766" i="47"/>
  <c r="H766" i="47" s="1"/>
  <c r="O765" i="47"/>
  <c r="N765" i="47"/>
  <c r="G765" i="47"/>
  <c r="L765" i="47" s="1"/>
  <c r="F765" i="47"/>
  <c r="K765" i="47" s="1"/>
  <c r="E765" i="47"/>
  <c r="J765" i="47" s="1"/>
  <c r="D765" i="47"/>
  <c r="I765" i="47" s="1"/>
  <c r="C765" i="47"/>
  <c r="H765" i="47" s="1"/>
  <c r="O764" i="47"/>
  <c r="N764" i="47"/>
  <c r="G764" i="47"/>
  <c r="L764" i="47" s="1"/>
  <c r="F764" i="47"/>
  <c r="K764" i="47" s="1"/>
  <c r="E764" i="47"/>
  <c r="J764" i="47" s="1"/>
  <c r="D764" i="47"/>
  <c r="I764" i="47" s="1"/>
  <c r="C764" i="47"/>
  <c r="H764" i="47" s="1"/>
  <c r="O763" i="47"/>
  <c r="N763" i="47"/>
  <c r="G763" i="47"/>
  <c r="L763" i="47" s="1"/>
  <c r="F763" i="47"/>
  <c r="K763" i="47" s="1"/>
  <c r="E763" i="47"/>
  <c r="J763" i="47" s="1"/>
  <c r="D763" i="47"/>
  <c r="I763" i="47" s="1"/>
  <c r="C763" i="47"/>
  <c r="H763" i="47" s="1"/>
  <c r="O762" i="47"/>
  <c r="N762" i="47"/>
  <c r="G762" i="47"/>
  <c r="L762" i="47" s="1"/>
  <c r="F762" i="47"/>
  <c r="K762" i="47" s="1"/>
  <c r="E762" i="47"/>
  <c r="J762" i="47" s="1"/>
  <c r="D762" i="47"/>
  <c r="I762" i="47" s="1"/>
  <c r="C762" i="47"/>
  <c r="H762" i="47" s="1"/>
  <c r="O761" i="47"/>
  <c r="N761" i="47"/>
  <c r="G761" i="47"/>
  <c r="L761" i="47" s="1"/>
  <c r="F761" i="47"/>
  <c r="K761" i="47" s="1"/>
  <c r="E761" i="47"/>
  <c r="J761" i="47" s="1"/>
  <c r="D761" i="47"/>
  <c r="I761" i="47" s="1"/>
  <c r="C761" i="47"/>
  <c r="H761" i="47" s="1"/>
  <c r="O760" i="47"/>
  <c r="N760" i="47"/>
  <c r="G760" i="47"/>
  <c r="L760" i="47" s="1"/>
  <c r="F760" i="47"/>
  <c r="K760" i="47" s="1"/>
  <c r="E760" i="47"/>
  <c r="J760" i="47" s="1"/>
  <c r="D760" i="47"/>
  <c r="I760" i="47" s="1"/>
  <c r="C760" i="47"/>
  <c r="H760" i="47" s="1"/>
  <c r="C748" i="47"/>
  <c r="A748" i="47"/>
  <c r="C747" i="47"/>
  <c r="A747" i="47"/>
  <c r="C746" i="47"/>
  <c r="A746" i="47"/>
  <c r="C745" i="47"/>
  <c r="A745" i="47"/>
  <c r="C744" i="47"/>
  <c r="A744" i="47"/>
  <c r="C743" i="47"/>
  <c r="A743" i="47"/>
  <c r="C742" i="47"/>
  <c r="A742" i="47"/>
  <c r="C741" i="47"/>
  <c r="A741" i="47"/>
  <c r="C732" i="47"/>
  <c r="A732" i="47"/>
  <c r="C731" i="47"/>
  <c r="A731" i="47"/>
  <c r="C726" i="47"/>
  <c r="A726" i="47"/>
  <c r="A755" i="47" s="1"/>
  <c r="C725" i="47"/>
  <c r="A725" i="47"/>
  <c r="A754" i="47" s="1"/>
  <c r="C720" i="47"/>
  <c r="A720" i="47"/>
  <c r="C719" i="47"/>
  <c r="A719" i="47"/>
  <c r="C718" i="47"/>
  <c r="A718" i="47"/>
  <c r="C717" i="47"/>
  <c r="A717" i="47"/>
  <c r="C716" i="47"/>
  <c r="A716" i="47"/>
  <c r="C715" i="47"/>
  <c r="A715" i="47"/>
  <c r="C714" i="47"/>
  <c r="A714" i="47"/>
  <c r="C713" i="47"/>
  <c r="A713" i="47"/>
  <c r="C704" i="47"/>
  <c r="H1034" i="47" s="1"/>
  <c r="A704" i="47"/>
  <c r="C703" i="47"/>
  <c r="H1033" i="47" s="1"/>
  <c r="A703" i="47"/>
  <c r="B658" i="47"/>
  <c r="D658" i="47" s="1"/>
  <c r="A658" i="47"/>
  <c r="A667" i="47" s="1"/>
  <c r="B656" i="47"/>
  <c r="B665" i="47" s="1"/>
  <c r="D665" i="47" s="1"/>
  <c r="A665" i="47"/>
  <c r="B655" i="47"/>
  <c r="B664" i="47" s="1"/>
  <c r="D664" i="47" s="1"/>
  <c r="A655" i="47"/>
  <c r="A664" i="47" s="1"/>
  <c r="B654" i="47"/>
  <c r="B663" i="47" s="1"/>
  <c r="A654" i="47"/>
  <c r="A663" i="47" s="1"/>
  <c r="M648" i="47"/>
  <c r="L648" i="47"/>
  <c r="J648" i="47"/>
  <c r="I648" i="47"/>
  <c r="H648" i="47"/>
  <c r="G648" i="47"/>
  <c r="M646" i="47"/>
  <c r="L646" i="47"/>
  <c r="J646" i="47"/>
  <c r="I646" i="47"/>
  <c r="H646" i="47"/>
  <c r="G646" i="47"/>
  <c r="M645" i="47"/>
  <c r="L645" i="47"/>
  <c r="J645" i="47"/>
  <c r="I645" i="47"/>
  <c r="H645" i="47"/>
  <c r="G645" i="47"/>
  <c r="O644" i="47"/>
  <c r="M644" i="47"/>
  <c r="L644" i="47"/>
  <c r="J644" i="47"/>
  <c r="I644" i="47"/>
  <c r="H644" i="47"/>
  <c r="G644" i="47"/>
  <c r="B633" i="47"/>
  <c r="B639" i="47" s="1"/>
  <c r="D639" i="47" s="1"/>
  <c r="A633" i="47"/>
  <c r="A639" i="47" s="1"/>
  <c r="B632" i="47"/>
  <c r="B638" i="47" s="1"/>
  <c r="A632" i="47"/>
  <c r="A638" i="47" s="1"/>
  <c r="M626" i="47"/>
  <c r="L626" i="47"/>
  <c r="C1561" i="47" s="1"/>
  <c r="J626" i="47"/>
  <c r="I626" i="47"/>
  <c r="H626" i="47"/>
  <c r="G626" i="47"/>
  <c r="O625" i="47"/>
  <c r="M625" i="47"/>
  <c r="L625" i="47"/>
  <c r="J625" i="47"/>
  <c r="I625" i="47"/>
  <c r="H625" i="47"/>
  <c r="G625" i="47"/>
  <c r="C620" i="47"/>
  <c r="B620" i="47"/>
  <c r="C619" i="47"/>
  <c r="B619" i="47"/>
  <c r="B614" i="47"/>
  <c r="E613" i="47" s="1"/>
  <c r="B613" i="47"/>
  <c r="E614" i="47" s="1"/>
  <c r="D609" i="47"/>
  <c r="C604" i="47"/>
  <c r="B604" i="47"/>
  <c r="C603" i="47"/>
  <c r="B603" i="47"/>
  <c r="C602" i="47"/>
  <c r="C601" i="47"/>
  <c r="C596" i="47"/>
  <c r="D596" i="47" s="1"/>
  <c r="E595" i="47"/>
  <c r="B595" i="47"/>
  <c r="E596" i="47" s="1"/>
  <c r="C592" i="47"/>
  <c r="D592" i="47" s="1"/>
  <c r="E590" i="47"/>
  <c r="B590" i="47"/>
  <c r="E592" i="47" s="1"/>
  <c r="C586" i="47"/>
  <c r="D586" i="47" s="1"/>
  <c r="B585" i="47"/>
  <c r="C585" i="47" s="1"/>
  <c r="D585" i="47" s="1"/>
  <c r="C582" i="47"/>
  <c r="D582" i="47" s="1"/>
  <c r="B580" i="47"/>
  <c r="E582" i="47" s="1"/>
  <c r="E575" i="47"/>
  <c r="E574" i="47"/>
  <c r="E573" i="47"/>
  <c r="E572" i="47"/>
  <c r="B542" i="47"/>
  <c r="A542" i="47"/>
  <c r="A567" i="47" s="1"/>
  <c r="B536" i="47"/>
  <c r="E536" i="47" s="1"/>
  <c r="A536" i="47"/>
  <c r="A561" i="47" s="1"/>
  <c r="B535" i="47"/>
  <c r="B560" i="47" s="1"/>
  <c r="A535" i="47"/>
  <c r="A560" i="47" s="1"/>
  <c r="B534" i="47"/>
  <c r="E534" i="47" s="1"/>
  <c r="A534" i="47"/>
  <c r="A559" i="47" s="1"/>
  <c r="B533" i="47"/>
  <c r="A533" i="47"/>
  <c r="A558" i="47" s="1"/>
  <c r="B532" i="47"/>
  <c r="E532" i="47" s="1"/>
  <c r="A532" i="47"/>
  <c r="A557" i="47" s="1"/>
  <c r="B531" i="47"/>
  <c r="B556" i="47" s="1"/>
  <c r="A531" i="47"/>
  <c r="A556" i="47" s="1"/>
  <c r="B530" i="47"/>
  <c r="E530" i="47" s="1"/>
  <c r="A530" i="47"/>
  <c r="A555" i="47" s="1"/>
  <c r="B529" i="47"/>
  <c r="A529" i="47"/>
  <c r="A554" i="47" s="1"/>
  <c r="B528" i="47"/>
  <c r="E528" i="47" s="1"/>
  <c r="A528" i="47"/>
  <c r="A553" i="47" s="1"/>
  <c r="B527" i="47"/>
  <c r="B552" i="47" s="1"/>
  <c r="A527" i="47"/>
  <c r="A552" i="47" s="1"/>
  <c r="B526" i="47"/>
  <c r="E526" i="47" s="1"/>
  <c r="A526" i="47"/>
  <c r="A551" i="47" s="1"/>
  <c r="B525" i="47"/>
  <c r="A525" i="47"/>
  <c r="A550" i="47" s="1"/>
  <c r="B524" i="47"/>
  <c r="E524" i="47" s="1"/>
  <c r="A524" i="47"/>
  <c r="A549" i="47" s="1"/>
  <c r="B523" i="47"/>
  <c r="B548" i="47" s="1"/>
  <c r="A523" i="47"/>
  <c r="A548" i="47" s="1"/>
  <c r="B522" i="47"/>
  <c r="E522" i="47" s="1"/>
  <c r="A522" i="47"/>
  <c r="A547" i="47" s="1"/>
  <c r="Q518" i="47"/>
  <c r="R518" i="47" s="1"/>
  <c r="O515" i="47"/>
  <c r="N515" i="47"/>
  <c r="G515" i="47"/>
  <c r="G1387" i="47" s="1"/>
  <c r="L1387" i="47" s="1"/>
  <c r="F515" i="47"/>
  <c r="F1387" i="47" s="1"/>
  <c r="K1387" i="47" s="1"/>
  <c r="E515" i="47"/>
  <c r="E1387" i="47" s="1"/>
  <c r="J1387" i="47" s="1"/>
  <c r="D515" i="47"/>
  <c r="D1387" i="47" s="1"/>
  <c r="I1387" i="47" s="1"/>
  <c r="C515" i="47"/>
  <c r="C1387" i="47" s="1"/>
  <c r="H1387" i="47" s="1"/>
  <c r="O509" i="47"/>
  <c r="N509" i="47"/>
  <c r="G509" i="47"/>
  <c r="G1381" i="47" s="1"/>
  <c r="L1381" i="47" s="1"/>
  <c r="F509" i="47"/>
  <c r="F1381" i="47" s="1"/>
  <c r="K1381" i="47" s="1"/>
  <c r="E509" i="47"/>
  <c r="E1381" i="47" s="1"/>
  <c r="J1381" i="47" s="1"/>
  <c r="D509" i="47"/>
  <c r="D1381" i="47" s="1"/>
  <c r="I1381" i="47" s="1"/>
  <c r="C509" i="47"/>
  <c r="C1381" i="47" s="1"/>
  <c r="H1381" i="47" s="1"/>
  <c r="O508" i="47"/>
  <c r="N508" i="47"/>
  <c r="G508" i="47"/>
  <c r="G1380" i="47" s="1"/>
  <c r="L1380" i="47" s="1"/>
  <c r="F508" i="47"/>
  <c r="F1380" i="47" s="1"/>
  <c r="K1380" i="47" s="1"/>
  <c r="E508" i="47"/>
  <c r="E1380" i="47" s="1"/>
  <c r="J1380" i="47" s="1"/>
  <c r="D508" i="47"/>
  <c r="D1380" i="47" s="1"/>
  <c r="I1380" i="47" s="1"/>
  <c r="C508" i="47"/>
  <c r="C1380" i="47" s="1"/>
  <c r="H1380" i="47" s="1"/>
  <c r="O507" i="47"/>
  <c r="N507" i="47"/>
  <c r="G507" i="47"/>
  <c r="G1379" i="47" s="1"/>
  <c r="L1379" i="47" s="1"/>
  <c r="F507" i="47"/>
  <c r="F1379" i="47" s="1"/>
  <c r="K1379" i="47" s="1"/>
  <c r="E507" i="47"/>
  <c r="E1379" i="47" s="1"/>
  <c r="J1379" i="47" s="1"/>
  <c r="D507" i="47"/>
  <c r="D1379" i="47" s="1"/>
  <c r="I1379" i="47" s="1"/>
  <c r="C507" i="47"/>
  <c r="C1379" i="47" s="1"/>
  <c r="H1379" i="47" s="1"/>
  <c r="O506" i="47"/>
  <c r="N506" i="47"/>
  <c r="G506" i="47"/>
  <c r="G1378" i="47" s="1"/>
  <c r="L1378" i="47" s="1"/>
  <c r="F506" i="47"/>
  <c r="F1378" i="47" s="1"/>
  <c r="K1378" i="47" s="1"/>
  <c r="E506" i="47"/>
  <c r="E1378" i="47" s="1"/>
  <c r="J1378" i="47" s="1"/>
  <c r="D506" i="47"/>
  <c r="D1378" i="47" s="1"/>
  <c r="I1378" i="47" s="1"/>
  <c r="C506" i="47"/>
  <c r="C1378" i="47" s="1"/>
  <c r="H1378" i="47" s="1"/>
  <c r="O505" i="47"/>
  <c r="N505" i="47"/>
  <c r="G505" i="47"/>
  <c r="G1377" i="47" s="1"/>
  <c r="L1377" i="47" s="1"/>
  <c r="F505" i="47"/>
  <c r="F1377" i="47" s="1"/>
  <c r="K1377" i="47" s="1"/>
  <c r="E505" i="47"/>
  <c r="E1377" i="47" s="1"/>
  <c r="J1377" i="47" s="1"/>
  <c r="D505" i="47"/>
  <c r="D1377" i="47" s="1"/>
  <c r="I1377" i="47" s="1"/>
  <c r="C505" i="47"/>
  <c r="C1377" i="47" s="1"/>
  <c r="H1377" i="47" s="1"/>
  <c r="O504" i="47"/>
  <c r="N504" i="47"/>
  <c r="G504" i="47"/>
  <c r="G1376" i="47" s="1"/>
  <c r="L1376" i="47" s="1"/>
  <c r="F504" i="47"/>
  <c r="F1376" i="47" s="1"/>
  <c r="K1376" i="47" s="1"/>
  <c r="E504" i="47"/>
  <c r="E1376" i="47" s="1"/>
  <c r="J1376" i="47" s="1"/>
  <c r="D504" i="47"/>
  <c r="D1376" i="47" s="1"/>
  <c r="I1376" i="47" s="1"/>
  <c r="C504" i="47"/>
  <c r="C1376" i="47" s="1"/>
  <c r="H1376" i="47" s="1"/>
  <c r="O503" i="47"/>
  <c r="N503" i="47"/>
  <c r="G503" i="47"/>
  <c r="G1375" i="47" s="1"/>
  <c r="L1375" i="47" s="1"/>
  <c r="F503" i="47"/>
  <c r="F1375" i="47" s="1"/>
  <c r="K1375" i="47" s="1"/>
  <c r="E503" i="47"/>
  <c r="E1375" i="47" s="1"/>
  <c r="J1375" i="47" s="1"/>
  <c r="D503" i="47"/>
  <c r="D1375" i="47" s="1"/>
  <c r="I1375" i="47" s="1"/>
  <c r="C503" i="47"/>
  <c r="C1375" i="47" s="1"/>
  <c r="H1375" i="47" s="1"/>
  <c r="O502" i="47"/>
  <c r="N502" i="47"/>
  <c r="G502" i="47"/>
  <c r="G1374" i="47" s="1"/>
  <c r="L1374" i="47" s="1"/>
  <c r="F502" i="47"/>
  <c r="F1374" i="47" s="1"/>
  <c r="K1374" i="47" s="1"/>
  <c r="E502" i="47"/>
  <c r="E1374" i="47" s="1"/>
  <c r="J1374" i="47" s="1"/>
  <c r="D502" i="47"/>
  <c r="D1374" i="47" s="1"/>
  <c r="I1374" i="47" s="1"/>
  <c r="C502" i="47"/>
  <c r="C1374" i="47" s="1"/>
  <c r="H1374" i="47" s="1"/>
  <c r="O501" i="47"/>
  <c r="N501" i="47"/>
  <c r="G501" i="47"/>
  <c r="G1373" i="47" s="1"/>
  <c r="L1373" i="47" s="1"/>
  <c r="F501" i="47"/>
  <c r="F1373" i="47" s="1"/>
  <c r="K1373" i="47" s="1"/>
  <c r="E501" i="47"/>
  <c r="E1373" i="47" s="1"/>
  <c r="J1373" i="47" s="1"/>
  <c r="D501" i="47"/>
  <c r="D1373" i="47" s="1"/>
  <c r="I1373" i="47" s="1"/>
  <c r="C501" i="47"/>
  <c r="C1373" i="47" s="1"/>
  <c r="H1373" i="47" s="1"/>
  <c r="O500" i="47"/>
  <c r="N500" i="47"/>
  <c r="G500" i="47"/>
  <c r="G1372" i="47" s="1"/>
  <c r="L1372" i="47" s="1"/>
  <c r="F500" i="47"/>
  <c r="F1372" i="47" s="1"/>
  <c r="K1372" i="47" s="1"/>
  <c r="E500" i="47"/>
  <c r="E1372" i="47" s="1"/>
  <c r="J1372" i="47" s="1"/>
  <c r="D500" i="47"/>
  <c r="D1372" i="47" s="1"/>
  <c r="I1372" i="47" s="1"/>
  <c r="C500" i="47"/>
  <c r="C1372" i="47" s="1"/>
  <c r="H1372" i="47" s="1"/>
  <c r="O499" i="47"/>
  <c r="N499" i="47"/>
  <c r="G499" i="47"/>
  <c r="G1371" i="47" s="1"/>
  <c r="L1371" i="47" s="1"/>
  <c r="F499" i="47"/>
  <c r="F1371" i="47" s="1"/>
  <c r="K1371" i="47" s="1"/>
  <c r="E499" i="47"/>
  <c r="E1371" i="47" s="1"/>
  <c r="J1371" i="47" s="1"/>
  <c r="D499" i="47"/>
  <c r="D1371" i="47" s="1"/>
  <c r="I1371" i="47" s="1"/>
  <c r="C499" i="47"/>
  <c r="C1371" i="47" s="1"/>
  <c r="H1371" i="47" s="1"/>
  <c r="O498" i="47"/>
  <c r="N498" i="47"/>
  <c r="G498" i="47"/>
  <c r="G1370" i="47" s="1"/>
  <c r="L1370" i="47" s="1"/>
  <c r="F498" i="47"/>
  <c r="F1370" i="47" s="1"/>
  <c r="K1370" i="47" s="1"/>
  <c r="E498" i="47"/>
  <c r="E1370" i="47" s="1"/>
  <c r="J1370" i="47" s="1"/>
  <c r="D498" i="47"/>
  <c r="D1370" i="47" s="1"/>
  <c r="I1370" i="47" s="1"/>
  <c r="C498" i="47"/>
  <c r="C1370" i="47" s="1"/>
  <c r="H1370" i="47" s="1"/>
  <c r="O497" i="47"/>
  <c r="N497" i="47"/>
  <c r="G497" i="47"/>
  <c r="G1369" i="47" s="1"/>
  <c r="L1369" i="47" s="1"/>
  <c r="F497" i="47"/>
  <c r="F1369" i="47" s="1"/>
  <c r="K1369" i="47" s="1"/>
  <c r="E497" i="47"/>
  <c r="E1369" i="47" s="1"/>
  <c r="J1369" i="47" s="1"/>
  <c r="D497" i="47"/>
  <c r="D1369" i="47" s="1"/>
  <c r="I1369" i="47" s="1"/>
  <c r="C497" i="47"/>
  <c r="C1369" i="47" s="1"/>
  <c r="H1369" i="47" s="1"/>
  <c r="O496" i="47"/>
  <c r="N496" i="47"/>
  <c r="G496" i="47"/>
  <c r="G1368" i="47" s="1"/>
  <c r="L1368" i="47" s="1"/>
  <c r="F496" i="47"/>
  <c r="F1368" i="47" s="1"/>
  <c r="K1368" i="47" s="1"/>
  <c r="E496" i="47"/>
  <c r="D496" i="47"/>
  <c r="D1368" i="47" s="1"/>
  <c r="I1368" i="47" s="1"/>
  <c r="C496" i="47"/>
  <c r="C1368" i="47" s="1"/>
  <c r="H1368" i="47" s="1"/>
  <c r="O495" i="47"/>
  <c r="N495" i="47"/>
  <c r="G495" i="47"/>
  <c r="G1367" i="47" s="1"/>
  <c r="L1367" i="47" s="1"/>
  <c r="F495" i="47"/>
  <c r="F1367" i="47" s="1"/>
  <c r="K1367" i="47" s="1"/>
  <c r="E495" i="47"/>
  <c r="E1367" i="47" s="1"/>
  <c r="J1367" i="47" s="1"/>
  <c r="D495" i="47"/>
  <c r="C495" i="47"/>
  <c r="C1367" i="47" s="1"/>
  <c r="H1367" i="47" s="1"/>
  <c r="C465" i="47"/>
  <c r="B465" i="47"/>
  <c r="A465" i="47"/>
  <c r="A490" i="47" s="1"/>
  <c r="C459" i="47"/>
  <c r="C1664" i="47" s="1"/>
  <c r="D1664" i="47" s="1"/>
  <c r="B459" i="47"/>
  <c r="A459" i="47"/>
  <c r="A484" i="47" s="1"/>
  <c r="C458" i="47"/>
  <c r="B458" i="47"/>
  <c r="B483" i="47" s="1"/>
  <c r="A458" i="47"/>
  <c r="A483" i="47" s="1"/>
  <c r="C457" i="47"/>
  <c r="C1662" i="47" s="1"/>
  <c r="D1662" i="47" s="1"/>
  <c r="B457" i="47"/>
  <c r="B482" i="47" s="1"/>
  <c r="A457" i="47"/>
  <c r="A482" i="47" s="1"/>
  <c r="C456" i="47"/>
  <c r="B456" i="47"/>
  <c r="A456" i="47"/>
  <c r="A481" i="47" s="1"/>
  <c r="C455" i="47"/>
  <c r="C1660" i="47" s="1"/>
  <c r="D1660" i="47" s="1"/>
  <c r="B455" i="47"/>
  <c r="A455" i="47"/>
  <c r="A480" i="47" s="1"/>
  <c r="C454" i="47"/>
  <c r="B454" i="47"/>
  <c r="B479" i="47" s="1"/>
  <c r="A454" i="47"/>
  <c r="A479" i="47" s="1"/>
  <c r="Q426" i="47"/>
  <c r="C453" i="47"/>
  <c r="C1658" i="47" s="1"/>
  <c r="D1658" i="47" s="1"/>
  <c r="B453" i="47"/>
  <c r="A453" i="47"/>
  <c r="A478" i="47" s="1"/>
  <c r="C452" i="47"/>
  <c r="C1657" i="47" s="1"/>
  <c r="D1657" i="47" s="1"/>
  <c r="B452" i="47"/>
  <c r="A452" i="47"/>
  <c r="A477" i="47" s="1"/>
  <c r="C451" i="47"/>
  <c r="C1656" i="47" s="1"/>
  <c r="D1656" i="47" s="1"/>
  <c r="B451" i="47"/>
  <c r="B476" i="47" s="1"/>
  <c r="A451" i="47"/>
  <c r="A476" i="47" s="1"/>
  <c r="Q423" i="47"/>
  <c r="C450" i="47"/>
  <c r="B450" i="47"/>
  <c r="A450" i="47"/>
  <c r="A475" i="47" s="1"/>
  <c r="C449" i="47"/>
  <c r="C1654" i="47" s="1"/>
  <c r="D1654" i="47" s="1"/>
  <c r="B449" i="47"/>
  <c r="A449" i="47"/>
  <c r="A474" i="47" s="1"/>
  <c r="C448" i="47"/>
  <c r="C1653" i="47" s="1"/>
  <c r="D1653" i="47" s="1"/>
  <c r="B448" i="47"/>
  <c r="B473" i="47" s="1"/>
  <c r="A448" i="47"/>
  <c r="A473" i="47" s="1"/>
  <c r="Q420" i="47"/>
  <c r="C447" i="47"/>
  <c r="B447" i="47"/>
  <c r="A447" i="47"/>
  <c r="A472" i="47" s="1"/>
  <c r="C446" i="47"/>
  <c r="C1651" i="47" s="1"/>
  <c r="D1651" i="47" s="1"/>
  <c r="B446" i="47"/>
  <c r="A446" i="47"/>
  <c r="A471" i="47" s="1"/>
  <c r="C445" i="47"/>
  <c r="C1650" i="47" s="1"/>
  <c r="D1650" i="47" s="1"/>
  <c r="B445" i="47"/>
  <c r="E445" i="47" s="1"/>
  <c r="A445" i="47"/>
  <c r="A470" i="47" s="1"/>
  <c r="Q441" i="47"/>
  <c r="R441" i="47" s="1"/>
  <c r="Q438" i="47"/>
  <c r="Q1045" i="47" s="1"/>
  <c r="R1045" i="47" s="1"/>
  <c r="Q1046" i="47" s="1"/>
  <c r="R1046" i="47" s="1"/>
  <c r="O438" i="47"/>
  <c r="N438" i="47"/>
  <c r="L438" i="47"/>
  <c r="K438" i="47"/>
  <c r="J438" i="47"/>
  <c r="I438" i="47"/>
  <c r="H438" i="47"/>
  <c r="Q432" i="47"/>
  <c r="Q1637" i="47" s="1"/>
  <c r="O432" i="47"/>
  <c r="N432" i="47"/>
  <c r="L432" i="47"/>
  <c r="K432" i="47"/>
  <c r="J432" i="47"/>
  <c r="I432" i="47"/>
  <c r="H432" i="47"/>
  <c r="Q431" i="47"/>
  <c r="O431" i="47"/>
  <c r="N431" i="47"/>
  <c r="L431" i="47"/>
  <c r="K431" i="47"/>
  <c r="J431" i="47"/>
  <c r="I431" i="47"/>
  <c r="H431" i="47"/>
  <c r="Q430" i="47"/>
  <c r="O430" i="47"/>
  <c r="N430" i="47"/>
  <c r="L430" i="47"/>
  <c r="K430" i="47"/>
  <c r="J430" i="47"/>
  <c r="I430" i="47"/>
  <c r="H430" i="47"/>
  <c r="Q429" i="47"/>
  <c r="O429" i="47"/>
  <c r="N429" i="47"/>
  <c r="L429" i="47"/>
  <c r="K429" i="47"/>
  <c r="J429" i="47"/>
  <c r="I429" i="47"/>
  <c r="H429" i="47"/>
  <c r="Q428" i="47"/>
  <c r="O428" i="47"/>
  <c r="N428" i="47"/>
  <c r="L428" i="47"/>
  <c r="K428" i="47"/>
  <c r="J428" i="47"/>
  <c r="I428" i="47"/>
  <c r="H428" i="47"/>
  <c r="Q427" i="47"/>
  <c r="O427" i="47"/>
  <c r="N427" i="47"/>
  <c r="L427" i="47"/>
  <c r="K427" i="47"/>
  <c r="J427" i="47"/>
  <c r="I427" i="47"/>
  <c r="H427" i="47"/>
  <c r="O426" i="47"/>
  <c r="N426" i="47"/>
  <c r="L426" i="47"/>
  <c r="K426" i="47"/>
  <c r="J426" i="47"/>
  <c r="I426" i="47"/>
  <c r="H426" i="47"/>
  <c r="O425" i="47"/>
  <c r="N425" i="47"/>
  <c r="L425" i="47"/>
  <c r="K425" i="47"/>
  <c r="J425" i="47"/>
  <c r="I425" i="47"/>
  <c r="H425" i="47"/>
  <c r="Q424" i="47"/>
  <c r="O424" i="47"/>
  <c r="N424" i="47"/>
  <c r="L424" i="47"/>
  <c r="K424" i="47"/>
  <c r="J424" i="47"/>
  <c r="I424" i="47"/>
  <c r="H424" i="47"/>
  <c r="O423" i="47"/>
  <c r="N423" i="47"/>
  <c r="L423" i="47"/>
  <c r="K423" i="47"/>
  <c r="J423" i="47"/>
  <c r="I423" i="47"/>
  <c r="H423" i="47"/>
  <c r="O422" i="47"/>
  <c r="N422" i="47"/>
  <c r="L422" i="47"/>
  <c r="K422" i="47"/>
  <c r="J422" i="47"/>
  <c r="I422" i="47"/>
  <c r="H422" i="47"/>
  <c r="Q421" i="47"/>
  <c r="O421" i="47"/>
  <c r="N421" i="47"/>
  <c r="L421" i="47"/>
  <c r="K421" i="47"/>
  <c r="J421" i="47"/>
  <c r="I421" i="47"/>
  <c r="H421" i="47"/>
  <c r="O420" i="47"/>
  <c r="N420" i="47"/>
  <c r="L420" i="47"/>
  <c r="K420" i="47"/>
  <c r="J420" i="47"/>
  <c r="I420" i="47"/>
  <c r="H420" i="47"/>
  <c r="Q419" i="47"/>
  <c r="O419" i="47"/>
  <c r="N419" i="47"/>
  <c r="L419" i="47"/>
  <c r="K419" i="47"/>
  <c r="J419" i="47"/>
  <c r="I419" i="47"/>
  <c r="H419" i="47"/>
  <c r="Q418" i="47"/>
  <c r="O418" i="47"/>
  <c r="N418" i="47"/>
  <c r="L418" i="47"/>
  <c r="K418" i="47"/>
  <c r="J418" i="47"/>
  <c r="I418" i="47"/>
  <c r="H418" i="47"/>
  <c r="C406" i="47"/>
  <c r="A406" i="47"/>
  <c r="C405" i="47"/>
  <c r="A405" i="47"/>
  <c r="C404" i="47"/>
  <c r="A404" i="47"/>
  <c r="C403" i="47"/>
  <c r="A403" i="47"/>
  <c r="C402" i="47"/>
  <c r="A402" i="47"/>
  <c r="C401" i="47"/>
  <c r="A401" i="47"/>
  <c r="C400" i="47"/>
  <c r="A400" i="47"/>
  <c r="C399" i="47"/>
  <c r="A399" i="47"/>
  <c r="C390" i="47"/>
  <c r="A390" i="47"/>
  <c r="C389" i="47"/>
  <c r="A389" i="47"/>
  <c r="P384" i="47"/>
  <c r="P726" i="47" s="1"/>
  <c r="C384" i="47"/>
  <c r="C413" i="47" s="1"/>
  <c r="A384" i="47"/>
  <c r="A413" i="47" s="1"/>
  <c r="C383" i="47"/>
  <c r="C412" i="47" s="1"/>
  <c r="A383" i="47"/>
  <c r="A412" i="47" s="1"/>
  <c r="G378" i="47"/>
  <c r="G720" i="47" s="1"/>
  <c r="F378" i="47"/>
  <c r="F720" i="47" s="1"/>
  <c r="E378" i="47"/>
  <c r="E720" i="47" s="1"/>
  <c r="D378" i="47"/>
  <c r="D720" i="47" s="1"/>
  <c r="C378" i="47"/>
  <c r="A378" i="47"/>
  <c r="G377" i="47"/>
  <c r="G719" i="47" s="1"/>
  <c r="F377" i="47"/>
  <c r="F719" i="47" s="1"/>
  <c r="E377" i="47"/>
  <c r="E719" i="47" s="1"/>
  <c r="D377" i="47"/>
  <c r="D719" i="47" s="1"/>
  <c r="C377" i="47"/>
  <c r="A377" i="47"/>
  <c r="G376" i="47"/>
  <c r="G718" i="47" s="1"/>
  <c r="F376" i="47"/>
  <c r="F718" i="47" s="1"/>
  <c r="E376" i="47"/>
  <c r="E718" i="47" s="1"/>
  <c r="D376" i="47"/>
  <c r="D718" i="47" s="1"/>
  <c r="C376" i="47"/>
  <c r="A376" i="47"/>
  <c r="G375" i="47"/>
  <c r="G717" i="47" s="1"/>
  <c r="F375" i="47"/>
  <c r="F717" i="47" s="1"/>
  <c r="E375" i="47"/>
  <c r="E717" i="47" s="1"/>
  <c r="D375" i="47"/>
  <c r="D717" i="47" s="1"/>
  <c r="C375" i="47"/>
  <c r="A375" i="47"/>
  <c r="G374" i="47"/>
  <c r="G716" i="47" s="1"/>
  <c r="F374" i="47"/>
  <c r="F716" i="47" s="1"/>
  <c r="E374" i="47"/>
  <c r="E716" i="47" s="1"/>
  <c r="D374" i="47"/>
  <c r="D716" i="47" s="1"/>
  <c r="C374" i="47"/>
  <c r="A374" i="47"/>
  <c r="G373" i="47"/>
  <c r="G715" i="47" s="1"/>
  <c r="F373" i="47"/>
  <c r="F715" i="47" s="1"/>
  <c r="E373" i="47"/>
  <c r="E715" i="47" s="1"/>
  <c r="D373" i="47"/>
  <c r="D715" i="47" s="1"/>
  <c r="C373" i="47"/>
  <c r="A373" i="47"/>
  <c r="G372" i="47"/>
  <c r="G714" i="47" s="1"/>
  <c r="F372" i="47"/>
  <c r="F714" i="47" s="1"/>
  <c r="E372" i="47"/>
  <c r="E714" i="47" s="1"/>
  <c r="D372" i="47"/>
  <c r="D714" i="47" s="1"/>
  <c r="C372" i="47"/>
  <c r="A372" i="47"/>
  <c r="G371" i="47"/>
  <c r="G713" i="47" s="1"/>
  <c r="F371" i="47"/>
  <c r="F713" i="47" s="1"/>
  <c r="E371" i="47"/>
  <c r="E713" i="47" s="1"/>
  <c r="D371" i="47"/>
  <c r="D713" i="47" s="1"/>
  <c r="C371" i="47"/>
  <c r="A371" i="47"/>
  <c r="G362" i="47"/>
  <c r="G704" i="47" s="1"/>
  <c r="L1034" i="47" s="1"/>
  <c r="F362" i="47"/>
  <c r="F704" i="47" s="1"/>
  <c r="K1034" i="47" s="1"/>
  <c r="E362" i="47"/>
  <c r="E704" i="47" s="1"/>
  <c r="J1034" i="47" s="1"/>
  <c r="D362" i="47"/>
  <c r="D704" i="47" s="1"/>
  <c r="I1034" i="47" s="1"/>
  <c r="C362" i="47"/>
  <c r="A362" i="47"/>
  <c r="G361" i="47"/>
  <c r="G703" i="47" s="1"/>
  <c r="L1033" i="47" s="1"/>
  <c r="F361" i="47"/>
  <c r="F703" i="47" s="1"/>
  <c r="K1033" i="47" s="1"/>
  <c r="E361" i="47"/>
  <c r="E703" i="47" s="1"/>
  <c r="J1033" i="47" s="1"/>
  <c r="D361" i="47"/>
  <c r="D703" i="47" s="1"/>
  <c r="I1033" i="47" s="1"/>
  <c r="C361" i="47"/>
  <c r="A361" i="47"/>
  <c r="B318" i="47"/>
  <c r="D318" i="47" s="1"/>
  <c r="B314" i="47"/>
  <c r="B323" i="47" s="1"/>
  <c r="D323" i="47" s="1"/>
  <c r="M308" i="47"/>
  <c r="L308" i="47"/>
  <c r="J308" i="47"/>
  <c r="I308" i="47"/>
  <c r="H308" i="47"/>
  <c r="G308" i="47"/>
  <c r="O304" i="47"/>
  <c r="M304" i="47"/>
  <c r="L304" i="47"/>
  <c r="J304" i="47"/>
  <c r="I304" i="47"/>
  <c r="H304" i="47"/>
  <c r="G304" i="47"/>
  <c r="B293" i="47"/>
  <c r="A293" i="47"/>
  <c r="A299" i="47" s="1"/>
  <c r="B292" i="47"/>
  <c r="A292" i="47"/>
  <c r="A298" i="47" s="1"/>
  <c r="M286" i="47"/>
  <c r="L286" i="47"/>
  <c r="J286" i="47"/>
  <c r="I286" i="47"/>
  <c r="H286" i="47"/>
  <c r="G286" i="47"/>
  <c r="G287" i="47" s="1"/>
  <c r="O285" i="47"/>
  <c r="M285" i="47"/>
  <c r="L285" i="47"/>
  <c r="J285" i="47"/>
  <c r="I285" i="47"/>
  <c r="H285" i="47"/>
  <c r="B280" i="47"/>
  <c r="C279" i="47"/>
  <c r="B279" i="47"/>
  <c r="B274" i="47"/>
  <c r="C274" i="47" s="1"/>
  <c r="D274" i="47" s="1"/>
  <c r="B273" i="47"/>
  <c r="E274" i="47" s="1"/>
  <c r="D269" i="47"/>
  <c r="C264" i="47"/>
  <c r="B264" i="47"/>
  <c r="C263" i="47"/>
  <c r="B263" i="47"/>
  <c r="C262" i="47"/>
  <c r="B262" i="47"/>
  <c r="C261" i="47"/>
  <c r="B261" i="47"/>
  <c r="B254" i="47"/>
  <c r="C254" i="47" s="1"/>
  <c r="D254" i="47" s="1"/>
  <c r="B253" i="47"/>
  <c r="C253" i="47" s="1"/>
  <c r="D253" i="47" s="1"/>
  <c r="B250" i="47"/>
  <c r="C250" i="47" s="1"/>
  <c r="D250" i="47" s="1"/>
  <c r="B248" i="47"/>
  <c r="C248" i="47" s="1"/>
  <c r="D248" i="47" s="1"/>
  <c r="B244" i="47"/>
  <c r="C244" i="47" s="1"/>
  <c r="D244" i="47" s="1"/>
  <c r="B243" i="47"/>
  <c r="C243" i="47" s="1"/>
  <c r="D243" i="47" s="1"/>
  <c r="B240" i="47"/>
  <c r="C240" i="47" s="1"/>
  <c r="D240" i="47" s="1"/>
  <c r="B238" i="47"/>
  <c r="E240" i="47" s="1"/>
  <c r="E233" i="47"/>
  <c r="C233" i="47"/>
  <c r="D233" i="47" s="1"/>
  <c r="C230" i="47"/>
  <c r="D230" i="47" s="1"/>
  <c r="C228" i="47"/>
  <c r="D228" i="47" s="1"/>
  <c r="E223" i="47"/>
  <c r="E222" i="47"/>
  <c r="E221" i="47"/>
  <c r="E220" i="47"/>
  <c r="E219" i="47"/>
  <c r="E218" i="47"/>
  <c r="D213" i="47"/>
  <c r="D212" i="47"/>
  <c r="D206" i="47"/>
  <c r="D1611" i="47" s="1"/>
  <c r="E1611" i="47" s="1"/>
  <c r="A206" i="47"/>
  <c r="D205" i="47"/>
  <c r="D1610" i="47" s="1"/>
  <c r="E1610" i="47" s="1"/>
  <c r="A205" i="47"/>
  <c r="D204" i="47"/>
  <c r="D1609" i="47" s="1"/>
  <c r="E1609" i="47" s="1"/>
  <c r="A204" i="47"/>
  <c r="D203" i="47"/>
  <c r="D1608" i="47" s="1"/>
  <c r="E1608" i="47" s="1"/>
  <c r="A203" i="47"/>
  <c r="D202" i="47"/>
  <c r="D1607" i="47" s="1"/>
  <c r="E1607" i="47" s="1"/>
  <c r="A202" i="47"/>
  <c r="D201" i="47"/>
  <c r="D1606" i="47" s="1"/>
  <c r="E1606" i="47" s="1"/>
  <c r="A201" i="47"/>
  <c r="D200" i="47"/>
  <c r="D1605" i="47" s="1"/>
  <c r="E1605" i="47" s="1"/>
  <c r="A200" i="47"/>
  <c r="D199" i="47"/>
  <c r="D1604" i="47" s="1"/>
  <c r="E1604" i="47" s="1"/>
  <c r="A199" i="47"/>
  <c r="D190" i="47"/>
  <c r="D1595" i="47" s="1"/>
  <c r="E1595" i="47" s="1"/>
  <c r="A190" i="47"/>
  <c r="D189" i="47"/>
  <c r="D1594" i="47" s="1"/>
  <c r="E1594" i="47" s="1"/>
  <c r="A189" i="47"/>
  <c r="C184" i="47"/>
  <c r="C213" i="47" s="1"/>
  <c r="A184" i="47"/>
  <c r="A213" i="47" s="1"/>
  <c r="P183" i="47"/>
  <c r="P990" i="47" s="1"/>
  <c r="Q990" i="47" s="1"/>
  <c r="Q992" i="47" s="1"/>
  <c r="Q993" i="47" s="1"/>
  <c r="E283" i="1" s="1"/>
  <c r="C183" i="47"/>
  <c r="C212" i="47" s="1"/>
  <c r="A183" i="47"/>
  <c r="A212" i="47" s="1"/>
  <c r="C178" i="47"/>
  <c r="C206" i="47" s="1"/>
  <c r="A178" i="47"/>
  <c r="C177" i="47"/>
  <c r="C205" i="47" s="1"/>
  <c r="A177" i="47"/>
  <c r="C176" i="47"/>
  <c r="C204" i="47" s="1"/>
  <c r="A176" i="47"/>
  <c r="C175" i="47"/>
  <c r="C203" i="47" s="1"/>
  <c r="A175" i="47"/>
  <c r="C174" i="47"/>
  <c r="C202" i="47" s="1"/>
  <c r="A174" i="47"/>
  <c r="C173" i="47"/>
  <c r="C201" i="47" s="1"/>
  <c r="A173" i="47"/>
  <c r="P1244" i="47"/>
  <c r="C172" i="47"/>
  <c r="C200" i="47" s="1"/>
  <c r="A172" i="47"/>
  <c r="C171" i="47"/>
  <c r="C199" i="47" s="1"/>
  <c r="A171" i="47"/>
  <c r="C162" i="47"/>
  <c r="C190" i="47" s="1"/>
  <c r="A162" i="47"/>
  <c r="C161" i="47"/>
  <c r="C189" i="47" s="1"/>
  <c r="A161" i="47"/>
  <c r="D156" i="47"/>
  <c r="D155" i="47"/>
  <c r="D1560" i="47" s="1"/>
  <c r="E1560" i="47" s="1"/>
  <c r="K101" i="47"/>
  <c r="E95" i="47"/>
  <c r="C95" i="47"/>
  <c r="D95" i="47" s="1"/>
  <c r="E93" i="47"/>
  <c r="C93" i="47"/>
  <c r="D93" i="47" s="1"/>
  <c r="B84" i="47"/>
  <c r="B82" i="47"/>
  <c r="B74" i="47"/>
  <c r="B89" i="47" s="1"/>
  <c r="B72" i="47"/>
  <c r="B92" i="47" s="1"/>
  <c r="B299" i="47" l="1"/>
  <c r="D299" i="47" s="1"/>
  <c r="D293" i="47"/>
  <c r="P104" i="47"/>
  <c r="E46" i="1" s="1"/>
  <c r="D270" i="47"/>
  <c r="E87" i="1"/>
  <c r="B298" i="47"/>
  <c r="D292" i="47"/>
  <c r="D294" i="47" s="1"/>
  <c r="D1618" i="47"/>
  <c r="D1020" i="47"/>
  <c r="C1618" i="47"/>
  <c r="E1618" i="47" s="1"/>
  <c r="C1589" i="47"/>
  <c r="D1617" i="47"/>
  <c r="E1617" i="47" s="1"/>
  <c r="D1019" i="47"/>
  <c r="Q1025" i="47"/>
  <c r="R1025" i="47" s="1"/>
  <c r="Q1623" i="47"/>
  <c r="R1623" i="47" s="1"/>
  <c r="C1077" i="47"/>
  <c r="D1077" i="47" s="1"/>
  <c r="C1675" i="47"/>
  <c r="C1085" i="47"/>
  <c r="D1085" i="47" s="1"/>
  <c r="C1683" i="47"/>
  <c r="D1683" i="47" s="1"/>
  <c r="C1089" i="47"/>
  <c r="D1089" i="47" s="1"/>
  <c r="C1687" i="47"/>
  <c r="C524" i="47"/>
  <c r="C1396" i="47" s="1"/>
  <c r="D1396" i="47" s="1"/>
  <c r="C1652" i="47"/>
  <c r="D1652" i="47" s="1"/>
  <c r="C531" i="47"/>
  <c r="C1659" i="47"/>
  <c r="D1659" i="47" s="1"/>
  <c r="C535" i="47"/>
  <c r="C1663" i="47"/>
  <c r="D1663" i="47" s="1"/>
  <c r="C1078" i="47"/>
  <c r="D1078" i="47" s="1"/>
  <c r="C1676" i="47"/>
  <c r="C1086" i="47"/>
  <c r="D1086" i="47" s="1"/>
  <c r="C1684" i="47"/>
  <c r="D1684" i="47" s="1"/>
  <c r="C1079" i="47"/>
  <c r="D1079" i="47" s="1"/>
  <c r="C1677" i="47"/>
  <c r="D1677" i="47" s="1"/>
  <c r="C1083" i="47"/>
  <c r="D1083" i="47" s="1"/>
  <c r="C1681" i="47"/>
  <c r="D1681" i="47" s="1"/>
  <c r="C1087" i="47"/>
  <c r="C1685" i="47"/>
  <c r="C1091" i="47"/>
  <c r="D1091" i="47" s="1"/>
  <c r="C1689" i="47"/>
  <c r="Q1029" i="47"/>
  <c r="R1029" i="47" s="1"/>
  <c r="Q1627" i="47"/>
  <c r="R1627" i="47" s="1"/>
  <c r="Q1026" i="47"/>
  <c r="R1026" i="47" s="1"/>
  <c r="Q1624" i="47"/>
  <c r="R1624" i="47" s="1"/>
  <c r="Q1030" i="47"/>
  <c r="R1030" i="47" s="1"/>
  <c r="Q1628" i="47"/>
  <c r="R1628" i="47" s="1"/>
  <c r="C1081" i="47"/>
  <c r="D1081" i="47" s="1"/>
  <c r="C1679" i="47"/>
  <c r="D1679" i="47" s="1"/>
  <c r="Q1031" i="47"/>
  <c r="R1031" i="47" s="1"/>
  <c r="Q1629" i="47"/>
  <c r="R1629" i="47" s="1"/>
  <c r="C1082" i="47"/>
  <c r="D1082" i="47" s="1"/>
  <c r="C1680" i="47"/>
  <c r="D1680" i="47" s="1"/>
  <c r="C1090" i="47"/>
  <c r="D1090" i="47" s="1"/>
  <c r="C1688" i="47"/>
  <c r="Q1027" i="47"/>
  <c r="R1027" i="47" s="1"/>
  <c r="Q1625" i="47"/>
  <c r="R1625" i="47" s="1"/>
  <c r="Q1033" i="47"/>
  <c r="R1637" i="47" s="1"/>
  <c r="Q1631" i="47"/>
  <c r="R1631" i="47" s="1"/>
  <c r="Q1028" i="47"/>
  <c r="R1028" i="47" s="1"/>
  <c r="Q1626" i="47"/>
  <c r="R1626" i="47" s="1"/>
  <c r="Q1034" i="47"/>
  <c r="Q1632" i="47"/>
  <c r="R1632" i="47" s="1"/>
  <c r="Q1035" i="47"/>
  <c r="Q1633" i="47"/>
  <c r="R1633" i="47" s="1"/>
  <c r="Q1036" i="47"/>
  <c r="Q1634" i="47"/>
  <c r="R1634" i="47" s="1"/>
  <c r="Q1037" i="47"/>
  <c r="Q1635" i="47"/>
  <c r="R1635" i="47" s="1"/>
  <c r="Q1038" i="47"/>
  <c r="Q1636" i="47"/>
  <c r="R1636" i="47" s="1"/>
  <c r="Q1643" i="47"/>
  <c r="C527" i="47"/>
  <c r="C1655" i="47"/>
  <c r="D1655" i="47" s="1"/>
  <c r="C533" i="47"/>
  <c r="C1661" i="47"/>
  <c r="D1661" i="47" s="1"/>
  <c r="C542" i="47"/>
  <c r="C1670" i="47"/>
  <c r="D1670" i="47" s="1"/>
  <c r="C1080" i="47"/>
  <c r="D1080" i="47" s="1"/>
  <c r="C1678" i="47"/>
  <c r="D1678" i="47" s="1"/>
  <c r="C1084" i="47"/>
  <c r="C1682" i="47"/>
  <c r="D1682" i="47" s="1"/>
  <c r="C1088" i="47"/>
  <c r="D1088" i="47" s="1"/>
  <c r="C1686" i="47"/>
  <c r="C1097" i="47"/>
  <c r="D1097" i="47" s="1"/>
  <c r="C1695" i="47"/>
  <c r="Q1032" i="47"/>
  <c r="R1032" i="47" s="1"/>
  <c r="Q1630" i="47"/>
  <c r="R1630" i="47" s="1"/>
  <c r="D963" i="47"/>
  <c r="E963" i="47" s="1"/>
  <c r="D1561" i="47"/>
  <c r="E1561" i="47" s="1"/>
  <c r="E1562" i="47" s="1"/>
  <c r="E396" i="1" s="1"/>
  <c r="D955" i="47"/>
  <c r="E955" i="47" s="1"/>
  <c r="D1553" i="47"/>
  <c r="E1553" i="47" s="1"/>
  <c r="D951" i="47"/>
  <c r="E951" i="47" s="1"/>
  <c r="D1549" i="47"/>
  <c r="E1549" i="47" s="1"/>
  <c r="D958" i="47"/>
  <c r="E958" i="47" s="1"/>
  <c r="D1556" i="47"/>
  <c r="E1556" i="47" s="1"/>
  <c r="D954" i="47"/>
  <c r="E954" i="47" s="1"/>
  <c r="D1552" i="47"/>
  <c r="E1552" i="47" s="1"/>
  <c r="D942" i="47"/>
  <c r="E942" i="47" s="1"/>
  <c r="D1540" i="47"/>
  <c r="E1540" i="47" s="1"/>
  <c r="D957" i="47"/>
  <c r="E957" i="47" s="1"/>
  <c r="D1555" i="47"/>
  <c r="E1555" i="47" s="1"/>
  <c r="D953" i="47"/>
  <c r="E953" i="47" s="1"/>
  <c r="D1551" i="47"/>
  <c r="E1551" i="47" s="1"/>
  <c r="E1612" i="47"/>
  <c r="E394" i="1" s="1"/>
  <c r="D956" i="47"/>
  <c r="E956" i="47" s="1"/>
  <c r="D1554" i="47"/>
  <c r="E1554" i="47" s="1"/>
  <c r="D952" i="47"/>
  <c r="E952" i="47" s="1"/>
  <c r="D1550" i="47"/>
  <c r="E1550" i="47" s="1"/>
  <c r="Q509" i="47"/>
  <c r="Q1381" i="47" s="1"/>
  <c r="Q1039" i="47"/>
  <c r="D334" i="47"/>
  <c r="E334" i="47" s="1"/>
  <c r="D941" i="47"/>
  <c r="E941" i="47" s="1"/>
  <c r="D1262" i="47"/>
  <c r="D997" i="47"/>
  <c r="D1272" i="47"/>
  <c r="D1007" i="47"/>
  <c r="D1274" i="47"/>
  <c r="D1009" i="47"/>
  <c r="E1009" i="47" s="1"/>
  <c r="D1276" i="47"/>
  <c r="D1011" i="47"/>
  <c r="E1011" i="47" s="1"/>
  <c r="D1278" i="47"/>
  <c r="E1278" i="47" s="1"/>
  <c r="D1013" i="47"/>
  <c r="E1013" i="47" s="1"/>
  <c r="C754" i="47"/>
  <c r="D1284" i="47"/>
  <c r="D1261" i="47"/>
  <c r="D996" i="47"/>
  <c r="E996" i="47" s="1"/>
  <c r="D1271" i="47"/>
  <c r="D1006" i="47"/>
  <c r="E1006" i="47" s="1"/>
  <c r="D1273" i="47"/>
  <c r="D1008" i="47"/>
  <c r="E1008" i="47" s="1"/>
  <c r="D1275" i="47"/>
  <c r="D1010" i="47"/>
  <c r="E1010" i="47" s="1"/>
  <c r="D1277" i="47"/>
  <c r="D1012" i="47"/>
  <c r="E1012" i="47" s="1"/>
  <c r="D1285" i="47"/>
  <c r="O1035" i="47"/>
  <c r="B1062" i="47"/>
  <c r="N1035" i="47"/>
  <c r="K1035" i="47"/>
  <c r="K1046" i="47" s="1"/>
  <c r="K1047" i="47" s="1"/>
  <c r="H1035" i="47"/>
  <c r="I1035" i="47"/>
  <c r="J1035" i="47"/>
  <c r="L1035" i="47"/>
  <c r="C755" i="47"/>
  <c r="D355" i="47"/>
  <c r="D962" i="47"/>
  <c r="E962" i="47" s="1"/>
  <c r="D1492" i="47"/>
  <c r="D1524" i="47"/>
  <c r="F1462" i="47"/>
  <c r="G1462" i="47" s="1"/>
  <c r="N891" i="47"/>
  <c r="P891" i="47" s="1"/>
  <c r="C1878" i="47"/>
  <c r="E109" i="1" s="1"/>
  <c r="D875" i="47"/>
  <c r="E243" i="1"/>
  <c r="D610" i="47"/>
  <c r="E179" i="1"/>
  <c r="P1378" i="47"/>
  <c r="P1380" i="47"/>
  <c r="P1387" i="47"/>
  <c r="D1476" i="47"/>
  <c r="G914" i="47"/>
  <c r="G915" i="47" s="1"/>
  <c r="D619" i="47"/>
  <c r="F860" i="47"/>
  <c r="G860" i="47" s="1"/>
  <c r="F878" i="47"/>
  <c r="F880" i="47" s="1"/>
  <c r="E245" i="1" s="1"/>
  <c r="N909" i="47"/>
  <c r="P909" i="47" s="1"/>
  <c r="N913" i="47"/>
  <c r="P913" i="47" s="1"/>
  <c r="P914" i="47" s="1"/>
  <c r="P915" i="47" s="1"/>
  <c r="E258" i="1" s="1"/>
  <c r="F1850" i="47"/>
  <c r="G1850" i="47" s="1"/>
  <c r="C879" i="47"/>
  <c r="D879" i="47" s="1"/>
  <c r="D885" i="47"/>
  <c r="J892" i="47"/>
  <c r="J893" i="47" s="1"/>
  <c r="E251" i="1" s="1"/>
  <c r="E1395" i="47"/>
  <c r="J1499" i="47"/>
  <c r="J1500" i="47" s="1"/>
  <c r="E369" i="1" s="1"/>
  <c r="D603" i="47"/>
  <c r="N648" i="47"/>
  <c r="P648" i="47" s="1"/>
  <c r="I1518" i="47"/>
  <c r="I1519" i="47" s="1"/>
  <c r="N646" i="47"/>
  <c r="P646" i="47" s="1"/>
  <c r="P1375" i="47"/>
  <c r="P1381" i="47"/>
  <c r="D1529" i="47"/>
  <c r="N286" i="47"/>
  <c r="P286" i="47" s="1"/>
  <c r="F585" i="47"/>
  <c r="G585" i="47" s="1"/>
  <c r="N1497" i="47"/>
  <c r="P1497" i="47" s="1"/>
  <c r="I892" i="47"/>
  <c r="I893" i="47" s="1"/>
  <c r="L495" i="47"/>
  <c r="D884" i="47"/>
  <c r="D1864" i="47"/>
  <c r="E105" i="1" s="1"/>
  <c r="F254" i="47"/>
  <c r="G254" i="47" s="1"/>
  <c r="F95" i="47"/>
  <c r="G95" i="47" s="1"/>
  <c r="E250" i="47"/>
  <c r="F250" i="47" s="1"/>
  <c r="G250" i="47" s="1"/>
  <c r="P515" i="47"/>
  <c r="D620" i="47"/>
  <c r="N626" i="47"/>
  <c r="P626" i="47" s="1"/>
  <c r="P1368" i="47"/>
  <c r="F1454" i="47"/>
  <c r="G1454" i="47" s="1"/>
  <c r="F1457" i="47"/>
  <c r="G1457" i="47" s="1"/>
  <c r="F1826" i="47"/>
  <c r="G1826" i="47" s="1"/>
  <c r="F1833" i="47"/>
  <c r="G1833" i="47" s="1"/>
  <c r="F1848" i="47"/>
  <c r="G1848" i="47" s="1"/>
  <c r="G627" i="47"/>
  <c r="G628" i="47" s="1"/>
  <c r="P1376" i="47"/>
  <c r="E1397" i="47"/>
  <c r="C1452" i="47"/>
  <c r="D1452" i="47" s="1"/>
  <c r="F1452" i="47" s="1"/>
  <c r="G1452" i="47" s="1"/>
  <c r="G1469" i="47" s="1"/>
  <c r="J1518" i="47"/>
  <c r="J1519" i="47" s="1"/>
  <c r="I287" i="47"/>
  <c r="I310" i="47" s="1"/>
  <c r="J287" i="47"/>
  <c r="J288" i="47" s="1"/>
  <c r="E95" i="1" s="1"/>
  <c r="H892" i="47"/>
  <c r="H893" i="47" s="1"/>
  <c r="N890" i="47"/>
  <c r="P890" i="47" s="1"/>
  <c r="P892" i="47" s="1"/>
  <c r="P893" i="47" s="1"/>
  <c r="E252" i="1" s="1"/>
  <c r="I914" i="47"/>
  <c r="I915" i="47" s="1"/>
  <c r="E1323" i="47"/>
  <c r="P1377" i="47"/>
  <c r="E1403" i="47"/>
  <c r="I1499" i="47"/>
  <c r="I1500" i="47" s="1"/>
  <c r="D1511" i="47"/>
  <c r="N1516" i="47"/>
  <c r="D298" i="47"/>
  <c r="D300" i="47" s="1"/>
  <c r="E97" i="1" s="1"/>
  <c r="C613" i="47"/>
  <c r="D613" i="47" s="1"/>
  <c r="F613" i="47" s="1"/>
  <c r="F615" i="47" s="1"/>
  <c r="E182" i="1" s="1"/>
  <c r="E841" i="47"/>
  <c r="E237" i="1" s="1"/>
  <c r="F845" i="47"/>
  <c r="G845" i="47" s="1"/>
  <c r="C850" i="47"/>
  <c r="D850" i="47" s="1"/>
  <c r="F850" i="47" s="1"/>
  <c r="G850" i="47" s="1"/>
  <c r="E1405" i="47"/>
  <c r="F1468" i="47"/>
  <c r="G1468" i="47" s="1"/>
  <c r="D1473" i="47"/>
  <c r="D1475" i="47"/>
  <c r="N1498" i="47"/>
  <c r="P1498" i="47" s="1"/>
  <c r="D1510" i="47"/>
  <c r="F1845" i="47"/>
  <c r="G1845" i="47" s="1"/>
  <c r="P418" i="47"/>
  <c r="R418" i="47" s="1"/>
  <c r="N285" i="47"/>
  <c r="P285" i="47" s="1"/>
  <c r="P287" i="47" s="1"/>
  <c r="P288" i="47" s="1"/>
  <c r="E96" i="1" s="1"/>
  <c r="C238" i="47"/>
  <c r="D238" i="47" s="1"/>
  <c r="F240" i="47"/>
  <c r="G240" i="47" s="1"/>
  <c r="J309" i="47"/>
  <c r="J310" i="47" s="1"/>
  <c r="E101" i="1" s="1"/>
  <c r="G309" i="47"/>
  <c r="D335" i="47"/>
  <c r="D677" i="47"/>
  <c r="D1207" i="47"/>
  <c r="B1353" i="47"/>
  <c r="P1300" i="47"/>
  <c r="P1574" i="47" s="1"/>
  <c r="Q1574" i="47" s="1"/>
  <c r="P1304" i="47"/>
  <c r="P1578" i="47" s="1"/>
  <c r="Q1578" i="47" s="1"/>
  <c r="H649" i="47"/>
  <c r="H650" i="47" s="1"/>
  <c r="N645" i="47"/>
  <c r="P645" i="47" s="1"/>
  <c r="N625" i="47"/>
  <c r="P625" i="47" s="1"/>
  <c r="E234" i="47"/>
  <c r="P1310" i="47"/>
  <c r="P1579" i="47" s="1"/>
  <c r="Q1579" i="47" s="1"/>
  <c r="P1292" i="47"/>
  <c r="P1566" i="47" s="1"/>
  <c r="Q1566" i="47" s="1"/>
  <c r="P499" i="47"/>
  <c r="H495" i="47"/>
  <c r="E1215" i="47"/>
  <c r="D1223" i="47"/>
  <c r="E1223" i="47" s="1"/>
  <c r="D351" i="47"/>
  <c r="D693" i="47"/>
  <c r="D350" i="47"/>
  <c r="D1222" i="47"/>
  <c r="D692" i="47"/>
  <c r="D691" i="47"/>
  <c r="D1221" i="47"/>
  <c r="D349" i="47"/>
  <c r="D690" i="47"/>
  <c r="D348" i="47"/>
  <c r="D1220" i="47"/>
  <c r="D1219" i="47"/>
  <c r="D689" i="47"/>
  <c r="D347" i="47"/>
  <c r="D346" i="47"/>
  <c r="D1218" i="47"/>
  <c r="D688" i="47"/>
  <c r="D687" i="47"/>
  <c r="D1217" i="47"/>
  <c r="D345" i="47"/>
  <c r="D1216" i="47"/>
  <c r="D686" i="47"/>
  <c r="D344" i="47"/>
  <c r="D868" i="47"/>
  <c r="P766" i="47"/>
  <c r="D867" i="47"/>
  <c r="D869" i="47"/>
  <c r="E795" i="47"/>
  <c r="B1220" i="47"/>
  <c r="B1247" i="47" s="1"/>
  <c r="B1214" i="47"/>
  <c r="B1210" i="47"/>
  <c r="B1265" i="47" s="1"/>
  <c r="E1265" i="47" s="1"/>
  <c r="B1211" i="47"/>
  <c r="B1266" i="47" s="1"/>
  <c r="E1266" i="47" s="1"/>
  <c r="B1209" i="47"/>
  <c r="B1264" i="47" s="1"/>
  <c r="E1264" i="47" s="1"/>
  <c r="B1212" i="47"/>
  <c r="B1263" i="47"/>
  <c r="E1263" i="47" s="1"/>
  <c r="B1213" i="47"/>
  <c r="B1268" i="47" s="1"/>
  <c r="E1268" i="47" s="1"/>
  <c r="P763" i="47"/>
  <c r="P772" i="47"/>
  <c r="H1250" i="47"/>
  <c r="P507" i="47"/>
  <c r="P429" i="47"/>
  <c r="P430" i="47"/>
  <c r="R430" i="47" s="1"/>
  <c r="P426" i="47"/>
  <c r="R426" i="47" s="1"/>
  <c r="P508" i="47"/>
  <c r="P432" i="47"/>
  <c r="R432" i="47" s="1"/>
  <c r="L503" i="47"/>
  <c r="L504" i="47"/>
  <c r="D445" i="47"/>
  <c r="D451" i="47"/>
  <c r="E454" i="47"/>
  <c r="D482" i="47"/>
  <c r="E451" i="47"/>
  <c r="E531" i="47"/>
  <c r="B741" i="47"/>
  <c r="B739" i="47"/>
  <c r="E739" i="47" s="1"/>
  <c r="B735" i="47"/>
  <c r="E735" i="47" s="1"/>
  <c r="B736" i="47"/>
  <c r="E736" i="47" s="1"/>
  <c r="B737" i="47"/>
  <c r="E737" i="47" s="1"/>
  <c r="P424" i="47"/>
  <c r="R424" i="47" s="1"/>
  <c r="L500" i="47"/>
  <c r="P502" i="47"/>
  <c r="L507" i="47"/>
  <c r="C73" i="47"/>
  <c r="D73" i="47" s="1"/>
  <c r="P422" i="47"/>
  <c r="R422" i="47" s="1"/>
  <c r="R429" i="47"/>
  <c r="P420" i="47"/>
  <c r="R420" i="47" s="1"/>
  <c r="P505" i="47"/>
  <c r="J515" i="47"/>
  <c r="D604" i="47"/>
  <c r="D129" i="47"/>
  <c r="D261" i="47"/>
  <c r="D263" i="47"/>
  <c r="D264" i="47"/>
  <c r="D112" i="47"/>
  <c r="E70" i="47"/>
  <c r="F70" i="47" s="1"/>
  <c r="G70" i="47" s="1"/>
  <c r="D127" i="47"/>
  <c r="D262" i="47"/>
  <c r="I101" i="47"/>
  <c r="D128" i="47"/>
  <c r="E101" i="47"/>
  <c r="D113" i="47"/>
  <c r="G101" i="47"/>
  <c r="K1250" i="47"/>
  <c r="E73" i="47"/>
  <c r="C85" i="47"/>
  <c r="D85" i="47" s="1"/>
  <c r="B150" i="47"/>
  <c r="B177" i="47" s="1"/>
  <c r="B77" i="47"/>
  <c r="F93" i="47"/>
  <c r="G93" i="47" s="1"/>
  <c r="E224" i="47"/>
  <c r="E81" i="1" s="1"/>
  <c r="F233" i="47"/>
  <c r="G233" i="47" s="1"/>
  <c r="E243" i="47"/>
  <c r="F243" i="47" s="1"/>
  <c r="G243" i="47" s="1"/>
  <c r="P425" i="47"/>
  <c r="R425" i="47" s="1"/>
  <c r="E448" i="47"/>
  <c r="E457" i="47"/>
  <c r="D458" i="47"/>
  <c r="B470" i="47"/>
  <c r="D470" i="47" s="1"/>
  <c r="F851" i="47"/>
  <c r="G851" i="47" s="1"/>
  <c r="C855" i="47"/>
  <c r="D855" i="47" s="1"/>
  <c r="F855" i="47" s="1"/>
  <c r="G855" i="47" s="1"/>
  <c r="D903" i="47"/>
  <c r="D905" i="47" s="1"/>
  <c r="E253" i="1" s="1"/>
  <c r="D898" i="47"/>
  <c r="B1284" i="47"/>
  <c r="E1284" i="47" s="1"/>
  <c r="P1294" i="47"/>
  <c r="P1568" i="47" s="1"/>
  <c r="Q1568" i="47" s="1"/>
  <c r="P1296" i="47"/>
  <c r="P1570" i="47" s="1"/>
  <c r="Q1570" i="47" s="1"/>
  <c r="Q1584" i="47" s="1"/>
  <c r="R1584" i="47" s="1"/>
  <c r="E393" i="1" s="1"/>
  <c r="P1298" i="47"/>
  <c r="P1572" i="47" s="1"/>
  <c r="Q1572" i="47" s="1"/>
  <c r="P1302" i="47"/>
  <c r="P1576" i="47" s="1"/>
  <c r="Q1576" i="47" s="1"/>
  <c r="E1401" i="47"/>
  <c r="E1414" i="47"/>
  <c r="C1485" i="47"/>
  <c r="D1485" i="47" s="1"/>
  <c r="H1499" i="47"/>
  <c r="H1500" i="47" s="1"/>
  <c r="H1518" i="47"/>
  <c r="H1519" i="47" s="1"/>
  <c r="D1523" i="47"/>
  <c r="D1525" i="47" s="1"/>
  <c r="B1530" i="47"/>
  <c r="D1530" i="47" s="1"/>
  <c r="F1836" i="47"/>
  <c r="G1836" i="47" s="1"/>
  <c r="C1871" i="47"/>
  <c r="E108" i="1" s="1"/>
  <c r="E238" i="47"/>
  <c r="P419" i="47"/>
  <c r="R419" i="47" s="1"/>
  <c r="P421" i="47"/>
  <c r="R421" i="47" s="1"/>
  <c r="P428" i="47"/>
  <c r="R428" i="47" s="1"/>
  <c r="P438" i="47"/>
  <c r="R438" i="47" s="1"/>
  <c r="E458" i="47"/>
  <c r="P500" i="47"/>
  <c r="P506" i="47"/>
  <c r="L508" i="47"/>
  <c r="I509" i="47"/>
  <c r="E535" i="47"/>
  <c r="E586" i="47"/>
  <c r="F586" i="47" s="1"/>
  <c r="G586" i="47" s="1"/>
  <c r="D602" i="47"/>
  <c r="C614" i="47"/>
  <c r="D614" i="47" s="1"/>
  <c r="F614" i="47" s="1"/>
  <c r="F616" i="47" s="1"/>
  <c r="E181" i="1" s="1"/>
  <c r="D663" i="47"/>
  <c r="P762" i="47"/>
  <c r="P767" i="47"/>
  <c r="J914" i="47"/>
  <c r="J915" i="47" s="1"/>
  <c r="E257" i="1" s="1"/>
  <c r="E1329" i="47"/>
  <c r="B1344" i="47"/>
  <c r="P1367" i="47"/>
  <c r="P1369" i="47"/>
  <c r="P1373" i="47"/>
  <c r="E1448" i="47"/>
  <c r="D1474" i="47"/>
  <c r="F1843" i="47"/>
  <c r="G1843" i="47" s="1"/>
  <c r="J509" i="47"/>
  <c r="G892" i="47"/>
  <c r="G893" i="47" s="1"/>
  <c r="P1301" i="47"/>
  <c r="P1575" i="47" s="1"/>
  <c r="Q1575" i="47" s="1"/>
  <c r="B1350" i="47"/>
  <c r="E244" i="47"/>
  <c r="F244" i="47" s="1"/>
  <c r="G244" i="47" s="1"/>
  <c r="N304" i="47"/>
  <c r="P304" i="47" s="1"/>
  <c r="D448" i="47"/>
  <c r="D457" i="47"/>
  <c r="P503" i="47"/>
  <c r="P509" i="47"/>
  <c r="K515" i="47"/>
  <c r="C580" i="47"/>
  <c r="D580" i="47" s="1"/>
  <c r="C590" i="47"/>
  <c r="D590" i="47" s="1"/>
  <c r="F590" i="47" s="1"/>
  <c r="G590" i="47" s="1"/>
  <c r="C595" i="47"/>
  <c r="D595" i="47" s="1"/>
  <c r="F595" i="47" s="1"/>
  <c r="G595" i="47" s="1"/>
  <c r="D601" i="47"/>
  <c r="J627" i="47"/>
  <c r="J628" i="47" s="1"/>
  <c r="E187" i="1" s="1"/>
  <c r="D638" i="47"/>
  <c r="D640" i="47" s="1"/>
  <c r="E189" i="1" s="1"/>
  <c r="D633" i="47"/>
  <c r="P771" i="47"/>
  <c r="E799" i="47"/>
  <c r="H914" i="47"/>
  <c r="H915" i="47" s="1"/>
  <c r="D919" i="47"/>
  <c r="D923" i="47"/>
  <c r="P1299" i="47"/>
  <c r="P1573" i="47" s="1"/>
  <c r="Q1573" i="47" s="1"/>
  <c r="P1372" i="47"/>
  <c r="P1374" i="47"/>
  <c r="P1379" i="47"/>
  <c r="E1399" i="47"/>
  <c r="C1467" i="47"/>
  <c r="D1467" i="47" s="1"/>
  <c r="F1467" i="47" s="1"/>
  <c r="G1467" i="47" s="1"/>
  <c r="G1499" i="47"/>
  <c r="G1500" i="47" s="1"/>
  <c r="D1512" i="47"/>
  <c r="E371" i="1" s="1"/>
  <c r="G1518" i="47"/>
  <c r="G1519" i="47" s="1"/>
  <c r="P1516" i="47"/>
  <c r="N1517" i="47"/>
  <c r="P1517" i="47" s="1"/>
  <c r="B1844" i="47"/>
  <c r="E85" i="47"/>
  <c r="L120" i="47"/>
  <c r="B742" i="47"/>
  <c r="B1221" i="47"/>
  <c r="B1248" i="47" s="1"/>
  <c r="E228" i="47"/>
  <c r="F228" i="47" s="1"/>
  <c r="G228" i="47" s="1"/>
  <c r="N308" i="47"/>
  <c r="P308" i="47" s="1"/>
  <c r="I496" i="47"/>
  <c r="L496" i="47"/>
  <c r="I500" i="47"/>
  <c r="K503" i="47"/>
  <c r="H508" i="47"/>
  <c r="H504" i="47"/>
  <c r="H507" i="47"/>
  <c r="I508" i="47"/>
  <c r="L439" i="47"/>
  <c r="L440" i="47" s="1"/>
  <c r="E142" i="1" s="1"/>
  <c r="K495" i="47"/>
  <c r="K499" i="47"/>
  <c r="I504" i="47"/>
  <c r="K507" i="47"/>
  <c r="L499" i="47"/>
  <c r="H503" i="47"/>
  <c r="P497" i="47"/>
  <c r="P498" i="47"/>
  <c r="P504" i="47"/>
  <c r="N644" i="47"/>
  <c r="P644" i="47" s="1"/>
  <c r="E801" i="47"/>
  <c r="P764" i="47"/>
  <c r="P765" i="47"/>
  <c r="P770" i="47"/>
  <c r="P773" i="47"/>
  <c r="P780" i="47"/>
  <c r="E791" i="47"/>
  <c r="P774" i="47"/>
  <c r="F83" i="47"/>
  <c r="G83" i="47" s="1"/>
  <c r="D111" i="47"/>
  <c r="B1216" i="47"/>
  <c r="B1243" i="47" s="1"/>
  <c r="B745" i="47"/>
  <c r="B731" i="47"/>
  <c r="B746" i="47"/>
  <c r="P769" i="47"/>
  <c r="P768" i="47"/>
  <c r="P761" i="47"/>
  <c r="E787" i="47"/>
  <c r="E527" i="47"/>
  <c r="P496" i="47"/>
  <c r="P495" i="47"/>
  <c r="H499" i="47"/>
  <c r="B327" i="47"/>
  <c r="D327" i="47" s="1"/>
  <c r="D328" i="47" s="1"/>
  <c r="E103" i="1" s="1"/>
  <c r="H309" i="47"/>
  <c r="I309" i="47"/>
  <c r="D632" i="47"/>
  <c r="D259" i="47"/>
  <c r="E230" i="47"/>
  <c r="F230" i="47" s="1"/>
  <c r="G230" i="47" s="1"/>
  <c r="P1499" i="47"/>
  <c r="P1500" i="47" s="1"/>
  <c r="E370" i="1" s="1"/>
  <c r="P1371" i="47"/>
  <c r="P1370" i="47"/>
  <c r="P1293" i="47"/>
  <c r="P1567" i="47" s="1"/>
  <c r="Q1567" i="47" s="1"/>
  <c r="B1351" i="47"/>
  <c r="E1317" i="47"/>
  <c r="B1345" i="47"/>
  <c r="P1290" i="47"/>
  <c r="P1291" i="47"/>
  <c r="P1297" i="47"/>
  <c r="P1571" i="47" s="1"/>
  <c r="Q1571" i="47" s="1"/>
  <c r="E1321" i="47"/>
  <c r="E1324" i="47"/>
  <c r="B1352" i="47"/>
  <c r="D897" i="47"/>
  <c r="D866" i="47"/>
  <c r="P760" i="47"/>
  <c r="E793" i="47"/>
  <c r="L781" i="47"/>
  <c r="L782" i="47" s="1"/>
  <c r="E226" i="1" s="1"/>
  <c r="E789" i="47"/>
  <c r="E797" i="47"/>
  <c r="G649" i="47"/>
  <c r="G650" i="47" s="1"/>
  <c r="I649" i="47"/>
  <c r="I650" i="47" s="1"/>
  <c r="J649" i="47"/>
  <c r="J650" i="47" s="1"/>
  <c r="E193" i="1" s="1"/>
  <c r="I627" i="47"/>
  <c r="I628" i="47" s="1"/>
  <c r="H627" i="47"/>
  <c r="H628" i="47" s="1"/>
  <c r="F582" i="47"/>
  <c r="G582" i="47" s="1"/>
  <c r="E580" i="47"/>
  <c r="E576" i="47"/>
  <c r="E173" i="1" s="1"/>
  <c r="E523" i="47"/>
  <c r="P501" i="47"/>
  <c r="D454" i="47"/>
  <c r="J1311" i="47"/>
  <c r="J1312" i="47" s="1"/>
  <c r="E357" i="1" s="1"/>
  <c r="J781" i="47"/>
  <c r="J782" i="47" s="1"/>
  <c r="E227" i="1" s="1"/>
  <c r="K781" i="47"/>
  <c r="K782" i="47" s="1"/>
  <c r="E228" i="1" s="1"/>
  <c r="I497" i="47"/>
  <c r="K439" i="47"/>
  <c r="K440" i="47" s="1"/>
  <c r="E144" i="1" s="1"/>
  <c r="J497" i="47"/>
  <c r="J498" i="47"/>
  <c r="J501" i="47"/>
  <c r="J502" i="47"/>
  <c r="J505" i="47"/>
  <c r="J506" i="47"/>
  <c r="H781" i="47"/>
  <c r="H782" i="47" s="1"/>
  <c r="E225" i="1" s="1"/>
  <c r="J439" i="47"/>
  <c r="J440" i="47" s="1"/>
  <c r="E143" i="1" s="1"/>
  <c r="I501" i="47"/>
  <c r="I505" i="47"/>
  <c r="H439" i="47"/>
  <c r="H440" i="47" s="1"/>
  <c r="E141" i="1" s="1"/>
  <c r="H496" i="47"/>
  <c r="K498" i="47"/>
  <c r="H500" i="47"/>
  <c r="K502" i="47"/>
  <c r="K506" i="47"/>
  <c r="H287" i="47"/>
  <c r="H310" i="47" s="1"/>
  <c r="G310" i="47"/>
  <c r="C273" i="47"/>
  <c r="D273" i="47" s="1"/>
  <c r="F274" i="47"/>
  <c r="F276" i="47" s="1"/>
  <c r="E90" i="1" s="1"/>
  <c r="D279" i="47"/>
  <c r="C234" i="47"/>
  <c r="D234" i="47" s="1"/>
  <c r="D260" i="47"/>
  <c r="K120" i="47"/>
  <c r="I122" i="47"/>
  <c r="I123" i="47" s="1"/>
  <c r="E59" i="1" s="1"/>
  <c r="E135" i="47"/>
  <c r="F75" i="47"/>
  <c r="E78" i="47"/>
  <c r="F78" i="47" s="1"/>
  <c r="B79" i="47"/>
  <c r="B94" i="47" s="1"/>
  <c r="E80" i="47"/>
  <c r="F80" i="47" s="1"/>
  <c r="G80" i="47" s="1"/>
  <c r="L121" i="47"/>
  <c r="D121" i="47"/>
  <c r="Q1295" i="47"/>
  <c r="Q765" i="47"/>
  <c r="Q500" i="47"/>
  <c r="Q1372" i="47" s="1"/>
  <c r="Q1298" i="47"/>
  <c r="Q768" i="47"/>
  <c r="Q503" i="47"/>
  <c r="Q1375" i="47" s="1"/>
  <c r="P1255" i="47"/>
  <c r="P1588" i="47" s="1"/>
  <c r="Q1588" i="47" s="1"/>
  <c r="P383" i="47"/>
  <c r="P725" i="47" s="1"/>
  <c r="J361" i="47"/>
  <c r="N361" i="47"/>
  <c r="I361" i="47"/>
  <c r="M361" i="47"/>
  <c r="H361" i="47"/>
  <c r="K361" i="47"/>
  <c r="E68" i="47"/>
  <c r="F68" i="47" s="1"/>
  <c r="C101" i="47"/>
  <c r="L119" i="47"/>
  <c r="M119" i="47" s="1"/>
  <c r="D119" i="47"/>
  <c r="K121" i="47"/>
  <c r="B151" i="47"/>
  <c r="B161" i="47"/>
  <c r="E134" i="47"/>
  <c r="D1228" i="47"/>
  <c r="E1228" i="47" s="1"/>
  <c r="D698" i="47"/>
  <c r="E248" i="47"/>
  <c r="F248" i="47" s="1"/>
  <c r="G248" i="47" s="1"/>
  <c r="F253" i="47"/>
  <c r="G253" i="47" s="1"/>
  <c r="E273" i="47"/>
  <c r="D314" i="47"/>
  <c r="D319" i="47" s="1"/>
  <c r="B335" i="47"/>
  <c r="B336" i="47" s="1"/>
  <c r="P361" i="47"/>
  <c r="P703" i="47" s="1"/>
  <c r="P968" i="47" s="1"/>
  <c r="Q968" i="47" s="1"/>
  <c r="P362" i="47"/>
  <c r="P704" i="47" s="1"/>
  <c r="P969" i="47" s="1"/>
  <c r="Q969" i="47" s="1"/>
  <c r="P371" i="47"/>
  <c r="P713" i="47" s="1"/>
  <c r="P978" i="47" s="1"/>
  <c r="Q978" i="47" s="1"/>
  <c r="P372" i="47"/>
  <c r="P714" i="47" s="1"/>
  <c r="P979" i="47" s="1"/>
  <c r="Q979" i="47" s="1"/>
  <c r="P373" i="47"/>
  <c r="P715" i="47" s="1"/>
  <c r="P980" i="47" s="1"/>
  <c r="Q980" i="47" s="1"/>
  <c r="P374" i="47"/>
  <c r="P716" i="47" s="1"/>
  <c r="P981" i="47" s="1"/>
  <c r="Q981" i="47" s="1"/>
  <c r="P375" i="47"/>
  <c r="P717" i="47" s="1"/>
  <c r="P982" i="47" s="1"/>
  <c r="Q982" i="47" s="1"/>
  <c r="P376" i="47"/>
  <c r="P718" i="47" s="1"/>
  <c r="P983" i="47" s="1"/>
  <c r="Q983" i="47" s="1"/>
  <c r="P377" i="47"/>
  <c r="P719" i="47" s="1"/>
  <c r="P984" i="47" s="1"/>
  <c r="Q984" i="47" s="1"/>
  <c r="P378" i="47"/>
  <c r="P720" i="47" s="1"/>
  <c r="P985" i="47" s="1"/>
  <c r="Q985" i="47" s="1"/>
  <c r="Q986" i="47" s="1"/>
  <c r="D390" i="47"/>
  <c r="D402" i="47"/>
  <c r="D744" i="47" s="1"/>
  <c r="D406" i="47"/>
  <c r="D748" i="47" s="1"/>
  <c r="Q1291" i="47"/>
  <c r="Q761" i="47"/>
  <c r="Q496" i="47"/>
  <c r="Q1368" i="47" s="1"/>
  <c r="R1368" i="47" s="1"/>
  <c r="Q1293" i="47"/>
  <c r="Q763" i="47"/>
  <c r="Q498" i="47"/>
  <c r="Q1370" i="47" s="1"/>
  <c r="B472" i="47"/>
  <c r="D472" i="47" s="1"/>
  <c r="E447" i="47"/>
  <c r="D447" i="47"/>
  <c r="B475" i="47"/>
  <c r="D475" i="47" s="1"/>
  <c r="E450" i="47"/>
  <c r="D450" i="47"/>
  <c r="B478" i="47"/>
  <c r="D478" i="47" s="1"/>
  <c r="E453" i="47"/>
  <c r="D453" i="47"/>
  <c r="B481" i="47"/>
  <c r="D481" i="47" s="1"/>
  <c r="E456" i="47"/>
  <c r="D456" i="47"/>
  <c r="B490" i="47"/>
  <c r="D490" i="47" s="1"/>
  <c r="E465" i="47"/>
  <c r="D465" i="47"/>
  <c r="C1342" i="47"/>
  <c r="D1342" i="47" s="1"/>
  <c r="C812" i="47"/>
  <c r="D812" i="47" s="1"/>
  <c r="C547" i="47"/>
  <c r="C1419" i="47" s="1"/>
  <c r="C1345" i="47"/>
  <c r="C815" i="47"/>
  <c r="C550" i="47"/>
  <c r="C1422" i="47" s="1"/>
  <c r="D1422" i="47" s="1"/>
  <c r="C1348" i="47"/>
  <c r="D1348" i="47" s="1"/>
  <c r="C818" i="47"/>
  <c r="D818" i="47" s="1"/>
  <c r="C553" i="47"/>
  <c r="C1425" i="47" s="1"/>
  <c r="D1425" i="47" s="1"/>
  <c r="C1351" i="47"/>
  <c r="C821" i="47"/>
  <c r="D821" i="47" s="1"/>
  <c r="C556" i="47"/>
  <c r="C1428" i="47" s="1"/>
  <c r="D1428" i="47" s="1"/>
  <c r="D483" i="47"/>
  <c r="D533" i="47"/>
  <c r="F596" i="47"/>
  <c r="G596" i="47" s="1"/>
  <c r="D1227" i="47"/>
  <c r="E1227" i="47" s="1"/>
  <c r="D697" i="47"/>
  <c r="I1027" i="47" s="1"/>
  <c r="C280" i="47"/>
  <c r="D280" i="47" s="1"/>
  <c r="B389" i="47"/>
  <c r="D399" i="47"/>
  <c r="D741" i="47" s="1"/>
  <c r="D403" i="47"/>
  <c r="D745" i="47" s="1"/>
  <c r="P423" i="47"/>
  <c r="R423" i="47" s="1"/>
  <c r="Q1296" i="47"/>
  <c r="Q766" i="47"/>
  <c r="Q501" i="47"/>
  <c r="Q1373" i="47" s="1"/>
  <c r="Q1297" i="47"/>
  <c r="Q767" i="47"/>
  <c r="Q502" i="47"/>
  <c r="Q1374" i="47" s="1"/>
  <c r="P427" i="47"/>
  <c r="R427" i="47" s="1"/>
  <c r="Q1300" i="47"/>
  <c r="Q770" i="47"/>
  <c r="Q505" i="47"/>
  <c r="Q1377" i="47" s="1"/>
  <c r="R1377" i="47" s="1"/>
  <c r="Q1301" i="47"/>
  <c r="Q771" i="47"/>
  <c r="Q506" i="47"/>
  <c r="Q1378" i="47" s="1"/>
  <c r="P431" i="47"/>
  <c r="R431" i="47" s="1"/>
  <c r="Q1310" i="47"/>
  <c r="Q780" i="47"/>
  <c r="Q515" i="47"/>
  <c r="Q1387" i="47" s="1"/>
  <c r="D446" i="47"/>
  <c r="D524" i="47"/>
  <c r="D449" i="47"/>
  <c r="D452" i="47"/>
  <c r="D455" i="47"/>
  <c r="C1407" i="47"/>
  <c r="D1407" i="47" s="1"/>
  <c r="D535" i="47"/>
  <c r="D459" i="47"/>
  <c r="C1343" i="47"/>
  <c r="D1343" i="47" s="1"/>
  <c r="C813" i="47"/>
  <c r="D813" i="47" s="1"/>
  <c r="C548" i="47"/>
  <c r="C1420" i="47" s="1"/>
  <c r="D1420" i="47" s="1"/>
  <c r="C1346" i="47"/>
  <c r="D1346" i="47" s="1"/>
  <c r="C816" i="47"/>
  <c r="D816" i="47" s="1"/>
  <c r="C551" i="47"/>
  <c r="C1423" i="47" s="1"/>
  <c r="C1349" i="47"/>
  <c r="D1349" i="47" s="1"/>
  <c r="C819" i="47"/>
  <c r="C554" i="47"/>
  <c r="C1426" i="47" s="1"/>
  <c r="D1426" i="47" s="1"/>
  <c r="C1352" i="47"/>
  <c r="C822" i="47"/>
  <c r="D822" i="47" s="1"/>
  <c r="C557" i="47"/>
  <c r="C1429" i="47" s="1"/>
  <c r="D1429" i="47" s="1"/>
  <c r="C1355" i="47"/>
  <c r="C825" i="47"/>
  <c r="D825" i="47" s="1"/>
  <c r="C560" i="47"/>
  <c r="C1432" i="47" s="1"/>
  <c r="D1367" i="47"/>
  <c r="I1367" i="47" s="1"/>
  <c r="I1388" i="47" s="1"/>
  <c r="I1389" i="47" s="1"/>
  <c r="I495" i="47"/>
  <c r="D400" i="47"/>
  <c r="D742" i="47" s="1"/>
  <c r="D404" i="47"/>
  <c r="D746" i="47" s="1"/>
  <c r="D412" i="47"/>
  <c r="D754" i="47" s="1"/>
  <c r="Q1290" i="47"/>
  <c r="Q760" i="47"/>
  <c r="Q1292" i="47"/>
  <c r="Q762" i="47"/>
  <c r="Q497" i="47"/>
  <c r="Q1369" i="47" s="1"/>
  <c r="Q1294" i="47"/>
  <c r="Q764" i="47"/>
  <c r="Q499" i="47"/>
  <c r="Q1371" i="47" s="1"/>
  <c r="C1318" i="47"/>
  <c r="D1318" i="47" s="1"/>
  <c r="C788" i="47"/>
  <c r="D788" i="47" s="1"/>
  <c r="C523" i="47"/>
  <c r="C1321" i="47"/>
  <c r="D1321" i="47" s="1"/>
  <c r="C791" i="47"/>
  <c r="D791" i="47" s="1"/>
  <c r="C526" i="47"/>
  <c r="C1324" i="47"/>
  <c r="D1324" i="47" s="1"/>
  <c r="C794" i="47"/>
  <c r="D794" i="47" s="1"/>
  <c r="C529" i="47"/>
  <c r="C1327" i="47"/>
  <c r="D1327" i="47" s="1"/>
  <c r="C797" i="47"/>
  <c r="D797" i="47" s="1"/>
  <c r="C532" i="47"/>
  <c r="C1331" i="47"/>
  <c r="D1331" i="47" s="1"/>
  <c r="C801" i="47"/>
  <c r="D801" i="47" s="1"/>
  <c r="C536" i="47"/>
  <c r="C1344" i="47"/>
  <c r="C814" i="47"/>
  <c r="D814" i="47" s="1"/>
  <c r="C549" i="47"/>
  <c r="C1421" i="47" s="1"/>
  <c r="D1421" i="47" s="1"/>
  <c r="C1347" i="47"/>
  <c r="C817" i="47"/>
  <c r="D817" i="47" s="1"/>
  <c r="C552" i="47"/>
  <c r="C1424" i="47" s="1"/>
  <c r="D1424" i="47" s="1"/>
  <c r="C1350" i="47"/>
  <c r="C820" i="47"/>
  <c r="D820" i="47" s="1"/>
  <c r="C555" i="47"/>
  <c r="C1427" i="47" s="1"/>
  <c r="C1353" i="47"/>
  <c r="C823" i="47"/>
  <c r="C558" i="47"/>
  <c r="C1430" i="47" s="1"/>
  <c r="D1430" i="47" s="1"/>
  <c r="C1356" i="47"/>
  <c r="C826" i="47"/>
  <c r="D826" i="47" s="1"/>
  <c r="C561" i="47"/>
  <c r="C1433" i="47" s="1"/>
  <c r="D1433" i="47" s="1"/>
  <c r="E1368" i="47"/>
  <c r="J1368" i="47" s="1"/>
  <c r="J1388" i="47" s="1"/>
  <c r="J1389" i="47" s="1"/>
  <c r="J496" i="47"/>
  <c r="D1206" i="47"/>
  <c r="E1206" i="47" s="1"/>
  <c r="D676" i="47"/>
  <c r="E676" i="47" s="1"/>
  <c r="D356" i="47"/>
  <c r="D389" i="47"/>
  <c r="D401" i="47"/>
  <c r="D743" i="47" s="1"/>
  <c r="D405" i="47"/>
  <c r="D747" i="47" s="1"/>
  <c r="D413" i="47"/>
  <c r="D755" i="47" s="1"/>
  <c r="I439" i="47"/>
  <c r="I440" i="47" s="1"/>
  <c r="Q1299" i="47"/>
  <c r="Q769" i="47"/>
  <c r="Q504" i="47"/>
  <c r="Q1376" i="47" s="1"/>
  <c r="R1376" i="47" s="1"/>
  <c r="Q1302" i="47"/>
  <c r="Q772" i="47"/>
  <c r="Q507" i="47"/>
  <c r="Q1379" i="47" s="1"/>
  <c r="Q1303" i="47"/>
  <c r="Q773" i="47"/>
  <c r="Q508" i="47"/>
  <c r="Q1380" i="47" s="1"/>
  <c r="R1380" i="47" s="1"/>
  <c r="D473" i="47"/>
  <c r="D476" i="47"/>
  <c r="D479" i="47"/>
  <c r="C1354" i="47"/>
  <c r="D1354" i="47" s="1"/>
  <c r="C824" i="47"/>
  <c r="D824" i="47" s="1"/>
  <c r="C559" i="47"/>
  <c r="C1431" i="47" s="1"/>
  <c r="C1362" i="47"/>
  <c r="C832" i="47"/>
  <c r="C567" i="47"/>
  <c r="C1439" i="47" s="1"/>
  <c r="D1439" i="47" s="1"/>
  <c r="Q495" i="47"/>
  <c r="Q1367" i="47" s="1"/>
  <c r="F592" i="47"/>
  <c r="G592" i="47" s="1"/>
  <c r="E446" i="47"/>
  <c r="E449" i="47"/>
  <c r="E452" i="47"/>
  <c r="E455" i="47"/>
  <c r="C1329" i="47"/>
  <c r="D1329" i="47" s="1"/>
  <c r="C799" i="47"/>
  <c r="D799" i="47" s="1"/>
  <c r="E459" i="47"/>
  <c r="K1388" i="47"/>
  <c r="K1389" i="47" s="1"/>
  <c r="J495" i="47"/>
  <c r="K496" i="47"/>
  <c r="H497" i="47"/>
  <c r="L497" i="47"/>
  <c r="I498" i="47"/>
  <c r="J499" i="47"/>
  <c r="K500" i="47"/>
  <c r="H501" i="47"/>
  <c r="L501" i="47"/>
  <c r="I502" i="47"/>
  <c r="J503" i="47"/>
  <c r="K504" i="47"/>
  <c r="H505" i="47"/>
  <c r="L505" i="47"/>
  <c r="I506" i="47"/>
  <c r="J507" i="47"/>
  <c r="K508" i="47"/>
  <c r="H509" i="47"/>
  <c r="L509" i="47"/>
  <c r="I515" i="47"/>
  <c r="E525" i="47"/>
  <c r="E529" i="47"/>
  <c r="E533" i="47"/>
  <c r="E542" i="47"/>
  <c r="B547" i="47"/>
  <c r="B549" i="47"/>
  <c r="B550" i="47"/>
  <c r="B551" i="47"/>
  <c r="B553" i="47"/>
  <c r="B554" i="47"/>
  <c r="B555" i="47"/>
  <c r="B557" i="47"/>
  <c r="B558" i="47"/>
  <c r="B559" i="47"/>
  <c r="B561" i="47"/>
  <c r="B567" i="47"/>
  <c r="D654" i="47"/>
  <c r="D655" i="47"/>
  <c r="D656" i="47"/>
  <c r="C1317" i="47"/>
  <c r="D1317" i="47" s="1"/>
  <c r="C787" i="47"/>
  <c r="D787" i="47" s="1"/>
  <c r="C1320" i="47"/>
  <c r="D1320" i="47" s="1"/>
  <c r="C790" i="47"/>
  <c r="D790" i="47" s="1"/>
  <c r="C1323" i="47"/>
  <c r="D1323" i="47" s="1"/>
  <c r="C793" i="47"/>
  <c r="D793" i="47" s="1"/>
  <c r="C796" i="47"/>
  <c r="D796" i="47" s="1"/>
  <c r="C1326" i="47"/>
  <c r="D1326" i="47" s="1"/>
  <c r="C1330" i="47"/>
  <c r="D1330" i="47" s="1"/>
  <c r="C800" i="47"/>
  <c r="D800" i="47" s="1"/>
  <c r="B471" i="47"/>
  <c r="D471" i="47" s="1"/>
  <c r="B474" i="47"/>
  <c r="D474" i="47" s="1"/>
  <c r="B477" i="47"/>
  <c r="D477" i="47" s="1"/>
  <c r="B480" i="47"/>
  <c r="D480" i="47" s="1"/>
  <c r="B484" i="47"/>
  <c r="D484" i="47" s="1"/>
  <c r="H1388" i="47"/>
  <c r="H1389" i="47" s="1"/>
  <c r="L1388" i="47"/>
  <c r="L1389" i="47" s="1"/>
  <c r="C528" i="47"/>
  <c r="B667" i="47"/>
  <c r="D667" i="47" s="1"/>
  <c r="C525" i="47"/>
  <c r="Q1304" i="47"/>
  <c r="Q774" i="47"/>
  <c r="C1319" i="47"/>
  <c r="D1319" i="47" s="1"/>
  <c r="C789" i="47"/>
  <c r="D789" i="47" s="1"/>
  <c r="C1322" i="47"/>
  <c r="D1322" i="47" s="1"/>
  <c r="C792" i="47"/>
  <c r="D792" i="47" s="1"/>
  <c r="C1325" i="47"/>
  <c r="D1325" i="47" s="1"/>
  <c r="C795" i="47"/>
  <c r="D795" i="47" s="1"/>
  <c r="C1328" i="47"/>
  <c r="D1328" i="47" s="1"/>
  <c r="C798" i="47"/>
  <c r="D798" i="47" s="1"/>
  <c r="C1337" i="47"/>
  <c r="D1337" i="47" s="1"/>
  <c r="C807" i="47"/>
  <c r="D807" i="47" s="1"/>
  <c r="K497" i="47"/>
  <c r="H498" i="47"/>
  <c r="L498" i="47"/>
  <c r="I499" i="47"/>
  <c r="J500" i="47"/>
  <c r="K501" i="47"/>
  <c r="H502" i="47"/>
  <c r="L502" i="47"/>
  <c r="I503" i="47"/>
  <c r="J504" i="47"/>
  <c r="K505" i="47"/>
  <c r="H506" i="47"/>
  <c r="L506" i="47"/>
  <c r="I507" i="47"/>
  <c r="J508" i="47"/>
  <c r="K509" i="47"/>
  <c r="H515" i="47"/>
  <c r="L515" i="47"/>
  <c r="C522" i="47"/>
  <c r="C530" i="47"/>
  <c r="C534" i="47"/>
  <c r="B703" i="47"/>
  <c r="I781" i="47"/>
  <c r="I782" i="47" s="1"/>
  <c r="E847" i="47"/>
  <c r="F847" i="47" s="1"/>
  <c r="G847" i="47" s="1"/>
  <c r="F857" i="47"/>
  <c r="G857" i="47" s="1"/>
  <c r="D933" i="47"/>
  <c r="E259" i="1" s="1"/>
  <c r="B1356" i="47"/>
  <c r="E1331" i="47"/>
  <c r="E861" i="47"/>
  <c r="F861" i="47" s="1"/>
  <c r="G861" i="47" s="1"/>
  <c r="E879" i="47"/>
  <c r="F879" i="47" s="1"/>
  <c r="F881" i="47" s="1"/>
  <c r="E246" i="1" s="1"/>
  <c r="B1285" i="47"/>
  <c r="E1285" i="47" s="1"/>
  <c r="F1256" i="47"/>
  <c r="N1256" i="47"/>
  <c r="O1256" i="47" s="1"/>
  <c r="Q1256" i="47" s="1"/>
  <c r="B815" i="47"/>
  <c r="E790" i="47"/>
  <c r="B819" i="47"/>
  <c r="E794" i="47"/>
  <c r="B823" i="47"/>
  <c r="E798" i="47"/>
  <c r="B832" i="47"/>
  <c r="E807" i="47"/>
  <c r="E788" i="47"/>
  <c r="E792" i="47"/>
  <c r="E796" i="47"/>
  <c r="E800" i="47"/>
  <c r="B1207" i="47"/>
  <c r="B1219" i="47"/>
  <c r="I1250" i="47"/>
  <c r="N1250" i="47"/>
  <c r="O1250" i="47" s="1"/>
  <c r="Q1250" i="47" s="1"/>
  <c r="F1255" i="47"/>
  <c r="H1311" i="47"/>
  <c r="H1312" i="47" s="1"/>
  <c r="E355" i="1" s="1"/>
  <c r="L1311" i="47"/>
  <c r="L1312" i="47" s="1"/>
  <c r="E356" i="1" s="1"/>
  <c r="P1303" i="47"/>
  <c r="P1577" i="47" s="1"/>
  <c r="Q1577" i="47" s="1"/>
  <c r="E1318" i="47"/>
  <c r="E1322" i="47"/>
  <c r="B1218" i="47"/>
  <c r="B1222" i="47"/>
  <c r="B1233" i="47"/>
  <c r="J1250" i="47"/>
  <c r="M1255" i="47"/>
  <c r="O1255" i="47" s="1"/>
  <c r="B1261" i="47"/>
  <c r="I1311" i="47"/>
  <c r="I1312" i="47" s="1"/>
  <c r="E1330" i="47"/>
  <c r="B1355" i="47"/>
  <c r="B1362" i="47"/>
  <c r="E1337" i="47"/>
  <c r="B1217" i="47"/>
  <c r="K1311" i="47"/>
  <c r="K1312" i="47" s="1"/>
  <c r="E358" i="1" s="1"/>
  <c r="P1295" i="47"/>
  <c r="P1569" i="47" s="1"/>
  <c r="Q1569" i="47" s="1"/>
  <c r="B1347" i="47"/>
  <c r="E1398" i="47"/>
  <c r="B1423" i="47"/>
  <c r="E1406" i="47"/>
  <c r="B1431" i="47"/>
  <c r="E1394" i="47"/>
  <c r="B1419" i="47"/>
  <c r="E1402" i="47"/>
  <c r="B1427" i="47"/>
  <c r="E1485" i="47"/>
  <c r="F1485" i="47" s="1"/>
  <c r="F1487" i="47" s="1"/>
  <c r="C1486" i="47"/>
  <c r="D1486" i="47" s="1"/>
  <c r="F1486" i="47" s="1"/>
  <c r="F1488" i="47" s="1"/>
  <c r="D1505" i="47"/>
  <c r="F1828" i="47"/>
  <c r="G1828" i="47" s="1"/>
  <c r="F1831" i="47"/>
  <c r="G1831" i="47" s="1"/>
  <c r="G1834" i="47" s="1"/>
  <c r="H1834" i="47" s="1"/>
  <c r="E1464" i="47"/>
  <c r="F1464" i="47" s="1"/>
  <c r="G1464" i="47" s="1"/>
  <c r="D1491" i="47"/>
  <c r="D1493" i="47" s="1"/>
  <c r="D1504" i="47"/>
  <c r="F1838" i="47"/>
  <c r="G1838" i="47" s="1"/>
  <c r="G1839" i="47" s="1"/>
  <c r="H1839" i="47" s="1"/>
  <c r="E1396" i="47"/>
  <c r="E1400" i="47"/>
  <c r="E1404" i="47"/>
  <c r="E1408" i="47"/>
  <c r="E1458" i="47"/>
  <c r="F1458" i="47" s="1"/>
  <c r="G1458" i="47" s="1"/>
  <c r="B1432" i="47"/>
  <c r="B1842" i="47"/>
  <c r="D1531" i="47" l="1"/>
  <c r="R1372" i="47"/>
  <c r="D886" i="47"/>
  <c r="E247" i="1" s="1"/>
  <c r="R1367" i="47"/>
  <c r="J105" i="47"/>
  <c r="E49" i="1" s="1"/>
  <c r="P627" i="47"/>
  <c r="P628" i="47" s="1"/>
  <c r="E188" i="1" s="1"/>
  <c r="C1065" i="47"/>
  <c r="D1065" i="47" s="1"/>
  <c r="C1054" i="47"/>
  <c r="D1054" i="47" s="1"/>
  <c r="C1072" i="47"/>
  <c r="D1072" i="47" s="1"/>
  <c r="C1053" i="47"/>
  <c r="D1053" i="47" s="1"/>
  <c r="C1063" i="47"/>
  <c r="D1063" i="47" s="1"/>
  <c r="C1062" i="47"/>
  <c r="D1062" i="47" s="1"/>
  <c r="C1057" i="47"/>
  <c r="D1057" i="47" s="1"/>
  <c r="C1066" i="47"/>
  <c r="C1058" i="47"/>
  <c r="D1058" i="47" s="1"/>
  <c r="C1061" i="47"/>
  <c r="D1061" i="47" s="1"/>
  <c r="E292" i="1"/>
  <c r="H1046" i="47"/>
  <c r="H1047" i="47" s="1"/>
  <c r="E288" i="1" s="1"/>
  <c r="L1046" i="47"/>
  <c r="L1047" i="47" s="1"/>
  <c r="E290" i="1" s="1"/>
  <c r="B155" i="47"/>
  <c r="E155" i="47" s="1"/>
  <c r="E697" i="47"/>
  <c r="J1027" i="47" s="1"/>
  <c r="D1688" i="47"/>
  <c r="G1846" i="47"/>
  <c r="H1846" i="47" s="1"/>
  <c r="C1405" i="47"/>
  <c r="D1405" i="47" s="1"/>
  <c r="E1619" i="47"/>
  <c r="E400" i="1" s="1"/>
  <c r="E997" i="47"/>
  <c r="Q987" i="47"/>
  <c r="R1381" i="47"/>
  <c r="F1589" i="47"/>
  <c r="F1590" i="47" s="1"/>
  <c r="F1591" i="47" s="1"/>
  <c r="E398" i="1" s="1"/>
  <c r="O1589" i="47"/>
  <c r="Q1589" i="47" s="1"/>
  <c r="Q1590" i="47" s="1"/>
  <c r="Q1591" i="47" s="1"/>
  <c r="E399" i="1" s="1"/>
  <c r="G1851" i="47"/>
  <c r="H1851" i="47" s="1"/>
  <c r="C1399" i="47"/>
  <c r="D1399" i="47" s="1"/>
  <c r="R509" i="47"/>
  <c r="E1261" i="47"/>
  <c r="E964" i="47"/>
  <c r="E280" i="1" s="1"/>
  <c r="R1643" i="47"/>
  <c r="Q1644" i="47" s="1"/>
  <c r="D531" i="47"/>
  <c r="C1403" i="47"/>
  <c r="D1403" i="47" s="1"/>
  <c r="D1671" i="47"/>
  <c r="E402" i="1" s="1"/>
  <c r="R1369" i="47"/>
  <c r="D542" i="47"/>
  <c r="D1477" i="47"/>
  <c r="C1414" i="47"/>
  <c r="D1414" i="47" s="1"/>
  <c r="Q1645" i="47"/>
  <c r="R1387" i="47"/>
  <c r="R1379" i="47"/>
  <c r="R1371" i="47"/>
  <c r="D527" i="47"/>
  <c r="R1373" i="47"/>
  <c r="Q1585" i="47"/>
  <c r="D1084" i="47"/>
  <c r="D1686" i="47"/>
  <c r="D1685" i="47"/>
  <c r="D1687" i="47"/>
  <c r="D1695" i="47"/>
  <c r="D1689" i="47"/>
  <c r="D1676" i="47"/>
  <c r="E1557" i="47"/>
  <c r="E386" i="1" s="1"/>
  <c r="D1066" i="47"/>
  <c r="D1675" i="47"/>
  <c r="E1007" i="47"/>
  <c r="D1345" i="47"/>
  <c r="C1406" i="47"/>
  <c r="D1406" i="47" s="1"/>
  <c r="C1064" i="47"/>
  <c r="D1064" i="47" s="1"/>
  <c r="C1397" i="47"/>
  <c r="D1397" i="47" s="1"/>
  <c r="C1055" i="47"/>
  <c r="D1055" i="47" s="1"/>
  <c r="C1398" i="47"/>
  <c r="D1398" i="47" s="1"/>
  <c r="C1056" i="47"/>
  <c r="D1056" i="47" s="1"/>
  <c r="R1374" i="47"/>
  <c r="R766" i="47"/>
  <c r="R763" i="47"/>
  <c r="R1375" i="47"/>
  <c r="C1402" i="47"/>
  <c r="D1402" i="47" s="1"/>
  <c r="C1060" i="47"/>
  <c r="D1060" i="47" s="1"/>
  <c r="C1394" i="47"/>
  <c r="D1394" i="47" s="1"/>
  <c r="C1052" i="47"/>
  <c r="D1052" i="47" s="1"/>
  <c r="C1401" i="47"/>
  <c r="D1401" i="47" s="1"/>
  <c r="C1059" i="47"/>
  <c r="D1059" i="47" s="1"/>
  <c r="R1378" i="47"/>
  <c r="P1035" i="47"/>
  <c r="E1019" i="47"/>
  <c r="E1020" i="47"/>
  <c r="B1087" i="47"/>
  <c r="D1087" i="47" s="1"/>
  <c r="E1062" i="47"/>
  <c r="E1073" i="47" s="1"/>
  <c r="D732" i="47"/>
  <c r="E950" i="47"/>
  <c r="E698" i="47"/>
  <c r="J1028" i="47" s="1"/>
  <c r="I1028" i="47"/>
  <c r="D731" i="47"/>
  <c r="E731" i="47" s="1"/>
  <c r="E949" i="47"/>
  <c r="E959" i="47" s="1"/>
  <c r="E270" i="1" s="1"/>
  <c r="D899" i="47"/>
  <c r="E249" i="1" s="1"/>
  <c r="D621" i="47"/>
  <c r="E183" i="1" s="1"/>
  <c r="G1829" i="47"/>
  <c r="H1829" i="47" s="1"/>
  <c r="H1840" i="47" s="1"/>
  <c r="E107" i="1" s="1"/>
  <c r="D1351" i="47"/>
  <c r="F238" i="47"/>
  <c r="G238" i="47" s="1"/>
  <c r="G255" i="47" s="1"/>
  <c r="E83" i="1" s="1"/>
  <c r="I288" i="47"/>
  <c r="R1292" i="47"/>
  <c r="R1290" i="47"/>
  <c r="R1370" i="47"/>
  <c r="R1298" i="47"/>
  <c r="F580" i="47"/>
  <c r="G580" i="47" s="1"/>
  <c r="G597" i="47" s="1"/>
  <c r="E175" i="1" s="1"/>
  <c r="R1297" i="47"/>
  <c r="D1350" i="47"/>
  <c r="R1300" i="47"/>
  <c r="R1293" i="47"/>
  <c r="R1304" i="47"/>
  <c r="D557" i="47"/>
  <c r="G862" i="47"/>
  <c r="E239" i="1" s="1"/>
  <c r="D819" i="47"/>
  <c r="D634" i="47"/>
  <c r="E185" i="1" s="1"/>
  <c r="B1271" i="47"/>
  <c r="E1271" i="47" s="1"/>
  <c r="Q1255" i="47"/>
  <c r="Q1257" i="47" s="1"/>
  <c r="Q1258" i="47" s="1"/>
  <c r="E350" i="1" s="1"/>
  <c r="G598" i="47"/>
  <c r="E176" i="1" s="1"/>
  <c r="R1301" i="47"/>
  <c r="D1353" i="47"/>
  <c r="R1299" i="47"/>
  <c r="R1294" i="47"/>
  <c r="R772" i="47"/>
  <c r="R769" i="47"/>
  <c r="R765" i="47"/>
  <c r="Q440" i="47"/>
  <c r="R440" i="47" s="1"/>
  <c r="E145" i="1" s="1"/>
  <c r="R1295" i="47"/>
  <c r="B1275" i="47"/>
  <c r="E1275" i="47" s="1"/>
  <c r="B714" i="47"/>
  <c r="I714" i="47" s="1"/>
  <c r="F234" i="47"/>
  <c r="G234" i="47" s="1"/>
  <c r="G256" i="47" s="1"/>
  <c r="E84" i="1" s="1"/>
  <c r="R771" i="47"/>
  <c r="R780" i="47"/>
  <c r="E687" i="47"/>
  <c r="P309" i="47"/>
  <c r="P310" i="47" s="1"/>
  <c r="E102" i="1" s="1"/>
  <c r="G288" i="47"/>
  <c r="R1296" i="47"/>
  <c r="D1352" i="47"/>
  <c r="R1291" i="47"/>
  <c r="R1302" i="47"/>
  <c r="R1310" i="47"/>
  <c r="B363" i="47"/>
  <c r="B337" i="47"/>
  <c r="B391" i="47"/>
  <c r="E391" i="47" s="1"/>
  <c r="E336" i="47"/>
  <c r="P649" i="47"/>
  <c r="P650" i="47" s="1"/>
  <c r="E194" i="1" s="1"/>
  <c r="D1344" i="47"/>
  <c r="R761" i="47"/>
  <c r="R773" i="47"/>
  <c r="R762" i="47"/>
  <c r="E686" i="47"/>
  <c r="D870" i="47"/>
  <c r="E241" i="1" s="1"/>
  <c r="D555" i="47"/>
  <c r="E1220" i="47"/>
  <c r="B713" i="47"/>
  <c r="H713" i="47" s="1"/>
  <c r="E1229" i="47"/>
  <c r="E347" i="1" s="1"/>
  <c r="R507" i="47"/>
  <c r="B1239" i="47"/>
  <c r="K1239" i="47" s="1"/>
  <c r="B1267" i="47"/>
  <c r="E1267" i="47" s="1"/>
  <c r="B1241" i="47"/>
  <c r="H1241" i="47" s="1"/>
  <c r="B1269" i="47"/>
  <c r="E1269" i="47" s="1"/>
  <c r="E1286" i="47"/>
  <c r="E351" i="1" s="1"/>
  <c r="D605" i="47"/>
  <c r="E177" i="1" s="1"/>
  <c r="E1209" i="47"/>
  <c r="B1236" i="47"/>
  <c r="R764" i="47"/>
  <c r="R496" i="47"/>
  <c r="R768" i="47"/>
  <c r="E1213" i="47"/>
  <c r="B1240" i="47"/>
  <c r="E1211" i="47"/>
  <c r="B1238" i="47"/>
  <c r="F1257" i="47"/>
  <c r="F1258" i="47" s="1"/>
  <c r="E349" i="1" s="1"/>
  <c r="R767" i="47"/>
  <c r="E1208" i="47"/>
  <c r="B1235" i="47"/>
  <c r="E1210" i="47"/>
  <c r="B1237" i="47"/>
  <c r="D1356" i="47"/>
  <c r="D1362" i="47"/>
  <c r="D558" i="47"/>
  <c r="E1212" i="47"/>
  <c r="E1214" i="47"/>
  <c r="D1432" i="47"/>
  <c r="D1427" i="47"/>
  <c r="E741" i="47"/>
  <c r="F73" i="47"/>
  <c r="G73" i="47" s="1"/>
  <c r="B705" i="47"/>
  <c r="K705" i="47" s="1"/>
  <c r="B733" i="47"/>
  <c r="E733" i="47" s="1"/>
  <c r="B710" i="47"/>
  <c r="M710" i="47" s="1"/>
  <c r="B738" i="47"/>
  <c r="E738" i="47" s="1"/>
  <c r="E150" i="47"/>
  <c r="E746" i="47"/>
  <c r="B712" i="47"/>
  <c r="H712" i="47" s="1"/>
  <c r="B740" i="47"/>
  <c r="E740" i="47" s="1"/>
  <c r="B706" i="47"/>
  <c r="H706" i="47" s="1"/>
  <c r="B734" i="47"/>
  <c r="E734" i="47" s="1"/>
  <c r="E742" i="47"/>
  <c r="E682" i="47"/>
  <c r="B709" i="47"/>
  <c r="E680" i="47"/>
  <c r="B707" i="47"/>
  <c r="D668" i="47"/>
  <c r="D1431" i="47"/>
  <c r="D559" i="47"/>
  <c r="R503" i="47"/>
  <c r="D130" i="47"/>
  <c r="E62" i="1" s="1"/>
  <c r="E681" i="47"/>
  <c r="B708" i="47"/>
  <c r="E684" i="47"/>
  <c r="B711" i="47"/>
  <c r="D823" i="47"/>
  <c r="E685" i="47"/>
  <c r="E679" i="47"/>
  <c r="R1303" i="47"/>
  <c r="E678" i="47"/>
  <c r="E683" i="47"/>
  <c r="D1355" i="47"/>
  <c r="D560" i="47"/>
  <c r="E690" i="47"/>
  <c r="E745" i="47"/>
  <c r="D114" i="47"/>
  <c r="E56" i="1" s="1"/>
  <c r="F85" i="47"/>
  <c r="G85" i="47" s="1"/>
  <c r="G86" i="47" s="1"/>
  <c r="I86" i="47" s="1"/>
  <c r="M121" i="47"/>
  <c r="O121" i="47" s="1"/>
  <c r="E143" i="47"/>
  <c r="B170" i="47"/>
  <c r="B198" i="47" s="1"/>
  <c r="E198" i="47" s="1"/>
  <c r="E137" i="47"/>
  <c r="B164" i="47"/>
  <c r="B192" i="47" s="1"/>
  <c r="E192" i="47" s="1"/>
  <c r="E140" i="47"/>
  <c r="B167" i="47"/>
  <c r="B195" i="47" s="1"/>
  <c r="E195" i="47" s="1"/>
  <c r="E138" i="47"/>
  <c r="B165" i="47"/>
  <c r="B193" i="47" s="1"/>
  <c r="E193" i="47" s="1"/>
  <c r="E141" i="47"/>
  <c r="B168" i="47"/>
  <c r="B196" i="47" s="1"/>
  <c r="E196" i="47" s="1"/>
  <c r="E139" i="47"/>
  <c r="B194" i="47"/>
  <c r="E194" i="47" s="1"/>
  <c r="E136" i="47"/>
  <c r="B163" i="47"/>
  <c r="B191" i="47" s="1"/>
  <c r="E191" i="47" s="1"/>
  <c r="E142" i="47"/>
  <c r="B169" i="47"/>
  <c r="B197" i="47" s="1"/>
  <c r="E197" i="47" s="1"/>
  <c r="M120" i="47"/>
  <c r="P120" i="47" s="1"/>
  <c r="B717" i="47"/>
  <c r="M717" i="47" s="1"/>
  <c r="D561" i="47"/>
  <c r="P1518" i="47"/>
  <c r="P1519" i="47" s="1"/>
  <c r="G863" i="47"/>
  <c r="E240" i="1" s="1"/>
  <c r="G96" i="47"/>
  <c r="D924" i="47"/>
  <c r="E255" i="1" s="1"/>
  <c r="E1221" i="47"/>
  <c r="E1216" i="47"/>
  <c r="B1276" i="47"/>
  <c r="E1276" i="47" s="1"/>
  <c r="D548" i="47"/>
  <c r="R505" i="47"/>
  <c r="D549" i="47"/>
  <c r="D530" i="47"/>
  <c r="R760" i="47"/>
  <c r="R770" i="47"/>
  <c r="R774" i="47"/>
  <c r="B718" i="47"/>
  <c r="K718" i="47" s="1"/>
  <c r="E691" i="47"/>
  <c r="B162" i="47"/>
  <c r="K162" i="47" s="1"/>
  <c r="L516" i="47"/>
  <c r="L517" i="47" s="1"/>
  <c r="E159" i="1" s="1"/>
  <c r="D832" i="47"/>
  <c r="D556" i="47"/>
  <c r="D553" i="47"/>
  <c r="R500" i="47"/>
  <c r="D526" i="47"/>
  <c r="D1423" i="47"/>
  <c r="D551" i="47"/>
  <c r="D815" i="47"/>
  <c r="D550" i="47"/>
  <c r="R498" i="47"/>
  <c r="E466" i="47"/>
  <c r="D547" i="47"/>
  <c r="D659" i="47"/>
  <c r="E191" i="1" s="1"/>
  <c r="H288" i="47"/>
  <c r="F273" i="47"/>
  <c r="F275" i="47" s="1"/>
  <c r="E89" i="1" s="1"/>
  <c r="D265" i="47"/>
  <c r="E85" i="1" s="1"/>
  <c r="E808" i="47"/>
  <c r="E1803" i="47" s="1"/>
  <c r="D466" i="47"/>
  <c r="E139" i="1" s="1"/>
  <c r="R506" i="47"/>
  <c r="D1419" i="47"/>
  <c r="D1347" i="47"/>
  <c r="E1338" i="47"/>
  <c r="E1811" i="47" s="1"/>
  <c r="D534" i="47"/>
  <c r="R502" i="47"/>
  <c r="D522" i="47"/>
  <c r="D554" i="47"/>
  <c r="E543" i="47"/>
  <c r="R497" i="47"/>
  <c r="Q439" i="47"/>
  <c r="R439" i="47" s="1"/>
  <c r="E146" i="1" s="1"/>
  <c r="H516" i="47"/>
  <c r="H517" i="47" s="1"/>
  <c r="E158" i="1" s="1"/>
  <c r="K516" i="47"/>
  <c r="K517" i="47" s="1"/>
  <c r="E161" i="1" s="1"/>
  <c r="D281" i="47"/>
  <c r="E91" i="1" s="1"/>
  <c r="D122" i="47"/>
  <c r="G68" i="47"/>
  <c r="G71" i="47" s="1"/>
  <c r="G78" i="47"/>
  <c r="G81" i="47" s="1"/>
  <c r="G75" i="47"/>
  <c r="G1470" i="47"/>
  <c r="P119" i="47"/>
  <c r="O119" i="47"/>
  <c r="B1272" i="47"/>
  <c r="E1272" i="47" s="1"/>
  <c r="B1244" i="47"/>
  <c r="E1217" i="47"/>
  <c r="E1219" i="47"/>
  <c r="B1274" i="47"/>
  <c r="E1274" i="47" s="1"/>
  <c r="B1246" i="47"/>
  <c r="D1506" i="47"/>
  <c r="E367" i="1" s="1"/>
  <c r="E1415" i="47"/>
  <c r="D1338" i="47"/>
  <c r="E353" i="1" s="1"/>
  <c r="B1273" i="47"/>
  <c r="E1273" i="47" s="1"/>
  <c r="B1245" i="47"/>
  <c r="E1218" i="47"/>
  <c r="K1247" i="47"/>
  <c r="J1247" i="47"/>
  <c r="N1247" i="47"/>
  <c r="I1247" i="47"/>
  <c r="M1247" i="47"/>
  <c r="H1247" i="47"/>
  <c r="B744" i="47"/>
  <c r="E744" i="47" s="1"/>
  <c r="B716" i="47"/>
  <c r="E689" i="47"/>
  <c r="C1400" i="47"/>
  <c r="D1400" i="47" s="1"/>
  <c r="D528" i="47"/>
  <c r="D525" i="47"/>
  <c r="C1408" i="47"/>
  <c r="D1408" i="47" s="1"/>
  <c r="D536" i="47"/>
  <c r="C1395" i="47"/>
  <c r="D1395" i="47" s="1"/>
  <c r="D523" i="47"/>
  <c r="E389" i="47"/>
  <c r="R515" i="47"/>
  <c r="B173" i="47"/>
  <c r="B201" i="47" s="1"/>
  <c r="E146" i="47"/>
  <c r="E147" i="47"/>
  <c r="B174" i="47"/>
  <c r="B202" i="47" s="1"/>
  <c r="O361" i="47"/>
  <c r="Q361" i="47" s="1"/>
  <c r="K1248" i="47"/>
  <c r="J1248" i="47"/>
  <c r="N1248" i="47"/>
  <c r="I1248" i="47"/>
  <c r="M1248" i="47"/>
  <c r="H1248" i="47"/>
  <c r="J703" i="47"/>
  <c r="N703" i="47"/>
  <c r="I703" i="47"/>
  <c r="M703" i="47"/>
  <c r="H703" i="47"/>
  <c r="K703" i="47"/>
  <c r="B743" i="47"/>
  <c r="E743" i="47" s="1"/>
  <c r="E688" i="47"/>
  <c r="B715" i="47"/>
  <c r="R508" i="47"/>
  <c r="B171" i="47"/>
  <c r="E144" i="47"/>
  <c r="E151" i="47"/>
  <c r="B178" i="47"/>
  <c r="N177" i="47"/>
  <c r="I177" i="47"/>
  <c r="B205" i="47"/>
  <c r="E205" i="47" s="1"/>
  <c r="K177" i="47"/>
  <c r="J177" i="47"/>
  <c r="M177" i="47"/>
  <c r="H177" i="47"/>
  <c r="B748" i="47"/>
  <c r="E748" i="47" s="1"/>
  <c r="B720" i="47"/>
  <c r="E693" i="47"/>
  <c r="B732" i="47"/>
  <c r="B704" i="47"/>
  <c r="E677" i="47"/>
  <c r="J516" i="47"/>
  <c r="J517" i="47" s="1"/>
  <c r="E160" i="1" s="1"/>
  <c r="I516" i="47"/>
  <c r="I517" i="47" s="1"/>
  <c r="B362" i="47"/>
  <c r="B390" i="47"/>
  <c r="E390" i="47" s="1"/>
  <c r="E335" i="47"/>
  <c r="B175" i="47"/>
  <c r="E148" i="47"/>
  <c r="B172" i="47"/>
  <c r="E145" i="47"/>
  <c r="D808" i="47"/>
  <c r="E223" i="1" s="1"/>
  <c r="K1233" i="47"/>
  <c r="J1233" i="47"/>
  <c r="N1233" i="47"/>
  <c r="I1233" i="47"/>
  <c r="H1233" i="47"/>
  <c r="M1233" i="47"/>
  <c r="K1243" i="47"/>
  <c r="J1243" i="47"/>
  <c r="N1243" i="47"/>
  <c r="I1243" i="47"/>
  <c r="M1243" i="47"/>
  <c r="H1243" i="47"/>
  <c r="B1277" i="47"/>
  <c r="E1277" i="47" s="1"/>
  <c r="B1249" i="47"/>
  <c r="E1222" i="47"/>
  <c r="B1262" i="47"/>
  <c r="E1262" i="47" s="1"/>
  <c r="E1207" i="47"/>
  <c r="B1234" i="47"/>
  <c r="B747" i="47"/>
  <c r="E747" i="47" s="1"/>
  <c r="E692" i="47"/>
  <c r="B719" i="47"/>
  <c r="D567" i="47"/>
  <c r="D529" i="47"/>
  <c r="R499" i="47"/>
  <c r="D491" i="47"/>
  <c r="E147" i="1" s="1"/>
  <c r="D552" i="47"/>
  <c r="R495" i="47"/>
  <c r="C1404" i="47"/>
  <c r="D1404" i="47" s="1"/>
  <c r="D532" i="47"/>
  <c r="R501" i="47"/>
  <c r="R504" i="47"/>
  <c r="N161" i="47"/>
  <c r="I161" i="47"/>
  <c r="B189" i="47"/>
  <c r="E189" i="47" s="1"/>
  <c r="K161" i="47"/>
  <c r="J161" i="47"/>
  <c r="M161" i="47"/>
  <c r="H161" i="47"/>
  <c r="E149" i="47"/>
  <c r="B176" i="47"/>
  <c r="B183" i="47" l="1"/>
  <c r="D123" i="47"/>
  <c r="E58" i="1" s="1"/>
  <c r="B184" i="47"/>
  <c r="E171" i="1"/>
  <c r="E170" i="1"/>
  <c r="H1852" i="47"/>
  <c r="E111" i="1" s="1"/>
  <c r="I1046" i="47"/>
  <c r="I1047" i="47" s="1"/>
  <c r="E289" i="1" s="1"/>
  <c r="G1807" i="47"/>
  <c r="H714" i="47"/>
  <c r="D1098" i="47"/>
  <c r="E295" i="1" s="1"/>
  <c r="R1645" i="47"/>
  <c r="E409" i="1" s="1"/>
  <c r="R1644" i="47"/>
  <c r="E408" i="1" s="1"/>
  <c r="D1696" i="47"/>
  <c r="E410" i="1" s="1"/>
  <c r="D1073" i="47"/>
  <c r="E286" i="1" s="1"/>
  <c r="E1021" i="47"/>
  <c r="E284" i="1" s="1"/>
  <c r="E732" i="47"/>
  <c r="E749" i="47" s="1"/>
  <c r="E215" i="1" s="1"/>
  <c r="E195" i="1"/>
  <c r="E998" i="47"/>
  <c r="E1014" i="47" s="1"/>
  <c r="E278" i="1" s="1"/>
  <c r="Q1389" i="47"/>
  <c r="R1389" i="47" s="1"/>
  <c r="Q1312" i="47"/>
  <c r="R1312" i="47" s="1"/>
  <c r="E360" i="1" s="1"/>
  <c r="G1800" i="47"/>
  <c r="E156" i="47"/>
  <c r="E157" i="47" s="1"/>
  <c r="E75" i="1" s="1"/>
  <c r="B212" i="47"/>
  <c r="E212" i="47" s="1"/>
  <c r="M183" i="47"/>
  <c r="N183" i="47"/>
  <c r="F183" i="47"/>
  <c r="J714" i="47"/>
  <c r="M714" i="47"/>
  <c r="K714" i="47"/>
  <c r="G76" i="47"/>
  <c r="I76" i="47" s="1"/>
  <c r="M1239" i="47"/>
  <c r="Q782" i="47"/>
  <c r="R782" i="47" s="1"/>
  <c r="E229" i="1" s="1"/>
  <c r="Q1311" i="47"/>
  <c r="R1311" i="47" s="1"/>
  <c r="E359" i="1" s="1"/>
  <c r="P121" i="47"/>
  <c r="R122" i="47" s="1"/>
  <c r="E61" i="1" s="1"/>
  <c r="N714" i="47"/>
  <c r="Q517" i="47"/>
  <c r="R517" i="47" s="1"/>
  <c r="E162" i="1" s="1"/>
  <c r="Q1388" i="47"/>
  <c r="R1388" i="47" s="1"/>
  <c r="H705" i="47"/>
  <c r="I713" i="47"/>
  <c r="N713" i="47"/>
  <c r="J713" i="47"/>
  <c r="K713" i="47"/>
  <c r="M713" i="47"/>
  <c r="Q781" i="47"/>
  <c r="R781" i="47" s="1"/>
  <c r="E230" i="1" s="1"/>
  <c r="N1241" i="47"/>
  <c r="M1241" i="47"/>
  <c r="J1239" i="47"/>
  <c r="I1239" i="47"/>
  <c r="B338" i="47"/>
  <c r="B364" i="47"/>
  <c r="B392" i="47"/>
  <c r="E392" i="47" s="1"/>
  <c r="E337" i="47"/>
  <c r="H363" i="47"/>
  <c r="M363" i="47"/>
  <c r="K363" i="47"/>
  <c r="I363" i="47"/>
  <c r="J363" i="47"/>
  <c r="N363" i="47"/>
  <c r="N712" i="47"/>
  <c r="J710" i="47"/>
  <c r="M705" i="47"/>
  <c r="K1241" i="47"/>
  <c r="N1239" i="47"/>
  <c r="H1239" i="47"/>
  <c r="I705" i="47"/>
  <c r="I1241" i="47"/>
  <c r="N705" i="47"/>
  <c r="J1241" i="47"/>
  <c r="M712" i="47"/>
  <c r="M1235" i="47"/>
  <c r="H1235" i="47"/>
  <c r="I1235" i="47"/>
  <c r="K1235" i="47"/>
  <c r="N1235" i="47"/>
  <c r="J1235" i="47"/>
  <c r="M1238" i="47"/>
  <c r="H1238" i="47"/>
  <c r="K1238" i="47"/>
  <c r="J1238" i="47"/>
  <c r="N1238" i="47"/>
  <c r="I1238" i="47"/>
  <c r="M1236" i="47"/>
  <c r="H1236" i="47"/>
  <c r="N1236" i="47"/>
  <c r="K1236" i="47"/>
  <c r="I1236" i="47"/>
  <c r="J1236" i="47"/>
  <c r="K706" i="47"/>
  <c r="M1237" i="47"/>
  <c r="H1237" i="47"/>
  <c r="N1237" i="47"/>
  <c r="I1237" i="47"/>
  <c r="K1237" i="47"/>
  <c r="J1237" i="47"/>
  <c r="M1240" i="47"/>
  <c r="H1240" i="47"/>
  <c r="K1240" i="47"/>
  <c r="N1240" i="47"/>
  <c r="I1240" i="47"/>
  <c r="J1240" i="47"/>
  <c r="I706" i="47"/>
  <c r="K710" i="47"/>
  <c r="J706" i="47"/>
  <c r="I710" i="47"/>
  <c r="H710" i="47"/>
  <c r="D833" i="47"/>
  <c r="E231" i="1" s="1"/>
  <c r="M706" i="47"/>
  <c r="N710" i="47"/>
  <c r="O710" i="47" s="1"/>
  <c r="Q710" i="47" s="1"/>
  <c r="E294" i="1" s="1"/>
  <c r="N706" i="47"/>
  <c r="K712" i="47"/>
  <c r="J705" i="47"/>
  <c r="I712" i="47"/>
  <c r="J712" i="47"/>
  <c r="M708" i="47"/>
  <c r="H708" i="47"/>
  <c r="K708" i="47"/>
  <c r="J708" i="47"/>
  <c r="N708" i="47"/>
  <c r="I708" i="47"/>
  <c r="M709" i="47"/>
  <c r="H709" i="47"/>
  <c r="K709" i="47"/>
  <c r="N709" i="47"/>
  <c r="I709" i="47"/>
  <c r="J709" i="47"/>
  <c r="M711" i="47"/>
  <c r="H711" i="47"/>
  <c r="N711" i="47"/>
  <c r="K711" i="47"/>
  <c r="J711" i="47"/>
  <c r="I711" i="47"/>
  <c r="M707" i="47"/>
  <c r="H707" i="47"/>
  <c r="J707" i="47"/>
  <c r="K707" i="47"/>
  <c r="I707" i="47"/>
  <c r="N707" i="47"/>
  <c r="D1363" i="47"/>
  <c r="E361" i="1" s="1"/>
  <c r="M162" i="47"/>
  <c r="J86" i="47"/>
  <c r="H86" i="47"/>
  <c r="B190" i="47"/>
  <c r="E190" i="47" s="1"/>
  <c r="I162" i="47"/>
  <c r="H162" i="47"/>
  <c r="O120" i="47"/>
  <c r="M166" i="47"/>
  <c r="H166" i="47"/>
  <c r="J166" i="47"/>
  <c r="K166" i="47"/>
  <c r="N166" i="47"/>
  <c r="I166" i="47"/>
  <c r="M164" i="47"/>
  <c r="H164" i="47"/>
  <c r="K164" i="47"/>
  <c r="J164" i="47"/>
  <c r="N164" i="47"/>
  <c r="I164" i="47"/>
  <c r="N717" i="47"/>
  <c r="O717" i="47" s="1"/>
  <c r="Q717" i="47" s="1"/>
  <c r="J717" i="47"/>
  <c r="K717" i="47"/>
  <c r="M163" i="47"/>
  <c r="H163" i="47"/>
  <c r="N163" i="47"/>
  <c r="K163" i="47"/>
  <c r="J163" i="47"/>
  <c r="I163" i="47"/>
  <c r="M168" i="47"/>
  <c r="H168" i="47"/>
  <c r="I168" i="47"/>
  <c r="K168" i="47"/>
  <c r="J168" i="47"/>
  <c r="N168" i="47"/>
  <c r="M167" i="47"/>
  <c r="H167" i="47"/>
  <c r="N167" i="47"/>
  <c r="I167" i="47"/>
  <c r="K167" i="47"/>
  <c r="J167" i="47"/>
  <c r="M170" i="47"/>
  <c r="H170" i="47"/>
  <c r="N170" i="47"/>
  <c r="K170" i="47"/>
  <c r="J170" i="47"/>
  <c r="I170" i="47"/>
  <c r="H717" i="47"/>
  <c r="M169" i="47"/>
  <c r="H169" i="47"/>
  <c r="J169" i="47"/>
  <c r="K169" i="47"/>
  <c r="N169" i="47"/>
  <c r="I169" i="47"/>
  <c r="M165" i="47"/>
  <c r="H165" i="47"/>
  <c r="N165" i="47"/>
  <c r="K165" i="47"/>
  <c r="J165" i="47"/>
  <c r="I165" i="47"/>
  <c r="I717" i="47"/>
  <c r="I718" i="47"/>
  <c r="H718" i="47"/>
  <c r="J718" i="47"/>
  <c r="M718" i="47"/>
  <c r="N718" i="47"/>
  <c r="I96" i="47"/>
  <c r="H96" i="47"/>
  <c r="J96" i="47"/>
  <c r="D1440" i="47"/>
  <c r="G1803" i="47"/>
  <c r="F1803" i="47"/>
  <c r="F1805" i="47" s="1"/>
  <c r="E233" i="1" s="1"/>
  <c r="J162" i="47"/>
  <c r="N162" i="47"/>
  <c r="E1279" i="47"/>
  <c r="E345" i="1" s="1"/>
  <c r="O1247" i="47"/>
  <c r="Q1247" i="47" s="1"/>
  <c r="D568" i="47"/>
  <c r="E164" i="1" s="1"/>
  <c r="G1811" i="47"/>
  <c r="O703" i="47"/>
  <c r="Q703" i="47" s="1"/>
  <c r="D1415" i="47"/>
  <c r="Q516" i="47"/>
  <c r="R516" i="47" s="1"/>
  <c r="E163" i="1" s="1"/>
  <c r="D543" i="47"/>
  <c r="E156" i="1" s="1"/>
  <c r="E694" i="47"/>
  <c r="H81" i="47"/>
  <c r="J81" i="47"/>
  <c r="I81" i="47"/>
  <c r="H71" i="47"/>
  <c r="I71" i="47"/>
  <c r="J71" i="47"/>
  <c r="E1224" i="47"/>
  <c r="E337" i="1" s="1"/>
  <c r="O1233" i="47"/>
  <c r="Q1233" i="47" s="1"/>
  <c r="E152" i="47"/>
  <c r="E64" i="1" s="1"/>
  <c r="O161" i="47"/>
  <c r="Q161" i="47" s="1"/>
  <c r="O177" i="47"/>
  <c r="Q177" i="47" s="1"/>
  <c r="N178" i="47"/>
  <c r="I178" i="47"/>
  <c r="B206" i="47"/>
  <c r="E206" i="47" s="1"/>
  <c r="K178" i="47"/>
  <c r="J178" i="47"/>
  <c r="M178" i="47"/>
  <c r="H178" i="47"/>
  <c r="N174" i="47"/>
  <c r="I174" i="47"/>
  <c r="E202" i="47"/>
  <c r="K174" i="47"/>
  <c r="J174" i="47"/>
  <c r="M174" i="47"/>
  <c r="H174" i="47"/>
  <c r="N173" i="47"/>
  <c r="I173" i="47"/>
  <c r="E201" i="47"/>
  <c r="K173" i="47"/>
  <c r="J173" i="47"/>
  <c r="M173" i="47"/>
  <c r="H173" i="47"/>
  <c r="K716" i="47"/>
  <c r="I716" i="47"/>
  <c r="N716" i="47"/>
  <c r="H716" i="47"/>
  <c r="M716" i="47"/>
  <c r="J716" i="47"/>
  <c r="K1245" i="47"/>
  <c r="J1245" i="47"/>
  <c r="N1245" i="47"/>
  <c r="I1245" i="47"/>
  <c r="H1245" i="47"/>
  <c r="M1245" i="47"/>
  <c r="K1246" i="47"/>
  <c r="J1246" i="47"/>
  <c r="N1246" i="47"/>
  <c r="I1246" i="47"/>
  <c r="M1246" i="47"/>
  <c r="H1246" i="47"/>
  <c r="E1814" i="47"/>
  <c r="F1811" i="47"/>
  <c r="F1814" i="47" s="1"/>
  <c r="E363" i="1" s="1"/>
  <c r="B1811" i="47"/>
  <c r="C1811" i="47" s="1"/>
  <c r="N176" i="47"/>
  <c r="I176" i="47"/>
  <c r="K176" i="47"/>
  <c r="B204" i="47"/>
  <c r="E204" i="47" s="1"/>
  <c r="J176" i="47"/>
  <c r="M176" i="47"/>
  <c r="H176" i="47"/>
  <c r="K719" i="47"/>
  <c r="J719" i="47"/>
  <c r="I719" i="47"/>
  <c r="N719" i="47"/>
  <c r="H719" i="47"/>
  <c r="M719" i="47"/>
  <c r="N172" i="47"/>
  <c r="I172" i="47"/>
  <c r="K172" i="47"/>
  <c r="B200" i="47"/>
  <c r="E200" i="47" s="1"/>
  <c r="J172" i="47"/>
  <c r="M172" i="47"/>
  <c r="H172" i="47"/>
  <c r="J720" i="47"/>
  <c r="M720" i="47"/>
  <c r="K720" i="47"/>
  <c r="I720" i="47"/>
  <c r="H720" i="47"/>
  <c r="N720" i="47"/>
  <c r="K715" i="47"/>
  <c r="J715" i="47"/>
  <c r="I715" i="47"/>
  <c r="N715" i="47"/>
  <c r="H715" i="47"/>
  <c r="M715" i="47"/>
  <c r="K1244" i="47"/>
  <c r="J1244" i="47"/>
  <c r="N1244" i="47"/>
  <c r="I1244" i="47"/>
  <c r="M1244" i="47"/>
  <c r="H1244" i="47"/>
  <c r="K1234" i="47"/>
  <c r="J1234" i="47"/>
  <c r="N1234" i="47"/>
  <c r="I1234" i="47"/>
  <c r="M1234" i="47"/>
  <c r="H1234" i="47"/>
  <c r="K1249" i="47"/>
  <c r="J1249" i="47"/>
  <c r="N1249" i="47"/>
  <c r="I1249" i="47"/>
  <c r="H1249" i="47"/>
  <c r="M1249" i="47"/>
  <c r="J704" i="47"/>
  <c r="N704" i="47"/>
  <c r="I704" i="47"/>
  <c r="M704" i="47"/>
  <c r="H704" i="47"/>
  <c r="K704" i="47"/>
  <c r="B725" i="47"/>
  <c r="O1243" i="47"/>
  <c r="Q1243" i="47" s="1"/>
  <c r="B203" i="47"/>
  <c r="E203" i="47" s="1"/>
  <c r="N175" i="47"/>
  <c r="I175" i="47"/>
  <c r="K175" i="47"/>
  <c r="J175" i="47"/>
  <c r="M175" i="47"/>
  <c r="H175" i="47"/>
  <c r="J362" i="47"/>
  <c r="N362" i="47"/>
  <c r="I362" i="47"/>
  <c r="M362" i="47"/>
  <c r="H362" i="47"/>
  <c r="K362" i="47"/>
  <c r="B199" i="47"/>
  <c r="E199" i="47" s="1"/>
  <c r="N171" i="47"/>
  <c r="I171" i="47"/>
  <c r="K171" i="47"/>
  <c r="J171" i="47"/>
  <c r="M171" i="47"/>
  <c r="H171" i="47"/>
  <c r="O1248" i="47"/>
  <c r="Q1248" i="47" s="1"/>
  <c r="O1239" i="47" l="1"/>
  <c r="Q1239" i="47" s="1"/>
  <c r="I97" i="47"/>
  <c r="Q123" i="47"/>
  <c r="R123" i="47" s="1"/>
  <c r="E60" i="1" s="1"/>
  <c r="E207" i="1"/>
  <c r="R1033" i="47"/>
  <c r="E1809" i="47"/>
  <c r="B1807" i="47"/>
  <c r="C1807" i="47" s="1"/>
  <c r="F1807" i="47"/>
  <c r="F1809" i="47" s="1"/>
  <c r="E300" i="1" s="1"/>
  <c r="O175" i="47"/>
  <c r="Q175" i="47" s="1"/>
  <c r="O171" i="47"/>
  <c r="Q171" i="47" s="1"/>
  <c r="O183" i="47"/>
  <c r="Q183" i="47" s="1"/>
  <c r="O714" i="47"/>
  <c r="Q714" i="47" s="1"/>
  <c r="N184" i="47"/>
  <c r="B213" i="47"/>
  <c r="E213" i="47" s="1"/>
  <c r="E214" i="47" s="1"/>
  <c r="E79" i="1" s="1"/>
  <c r="M184" i="47"/>
  <c r="F184" i="47"/>
  <c r="F185" i="47" s="1"/>
  <c r="F186" i="47" s="1"/>
  <c r="E77" i="1" s="1"/>
  <c r="J76" i="47"/>
  <c r="J97" i="47" s="1"/>
  <c r="H76" i="47"/>
  <c r="H97" i="47" s="1"/>
  <c r="O713" i="47"/>
  <c r="Q713" i="47" s="1"/>
  <c r="O1241" i="47"/>
  <c r="Q1241" i="47" s="1"/>
  <c r="O712" i="47"/>
  <c r="Q712" i="47" s="1"/>
  <c r="E365" i="1"/>
  <c r="E364" i="1"/>
  <c r="O363" i="47"/>
  <c r="Q363" i="47" s="1"/>
  <c r="H364" i="47"/>
  <c r="M364" i="47"/>
  <c r="N364" i="47"/>
  <c r="K364" i="47"/>
  <c r="J364" i="47"/>
  <c r="I364" i="47"/>
  <c r="B339" i="47"/>
  <c r="B393" i="47"/>
  <c r="E393" i="47" s="1"/>
  <c r="B365" i="47"/>
  <c r="E338" i="47"/>
  <c r="O705" i="47"/>
  <c r="Q705" i="47" s="1"/>
  <c r="O1240" i="47"/>
  <c r="Q1240" i="47" s="1"/>
  <c r="O1238" i="47"/>
  <c r="Q1238" i="47" s="1"/>
  <c r="E1805" i="47"/>
  <c r="E235" i="1" s="1"/>
  <c r="O1236" i="47"/>
  <c r="Q1236" i="47" s="1"/>
  <c r="O706" i="47"/>
  <c r="Q706" i="47" s="1"/>
  <c r="R1036" i="47" s="1"/>
  <c r="O1237" i="47"/>
  <c r="Q1237" i="47" s="1"/>
  <c r="O1235" i="47"/>
  <c r="Q1235" i="47" s="1"/>
  <c r="O162" i="47"/>
  <c r="Q162" i="47" s="1"/>
  <c r="F1800" i="47"/>
  <c r="E169" i="1" s="1"/>
  <c r="B1800" i="47"/>
  <c r="C1800" i="47" s="1"/>
  <c r="O707" i="47"/>
  <c r="Q707" i="47" s="1"/>
  <c r="R1037" i="47" s="1"/>
  <c r="O711" i="47"/>
  <c r="Q711" i="47" s="1"/>
  <c r="O708" i="47"/>
  <c r="Q708" i="47" s="1"/>
  <c r="R1038" i="47" s="1"/>
  <c r="O709" i="47"/>
  <c r="Q709" i="47" s="1"/>
  <c r="R1039" i="47" s="1"/>
  <c r="O165" i="47"/>
  <c r="Q165" i="47" s="1"/>
  <c r="O167" i="47"/>
  <c r="Q167" i="47" s="1"/>
  <c r="O163" i="47"/>
  <c r="Q163" i="47" s="1"/>
  <c r="O164" i="47"/>
  <c r="Q164" i="47" s="1"/>
  <c r="O718" i="47"/>
  <c r="Q718" i="47" s="1"/>
  <c r="O170" i="47"/>
  <c r="Q170" i="47" s="1"/>
  <c r="O168" i="47"/>
  <c r="Q168" i="47" s="1"/>
  <c r="O169" i="47"/>
  <c r="Q169" i="47" s="1"/>
  <c r="O166" i="47"/>
  <c r="Q166" i="47" s="1"/>
  <c r="O178" i="47"/>
  <c r="Q178" i="47" s="1"/>
  <c r="O1246" i="47"/>
  <c r="Q1246" i="47" s="1"/>
  <c r="O1244" i="47"/>
  <c r="Q1244" i="47" s="1"/>
  <c r="K179" i="47"/>
  <c r="K180" i="47" s="1"/>
  <c r="E68" i="1" s="1"/>
  <c r="B1803" i="47"/>
  <c r="C1803" i="47" s="1"/>
  <c r="K1251" i="47"/>
  <c r="K1252" i="47" s="1"/>
  <c r="E341" i="1" s="1"/>
  <c r="O704" i="47"/>
  <c r="Q704" i="47" s="1"/>
  <c r="R1034" i="47" s="1"/>
  <c r="I721" i="47"/>
  <c r="I722" i="47" s="1"/>
  <c r="O716" i="47"/>
  <c r="Q716" i="47" s="1"/>
  <c r="J179" i="47"/>
  <c r="J180" i="47" s="1"/>
  <c r="E69" i="1" s="1"/>
  <c r="E207" i="47"/>
  <c r="E72" i="1" s="1"/>
  <c r="H721" i="47"/>
  <c r="H722" i="47" s="1"/>
  <c r="H1251" i="47"/>
  <c r="H1252" i="47" s="1"/>
  <c r="E339" i="1" s="1"/>
  <c r="I1251" i="47"/>
  <c r="I1252" i="47" s="1"/>
  <c r="E340" i="1" s="1"/>
  <c r="J721" i="47"/>
  <c r="J722" i="47" s="1"/>
  <c r="O176" i="47"/>
  <c r="Q176" i="47" s="1"/>
  <c r="H179" i="47"/>
  <c r="H180" i="47" s="1"/>
  <c r="E66" i="1" s="1"/>
  <c r="I179" i="47"/>
  <c r="I180" i="47" s="1"/>
  <c r="E67" i="1" s="1"/>
  <c r="O715" i="47"/>
  <c r="Q715" i="47" s="1"/>
  <c r="O362" i="47"/>
  <c r="Q362" i="47" s="1"/>
  <c r="K721" i="47"/>
  <c r="K722" i="47" s="1"/>
  <c r="J1251" i="47"/>
  <c r="J1252" i="47" s="1"/>
  <c r="E342" i="1" s="1"/>
  <c r="O1249" i="47"/>
  <c r="Q1249" i="47" s="1"/>
  <c r="O174" i="47"/>
  <c r="Q174" i="47" s="1"/>
  <c r="O1234" i="47"/>
  <c r="Q1234" i="47" s="1"/>
  <c r="O172" i="47"/>
  <c r="Q172" i="47" s="1"/>
  <c r="O719" i="47"/>
  <c r="Q719" i="47" s="1"/>
  <c r="O173" i="47"/>
  <c r="Q173" i="47" s="1"/>
  <c r="O720" i="47"/>
  <c r="Q720" i="47" s="1"/>
  <c r="F725" i="47"/>
  <c r="N725" i="47"/>
  <c r="B754" i="47"/>
  <c r="E754" i="47" s="1"/>
  <c r="M725" i="47"/>
  <c r="B726" i="47"/>
  <c r="E699" i="47"/>
  <c r="O1245" i="47"/>
  <c r="Q1245" i="47" s="1"/>
  <c r="E52" i="1" l="1"/>
  <c r="R1585" i="47"/>
  <c r="E392" i="1" s="1"/>
  <c r="R1035" i="47"/>
  <c r="R986" i="47"/>
  <c r="E277" i="1" s="1"/>
  <c r="E302" i="1"/>
  <c r="E301" i="1"/>
  <c r="R987" i="47"/>
  <c r="E276" i="1" s="1"/>
  <c r="E217" i="1"/>
  <c r="J1029" i="47"/>
  <c r="O184" i="47"/>
  <c r="Q184" i="47" s="1"/>
  <c r="Q185" i="47" s="1"/>
  <c r="Q186" i="47" s="1"/>
  <c r="E78" i="1" s="1"/>
  <c r="E212" i="1"/>
  <c r="E211" i="1"/>
  <c r="E209" i="1"/>
  <c r="E210" i="1"/>
  <c r="O364" i="47"/>
  <c r="Q364" i="47" s="1"/>
  <c r="B340" i="47"/>
  <c r="B394" i="47"/>
  <c r="E394" i="47" s="1"/>
  <c r="B366" i="47"/>
  <c r="E339" i="47"/>
  <c r="N365" i="47"/>
  <c r="K365" i="47"/>
  <c r="J365" i="47"/>
  <c r="H365" i="47"/>
  <c r="M365" i="47"/>
  <c r="I365" i="47"/>
  <c r="E234" i="1"/>
  <c r="E51" i="1"/>
  <c r="Q180" i="47"/>
  <c r="R180" i="47" s="1"/>
  <c r="E70" i="1" s="1"/>
  <c r="Q1252" i="47"/>
  <c r="R1252" i="47" s="1"/>
  <c r="E343" i="1" s="1"/>
  <c r="B755" i="47"/>
  <c r="E755" i="47" s="1"/>
  <c r="E756" i="47" s="1"/>
  <c r="M726" i="47"/>
  <c r="N726" i="47"/>
  <c r="F726" i="47"/>
  <c r="F727" i="47" s="1"/>
  <c r="F728" i="47" s="1"/>
  <c r="O725" i="47"/>
  <c r="Q725" i="47" s="1"/>
  <c r="Q722" i="47" s="1"/>
  <c r="R722" i="47" s="1"/>
  <c r="J1046" i="47" l="1"/>
  <c r="J1047" i="47" s="1"/>
  <c r="E291" i="1" s="1"/>
  <c r="Q1047" i="47"/>
  <c r="R1047" i="47" s="1"/>
  <c r="E293" i="1" s="1"/>
  <c r="O365" i="47"/>
  <c r="Q365" i="47" s="1"/>
  <c r="E219" i="1"/>
  <c r="E221" i="1"/>
  <c r="E213" i="1"/>
  <c r="K366" i="47"/>
  <c r="I366" i="47"/>
  <c r="N366" i="47"/>
  <c r="J366" i="47"/>
  <c r="M366" i="47"/>
  <c r="H366" i="47"/>
  <c r="B341" i="47"/>
  <c r="B367" i="47"/>
  <c r="B395" i="47"/>
  <c r="E395" i="47" s="1"/>
  <c r="E340" i="47"/>
  <c r="O726" i="47"/>
  <c r="Q726" i="47" s="1"/>
  <c r="Q727" i="47" s="1"/>
  <c r="Q728" i="47" s="1"/>
  <c r="E220" i="1" l="1"/>
  <c r="N367" i="47"/>
  <c r="I367" i="47"/>
  <c r="J367" i="47"/>
  <c r="H367" i="47"/>
  <c r="K367" i="47"/>
  <c r="M367" i="47"/>
  <c r="B342" i="47"/>
  <c r="B396" i="47"/>
  <c r="E396" i="47" s="1"/>
  <c r="E341" i="47"/>
  <c r="B368" i="47"/>
  <c r="O366" i="47"/>
  <c r="Q366" i="47" s="1"/>
  <c r="B343" i="47" l="1"/>
  <c r="B369" i="47"/>
  <c r="B397" i="47"/>
  <c r="E397" i="47" s="1"/>
  <c r="E342" i="47"/>
  <c r="M368" i="47"/>
  <c r="J368" i="47"/>
  <c r="N368" i="47"/>
  <c r="K368" i="47"/>
  <c r="H368" i="47"/>
  <c r="I368" i="47"/>
  <c r="O367" i="47"/>
  <c r="Q367" i="47" s="1"/>
  <c r="O368" i="47" l="1"/>
  <c r="Q368" i="47" s="1"/>
  <c r="M369" i="47"/>
  <c r="J369" i="47"/>
  <c r="H369" i="47"/>
  <c r="I369" i="47"/>
  <c r="N369" i="47"/>
  <c r="K369" i="47"/>
  <c r="B344" i="47"/>
  <c r="B398" i="47"/>
  <c r="E398" i="47" s="1"/>
  <c r="B370" i="47"/>
  <c r="E343" i="47"/>
  <c r="O369" i="47" l="1"/>
  <c r="Q369" i="47" s="1"/>
  <c r="B345" i="47"/>
  <c r="B371" i="47"/>
  <c r="B399" i="47"/>
  <c r="E399" i="47" s="1"/>
  <c r="E344" i="47"/>
  <c r="K370" i="47"/>
  <c r="N370" i="47"/>
  <c r="I370" i="47"/>
  <c r="H370" i="47"/>
  <c r="M370" i="47"/>
  <c r="J370" i="47"/>
  <c r="O370" i="47" l="1"/>
  <c r="Q370" i="47" s="1"/>
  <c r="J371" i="47"/>
  <c r="H371" i="47"/>
  <c r="I371" i="47"/>
  <c r="N371" i="47"/>
  <c r="K371" i="47"/>
  <c r="M371" i="47"/>
  <c r="B346" i="47"/>
  <c r="E345" i="47"/>
  <c r="B372" i="47"/>
  <c r="B400" i="47"/>
  <c r="E400" i="47" s="1"/>
  <c r="I372" i="47" l="1"/>
  <c r="K372" i="47"/>
  <c r="M372" i="47"/>
  <c r="J372" i="47"/>
  <c r="H372" i="47"/>
  <c r="N372" i="47"/>
  <c r="B347" i="47"/>
  <c r="B401" i="47"/>
  <c r="E401" i="47" s="1"/>
  <c r="B373" i="47"/>
  <c r="E346" i="47"/>
  <c r="O371" i="47"/>
  <c r="Q371" i="47" s="1"/>
  <c r="O372" i="47" l="1"/>
  <c r="Q372" i="47" s="1"/>
  <c r="B348" i="47"/>
  <c r="B402" i="47"/>
  <c r="E402" i="47" s="1"/>
  <c r="E347" i="47"/>
  <c r="B374" i="47"/>
  <c r="M373" i="47"/>
  <c r="J373" i="47"/>
  <c r="H373" i="47"/>
  <c r="K373" i="47"/>
  <c r="N373" i="47"/>
  <c r="I373" i="47"/>
  <c r="I374" i="47" l="1"/>
  <c r="M374" i="47"/>
  <c r="H374" i="47"/>
  <c r="N374" i="47"/>
  <c r="J374" i="47"/>
  <c r="K374" i="47"/>
  <c r="O373" i="47"/>
  <c r="Q373" i="47" s="1"/>
  <c r="B349" i="47"/>
  <c r="B375" i="47"/>
  <c r="E348" i="47"/>
  <c r="B403" i="47"/>
  <c r="E403" i="47" s="1"/>
  <c r="G30" i="36"/>
  <c r="G31" i="36"/>
  <c r="G32" i="36"/>
  <c r="O374" i="47" l="1"/>
  <c r="Q374" i="47" s="1"/>
  <c r="B350" i="47"/>
  <c r="B404" i="47"/>
  <c r="E404" i="47" s="1"/>
  <c r="E349" i="47"/>
  <c r="B376" i="47"/>
  <c r="I375" i="47"/>
  <c r="H375" i="47"/>
  <c r="M375" i="47"/>
  <c r="N375" i="47"/>
  <c r="J375" i="47"/>
  <c r="K375" i="47"/>
  <c r="K1264" i="1"/>
  <c r="J1264" i="1"/>
  <c r="I1264" i="1"/>
  <c r="I376" i="47" l="1"/>
  <c r="M376" i="47"/>
  <c r="N376" i="47"/>
  <c r="J376" i="47"/>
  <c r="H376" i="47"/>
  <c r="K376" i="47"/>
  <c r="O375" i="47"/>
  <c r="Q375" i="47" s="1"/>
  <c r="B351" i="47"/>
  <c r="B355" i="47" s="1"/>
  <c r="E350" i="47"/>
  <c r="B405" i="47"/>
  <c r="E405" i="47" s="1"/>
  <c r="B377" i="47"/>
  <c r="L1264" i="1"/>
  <c r="Q1071" i="1"/>
  <c r="Q1070" i="1"/>
  <c r="R1027" i="1"/>
  <c r="R1026" i="1"/>
  <c r="B356" i="47" l="1"/>
  <c r="B383" i="47"/>
  <c r="E355" i="47"/>
  <c r="O376" i="47"/>
  <c r="Q376" i="47" s="1"/>
  <c r="B406" i="47"/>
  <c r="E406" i="47" s="1"/>
  <c r="E407" i="47" s="1"/>
  <c r="E130" i="1" s="1"/>
  <c r="E351" i="47"/>
  <c r="E352" i="47" s="1"/>
  <c r="E122" i="1" s="1"/>
  <c r="B378" i="47"/>
  <c r="M377" i="47"/>
  <c r="J377" i="47"/>
  <c r="H377" i="47"/>
  <c r="N377" i="47"/>
  <c r="K377" i="47"/>
  <c r="I377" i="47"/>
  <c r="C346" i="27"/>
  <c r="G1057" i="1"/>
  <c r="H435" i="24"/>
  <c r="I435" i="24" s="1"/>
  <c r="P994" i="1"/>
  <c r="N383" i="47" l="1"/>
  <c r="B412" i="47"/>
  <c r="E412" i="47" s="1"/>
  <c r="F383" i="47"/>
  <c r="M383" i="47"/>
  <c r="B384" i="47"/>
  <c r="E356" i="47"/>
  <c r="E357" i="47" s="1"/>
  <c r="E133" i="1" s="1"/>
  <c r="O377" i="47"/>
  <c r="Q377" i="47" s="1"/>
  <c r="M378" i="47"/>
  <c r="J378" i="47"/>
  <c r="J379" i="47" s="1"/>
  <c r="J380" i="47" s="1"/>
  <c r="E127" i="1" s="1"/>
  <c r="H378" i="47"/>
  <c r="H379" i="47" s="1"/>
  <c r="H380" i="47" s="1"/>
  <c r="E124" i="1" s="1"/>
  <c r="K378" i="47"/>
  <c r="K379" i="47" s="1"/>
  <c r="K380" i="47" s="1"/>
  <c r="E126" i="1" s="1"/>
  <c r="N378" i="47"/>
  <c r="I378" i="47"/>
  <c r="I379" i="47" s="1"/>
  <c r="I380" i="47" s="1"/>
  <c r="E125" i="1" s="1"/>
  <c r="H436" i="24"/>
  <c r="I436" i="24" s="1"/>
  <c r="O383" i="47" l="1"/>
  <c r="Q383" i="47" s="1"/>
  <c r="B413" i="47"/>
  <c r="E413" i="47" s="1"/>
  <c r="E414" i="47" s="1"/>
  <c r="E137" i="1" s="1"/>
  <c r="N384" i="47"/>
  <c r="M384" i="47"/>
  <c r="F384" i="47"/>
  <c r="F385" i="47" s="1"/>
  <c r="F386" i="47" s="1"/>
  <c r="E135" i="1" s="1"/>
  <c r="O378" i="47"/>
  <c r="Q378" i="47" s="1"/>
  <c r="Q380" i="47" s="1"/>
  <c r="R380" i="47" s="1"/>
  <c r="E128" i="1" s="1"/>
  <c r="J436" i="24"/>
  <c r="O384" i="47" l="1"/>
  <c r="Q384" i="47" s="1"/>
  <c r="Q385" i="47" s="1"/>
  <c r="Q386" i="47" s="1"/>
  <c r="E136" i="1" s="1"/>
  <c r="C485" i="38"/>
  <c r="C490" i="38"/>
  <c r="C484" i="38"/>
  <c r="C212" i="38"/>
  <c r="C206" i="38"/>
  <c r="C211" i="38"/>
  <c r="C205" i="38"/>
  <c r="Q1064" i="1" l="1"/>
  <c r="R1064" i="1" s="1"/>
  <c r="Q1065" i="1"/>
  <c r="R1065" i="1" s="1"/>
  <c r="Q1066" i="1"/>
  <c r="R1066" i="1" s="1"/>
  <c r="Q1067" i="1"/>
  <c r="R1067" i="1" s="1"/>
  <c r="Q1068" i="1"/>
  <c r="Q1069" i="1"/>
  <c r="Q1063" i="1"/>
  <c r="R1063" i="1" s="1"/>
  <c r="R1020" i="1"/>
  <c r="S1020" i="1" s="1"/>
  <c r="R1021" i="1"/>
  <c r="S1021" i="1" s="1"/>
  <c r="R1022" i="1"/>
  <c r="S1022" i="1" s="1"/>
  <c r="R1023" i="1"/>
  <c r="S1023" i="1" s="1"/>
  <c r="R1024" i="1"/>
  <c r="R1025" i="1"/>
  <c r="R1019" i="1"/>
  <c r="S1019" i="1" s="1"/>
  <c r="H345" i="24"/>
  <c r="K346" i="24"/>
  <c r="L346" i="24" s="1"/>
  <c r="L345" i="24"/>
  <c r="K748" i="1"/>
  <c r="S1027" i="1" l="1"/>
  <c r="T1027" i="1" s="1"/>
  <c r="R1070" i="1"/>
  <c r="S1070" i="1" s="1"/>
  <c r="I345" i="24"/>
  <c r="D261" i="36"/>
  <c r="E177" i="36"/>
  <c r="E170" i="36"/>
  <c r="E163" i="36"/>
  <c r="B263" i="36"/>
  <c r="B262" i="36"/>
  <c r="B169" i="36" s="1"/>
  <c r="B261" i="36"/>
  <c r="D506" i="34" s="1"/>
  <c r="C294" i="34" s="1"/>
  <c r="F180" i="36"/>
  <c r="I180" i="36" s="1"/>
  <c r="D263" i="36"/>
  <c r="F173" i="36"/>
  <c r="G173" i="36" s="1"/>
  <c r="D262" i="36"/>
  <c r="H166" i="36"/>
  <c r="E149" i="36"/>
  <c r="F152" i="36"/>
  <c r="G152" i="36" s="1"/>
  <c r="D500" i="34"/>
  <c r="C198" i="34" s="1"/>
  <c r="E93" i="36"/>
  <c r="G180" i="36" l="1"/>
  <c r="I166" i="36"/>
  <c r="J166" i="36" s="1"/>
  <c r="H180" i="36"/>
  <c r="J180" i="36" s="1"/>
  <c r="D508" i="34"/>
  <c r="C326" i="34" s="1"/>
  <c r="K547" i="1"/>
  <c r="D507" i="34"/>
  <c r="C310" i="34" s="1"/>
  <c r="B162" i="36"/>
  <c r="B176" i="36"/>
  <c r="K517" i="1"/>
  <c r="K549" i="1"/>
  <c r="K548" i="1"/>
  <c r="K516" i="1"/>
  <c r="K518" i="1"/>
  <c r="H173" i="36"/>
  <c r="I173" i="36"/>
  <c r="B57" i="40"/>
  <c r="B56" i="40"/>
  <c r="B55" i="40"/>
  <c r="P24" i="40"/>
  <c r="N24" i="40"/>
  <c r="P23" i="40"/>
  <c r="N23" i="40"/>
  <c r="P22" i="40"/>
  <c r="N22" i="40"/>
  <c r="J173" i="36" l="1"/>
  <c r="J56" i="40"/>
  <c r="I311" i="34"/>
  <c r="J57" i="40"/>
  <c r="I327" i="34"/>
  <c r="J55" i="40"/>
  <c r="I295" i="34"/>
  <c r="I55" i="40"/>
  <c r="I56" i="40"/>
  <c r="I57" i="40"/>
  <c r="G292" i="13"/>
  <c r="B87" i="32" l="1"/>
  <c r="B549" i="1"/>
  <c r="B580" i="1" s="1"/>
  <c r="B611" i="1" s="1"/>
  <c r="B85" i="32"/>
  <c r="B547" i="1"/>
  <c r="B578" i="1" s="1"/>
  <c r="B609" i="1" s="1"/>
  <c r="B86" i="32"/>
  <c r="B548" i="1"/>
  <c r="B579" i="1" s="1"/>
  <c r="B610" i="1" s="1"/>
  <c r="H292" i="13"/>
  <c r="G295" i="13"/>
  <c r="K292" i="13"/>
  <c r="H295" i="13" l="1"/>
  <c r="H317" i="13"/>
  <c r="J293" i="13"/>
  <c r="K293" i="13" l="1"/>
  <c r="J294" i="13"/>
  <c r="K282" i="38"/>
  <c r="K283" i="38"/>
  <c r="K284" i="38"/>
  <c r="K285" i="38"/>
  <c r="K286" i="38"/>
  <c r="K287" i="38"/>
  <c r="K288" i="38"/>
  <c r="K289" i="38"/>
  <c r="K290" i="38"/>
  <c r="K291" i="38"/>
  <c r="K292" i="38"/>
  <c r="K293" i="38"/>
  <c r="K294" i="38"/>
  <c r="K295" i="38"/>
  <c r="K296" i="38"/>
  <c r="K281" i="38"/>
  <c r="B568" i="38"/>
  <c r="Q283" i="38"/>
  <c r="Q284" i="38"/>
  <c r="Q285" i="38"/>
  <c r="Q288" i="38"/>
  <c r="Q292" i="38"/>
  <c r="Q293" i="38"/>
  <c r="Q294" i="38"/>
  <c r="J308" i="38"/>
  <c r="Q286" i="38" s="1"/>
  <c r="J309" i="38"/>
  <c r="Q287" i="38" s="1"/>
  <c r="J311" i="38"/>
  <c r="Q289" i="38" s="1"/>
  <c r="J312" i="38"/>
  <c r="Q290" i="38" s="1"/>
  <c r="J313" i="38"/>
  <c r="Q291" i="38" s="1"/>
  <c r="J304" i="38"/>
  <c r="Q282" i="38" s="1"/>
  <c r="I74" i="38"/>
  <c r="D113" i="38" s="1"/>
  <c r="I73" i="38"/>
  <c r="D73" i="38" s="1"/>
  <c r="I72" i="38"/>
  <c r="P91" i="38" s="1"/>
  <c r="P86" i="38"/>
  <c r="P87" i="38"/>
  <c r="P88" i="38"/>
  <c r="P89" i="38"/>
  <c r="P90" i="38"/>
  <c r="D67" i="38"/>
  <c r="D68" i="38"/>
  <c r="D69" i="38"/>
  <c r="D70" i="38"/>
  <c r="D71" i="38"/>
  <c r="D75" i="38"/>
  <c r="B71" i="38"/>
  <c r="O35" i="38"/>
  <c r="N35" i="38"/>
  <c r="AF377" i="1"/>
  <c r="AG377" i="1"/>
  <c r="AE377" i="1"/>
  <c r="D74" i="38" l="1"/>
  <c r="D112" i="38"/>
  <c r="P93" i="38"/>
  <c r="D72" i="38"/>
  <c r="P92" i="38"/>
  <c r="D111" i="38"/>
  <c r="J295" i="13"/>
  <c r="K295" i="13" s="1"/>
  <c r="K294" i="13"/>
  <c r="E282" i="25"/>
  <c r="E281" i="25"/>
  <c r="I281" i="25"/>
  <c r="E280" i="25"/>
  <c r="I280" i="25"/>
  <c r="E255" i="25"/>
  <c r="E187" i="25"/>
  <c r="E186" i="25"/>
  <c r="E152" i="25"/>
  <c r="E144" i="25"/>
  <c r="I156" i="25"/>
  <c r="K156" i="25" s="1"/>
  <c r="I157" i="25"/>
  <c r="K157" i="25" s="1"/>
  <c r="I155" i="25"/>
  <c r="K155" i="25" s="1"/>
  <c r="B78" i="6" l="1"/>
  <c r="B71" i="6"/>
  <c r="B64" i="6"/>
  <c r="B51" i="6"/>
  <c r="B45" i="6"/>
  <c r="B38" i="6"/>
  <c r="B37" i="6"/>
  <c r="B32" i="6"/>
  <c r="C995" i="38"/>
  <c r="C994" i="38"/>
  <c r="C707" i="38"/>
  <c r="C702" i="38"/>
  <c r="C701" i="38"/>
  <c r="B186" i="38" l="1"/>
  <c r="C157" i="38"/>
  <c r="C158" i="38"/>
  <c r="B158" i="38"/>
  <c r="B157" i="38"/>
  <c r="Q295" i="38"/>
  <c r="C304" i="38"/>
  <c r="C305" i="38"/>
  <c r="C306" i="38"/>
  <c r="C307" i="38"/>
  <c r="C308" i="38"/>
  <c r="C309" i="38"/>
  <c r="C310" i="38"/>
  <c r="C311" i="38"/>
  <c r="C312" i="38"/>
  <c r="C313" i="38"/>
  <c r="C314" i="38"/>
  <c r="C315" i="38"/>
  <c r="C316" i="38"/>
  <c r="C317" i="38"/>
  <c r="C318" i="38"/>
  <c r="B514" i="38"/>
  <c r="B235" i="38"/>
  <c r="B80" i="38"/>
  <c r="B155" i="38"/>
  <c r="C155" i="38"/>
  <c r="C270" i="27"/>
  <c r="K1265" i="1"/>
  <c r="J1265" i="1"/>
  <c r="I1265" i="1"/>
  <c r="I276" i="17"/>
  <c r="D276" i="17"/>
  <c r="G7" i="17"/>
  <c r="I256" i="17" s="1"/>
  <c r="D7" i="17"/>
  <c r="J410" i="21"/>
  <c r="K410" i="21" s="1"/>
  <c r="G416" i="21"/>
  <c r="G415" i="21"/>
  <c r="H415" i="21" s="1"/>
  <c r="G413" i="21"/>
  <c r="H413" i="21" s="1"/>
  <c r="K653" i="1"/>
  <c r="D497" i="34"/>
  <c r="C150" i="34" s="1"/>
  <c r="D498" i="34"/>
  <c r="C166" i="34" s="1"/>
  <c r="D499" i="34"/>
  <c r="C182" i="34" s="1"/>
  <c r="E156" i="36"/>
  <c r="E142" i="36"/>
  <c r="E111" i="36"/>
  <c r="E103" i="36"/>
  <c r="H416" i="21" l="1"/>
  <c r="G425" i="21"/>
  <c r="F292" i="32"/>
  <c r="L1265" i="1"/>
  <c r="J417" i="21"/>
  <c r="J415" i="21"/>
  <c r="J411" i="21"/>
  <c r="K411" i="21" s="1"/>
  <c r="J414" i="21"/>
  <c r="J418" i="21"/>
  <c r="K418" i="21" s="1"/>
  <c r="J413" i="21"/>
  <c r="K413" i="21" s="1"/>
  <c r="J416" i="21"/>
  <c r="J412" i="21"/>
  <c r="K412" i="21" s="1"/>
  <c r="D13" i="46"/>
  <c r="D12" i="46"/>
  <c r="D11" i="46"/>
  <c r="J150" i="15"/>
  <c r="J141" i="15"/>
  <c r="J142" i="15" s="1"/>
  <c r="K142" i="15" s="1"/>
  <c r="Q296" i="38"/>
  <c r="B504" i="38"/>
  <c r="G40" i="17"/>
  <c r="I259" i="17" s="1"/>
  <c r="I1281" i="1"/>
  <c r="K1281" i="1"/>
  <c r="H425" i="21" l="1"/>
  <c r="G434" i="21"/>
  <c r="H434" i="21" s="1"/>
  <c r="K414" i="21"/>
  <c r="K141" i="15"/>
  <c r="C128" i="32" s="1"/>
  <c r="J1281" i="1"/>
  <c r="L1281" i="1" s="1"/>
  <c r="G238" i="17"/>
  <c r="I278" i="17" s="1"/>
  <c r="G29" i="17"/>
  <c r="I258" i="17" s="1"/>
  <c r="P639" i="1"/>
  <c r="P640" i="1"/>
  <c r="P641" i="1"/>
  <c r="P642" i="1"/>
  <c r="P643" i="1"/>
  <c r="P644" i="1"/>
  <c r="P645" i="1"/>
  <c r="P646" i="1"/>
  <c r="P647" i="1"/>
  <c r="P648" i="1"/>
  <c r="P649" i="1"/>
  <c r="P650" i="1"/>
  <c r="P651" i="1"/>
  <c r="P652" i="1"/>
  <c r="P654" i="1"/>
  <c r="P655" i="1"/>
  <c r="P656" i="1"/>
  <c r="P657" i="1"/>
  <c r="P658" i="1"/>
  <c r="P659" i="1"/>
  <c r="P660" i="1"/>
  <c r="P661" i="1"/>
  <c r="P662" i="1"/>
  <c r="P663" i="1"/>
  <c r="P664" i="1"/>
  <c r="P665" i="1"/>
  <c r="P666" i="1"/>
  <c r="P667" i="1"/>
  <c r="P668" i="1"/>
  <c r="P669" i="1"/>
  <c r="P670" i="1"/>
  <c r="P671" i="1"/>
  <c r="P672" i="1"/>
  <c r="D255" i="36"/>
  <c r="D246" i="36"/>
  <c r="D245" i="36"/>
  <c r="D247" i="36"/>
  <c r="D248" i="36"/>
  <c r="D249" i="36"/>
  <c r="D250" i="36"/>
  <c r="D251" i="36"/>
  <c r="D256" i="36"/>
  <c r="D257" i="36"/>
  <c r="D260" i="36"/>
  <c r="D259" i="36"/>
  <c r="D258" i="36"/>
  <c r="D254" i="36"/>
  <c r="D253" i="36"/>
  <c r="D252" i="36"/>
  <c r="D244" i="36"/>
  <c r="D243" i="36"/>
  <c r="F145" i="36"/>
  <c r="F123" i="36"/>
  <c r="I123" i="36" s="1"/>
  <c r="H123" i="36" l="1"/>
  <c r="J123" i="36" s="1"/>
  <c r="G123" i="36"/>
  <c r="K415" i="21"/>
  <c r="F159" i="36"/>
  <c r="G159" i="36" s="1"/>
  <c r="I152" i="36"/>
  <c r="B259" i="36"/>
  <c r="B260" i="36"/>
  <c r="B38" i="40"/>
  <c r="B39" i="40"/>
  <c r="B40" i="40"/>
  <c r="B41" i="40"/>
  <c r="B42" i="40"/>
  <c r="B43" i="40"/>
  <c r="B44" i="40"/>
  <c r="B45" i="40"/>
  <c r="B46" i="40"/>
  <c r="B47" i="40"/>
  <c r="B48" i="40"/>
  <c r="B49" i="40"/>
  <c r="B50" i="40"/>
  <c r="B51" i="40"/>
  <c r="B52" i="40"/>
  <c r="B53" i="40"/>
  <c r="B54" i="40"/>
  <c r="P21" i="40"/>
  <c r="N21" i="40"/>
  <c r="P20" i="40"/>
  <c r="N20" i="40"/>
  <c r="B83" i="32" l="1"/>
  <c r="B545" i="1"/>
  <c r="B576" i="1" s="1"/>
  <c r="B607" i="1" s="1"/>
  <c r="B84" i="32"/>
  <c r="B546" i="1"/>
  <c r="B577" i="1" s="1"/>
  <c r="B608" i="1" s="1"/>
  <c r="D496" i="34"/>
  <c r="C134" i="34" s="1"/>
  <c r="D504" i="34"/>
  <c r="C262" i="34" s="1"/>
  <c r="D505" i="34"/>
  <c r="C278" i="34" s="1"/>
  <c r="K417" i="21"/>
  <c r="K416" i="21"/>
  <c r="J53" i="40"/>
  <c r="J54" i="40"/>
  <c r="I159" i="36"/>
  <c r="H159" i="36"/>
  <c r="K576" i="1"/>
  <c r="K577" i="1"/>
  <c r="B148" i="36"/>
  <c r="B155" i="36"/>
  <c r="K545" i="1"/>
  <c r="K546" i="1"/>
  <c r="K515" i="1"/>
  <c r="K514" i="1"/>
  <c r="I279" i="34"/>
  <c r="I263" i="34"/>
  <c r="H152" i="36"/>
  <c r="J152" i="36" s="1"/>
  <c r="I53" i="40"/>
  <c r="I54" i="40"/>
  <c r="J159" i="36" l="1"/>
  <c r="A702" i="38" l="1"/>
  <c r="A708" i="38" s="1"/>
  <c r="A701" i="38"/>
  <c r="A707" i="38" s="1"/>
  <c r="I695" i="38"/>
  <c r="O694" i="38"/>
  <c r="J694" i="38"/>
  <c r="O675" i="38"/>
  <c r="C688" i="38"/>
  <c r="C682" i="38"/>
  <c r="O179" i="38"/>
  <c r="O458" i="38"/>
  <c r="C471" i="38"/>
  <c r="C465" i="38"/>
  <c r="C192" i="38"/>
  <c r="C186" i="38"/>
  <c r="O198" i="38"/>
  <c r="B85" i="38"/>
  <c r="P94" i="38"/>
  <c r="P85" i="38"/>
  <c r="D121" i="38"/>
  <c r="D120" i="38"/>
  <c r="D106" i="38"/>
  <c r="D107" i="38"/>
  <c r="D108" i="38"/>
  <c r="D109" i="38"/>
  <c r="D110" i="38"/>
  <c r="D114" i="38"/>
  <c r="D105" i="38"/>
  <c r="D80" i="38"/>
  <c r="D79" i="38"/>
  <c r="D66" i="38"/>
  <c r="E755" i="1"/>
  <c r="P678" i="1" l="1"/>
  <c r="L694" i="38"/>
  <c r="G694" i="38"/>
  <c r="M694" i="38"/>
  <c r="B701" i="38"/>
  <c r="B707" i="38" s="1"/>
  <c r="D707" i="38" s="1"/>
  <c r="H694" i="38"/>
  <c r="I694" i="38"/>
  <c r="I696" i="38" s="1"/>
  <c r="I697" i="38" s="1"/>
  <c r="H695" i="38"/>
  <c r="M695" i="38"/>
  <c r="J695" i="38"/>
  <c r="J696" i="38" s="1"/>
  <c r="J697" i="38" s="1"/>
  <c r="B702" i="38"/>
  <c r="G695" i="38"/>
  <c r="L695" i="38"/>
  <c r="N695" i="38" l="1"/>
  <c r="P695" i="38" s="1"/>
  <c r="G696" i="38"/>
  <c r="G697" i="38" s="1"/>
  <c r="H696" i="38"/>
  <c r="H697" i="38" s="1"/>
  <c r="N694" i="38"/>
  <c r="P694" i="38" s="1"/>
  <c r="D701" i="38"/>
  <c r="D702" i="38"/>
  <c r="B708" i="38"/>
  <c r="D708" i="38" s="1"/>
  <c r="D709" i="38" s="1"/>
  <c r="J177" i="19"/>
  <c r="C345" i="27"/>
  <c r="C344" i="27"/>
  <c r="F89" i="36"/>
  <c r="P988" i="1"/>
  <c r="P989" i="1"/>
  <c r="P990" i="1"/>
  <c r="P991" i="1"/>
  <c r="P992" i="1"/>
  <c r="P993" i="1"/>
  <c r="C225" i="32"/>
  <c r="L19" i="11"/>
  <c r="L18" i="11"/>
  <c r="L17" i="11"/>
  <c r="N224" i="12"/>
  <c r="N215" i="12"/>
  <c r="N186" i="12"/>
  <c r="N131" i="12"/>
  <c r="N122" i="12"/>
  <c r="N95" i="12"/>
  <c r="N69" i="12"/>
  <c r="N57" i="12"/>
  <c r="N46" i="12"/>
  <c r="N16" i="12"/>
  <c r="O261" i="12"/>
  <c r="O156" i="12"/>
  <c r="O155" i="12"/>
  <c r="O154" i="12"/>
  <c r="A45" i="1"/>
  <c r="A48" i="1" s="1"/>
  <c r="O477" i="38"/>
  <c r="B205" i="38"/>
  <c r="P99" i="38"/>
  <c r="B502" i="38"/>
  <c r="B503" i="38"/>
  <c r="B505" i="38"/>
  <c r="B506" i="38"/>
  <c r="B507" i="38"/>
  <c r="B508" i="38"/>
  <c r="B509" i="38"/>
  <c r="B501" i="38"/>
  <c r="O36" i="38"/>
  <c r="N36" i="38"/>
  <c r="J7" i="11" s="1"/>
  <c r="H34" i="38"/>
  <c r="H35" i="38"/>
  <c r="H36" i="38"/>
  <c r="H33" i="38"/>
  <c r="O19" i="43"/>
  <c r="E54" i="1" s="1"/>
  <c r="H426" i="24"/>
  <c r="P1056" i="1"/>
  <c r="I417" i="24"/>
  <c r="P999" i="1"/>
  <c r="P998" i="1"/>
  <c r="E832" i="1"/>
  <c r="P674" i="1" s="1"/>
  <c r="P696" i="38" l="1"/>
  <c r="P697" i="38" s="1"/>
  <c r="F226" i="32"/>
  <c r="I426" i="24"/>
  <c r="H427" i="24" s="1"/>
  <c r="I427" i="24" s="1"/>
  <c r="D703" i="38"/>
  <c r="F225" i="32"/>
  <c r="P677" i="1"/>
  <c r="J17" i="11"/>
  <c r="J18" i="11" s="1"/>
  <c r="K18" i="11" s="1"/>
  <c r="E106" i="11" s="1"/>
  <c r="H418" i="24"/>
  <c r="I418" i="24" s="1"/>
  <c r="J418" i="24" s="1"/>
  <c r="I7" i="1"/>
  <c r="I8" i="1"/>
  <c r="I6" i="1"/>
  <c r="I5" i="1"/>
  <c r="G1186" i="1" l="1"/>
  <c r="J1186" i="1" s="1"/>
  <c r="G1143" i="1"/>
  <c r="J1143" i="1" s="1"/>
  <c r="P938" i="1"/>
  <c r="J19" i="11"/>
  <c r="K19" i="11" s="1"/>
  <c r="K17" i="11"/>
  <c r="J427" i="24"/>
  <c r="G1058" i="1" s="1"/>
  <c r="G1056" i="1"/>
  <c r="G1100" i="1"/>
  <c r="G825" i="1"/>
  <c r="P638" i="1"/>
  <c r="P877" i="1"/>
  <c r="P878" i="1"/>
  <c r="P879" i="1"/>
  <c r="P880" i="1"/>
  <c r="P881" i="1"/>
  <c r="P876" i="1"/>
  <c r="P987" i="1"/>
  <c r="C95" i="27"/>
  <c r="J336" i="13"/>
  <c r="K336" i="13" s="1"/>
  <c r="G335" i="13"/>
  <c r="H335" i="13" s="1"/>
  <c r="G336" i="13"/>
  <c r="H336" i="13" s="1"/>
  <c r="N48" i="36"/>
  <c r="K374" i="1"/>
  <c r="J374" i="1"/>
  <c r="I374" i="1"/>
  <c r="K372" i="1"/>
  <c r="J372" i="1"/>
  <c r="I372" i="1"/>
  <c r="K368" i="1"/>
  <c r="J368" i="1"/>
  <c r="I368" i="1"/>
  <c r="K366" i="1"/>
  <c r="J366" i="1"/>
  <c r="I366" i="1"/>
  <c r="K362" i="1"/>
  <c r="J362" i="1"/>
  <c r="I362" i="1"/>
  <c r="K354" i="1"/>
  <c r="J354" i="1"/>
  <c r="I354" i="1"/>
  <c r="K352" i="1"/>
  <c r="J352" i="1"/>
  <c r="I352" i="1"/>
  <c r="K348" i="1"/>
  <c r="J348" i="1"/>
  <c r="I348" i="1"/>
  <c r="K346" i="1"/>
  <c r="J346" i="1"/>
  <c r="I346" i="1"/>
  <c r="K338" i="1"/>
  <c r="J338" i="1"/>
  <c r="I338" i="1"/>
  <c r="K336" i="1"/>
  <c r="J336" i="1"/>
  <c r="I336" i="1"/>
  <c r="A222" i="1"/>
  <c r="K33" i="38"/>
  <c r="I33" i="38"/>
  <c r="B22" i="38"/>
  <c r="C22" i="38" s="1"/>
  <c r="D22" i="38" s="1"/>
  <c r="B20" i="38"/>
  <c r="E22" i="38" s="1"/>
  <c r="F944" i="38"/>
  <c r="B944" i="38"/>
  <c r="C944" i="38" s="1"/>
  <c r="B379" i="38"/>
  <c r="E379" i="38" s="1"/>
  <c r="A379" i="38"/>
  <c r="A399" i="38" s="1"/>
  <c r="B378" i="38"/>
  <c r="A378" i="38"/>
  <c r="A398" i="38" s="1"/>
  <c r="B377" i="38"/>
  <c r="E377" i="38" s="1"/>
  <c r="A377" i="38"/>
  <c r="A397" i="38" s="1"/>
  <c r="Q781" i="38"/>
  <c r="Q782" i="38"/>
  <c r="Q792" i="38"/>
  <c r="D777" i="38"/>
  <c r="E777" i="38"/>
  <c r="F777" i="38"/>
  <c r="K777" i="38" s="1"/>
  <c r="G777" i="38"/>
  <c r="L777" i="38" s="1"/>
  <c r="D778" i="38"/>
  <c r="E778" i="38"/>
  <c r="F778" i="38"/>
  <c r="K778" i="38" s="1"/>
  <c r="G778" i="38"/>
  <c r="L778" i="38" s="1"/>
  <c r="D779" i="38"/>
  <c r="E779" i="38"/>
  <c r="F779" i="38"/>
  <c r="K779" i="38" s="1"/>
  <c r="G779" i="38"/>
  <c r="L779" i="38" s="1"/>
  <c r="D780" i="38"/>
  <c r="E780" i="38"/>
  <c r="F780" i="38"/>
  <c r="K780" i="38" s="1"/>
  <c r="G780" i="38"/>
  <c r="L780" i="38" s="1"/>
  <c r="D781" i="38"/>
  <c r="E781" i="38"/>
  <c r="F781" i="38"/>
  <c r="K781" i="38" s="1"/>
  <c r="G781" i="38"/>
  <c r="L781" i="38" s="1"/>
  <c r="D782" i="38"/>
  <c r="I782" i="38" s="1"/>
  <c r="E782" i="38"/>
  <c r="F782" i="38"/>
  <c r="K782" i="38" s="1"/>
  <c r="G782" i="38"/>
  <c r="L782" i="38" s="1"/>
  <c r="D783" i="38"/>
  <c r="I783" i="38" s="1"/>
  <c r="E783" i="38"/>
  <c r="F783" i="38"/>
  <c r="K783" i="38" s="1"/>
  <c r="G783" i="38"/>
  <c r="L783" i="38" s="1"/>
  <c r="D784" i="38"/>
  <c r="I784" i="38" s="1"/>
  <c r="E784" i="38"/>
  <c r="J784" i="38" s="1"/>
  <c r="F784" i="38"/>
  <c r="K784" i="38" s="1"/>
  <c r="G784" i="38"/>
  <c r="L784" i="38" s="1"/>
  <c r="D785" i="38"/>
  <c r="I785" i="38" s="1"/>
  <c r="E785" i="38"/>
  <c r="J785" i="38" s="1"/>
  <c r="F785" i="38"/>
  <c r="K785" i="38" s="1"/>
  <c r="G785" i="38"/>
  <c r="L785" i="38" s="1"/>
  <c r="D786" i="38"/>
  <c r="E786" i="38"/>
  <c r="F786" i="38"/>
  <c r="K786" i="38" s="1"/>
  <c r="G786" i="38"/>
  <c r="L786" i="38" s="1"/>
  <c r="D787" i="38"/>
  <c r="E787" i="38"/>
  <c r="F787" i="38"/>
  <c r="K787" i="38" s="1"/>
  <c r="G787" i="38"/>
  <c r="L787" i="38" s="1"/>
  <c r="D788" i="38"/>
  <c r="I788" i="38" s="1"/>
  <c r="E788" i="38"/>
  <c r="F788" i="38"/>
  <c r="K788" i="38" s="1"/>
  <c r="G788" i="38"/>
  <c r="L788" i="38" s="1"/>
  <c r="D789" i="38"/>
  <c r="I789" i="38" s="1"/>
  <c r="E789" i="38"/>
  <c r="J789" i="38" s="1"/>
  <c r="F789" i="38"/>
  <c r="K789" i="38" s="1"/>
  <c r="G789" i="38"/>
  <c r="L789" i="38" s="1"/>
  <c r="D790" i="38"/>
  <c r="I790" i="38" s="1"/>
  <c r="E790" i="38"/>
  <c r="J790" i="38" s="1"/>
  <c r="F790" i="38"/>
  <c r="K790" i="38" s="1"/>
  <c r="G790" i="38"/>
  <c r="L790" i="38" s="1"/>
  <c r="D791" i="38"/>
  <c r="I791" i="38" s="1"/>
  <c r="E791" i="38"/>
  <c r="J791" i="38" s="1"/>
  <c r="F791" i="38"/>
  <c r="K791" i="38" s="1"/>
  <c r="G791" i="38"/>
  <c r="L791" i="38" s="1"/>
  <c r="D792" i="38"/>
  <c r="E792" i="38"/>
  <c r="J792" i="38" s="1"/>
  <c r="F792" i="38"/>
  <c r="K792" i="38" s="1"/>
  <c r="G792" i="38"/>
  <c r="C778" i="38"/>
  <c r="H778" i="38" s="1"/>
  <c r="C779" i="38"/>
  <c r="H779" i="38" s="1"/>
  <c r="C780" i="38"/>
  <c r="H780" i="38" s="1"/>
  <c r="C781" i="38"/>
  <c r="H781" i="38" s="1"/>
  <c r="C782" i="38"/>
  <c r="H782" i="38" s="1"/>
  <c r="C783" i="38"/>
  <c r="H783" i="38" s="1"/>
  <c r="C784" i="38"/>
  <c r="H784" i="38" s="1"/>
  <c r="C785" i="38"/>
  <c r="H785" i="38" s="1"/>
  <c r="C786" i="38"/>
  <c r="C787" i="38"/>
  <c r="H787" i="38" s="1"/>
  <c r="C788" i="38"/>
  <c r="H788" i="38" s="1"/>
  <c r="C789" i="38"/>
  <c r="H789" i="38" s="1"/>
  <c r="C790" i="38"/>
  <c r="H790" i="38" s="1"/>
  <c r="C791" i="38"/>
  <c r="H791" i="38" s="1"/>
  <c r="C792" i="38"/>
  <c r="C777" i="38"/>
  <c r="H777" i="38" s="1"/>
  <c r="Q564" i="38"/>
  <c r="C366" i="38"/>
  <c r="C584" i="38"/>
  <c r="C368" i="38"/>
  <c r="C369" i="38"/>
  <c r="C587" i="38"/>
  <c r="C371" i="38"/>
  <c r="C589" i="38"/>
  <c r="C807" i="38"/>
  <c r="C591" i="38"/>
  <c r="C592" i="38"/>
  <c r="C376" i="38"/>
  <c r="C377" i="38"/>
  <c r="C595" i="38"/>
  <c r="C379" i="38"/>
  <c r="C303" i="38"/>
  <c r="C365" i="38" s="1"/>
  <c r="Q778" i="38"/>
  <c r="Q562" i="38"/>
  <c r="Q780" i="38"/>
  <c r="Q783" i="38"/>
  <c r="Q784" i="38"/>
  <c r="Q568" i="38"/>
  <c r="Q786" i="38"/>
  <c r="Q570" i="38"/>
  <c r="Q571" i="38"/>
  <c r="Q572" i="38"/>
  <c r="Q790" i="38"/>
  <c r="Q574" i="38"/>
  <c r="Q281" i="38"/>
  <c r="Q777" i="38" s="1"/>
  <c r="E80" i="38"/>
  <c r="E79" i="38"/>
  <c r="B75" i="38"/>
  <c r="B94" i="38" s="1"/>
  <c r="M94" i="38" s="1"/>
  <c r="B68" i="38"/>
  <c r="B87" i="38" s="1"/>
  <c r="B69" i="38"/>
  <c r="E69" i="38" s="1"/>
  <c r="B70" i="38"/>
  <c r="B89" i="38" s="1"/>
  <c r="B90" i="38"/>
  <c r="B72" i="38"/>
  <c r="B91" i="38" s="1"/>
  <c r="B111" i="38" s="1"/>
  <c r="B73" i="38"/>
  <c r="E73" i="38" s="1"/>
  <c r="B74" i="38"/>
  <c r="B93" i="38" s="1"/>
  <c r="B67" i="38"/>
  <c r="B86" i="38" s="1"/>
  <c r="D772" i="38"/>
  <c r="D771" i="38"/>
  <c r="D757" i="38"/>
  <c r="D758" i="38"/>
  <c r="D759" i="38"/>
  <c r="D760" i="38"/>
  <c r="D761" i="38"/>
  <c r="D762" i="38"/>
  <c r="D763" i="38"/>
  <c r="D764" i="38"/>
  <c r="D765" i="38"/>
  <c r="D756" i="38"/>
  <c r="D751" i="38"/>
  <c r="D750" i="38"/>
  <c r="P751" i="38"/>
  <c r="P750" i="38"/>
  <c r="P737" i="38"/>
  <c r="P738" i="38"/>
  <c r="P739" i="38"/>
  <c r="P740" i="38"/>
  <c r="P741" i="38"/>
  <c r="P742" i="38"/>
  <c r="P743" i="38"/>
  <c r="P744" i="38"/>
  <c r="P745" i="38"/>
  <c r="P736" i="38"/>
  <c r="E736" i="38"/>
  <c r="F736" i="38"/>
  <c r="G736" i="38"/>
  <c r="E737" i="38"/>
  <c r="F737" i="38"/>
  <c r="G737" i="38"/>
  <c r="E738" i="38"/>
  <c r="F738" i="38"/>
  <c r="G738" i="38"/>
  <c r="E739" i="38"/>
  <c r="F739" i="38"/>
  <c r="G739" i="38"/>
  <c r="E740" i="38"/>
  <c r="F740" i="38"/>
  <c r="G740" i="38"/>
  <c r="E741" i="38"/>
  <c r="F741" i="38"/>
  <c r="G741" i="38"/>
  <c r="E742" i="38"/>
  <c r="F742" i="38"/>
  <c r="G742" i="38"/>
  <c r="E743" i="38"/>
  <c r="F743" i="38"/>
  <c r="G743" i="38"/>
  <c r="E744" i="38"/>
  <c r="F744" i="38"/>
  <c r="G744" i="38"/>
  <c r="E745" i="38"/>
  <c r="F745" i="38"/>
  <c r="G745" i="38"/>
  <c r="D737" i="38"/>
  <c r="D738" i="38"/>
  <c r="D739" i="38"/>
  <c r="D740" i="38"/>
  <c r="D741" i="38"/>
  <c r="D742" i="38"/>
  <c r="D743" i="38"/>
  <c r="D744" i="38"/>
  <c r="D745" i="38"/>
  <c r="D736" i="38"/>
  <c r="D731" i="38"/>
  <c r="D730" i="38"/>
  <c r="E730" i="38" s="1"/>
  <c r="D514" i="38"/>
  <c r="E514" i="38" s="1"/>
  <c r="D513" i="38"/>
  <c r="D726" i="38"/>
  <c r="D725" i="38"/>
  <c r="E725" i="38" s="1"/>
  <c r="D724" i="38"/>
  <c r="E724" i="38" s="1"/>
  <c r="D723" i="38"/>
  <c r="E723" i="38" s="1"/>
  <c r="D722" i="38"/>
  <c r="D721" i="38"/>
  <c r="E721" i="38" s="1"/>
  <c r="D720" i="38"/>
  <c r="E720" i="38" s="1"/>
  <c r="D719" i="38"/>
  <c r="E719" i="38" s="1"/>
  <c r="D718" i="38"/>
  <c r="D717" i="38"/>
  <c r="E717" i="38" s="1"/>
  <c r="D509" i="38"/>
  <c r="D508" i="38"/>
  <c r="D507" i="38"/>
  <c r="D506" i="38"/>
  <c r="D505" i="38"/>
  <c r="D504" i="38"/>
  <c r="D503" i="38"/>
  <c r="D502" i="38"/>
  <c r="D501" i="38"/>
  <c r="D500" i="38"/>
  <c r="D235" i="38"/>
  <c r="D234" i="38"/>
  <c r="D230" i="38"/>
  <c r="D229" i="38"/>
  <c r="D228" i="38"/>
  <c r="D227" i="38"/>
  <c r="D226" i="38"/>
  <c r="D225" i="38"/>
  <c r="D224" i="38"/>
  <c r="D223" i="38"/>
  <c r="D222" i="38"/>
  <c r="D221" i="38"/>
  <c r="C925" i="38"/>
  <c r="B925" i="38"/>
  <c r="D925" i="38" s="1"/>
  <c r="C924" i="38"/>
  <c r="C919" i="38"/>
  <c r="B919" i="38"/>
  <c r="A919" i="38"/>
  <c r="A925" i="38" s="1"/>
  <c r="C918" i="38"/>
  <c r="B918" i="38"/>
  <c r="B924" i="38" s="1"/>
  <c r="A918" i="38"/>
  <c r="A924" i="38" s="1"/>
  <c r="O912" i="38"/>
  <c r="M912" i="38"/>
  <c r="L912" i="38"/>
  <c r="J912" i="38"/>
  <c r="I912" i="38"/>
  <c r="H912" i="38"/>
  <c r="G912" i="38"/>
  <c r="O911" i="38"/>
  <c r="M911" i="38"/>
  <c r="L911" i="38"/>
  <c r="J911" i="38"/>
  <c r="I911" i="38"/>
  <c r="H911" i="38"/>
  <c r="G911" i="38"/>
  <c r="C906" i="38"/>
  <c r="C905" i="38"/>
  <c r="B905" i="38"/>
  <c r="D905" i="38" s="1"/>
  <c r="C900" i="38"/>
  <c r="B900" i="38"/>
  <c r="A900" i="38"/>
  <c r="A906" i="38" s="1"/>
  <c r="C899" i="38"/>
  <c r="B899" i="38"/>
  <c r="A899" i="38"/>
  <c r="A905" i="38" s="1"/>
  <c r="O893" i="38"/>
  <c r="M893" i="38"/>
  <c r="L893" i="38"/>
  <c r="J893" i="38"/>
  <c r="I893" i="38"/>
  <c r="H893" i="38"/>
  <c r="G893" i="38"/>
  <c r="O892" i="38"/>
  <c r="M892" i="38"/>
  <c r="L892" i="38"/>
  <c r="J892" i="38"/>
  <c r="I892" i="38"/>
  <c r="H892" i="38"/>
  <c r="G892" i="38"/>
  <c r="C887" i="38"/>
  <c r="B887" i="38"/>
  <c r="C886" i="38"/>
  <c r="B886" i="38"/>
  <c r="D886" i="38" s="1"/>
  <c r="B881" i="38"/>
  <c r="C881" i="38" s="1"/>
  <c r="D881" i="38" s="1"/>
  <c r="B880" i="38"/>
  <c r="E881" i="38" s="1"/>
  <c r="D876" i="38"/>
  <c r="D877" i="38" s="1"/>
  <c r="C871" i="38"/>
  <c r="B871" i="38"/>
  <c r="C870" i="38"/>
  <c r="B870" i="38"/>
  <c r="C869" i="38"/>
  <c r="B869" i="38"/>
  <c r="C868" i="38"/>
  <c r="B868" i="38"/>
  <c r="C863" i="38"/>
  <c r="D863" i="38" s="1"/>
  <c r="E862" i="38"/>
  <c r="B862" i="38"/>
  <c r="E863" i="38" s="1"/>
  <c r="C859" i="38"/>
  <c r="D859" i="38" s="1"/>
  <c r="E857" i="38"/>
  <c r="B857" i="38"/>
  <c r="C857" i="38" s="1"/>
  <c r="D857" i="38" s="1"/>
  <c r="D853" i="38"/>
  <c r="E852" i="38"/>
  <c r="B852" i="38"/>
  <c r="C849" i="38"/>
  <c r="D849" i="38" s="1"/>
  <c r="E847" i="38"/>
  <c r="B847" i="38"/>
  <c r="E849" i="38" s="1"/>
  <c r="E842" i="38"/>
  <c r="E841" i="38"/>
  <c r="E840" i="38"/>
  <c r="E839" i="38"/>
  <c r="A814" i="38"/>
  <c r="A834" i="38" s="1"/>
  <c r="B813" i="38"/>
  <c r="A813" i="38"/>
  <c r="A833" i="38" s="1"/>
  <c r="B812" i="38"/>
  <c r="A812" i="38"/>
  <c r="A832" i="38" s="1"/>
  <c r="B811" i="38"/>
  <c r="A811" i="38"/>
  <c r="A831" i="38" s="1"/>
  <c r="B810" i="38"/>
  <c r="A810" i="38"/>
  <c r="A830" i="38" s="1"/>
  <c r="B809" i="38"/>
  <c r="A809" i="38"/>
  <c r="A829" i="38" s="1"/>
  <c r="B808" i="38"/>
  <c r="A808" i="38"/>
  <c r="A828" i="38" s="1"/>
  <c r="B807" i="38"/>
  <c r="A807" i="38"/>
  <c r="A827" i="38" s="1"/>
  <c r="B806" i="38"/>
  <c r="A806" i="38"/>
  <c r="A826" i="38" s="1"/>
  <c r="B805" i="38"/>
  <c r="A805" i="38"/>
  <c r="A825" i="38" s="1"/>
  <c r="B804" i="38"/>
  <c r="A804" i="38"/>
  <c r="A824" i="38" s="1"/>
  <c r="B803" i="38"/>
  <c r="A803" i="38"/>
  <c r="A823" i="38" s="1"/>
  <c r="B802" i="38"/>
  <c r="A802" i="38"/>
  <c r="A822" i="38" s="1"/>
  <c r="B801" i="38"/>
  <c r="A801" i="38"/>
  <c r="A821" i="38" s="1"/>
  <c r="B800" i="38"/>
  <c r="A800" i="38"/>
  <c r="A820" i="38" s="1"/>
  <c r="B799" i="38"/>
  <c r="A799" i="38"/>
  <c r="A819" i="38" s="1"/>
  <c r="O792" i="38"/>
  <c r="O791" i="38"/>
  <c r="N791" i="38"/>
  <c r="O790" i="38"/>
  <c r="N790" i="38"/>
  <c r="O789" i="38"/>
  <c r="N789" i="38"/>
  <c r="O788" i="38"/>
  <c r="N788" i="38"/>
  <c r="O787" i="38"/>
  <c r="N787" i="38"/>
  <c r="O786" i="38"/>
  <c r="N786" i="38"/>
  <c r="O785" i="38"/>
  <c r="N785" i="38"/>
  <c r="O784" i="38"/>
  <c r="N784" i="38"/>
  <c r="O783" i="38"/>
  <c r="N783" i="38"/>
  <c r="O782" i="38"/>
  <c r="N782" i="38"/>
  <c r="O781" i="38"/>
  <c r="N781" i="38"/>
  <c r="O780" i="38"/>
  <c r="N780" i="38"/>
  <c r="O779" i="38"/>
  <c r="N779" i="38"/>
  <c r="O778" i="38"/>
  <c r="N778" i="38"/>
  <c r="O777" i="38"/>
  <c r="N777" i="38"/>
  <c r="C765" i="38"/>
  <c r="A765" i="38"/>
  <c r="C764" i="38"/>
  <c r="A764" i="38"/>
  <c r="C763" i="38"/>
  <c r="A763" i="38"/>
  <c r="C762" i="38"/>
  <c r="A762" i="38"/>
  <c r="C761" i="38"/>
  <c r="A761" i="38"/>
  <c r="C760" i="38"/>
  <c r="A760" i="38"/>
  <c r="C759" i="38"/>
  <c r="A759" i="38"/>
  <c r="C758" i="38"/>
  <c r="A758" i="38"/>
  <c r="C757" i="38"/>
  <c r="A757" i="38"/>
  <c r="C756" i="38"/>
  <c r="A756" i="38"/>
  <c r="C751" i="38"/>
  <c r="C772" i="38" s="1"/>
  <c r="A751" i="38"/>
  <c r="A772" i="38" s="1"/>
  <c r="C750" i="38"/>
  <c r="C771" i="38" s="1"/>
  <c r="A750" i="38"/>
  <c r="A771" i="38" s="1"/>
  <c r="C745" i="38"/>
  <c r="A745" i="38"/>
  <c r="C744" i="38"/>
  <c r="A744" i="38"/>
  <c r="C743" i="38"/>
  <c r="B743" i="38"/>
  <c r="M743" i="38" s="1"/>
  <c r="A743" i="38"/>
  <c r="C742" i="38"/>
  <c r="A742" i="38"/>
  <c r="C741" i="38"/>
  <c r="A741" i="38"/>
  <c r="C740" i="38"/>
  <c r="A740" i="38"/>
  <c r="C739" i="38"/>
  <c r="B739" i="38"/>
  <c r="M739" i="38" s="1"/>
  <c r="A739" i="38"/>
  <c r="C738" i="38"/>
  <c r="A738" i="38"/>
  <c r="C737" i="38"/>
  <c r="A737" i="38"/>
  <c r="C736" i="38"/>
  <c r="B736" i="38"/>
  <c r="M736" i="38" s="1"/>
  <c r="A736" i="38"/>
  <c r="B751" i="38"/>
  <c r="B765" i="38"/>
  <c r="B764" i="38"/>
  <c r="B763" i="38"/>
  <c r="B761" i="38"/>
  <c r="B760" i="38"/>
  <c r="B759" i="38"/>
  <c r="B757" i="38"/>
  <c r="B756" i="38"/>
  <c r="P244" i="38"/>
  <c r="P523" i="38" s="1"/>
  <c r="C1002" i="38"/>
  <c r="A1001" i="38"/>
  <c r="C1001" i="38" s="1"/>
  <c r="C997" i="38"/>
  <c r="D987" i="38"/>
  <c r="D986" i="38"/>
  <c r="D985" i="38"/>
  <c r="D981" i="38"/>
  <c r="D979" i="38"/>
  <c r="E976" i="38"/>
  <c r="C976" i="38"/>
  <c r="D976" i="38" s="1"/>
  <c r="E974" i="38"/>
  <c r="C974" i="38"/>
  <c r="D974" i="38" s="1"/>
  <c r="E971" i="38"/>
  <c r="C971" i="38"/>
  <c r="D971" i="38" s="1"/>
  <c r="E969" i="38"/>
  <c r="C969" i="38"/>
  <c r="D969" i="38" s="1"/>
  <c r="E964" i="38"/>
  <c r="C964" i="38"/>
  <c r="D964" i="38" s="1"/>
  <c r="E962" i="38"/>
  <c r="C962" i="38"/>
  <c r="D962" i="38" s="1"/>
  <c r="E959" i="38"/>
  <c r="C959" i="38"/>
  <c r="D959" i="38" s="1"/>
  <c r="B958" i="38"/>
  <c r="B963" i="38" s="1"/>
  <c r="B975" i="38" s="1"/>
  <c r="E957" i="38"/>
  <c r="C957" i="38"/>
  <c r="D957" i="38" s="1"/>
  <c r="B956" i="38"/>
  <c r="B961" i="38" s="1"/>
  <c r="B973" i="38" s="1"/>
  <c r="E954" i="38"/>
  <c r="C954" i="38"/>
  <c r="D954" i="38" s="1"/>
  <c r="E952" i="38"/>
  <c r="C952" i="38"/>
  <c r="D952" i="38" s="1"/>
  <c r="F940" i="38"/>
  <c r="B940" i="38"/>
  <c r="C940" i="38" s="1"/>
  <c r="B683" i="38"/>
  <c r="B689" i="38" s="1"/>
  <c r="A683" i="38"/>
  <c r="A689" i="38" s="1"/>
  <c r="B682" i="38"/>
  <c r="B688" i="38" s="1"/>
  <c r="D688" i="38" s="1"/>
  <c r="A682" i="38"/>
  <c r="A688" i="38" s="1"/>
  <c r="M676" i="38"/>
  <c r="L676" i="38"/>
  <c r="J676" i="38"/>
  <c r="I676" i="38"/>
  <c r="H676" i="38"/>
  <c r="G676" i="38"/>
  <c r="M675" i="38"/>
  <c r="L675" i="38"/>
  <c r="J675" i="38"/>
  <c r="I675" i="38"/>
  <c r="H675" i="38"/>
  <c r="G675" i="38"/>
  <c r="C670" i="38"/>
  <c r="B670" i="38"/>
  <c r="C669" i="38"/>
  <c r="B669" i="38"/>
  <c r="C664" i="38"/>
  <c r="D664" i="38" s="1"/>
  <c r="B664" i="38"/>
  <c r="E663" i="38"/>
  <c r="B663" i="38"/>
  <c r="C663" i="38" s="1"/>
  <c r="D663" i="38" s="1"/>
  <c r="D659" i="38"/>
  <c r="D660" i="38" s="1"/>
  <c r="C654" i="38"/>
  <c r="B654" i="38"/>
  <c r="C653" i="38"/>
  <c r="B653" i="38"/>
  <c r="C652" i="38"/>
  <c r="B652" i="38"/>
  <c r="C651" i="38"/>
  <c r="B651" i="38"/>
  <c r="C646" i="38"/>
  <c r="D646" i="38" s="1"/>
  <c r="E645" i="38"/>
  <c r="B645" i="38"/>
  <c r="C645" i="38" s="1"/>
  <c r="D645" i="38" s="1"/>
  <c r="C642" i="38"/>
  <c r="D642" i="38" s="1"/>
  <c r="E640" i="38"/>
  <c r="B640" i="38"/>
  <c r="E642" i="38" s="1"/>
  <c r="D636" i="38"/>
  <c r="E635" i="38"/>
  <c r="B635" i="38"/>
  <c r="E636" i="38" s="1"/>
  <c r="C632" i="38"/>
  <c r="D632" i="38" s="1"/>
  <c r="E630" i="38"/>
  <c r="B630" i="38"/>
  <c r="C630" i="38" s="1"/>
  <c r="D630" i="38" s="1"/>
  <c r="E625" i="38"/>
  <c r="E624" i="38"/>
  <c r="E623" i="38"/>
  <c r="E622" i="38"/>
  <c r="A617" i="38"/>
  <c r="B597" i="38"/>
  <c r="E597" i="38" s="1"/>
  <c r="A597" i="38"/>
  <c r="B596" i="38"/>
  <c r="E596" i="38" s="1"/>
  <c r="A596" i="38"/>
  <c r="A616" i="38" s="1"/>
  <c r="B595" i="38"/>
  <c r="A595" i="38"/>
  <c r="A615" i="38" s="1"/>
  <c r="B594" i="38"/>
  <c r="A594" i="38"/>
  <c r="A614" i="38" s="1"/>
  <c r="B593" i="38"/>
  <c r="E593" i="38" s="1"/>
  <c r="A593" i="38"/>
  <c r="A613" i="38" s="1"/>
  <c r="B592" i="38"/>
  <c r="E592" i="38" s="1"/>
  <c r="A592" i="38"/>
  <c r="A612" i="38" s="1"/>
  <c r="B591" i="38"/>
  <c r="A591" i="38"/>
  <c r="A611" i="38" s="1"/>
  <c r="B590" i="38"/>
  <c r="A590" i="38"/>
  <c r="A610" i="38" s="1"/>
  <c r="B589" i="38"/>
  <c r="E589" i="38" s="1"/>
  <c r="A589" i="38"/>
  <c r="A609" i="38" s="1"/>
  <c r="B588" i="38"/>
  <c r="E588" i="38" s="1"/>
  <c r="A588" i="38"/>
  <c r="A608" i="38" s="1"/>
  <c r="A587" i="38"/>
  <c r="A607" i="38" s="1"/>
  <c r="B586" i="38"/>
  <c r="A586" i="38"/>
  <c r="A606" i="38" s="1"/>
  <c r="B585" i="38"/>
  <c r="E585" i="38" s="1"/>
  <c r="A585" i="38"/>
  <c r="A605" i="38" s="1"/>
  <c r="B584" i="38"/>
  <c r="E584" i="38" s="1"/>
  <c r="A584" i="38"/>
  <c r="A604" i="38" s="1"/>
  <c r="B583" i="38"/>
  <c r="A583" i="38"/>
  <c r="A603" i="38" s="1"/>
  <c r="B582" i="38"/>
  <c r="A582" i="38"/>
  <c r="A602" i="38" s="1"/>
  <c r="N575" i="38"/>
  <c r="G575" i="38"/>
  <c r="L575" i="38" s="1"/>
  <c r="F575" i="38"/>
  <c r="K575" i="38" s="1"/>
  <c r="E575" i="38"/>
  <c r="D575" i="38"/>
  <c r="I575" i="38" s="1"/>
  <c r="C575" i="38"/>
  <c r="O575" i="38"/>
  <c r="O574" i="38"/>
  <c r="N574" i="38"/>
  <c r="G574" i="38"/>
  <c r="L574" i="38" s="1"/>
  <c r="F574" i="38"/>
  <c r="K574" i="38" s="1"/>
  <c r="E574" i="38"/>
  <c r="J574" i="38" s="1"/>
  <c r="D574" i="38"/>
  <c r="I574" i="38" s="1"/>
  <c r="C574" i="38"/>
  <c r="O573" i="38"/>
  <c r="N573" i="38"/>
  <c r="G573" i="38"/>
  <c r="L573" i="38" s="1"/>
  <c r="F573" i="38"/>
  <c r="K573" i="38" s="1"/>
  <c r="E573" i="38"/>
  <c r="J573" i="38" s="1"/>
  <c r="D573" i="38"/>
  <c r="I573" i="38" s="1"/>
  <c r="C573" i="38"/>
  <c r="O572" i="38"/>
  <c r="N572" i="38"/>
  <c r="G572" i="38"/>
  <c r="L572" i="38" s="1"/>
  <c r="F572" i="38"/>
  <c r="K572" i="38" s="1"/>
  <c r="E572" i="38"/>
  <c r="J572" i="38" s="1"/>
  <c r="D572" i="38"/>
  <c r="I572" i="38" s="1"/>
  <c r="C572" i="38"/>
  <c r="O571" i="38"/>
  <c r="N571" i="38"/>
  <c r="G571" i="38"/>
  <c r="L571" i="38" s="1"/>
  <c r="F571" i="38"/>
  <c r="K571" i="38" s="1"/>
  <c r="E571" i="38"/>
  <c r="J571" i="38" s="1"/>
  <c r="D571" i="38"/>
  <c r="I571" i="38" s="1"/>
  <c r="C571" i="38"/>
  <c r="O570" i="38"/>
  <c r="N570" i="38"/>
  <c r="G570" i="38"/>
  <c r="L570" i="38" s="1"/>
  <c r="F570" i="38"/>
  <c r="K570" i="38" s="1"/>
  <c r="E570" i="38"/>
  <c r="J570" i="38" s="1"/>
  <c r="D570" i="38"/>
  <c r="I570" i="38" s="1"/>
  <c r="C570" i="38"/>
  <c r="O569" i="38"/>
  <c r="N569" i="38"/>
  <c r="G569" i="38"/>
  <c r="L569" i="38" s="1"/>
  <c r="F569" i="38"/>
  <c r="K569" i="38" s="1"/>
  <c r="E569" i="38"/>
  <c r="J569" i="38" s="1"/>
  <c r="D569" i="38"/>
  <c r="I569" i="38" s="1"/>
  <c r="C569" i="38"/>
  <c r="H569" i="38" s="1"/>
  <c r="O568" i="38"/>
  <c r="N568" i="38"/>
  <c r="G568" i="38"/>
  <c r="L568" i="38" s="1"/>
  <c r="F568" i="38"/>
  <c r="K568" i="38" s="1"/>
  <c r="E568" i="38"/>
  <c r="J568" i="38" s="1"/>
  <c r="D568" i="38"/>
  <c r="I568" i="38" s="1"/>
  <c r="C568" i="38"/>
  <c r="H568" i="38" s="1"/>
  <c r="O567" i="38"/>
  <c r="N567" i="38"/>
  <c r="G567" i="38"/>
  <c r="L567" i="38" s="1"/>
  <c r="F567" i="38"/>
  <c r="K567" i="38" s="1"/>
  <c r="E567" i="38"/>
  <c r="J567" i="38" s="1"/>
  <c r="D567" i="38"/>
  <c r="I567" i="38" s="1"/>
  <c r="C567" i="38"/>
  <c r="H567" i="38" s="1"/>
  <c r="O566" i="38"/>
  <c r="N566" i="38"/>
  <c r="G566" i="38"/>
  <c r="L566" i="38" s="1"/>
  <c r="F566" i="38"/>
  <c r="K566" i="38" s="1"/>
  <c r="E566" i="38"/>
  <c r="J566" i="38" s="1"/>
  <c r="D566" i="38"/>
  <c r="I566" i="38" s="1"/>
  <c r="C566" i="38"/>
  <c r="G565" i="38"/>
  <c r="F565" i="38"/>
  <c r="K565" i="38" s="1"/>
  <c r="E565" i="38"/>
  <c r="D565" i="38"/>
  <c r="C565" i="38"/>
  <c r="O564" i="38"/>
  <c r="N564" i="38"/>
  <c r="G564" i="38"/>
  <c r="L564" i="38" s="1"/>
  <c r="F564" i="38"/>
  <c r="K564" i="38" s="1"/>
  <c r="E564" i="38"/>
  <c r="I564" i="38" s="1"/>
  <c r="D564" i="38"/>
  <c r="C564" i="38"/>
  <c r="H564" i="38" s="1"/>
  <c r="O563" i="38"/>
  <c r="N563" i="38"/>
  <c r="G563" i="38"/>
  <c r="L563" i="38" s="1"/>
  <c r="F563" i="38"/>
  <c r="K563" i="38" s="1"/>
  <c r="E563" i="38"/>
  <c r="J563" i="38" s="1"/>
  <c r="D563" i="38"/>
  <c r="C563" i="38"/>
  <c r="H563" i="38" s="1"/>
  <c r="O562" i="38"/>
  <c r="N562" i="38"/>
  <c r="G562" i="38"/>
  <c r="L562" i="38" s="1"/>
  <c r="F562" i="38"/>
  <c r="K562" i="38" s="1"/>
  <c r="E562" i="38"/>
  <c r="J562" i="38" s="1"/>
  <c r="D562" i="38"/>
  <c r="I562" i="38" s="1"/>
  <c r="C562" i="38"/>
  <c r="O561" i="38"/>
  <c r="N561" i="38"/>
  <c r="G561" i="38"/>
  <c r="L561" i="38" s="1"/>
  <c r="F561" i="38"/>
  <c r="K561" i="38" s="1"/>
  <c r="E561" i="38"/>
  <c r="J561" i="38" s="1"/>
  <c r="D561" i="38"/>
  <c r="I561" i="38" s="1"/>
  <c r="C561" i="38"/>
  <c r="H561" i="38" s="1"/>
  <c r="O560" i="38"/>
  <c r="N560" i="38"/>
  <c r="G560" i="38"/>
  <c r="L560" i="38" s="1"/>
  <c r="F560" i="38"/>
  <c r="K560" i="38" s="1"/>
  <c r="E560" i="38"/>
  <c r="J560" i="38" s="1"/>
  <c r="D560" i="38"/>
  <c r="I560" i="38" s="1"/>
  <c r="C560" i="38"/>
  <c r="H560" i="38" s="1"/>
  <c r="C548" i="38"/>
  <c r="A548" i="38"/>
  <c r="C547" i="38"/>
  <c r="A547" i="38"/>
  <c r="C546" i="38"/>
  <c r="A546" i="38"/>
  <c r="C545" i="38"/>
  <c r="A545" i="38"/>
  <c r="C544" i="38"/>
  <c r="A544" i="38"/>
  <c r="C543" i="38"/>
  <c r="A543" i="38"/>
  <c r="C542" i="38"/>
  <c r="A542" i="38"/>
  <c r="C541" i="38"/>
  <c r="A541" i="38"/>
  <c r="C540" i="38"/>
  <c r="A540" i="38"/>
  <c r="C539" i="38"/>
  <c r="A539" i="38"/>
  <c r="C534" i="38"/>
  <c r="C555" i="38" s="1"/>
  <c r="A534" i="38"/>
  <c r="A555" i="38" s="1"/>
  <c r="C533" i="38"/>
  <c r="C554" i="38" s="1"/>
  <c r="A533" i="38"/>
  <c r="A554" i="38" s="1"/>
  <c r="C528" i="38"/>
  <c r="A528" i="38"/>
  <c r="C527" i="38"/>
  <c r="A527" i="38"/>
  <c r="C526" i="38"/>
  <c r="A526" i="38"/>
  <c r="C525" i="38"/>
  <c r="A525" i="38"/>
  <c r="C524" i="38"/>
  <c r="A524" i="38"/>
  <c r="C523" i="38"/>
  <c r="A523" i="38"/>
  <c r="C522" i="38"/>
  <c r="A522" i="38"/>
  <c r="C521" i="38"/>
  <c r="A521" i="38"/>
  <c r="C520" i="38"/>
  <c r="A520" i="38"/>
  <c r="C519" i="38"/>
  <c r="A519" i="38"/>
  <c r="B534" i="38"/>
  <c r="M534" i="38" s="1"/>
  <c r="B519" i="38"/>
  <c r="M519" i="38" s="1"/>
  <c r="B485" i="38"/>
  <c r="D485" i="38" s="1"/>
  <c r="A485" i="38"/>
  <c r="A491" i="38" s="1"/>
  <c r="B484" i="38"/>
  <c r="B490" i="38" s="1"/>
  <c r="A484" i="38"/>
  <c r="A490" i="38" s="1"/>
  <c r="M478" i="38"/>
  <c r="L478" i="38"/>
  <c r="J478" i="38"/>
  <c r="I478" i="38"/>
  <c r="H478" i="38"/>
  <c r="G478" i="38"/>
  <c r="M477" i="38"/>
  <c r="J477" i="38"/>
  <c r="H477" i="38"/>
  <c r="H479" i="38" s="1"/>
  <c r="H480" i="38" s="1"/>
  <c r="G477" i="38"/>
  <c r="G479" i="38" s="1"/>
  <c r="G480" i="38" s="1"/>
  <c r="I477" i="38"/>
  <c r="B466" i="38"/>
  <c r="B472" i="38" s="1"/>
  <c r="D472" i="38" s="1"/>
  <c r="A466" i="38"/>
  <c r="A472" i="38" s="1"/>
  <c r="B465" i="38"/>
  <c r="D465" i="38" s="1"/>
  <c r="A465" i="38"/>
  <c r="A471" i="38" s="1"/>
  <c r="M459" i="38"/>
  <c r="L459" i="38"/>
  <c r="J459" i="38"/>
  <c r="I459" i="38"/>
  <c r="H459" i="38"/>
  <c r="G459" i="38"/>
  <c r="M458" i="38"/>
  <c r="L458" i="38"/>
  <c r="J458" i="38"/>
  <c r="J460" i="38" s="1"/>
  <c r="J461" i="38" s="1"/>
  <c r="I458" i="38"/>
  <c r="H458" i="38"/>
  <c r="G458" i="38"/>
  <c r="C453" i="38"/>
  <c r="B453" i="38"/>
  <c r="C452" i="38"/>
  <c r="B452" i="38"/>
  <c r="B447" i="38"/>
  <c r="C447" i="38" s="1"/>
  <c r="D447" i="38" s="1"/>
  <c r="B446" i="38"/>
  <c r="D442" i="38"/>
  <c r="D443" i="38" s="1"/>
  <c r="C437" i="38"/>
  <c r="B437" i="38"/>
  <c r="C436" i="38"/>
  <c r="B436" i="38"/>
  <c r="C435" i="38"/>
  <c r="B435" i="38"/>
  <c r="C434" i="38"/>
  <c r="B434" i="38"/>
  <c r="C429" i="38"/>
  <c r="D429" i="38" s="1"/>
  <c r="E428" i="38"/>
  <c r="B428" i="38"/>
  <c r="C428" i="38" s="1"/>
  <c r="D428" i="38" s="1"/>
  <c r="C425" i="38"/>
  <c r="D425" i="38" s="1"/>
  <c r="E423" i="38"/>
  <c r="B423" i="38"/>
  <c r="E425" i="38" s="1"/>
  <c r="B419" i="38"/>
  <c r="E418" i="38" s="1"/>
  <c r="B418" i="38"/>
  <c r="E419" i="38" s="1"/>
  <c r="B415" i="38"/>
  <c r="E413" i="38" s="1"/>
  <c r="B413" i="38"/>
  <c r="C413" i="38" s="1"/>
  <c r="D413" i="38" s="1"/>
  <c r="E408" i="38"/>
  <c r="E407" i="38"/>
  <c r="E406" i="38"/>
  <c r="E405" i="38"/>
  <c r="B380" i="38"/>
  <c r="E380" i="38" s="1"/>
  <c r="A380" i="38"/>
  <c r="A400" i="38" s="1"/>
  <c r="B376" i="38"/>
  <c r="E376" i="38" s="1"/>
  <c r="A376" i="38"/>
  <c r="A396" i="38" s="1"/>
  <c r="B375" i="38"/>
  <c r="A375" i="38"/>
  <c r="A395" i="38" s="1"/>
  <c r="B374" i="38"/>
  <c r="E374" i="38" s="1"/>
  <c r="A374" i="38"/>
  <c r="A394" i="38" s="1"/>
  <c r="B373" i="38"/>
  <c r="E373" i="38" s="1"/>
  <c r="A373" i="38"/>
  <c r="A393" i="38" s="1"/>
  <c r="B372" i="38"/>
  <c r="E372" i="38" s="1"/>
  <c r="A372" i="38"/>
  <c r="A392" i="38" s="1"/>
  <c r="B371" i="38"/>
  <c r="A371" i="38"/>
  <c r="A391" i="38" s="1"/>
  <c r="B370" i="38"/>
  <c r="E370" i="38" s="1"/>
  <c r="A370" i="38"/>
  <c r="A390" i="38" s="1"/>
  <c r="B369" i="38"/>
  <c r="A369" i="38"/>
  <c r="A389" i="38" s="1"/>
  <c r="B368" i="38"/>
  <c r="E368" i="38" s="1"/>
  <c r="A368" i="38"/>
  <c r="A388" i="38" s="1"/>
  <c r="B367" i="38"/>
  <c r="A367" i="38"/>
  <c r="A387" i="38" s="1"/>
  <c r="B366" i="38"/>
  <c r="E366" i="38" s="1"/>
  <c r="A366" i="38"/>
  <c r="A386" i="38" s="1"/>
  <c r="B365" i="38"/>
  <c r="A365" i="38"/>
  <c r="A385" i="38" s="1"/>
  <c r="O358" i="38"/>
  <c r="N358" i="38"/>
  <c r="G358" i="38"/>
  <c r="L358" i="38" s="1"/>
  <c r="F358" i="38"/>
  <c r="K358" i="38" s="1"/>
  <c r="E358" i="38"/>
  <c r="J358" i="38" s="1"/>
  <c r="D358" i="38"/>
  <c r="I358" i="38" s="1"/>
  <c r="C358" i="38"/>
  <c r="H358" i="38" s="1"/>
  <c r="O357" i="38"/>
  <c r="N357" i="38"/>
  <c r="G357" i="38"/>
  <c r="L357" i="38" s="1"/>
  <c r="F357" i="38"/>
  <c r="K357" i="38" s="1"/>
  <c r="E357" i="38"/>
  <c r="J357" i="38" s="1"/>
  <c r="D357" i="38"/>
  <c r="I357" i="38" s="1"/>
  <c r="C357" i="38"/>
  <c r="O356" i="38"/>
  <c r="N356" i="38"/>
  <c r="G356" i="38"/>
  <c r="L356" i="38" s="1"/>
  <c r="F356" i="38"/>
  <c r="K356" i="38" s="1"/>
  <c r="E356" i="38"/>
  <c r="J356" i="38" s="1"/>
  <c r="D356" i="38"/>
  <c r="I356" i="38" s="1"/>
  <c r="C356" i="38"/>
  <c r="O355" i="38"/>
  <c r="N355" i="38"/>
  <c r="G355" i="38"/>
  <c r="L355" i="38" s="1"/>
  <c r="F355" i="38"/>
  <c r="K355" i="38" s="1"/>
  <c r="E355" i="38"/>
  <c r="J355" i="38" s="1"/>
  <c r="D355" i="38"/>
  <c r="I355" i="38" s="1"/>
  <c r="C355" i="38"/>
  <c r="O354" i="38"/>
  <c r="N354" i="38"/>
  <c r="G354" i="38"/>
  <c r="L354" i="38" s="1"/>
  <c r="F354" i="38"/>
  <c r="K354" i="38" s="1"/>
  <c r="E354" i="38"/>
  <c r="J354" i="38" s="1"/>
  <c r="D354" i="38"/>
  <c r="I354" i="38" s="1"/>
  <c r="C354" i="38"/>
  <c r="O353" i="38"/>
  <c r="N353" i="38"/>
  <c r="G353" i="38"/>
  <c r="L353" i="38" s="1"/>
  <c r="F353" i="38"/>
  <c r="K353" i="38" s="1"/>
  <c r="E353" i="38"/>
  <c r="J353" i="38" s="1"/>
  <c r="D353" i="38"/>
  <c r="I353" i="38" s="1"/>
  <c r="C353" i="38"/>
  <c r="O352" i="38"/>
  <c r="N352" i="38"/>
  <c r="G352" i="38"/>
  <c r="L352" i="38" s="1"/>
  <c r="F352" i="38"/>
  <c r="K352" i="38" s="1"/>
  <c r="E352" i="38"/>
  <c r="J352" i="38" s="1"/>
  <c r="D352" i="38"/>
  <c r="I352" i="38" s="1"/>
  <c r="C352" i="38"/>
  <c r="O351" i="38"/>
  <c r="N351" i="38"/>
  <c r="G351" i="38"/>
  <c r="L351" i="38" s="1"/>
  <c r="F351" i="38"/>
  <c r="K351" i="38" s="1"/>
  <c r="E351" i="38"/>
  <c r="J351" i="38" s="1"/>
  <c r="D351" i="38"/>
  <c r="I351" i="38" s="1"/>
  <c r="C351" i="38"/>
  <c r="H351" i="38" s="1"/>
  <c r="O350" i="38"/>
  <c r="N350" i="38"/>
  <c r="G350" i="38"/>
  <c r="L350" i="38" s="1"/>
  <c r="F350" i="38"/>
  <c r="K350" i="38" s="1"/>
  <c r="E350" i="38"/>
  <c r="J350" i="38" s="1"/>
  <c r="D350" i="38"/>
  <c r="I350" i="38" s="1"/>
  <c r="C350" i="38"/>
  <c r="O349" i="38"/>
  <c r="N349" i="38"/>
  <c r="G349" i="38"/>
  <c r="L349" i="38" s="1"/>
  <c r="F349" i="38"/>
  <c r="K349" i="38" s="1"/>
  <c r="E349" i="38"/>
  <c r="J349" i="38" s="1"/>
  <c r="D349" i="38"/>
  <c r="I349" i="38" s="1"/>
  <c r="C349" i="38"/>
  <c r="O348" i="38"/>
  <c r="N348" i="38"/>
  <c r="G348" i="38"/>
  <c r="L348" i="38" s="1"/>
  <c r="F348" i="38"/>
  <c r="K348" i="38" s="1"/>
  <c r="E348" i="38"/>
  <c r="J348" i="38" s="1"/>
  <c r="D348" i="38"/>
  <c r="I348" i="38" s="1"/>
  <c r="C348" i="38"/>
  <c r="H348" i="38" s="1"/>
  <c r="O347" i="38"/>
  <c r="N347" i="38"/>
  <c r="G347" i="38"/>
  <c r="L347" i="38" s="1"/>
  <c r="F347" i="38"/>
  <c r="K347" i="38" s="1"/>
  <c r="E347" i="38"/>
  <c r="I347" i="38" s="1"/>
  <c r="D347" i="38"/>
  <c r="C347" i="38"/>
  <c r="O346" i="38"/>
  <c r="N346" i="38"/>
  <c r="G346" i="38"/>
  <c r="L346" i="38" s="1"/>
  <c r="F346" i="38"/>
  <c r="K346" i="38" s="1"/>
  <c r="E346" i="38"/>
  <c r="I346" i="38" s="1"/>
  <c r="D346" i="38"/>
  <c r="C346" i="38"/>
  <c r="O345" i="38"/>
  <c r="N345" i="38"/>
  <c r="G345" i="38"/>
  <c r="L345" i="38" s="1"/>
  <c r="F345" i="38"/>
  <c r="K345" i="38" s="1"/>
  <c r="E345" i="38"/>
  <c r="J345" i="38" s="1"/>
  <c r="D345" i="38"/>
  <c r="I345" i="38" s="1"/>
  <c r="C345" i="38"/>
  <c r="H345" i="38" s="1"/>
  <c r="O344" i="38"/>
  <c r="N344" i="38"/>
  <c r="G344" i="38"/>
  <c r="L344" i="38" s="1"/>
  <c r="F344" i="38"/>
  <c r="K344" i="38" s="1"/>
  <c r="E344" i="38"/>
  <c r="J344" i="38" s="1"/>
  <c r="D344" i="38"/>
  <c r="I344" i="38" s="1"/>
  <c r="C344" i="38"/>
  <c r="O343" i="38"/>
  <c r="N343" i="38"/>
  <c r="G343" i="38"/>
  <c r="L343" i="38" s="1"/>
  <c r="F343" i="38"/>
  <c r="K343" i="38" s="1"/>
  <c r="E343" i="38"/>
  <c r="J343" i="38" s="1"/>
  <c r="D343" i="38"/>
  <c r="I343" i="38" s="1"/>
  <c r="C343" i="38"/>
  <c r="C338" i="38"/>
  <c r="C617" i="38" s="1"/>
  <c r="C337" i="38"/>
  <c r="C616" i="38" s="1"/>
  <c r="C336" i="38"/>
  <c r="C832" i="38" s="1"/>
  <c r="C335" i="38"/>
  <c r="C614" i="38" s="1"/>
  <c r="C334" i="38"/>
  <c r="C613" i="38" s="1"/>
  <c r="C333" i="38"/>
  <c r="C612" i="38" s="1"/>
  <c r="C332" i="38"/>
  <c r="C611" i="38" s="1"/>
  <c r="C331" i="38"/>
  <c r="C610" i="38" s="1"/>
  <c r="C330" i="38"/>
  <c r="C609" i="38" s="1"/>
  <c r="C329" i="38"/>
  <c r="C608" i="38" s="1"/>
  <c r="C328" i="38"/>
  <c r="C607" i="38" s="1"/>
  <c r="C327" i="38"/>
  <c r="C606" i="38" s="1"/>
  <c r="C326" i="38"/>
  <c r="C605" i="38" s="1"/>
  <c r="C325" i="38"/>
  <c r="C604" i="38" s="1"/>
  <c r="C324" i="38"/>
  <c r="C386" i="38" s="1"/>
  <c r="C323" i="38"/>
  <c r="C602" i="38" s="1"/>
  <c r="C597" i="38"/>
  <c r="B318" i="38"/>
  <c r="E318" i="38" s="1"/>
  <c r="A318" i="38"/>
  <c r="A338" i="38" s="1"/>
  <c r="B317" i="38"/>
  <c r="E317" i="38" s="1"/>
  <c r="A317" i="38"/>
  <c r="A337" i="38" s="1"/>
  <c r="B316" i="38"/>
  <c r="E316" i="38" s="1"/>
  <c r="A316" i="38"/>
  <c r="A336" i="38" s="1"/>
  <c r="B315" i="38"/>
  <c r="A315" i="38"/>
  <c r="A335" i="38" s="1"/>
  <c r="B314" i="38"/>
  <c r="E314" i="38" s="1"/>
  <c r="A314" i="38"/>
  <c r="A334" i="38" s="1"/>
  <c r="B313" i="38"/>
  <c r="E313" i="38" s="1"/>
  <c r="A313" i="38"/>
  <c r="A333" i="38" s="1"/>
  <c r="B312" i="38"/>
  <c r="E312" i="38" s="1"/>
  <c r="A312" i="38"/>
  <c r="A332" i="38" s="1"/>
  <c r="B311" i="38"/>
  <c r="E311" i="38" s="1"/>
  <c r="A311" i="38"/>
  <c r="A331" i="38" s="1"/>
  <c r="B310" i="38"/>
  <c r="E310" i="38" s="1"/>
  <c r="A310" i="38"/>
  <c r="A330" i="38" s="1"/>
  <c r="B309" i="38"/>
  <c r="E309" i="38" s="1"/>
  <c r="A309" i="38"/>
  <c r="A329" i="38" s="1"/>
  <c r="B308" i="38"/>
  <c r="E308" i="38" s="1"/>
  <c r="A308" i="38"/>
  <c r="A328" i="38" s="1"/>
  <c r="B307" i="38"/>
  <c r="A307" i="38"/>
  <c r="A327" i="38" s="1"/>
  <c r="B306" i="38"/>
  <c r="E306" i="38" s="1"/>
  <c r="A306" i="38"/>
  <c r="A326" i="38" s="1"/>
  <c r="B305" i="38"/>
  <c r="E305" i="38" s="1"/>
  <c r="A305" i="38"/>
  <c r="A325" i="38" s="1"/>
  <c r="B304" i="38"/>
  <c r="E304" i="38" s="1"/>
  <c r="A304" i="38"/>
  <c r="A324" i="38" s="1"/>
  <c r="B303" i="38"/>
  <c r="E303" i="38" s="1"/>
  <c r="A303" i="38"/>
  <c r="A323" i="38" s="1"/>
  <c r="Q575" i="38"/>
  <c r="O296" i="38"/>
  <c r="N296" i="38"/>
  <c r="L296" i="38"/>
  <c r="J296" i="38"/>
  <c r="I296" i="38"/>
  <c r="H296" i="38"/>
  <c r="O295" i="38"/>
  <c r="N295" i="38"/>
  <c r="L295" i="38"/>
  <c r="J295" i="38"/>
  <c r="I295" i="38"/>
  <c r="H295" i="38"/>
  <c r="O294" i="38"/>
  <c r="N294" i="38"/>
  <c r="L294" i="38"/>
  <c r="J294" i="38"/>
  <c r="I294" i="38"/>
  <c r="H294" i="38"/>
  <c r="O293" i="38"/>
  <c r="N293" i="38"/>
  <c r="L293" i="38"/>
  <c r="J293" i="38"/>
  <c r="I293" i="38"/>
  <c r="H293" i="38"/>
  <c r="O292" i="38"/>
  <c r="N292" i="38"/>
  <c r="L292" i="38"/>
  <c r="J292" i="38"/>
  <c r="I292" i="38"/>
  <c r="H292" i="38"/>
  <c r="O291" i="38"/>
  <c r="N291" i="38"/>
  <c r="L291" i="38"/>
  <c r="J291" i="38"/>
  <c r="I291" i="38"/>
  <c r="H291" i="38"/>
  <c r="O290" i="38"/>
  <c r="N290" i="38"/>
  <c r="L290" i="38"/>
  <c r="J290" i="38"/>
  <c r="I290" i="38"/>
  <c r="H290" i="38"/>
  <c r="O289" i="38"/>
  <c r="N289" i="38"/>
  <c r="L289" i="38"/>
  <c r="J289" i="38"/>
  <c r="I289" i="38"/>
  <c r="H289" i="38"/>
  <c r="O288" i="38"/>
  <c r="N288" i="38"/>
  <c r="L288" i="38"/>
  <c r="J288" i="38"/>
  <c r="I288" i="38"/>
  <c r="H288" i="38"/>
  <c r="O287" i="38"/>
  <c r="N287" i="38"/>
  <c r="L287" i="38"/>
  <c r="J287" i="38"/>
  <c r="I287" i="38"/>
  <c r="H287" i="38"/>
  <c r="O286" i="38"/>
  <c r="N286" i="38"/>
  <c r="L286" i="38"/>
  <c r="J286" i="38"/>
  <c r="I286" i="38"/>
  <c r="H286" i="38"/>
  <c r="O285" i="38"/>
  <c r="N285" i="38"/>
  <c r="L285" i="38"/>
  <c r="J285" i="38"/>
  <c r="I285" i="38"/>
  <c r="H285" i="38"/>
  <c r="O284" i="38"/>
  <c r="N284" i="38"/>
  <c r="L284" i="38"/>
  <c r="J284" i="38"/>
  <c r="I284" i="38"/>
  <c r="H284" i="38"/>
  <c r="O283" i="38"/>
  <c r="N283" i="38"/>
  <c r="L283" i="38"/>
  <c r="J283" i="38"/>
  <c r="I283" i="38"/>
  <c r="H283" i="38"/>
  <c r="O282" i="38"/>
  <c r="N282" i="38"/>
  <c r="L282" i="38"/>
  <c r="J282" i="38"/>
  <c r="I282" i="38"/>
  <c r="H282" i="38"/>
  <c r="O281" i="38"/>
  <c r="N281" i="38"/>
  <c r="L281" i="38"/>
  <c r="J281" i="38"/>
  <c r="I281" i="38"/>
  <c r="H281" i="38"/>
  <c r="D269" i="38"/>
  <c r="D548" i="38" s="1"/>
  <c r="C269" i="38"/>
  <c r="A269" i="38"/>
  <c r="D268" i="38"/>
  <c r="D547" i="38" s="1"/>
  <c r="C268" i="38"/>
  <c r="A268" i="38"/>
  <c r="D267" i="38"/>
  <c r="D546" i="38" s="1"/>
  <c r="C267" i="38"/>
  <c r="A267" i="38"/>
  <c r="D266" i="38"/>
  <c r="D545" i="38" s="1"/>
  <c r="C266" i="38"/>
  <c r="A266" i="38"/>
  <c r="D265" i="38"/>
  <c r="D544" i="38" s="1"/>
  <c r="C265" i="38"/>
  <c r="A265" i="38"/>
  <c r="D264" i="38"/>
  <c r="D543" i="38" s="1"/>
  <c r="C264" i="38"/>
  <c r="A264" i="38"/>
  <c r="C263" i="38"/>
  <c r="A263" i="38"/>
  <c r="D262" i="38"/>
  <c r="D541" i="38" s="1"/>
  <c r="C262" i="38"/>
  <c r="A262" i="38"/>
  <c r="C261" i="38"/>
  <c r="A261" i="38"/>
  <c r="C260" i="38"/>
  <c r="B260" i="38"/>
  <c r="A260" i="38"/>
  <c r="P255" i="38"/>
  <c r="P534" i="38" s="1"/>
  <c r="C255" i="38"/>
  <c r="C276" i="38" s="1"/>
  <c r="A255" i="38"/>
  <c r="A276" i="38" s="1"/>
  <c r="P254" i="38"/>
  <c r="P533" i="38" s="1"/>
  <c r="C254" i="38"/>
  <c r="C275" i="38" s="1"/>
  <c r="B254" i="38"/>
  <c r="M254" i="38" s="1"/>
  <c r="A254" i="38"/>
  <c r="A275" i="38" s="1"/>
  <c r="P249" i="38"/>
  <c r="P528" i="38" s="1"/>
  <c r="G249" i="38"/>
  <c r="G528" i="38" s="1"/>
  <c r="F249" i="38"/>
  <c r="F528" i="38" s="1"/>
  <c r="E249" i="38"/>
  <c r="E528" i="38" s="1"/>
  <c r="D249" i="38"/>
  <c r="D528" i="38" s="1"/>
  <c r="C249" i="38"/>
  <c r="A249" i="38"/>
  <c r="P248" i="38"/>
  <c r="P527" i="38" s="1"/>
  <c r="G248" i="38"/>
  <c r="G527" i="38" s="1"/>
  <c r="F248" i="38"/>
  <c r="F527" i="38" s="1"/>
  <c r="E248" i="38"/>
  <c r="E527" i="38" s="1"/>
  <c r="D248" i="38"/>
  <c r="D527" i="38" s="1"/>
  <c r="C248" i="38"/>
  <c r="A248" i="38"/>
  <c r="P247" i="38"/>
  <c r="P526" i="38" s="1"/>
  <c r="G247" i="38"/>
  <c r="G526" i="38" s="1"/>
  <c r="F247" i="38"/>
  <c r="F526" i="38" s="1"/>
  <c r="E247" i="38"/>
  <c r="E526" i="38" s="1"/>
  <c r="D247" i="38"/>
  <c r="D526" i="38" s="1"/>
  <c r="C247" i="38"/>
  <c r="A247" i="38"/>
  <c r="P246" i="38"/>
  <c r="P525" i="38" s="1"/>
  <c r="G246" i="38"/>
  <c r="G525" i="38" s="1"/>
  <c r="F246" i="38"/>
  <c r="F525" i="38" s="1"/>
  <c r="E246" i="38"/>
  <c r="E525" i="38" s="1"/>
  <c r="D246" i="38"/>
  <c r="D525" i="38" s="1"/>
  <c r="C246" i="38"/>
  <c r="A246" i="38"/>
  <c r="P245" i="38"/>
  <c r="P524" i="38" s="1"/>
  <c r="G245" i="38"/>
  <c r="G524" i="38" s="1"/>
  <c r="F245" i="38"/>
  <c r="F524" i="38" s="1"/>
  <c r="E245" i="38"/>
  <c r="E524" i="38" s="1"/>
  <c r="D245" i="38"/>
  <c r="D524" i="38" s="1"/>
  <c r="C245" i="38"/>
  <c r="A245" i="38"/>
  <c r="G244" i="38"/>
  <c r="G523" i="38" s="1"/>
  <c r="F244" i="38"/>
  <c r="F523" i="38" s="1"/>
  <c r="E244" i="38"/>
  <c r="E523" i="38" s="1"/>
  <c r="D244" i="38"/>
  <c r="D523" i="38" s="1"/>
  <c r="C244" i="38"/>
  <c r="A244" i="38"/>
  <c r="G243" i="38"/>
  <c r="G522" i="38" s="1"/>
  <c r="F243" i="38"/>
  <c r="F522" i="38" s="1"/>
  <c r="E243" i="38"/>
  <c r="E522" i="38" s="1"/>
  <c r="D243" i="38"/>
  <c r="D522" i="38" s="1"/>
  <c r="C243" i="38"/>
  <c r="A243" i="38"/>
  <c r="G242" i="38"/>
  <c r="G521" i="38" s="1"/>
  <c r="F242" i="38"/>
  <c r="F521" i="38" s="1"/>
  <c r="E242" i="38"/>
  <c r="E521" i="38" s="1"/>
  <c r="D242" i="38"/>
  <c r="D521" i="38" s="1"/>
  <c r="C242" i="38"/>
  <c r="A242" i="38"/>
  <c r="G241" i="38"/>
  <c r="G520" i="38" s="1"/>
  <c r="F241" i="38"/>
  <c r="F520" i="38" s="1"/>
  <c r="E241" i="38"/>
  <c r="E520" i="38" s="1"/>
  <c r="D241" i="38"/>
  <c r="D520" i="38" s="1"/>
  <c r="C241" i="38"/>
  <c r="A241" i="38"/>
  <c r="G240" i="38"/>
  <c r="G519" i="38" s="1"/>
  <c r="F240" i="38"/>
  <c r="F519" i="38" s="1"/>
  <c r="E240" i="38"/>
  <c r="E519" i="38" s="1"/>
  <c r="D240" i="38"/>
  <c r="D519" i="38" s="1"/>
  <c r="C240" i="38"/>
  <c r="B240" i="38"/>
  <c r="M240" i="38" s="1"/>
  <c r="A240" i="38"/>
  <c r="B222" i="38"/>
  <c r="B255" i="38" s="1"/>
  <c r="A212" i="38"/>
  <c r="B211" i="38"/>
  <c r="D211" i="38" s="1"/>
  <c r="A211" i="38"/>
  <c r="B206" i="38"/>
  <c r="B212" i="38" s="1"/>
  <c r="D212" i="38" s="1"/>
  <c r="M199" i="38"/>
  <c r="L199" i="38"/>
  <c r="J199" i="38"/>
  <c r="I199" i="38"/>
  <c r="H199" i="38"/>
  <c r="G199" i="38"/>
  <c r="M198" i="38"/>
  <c r="L198" i="38"/>
  <c r="J198" i="38"/>
  <c r="I198" i="38"/>
  <c r="H198" i="38"/>
  <c r="G198" i="38"/>
  <c r="B187" i="38"/>
  <c r="B193" i="38" s="1"/>
  <c r="D193" i="38" s="1"/>
  <c r="A187" i="38"/>
  <c r="A193" i="38" s="1"/>
  <c r="D186" i="38"/>
  <c r="A186" i="38"/>
  <c r="A192" i="38" s="1"/>
  <c r="M180" i="38"/>
  <c r="L180" i="38"/>
  <c r="J180" i="38"/>
  <c r="I180" i="38"/>
  <c r="H180" i="38"/>
  <c r="G180" i="38"/>
  <c r="M179" i="38"/>
  <c r="L179" i="38"/>
  <c r="J179" i="38"/>
  <c r="I179" i="38"/>
  <c r="H179" i="38"/>
  <c r="G179" i="38"/>
  <c r="B174" i="38"/>
  <c r="C173" i="38"/>
  <c r="B173" i="38"/>
  <c r="B168" i="38"/>
  <c r="B167" i="38"/>
  <c r="E168" i="38" s="1"/>
  <c r="D162" i="38"/>
  <c r="D163" i="38" s="1"/>
  <c r="D164" i="38" s="1"/>
  <c r="C150" i="38"/>
  <c r="D150" i="38" s="1"/>
  <c r="E149" i="38"/>
  <c r="B149" i="38"/>
  <c r="E150" i="38" s="1"/>
  <c r="C146" i="38"/>
  <c r="D146" i="38" s="1"/>
  <c r="E144" i="38"/>
  <c r="B144" i="38"/>
  <c r="E146" i="38" s="1"/>
  <c r="B140" i="38"/>
  <c r="C140" i="38" s="1"/>
  <c r="D140" i="38" s="1"/>
  <c r="B139" i="38"/>
  <c r="E140" i="38" s="1"/>
  <c r="C136" i="38"/>
  <c r="D136" i="38" s="1"/>
  <c r="E134" i="38"/>
  <c r="B134" i="38"/>
  <c r="C134" i="38" s="1"/>
  <c r="D134" i="38" s="1"/>
  <c r="E129" i="38"/>
  <c r="E128" i="38"/>
  <c r="E127" i="38"/>
  <c r="E126" i="38"/>
  <c r="D276" i="38"/>
  <c r="D555" i="38" s="1"/>
  <c r="D275" i="38"/>
  <c r="D554" i="38" s="1"/>
  <c r="A114" i="38"/>
  <c r="A113" i="38"/>
  <c r="A112" i="38"/>
  <c r="A111" i="38"/>
  <c r="A110" i="38"/>
  <c r="A109" i="38"/>
  <c r="D263" i="38"/>
  <c r="D542" i="38" s="1"/>
  <c r="A108" i="38"/>
  <c r="A107" i="38"/>
  <c r="D261" i="38"/>
  <c r="D540" i="38" s="1"/>
  <c r="A106" i="38"/>
  <c r="D260" i="38"/>
  <c r="D539" i="38" s="1"/>
  <c r="A105" i="38"/>
  <c r="C100" i="38"/>
  <c r="C121" i="38" s="1"/>
  <c r="A100" i="38"/>
  <c r="A121" i="38" s="1"/>
  <c r="C99" i="38"/>
  <c r="C120" i="38" s="1"/>
  <c r="A99" i="38"/>
  <c r="A120" i="38" s="1"/>
  <c r="C94" i="38"/>
  <c r="A94" i="38"/>
  <c r="C93" i="38"/>
  <c r="C113" i="38" s="1"/>
  <c r="A93" i="38"/>
  <c r="C92" i="38"/>
  <c r="C112" i="38" s="1"/>
  <c r="A92" i="38"/>
  <c r="C91" i="38"/>
  <c r="A91" i="38"/>
  <c r="C90" i="38"/>
  <c r="C110" i="38" s="1"/>
  <c r="A90" i="38"/>
  <c r="C89" i="38"/>
  <c r="C109" i="38" s="1"/>
  <c r="A89" i="38"/>
  <c r="P243" i="38"/>
  <c r="P522" i="38" s="1"/>
  <c r="C88" i="38"/>
  <c r="C108" i="38" s="1"/>
  <c r="A88" i="38"/>
  <c r="P242" i="38"/>
  <c r="P521" i="38" s="1"/>
  <c r="C87" i="38"/>
  <c r="C107" i="38" s="1"/>
  <c r="A87" i="38"/>
  <c r="P241" i="38"/>
  <c r="P520" i="38" s="1"/>
  <c r="C86" i="38"/>
  <c r="C106" i="38" s="1"/>
  <c r="A86" i="38"/>
  <c r="P240" i="38"/>
  <c r="P519" i="38" s="1"/>
  <c r="C85" i="38"/>
  <c r="C105" i="38" s="1"/>
  <c r="A85" i="38"/>
  <c r="C61" i="38"/>
  <c r="B61" i="38"/>
  <c r="C60" i="38"/>
  <c r="B60" i="38"/>
  <c r="C59" i="38"/>
  <c r="B59" i="38"/>
  <c r="N53" i="38"/>
  <c r="G53" i="38"/>
  <c r="I53" i="38" s="1"/>
  <c r="B53" i="38"/>
  <c r="K53" i="38" s="1"/>
  <c r="N52" i="38"/>
  <c r="G52" i="38"/>
  <c r="I52" i="38" s="1"/>
  <c r="B52" i="38"/>
  <c r="K52" i="38" s="1"/>
  <c r="N51" i="38"/>
  <c r="G51" i="38"/>
  <c r="I51" i="38" s="1"/>
  <c r="B51" i="38"/>
  <c r="K51" i="38" s="1"/>
  <c r="C45" i="38"/>
  <c r="B45" i="38"/>
  <c r="C44" i="38"/>
  <c r="B44" i="38"/>
  <c r="C43" i="38"/>
  <c r="B43" i="38"/>
  <c r="F36" i="38"/>
  <c r="D36" i="38"/>
  <c r="B36" i="38"/>
  <c r="F35" i="38"/>
  <c r="D35" i="38"/>
  <c r="B35" i="38"/>
  <c r="F34" i="38"/>
  <c r="D34" i="38"/>
  <c r="B34" i="38"/>
  <c r="F33" i="38"/>
  <c r="C27" i="38"/>
  <c r="D27" i="38" s="1"/>
  <c r="E27" i="38"/>
  <c r="B21" i="38"/>
  <c r="B19" i="38"/>
  <c r="B17" i="38"/>
  <c r="C17" i="38" s="1"/>
  <c r="D17" i="38" s="1"/>
  <c r="B15" i="38"/>
  <c r="E17" i="38" s="1"/>
  <c r="B12" i="38"/>
  <c r="E10" i="38" s="1"/>
  <c r="B11" i="38"/>
  <c r="B10" i="38"/>
  <c r="E12" i="38" s="1"/>
  <c r="B9" i="38"/>
  <c r="B24" i="38" s="1"/>
  <c r="B7" i="38"/>
  <c r="E5" i="38" s="1"/>
  <c r="B5" i="38"/>
  <c r="C5" i="38" s="1"/>
  <c r="D5" i="38" s="1"/>
  <c r="B33" i="38"/>
  <c r="D33" i="38"/>
  <c r="D887" i="38" l="1"/>
  <c r="G894" i="38"/>
  <c r="G895" i="38" s="1"/>
  <c r="F969" i="38"/>
  <c r="G969" i="38" s="1"/>
  <c r="D924" i="38"/>
  <c r="N892" i="38"/>
  <c r="B397" i="38"/>
  <c r="D900" i="38"/>
  <c r="D868" i="38"/>
  <c r="F630" i="38"/>
  <c r="G630" i="38" s="1"/>
  <c r="B275" i="38"/>
  <c r="F645" i="38"/>
  <c r="G645" i="38" s="1"/>
  <c r="F663" i="38"/>
  <c r="F665" i="38" s="1"/>
  <c r="D669" i="38"/>
  <c r="J1058" i="1"/>
  <c r="G1187" i="1"/>
  <c r="J1187" i="1" s="1"/>
  <c r="G1144" i="1"/>
  <c r="J1144" i="1" s="1"/>
  <c r="L359" i="38"/>
  <c r="L360" i="38" s="1"/>
  <c r="E68" i="38"/>
  <c r="N198" i="38"/>
  <c r="P198" i="38" s="1"/>
  <c r="B395" i="38"/>
  <c r="E375" i="38"/>
  <c r="B822" i="38"/>
  <c r="E802" i="38"/>
  <c r="B826" i="38"/>
  <c r="E806" i="38"/>
  <c r="B830" i="38"/>
  <c r="E810" i="38"/>
  <c r="I913" i="38"/>
  <c r="I914" i="38" s="1"/>
  <c r="B398" i="38"/>
  <c r="E378" i="38"/>
  <c r="C635" i="38"/>
  <c r="D635" i="38" s="1"/>
  <c r="F635" i="38" s="1"/>
  <c r="G635" i="38" s="1"/>
  <c r="B970" i="38"/>
  <c r="C847" i="38"/>
  <c r="D847" i="38" s="1"/>
  <c r="F847" i="38" s="1"/>
  <c r="G847" i="38" s="1"/>
  <c r="C880" i="38"/>
  <c r="D880" i="38" s="1"/>
  <c r="I894" i="38"/>
  <c r="I895" i="38" s="1"/>
  <c r="B391" i="38"/>
  <c r="E371" i="38"/>
  <c r="F642" i="38"/>
  <c r="G642" i="38" s="1"/>
  <c r="B824" i="38"/>
  <c r="E804" i="38"/>
  <c r="B828" i="38"/>
  <c r="E808" i="38"/>
  <c r="B832" i="38"/>
  <c r="D832" i="38" s="1"/>
  <c r="E812" i="38"/>
  <c r="B327" i="38"/>
  <c r="D327" i="38" s="1"/>
  <c r="E307" i="38"/>
  <c r="B335" i="38"/>
  <c r="D335" i="38" s="1"/>
  <c r="E315" i="38"/>
  <c r="F428" i="38"/>
  <c r="G428" i="38" s="1"/>
  <c r="D652" i="38"/>
  <c r="F957" i="38"/>
  <c r="G957" i="38" s="1"/>
  <c r="B819" i="38"/>
  <c r="E799" i="38"/>
  <c r="B825" i="38"/>
  <c r="E805" i="38"/>
  <c r="B829" i="38"/>
  <c r="E809" i="38"/>
  <c r="B831" i="38"/>
  <c r="E811" i="38"/>
  <c r="B833" i="38"/>
  <c r="E813" i="38"/>
  <c r="G913" i="38"/>
  <c r="G914" i="38" s="1"/>
  <c r="N911" i="38"/>
  <c r="P911" i="38" s="1"/>
  <c r="B399" i="38"/>
  <c r="B827" i="38"/>
  <c r="E807" i="38"/>
  <c r="B823" i="38"/>
  <c r="E803" i="38"/>
  <c r="B821" i="38"/>
  <c r="E801" i="38"/>
  <c r="B820" i="38"/>
  <c r="E800" i="38"/>
  <c r="B603" i="38"/>
  <c r="E583" i="38"/>
  <c r="B602" i="38"/>
  <c r="D602" i="38" s="1"/>
  <c r="E582" i="38"/>
  <c r="B606" i="38"/>
  <c r="D606" i="38" s="1"/>
  <c r="E586" i="38"/>
  <c r="B611" i="38"/>
  <c r="E591" i="38"/>
  <c r="B615" i="38"/>
  <c r="E595" i="38"/>
  <c r="B610" i="38"/>
  <c r="D610" i="38" s="1"/>
  <c r="E590" i="38"/>
  <c r="B614" i="38"/>
  <c r="E594" i="38"/>
  <c r="B385" i="38"/>
  <c r="E365" i="38"/>
  <c r="B387" i="38"/>
  <c r="E367" i="38"/>
  <c r="B389" i="38"/>
  <c r="E369" i="38"/>
  <c r="G1101" i="1"/>
  <c r="P281" i="38"/>
  <c r="R281" i="38" s="1"/>
  <c r="J479" i="38"/>
  <c r="J480" i="38" s="1"/>
  <c r="I200" i="38"/>
  <c r="N199" i="38"/>
  <c r="P199" i="38" s="1"/>
  <c r="J200" i="38"/>
  <c r="J201" i="38" s="1"/>
  <c r="P563" i="38"/>
  <c r="P791" i="38"/>
  <c r="N478" i="38"/>
  <c r="P478" i="38" s="1"/>
  <c r="E74" i="38"/>
  <c r="E446" i="38"/>
  <c r="D453" i="38"/>
  <c r="I460" i="38"/>
  <c r="I461" i="38" s="1"/>
  <c r="D654" i="38"/>
  <c r="E664" i="38"/>
  <c r="F664" i="38" s="1"/>
  <c r="F666" i="38" s="1"/>
  <c r="B968" i="38"/>
  <c r="C1004" i="38"/>
  <c r="E763" i="38"/>
  <c r="I736" i="38"/>
  <c r="N739" i="38"/>
  <c r="O739" i="38" s="1"/>
  <c r="Q739" i="38" s="1"/>
  <c r="P784" i="38"/>
  <c r="R784" i="38" s="1"/>
  <c r="E843" i="38"/>
  <c r="F857" i="38"/>
  <c r="G857" i="38" s="1"/>
  <c r="C862" i="38"/>
  <c r="D862" i="38" s="1"/>
  <c r="F862" i="38" s="1"/>
  <c r="G862" i="38" s="1"/>
  <c r="D870" i="38"/>
  <c r="E880" i="38"/>
  <c r="H894" i="38"/>
  <c r="H895" i="38" s="1"/>
  <c r="D899" i="38"/>
  <c r="D901" i="38" s="1"/>
  <c r="B906" i="38"/>
  <c r="D906" i="38" s="1"/>
  <c r="D907" i="38" s="1"/>
  <c r="H913" i="38"/>
  <c r="H914" i="38" s="1"/>
  <c r="N179" i="38"/>
  <c r="P179" i="38" s="1"/>
  <c r="D206" i="38"/>
  <c r="F146" i="38"/>
  <c r="G146" i="38" s="1"/>
  <c r="G181" i="38"/>
  <c r="G182" i="38" s="1"/>
  <c r="G200" i="38"/>
  <c r="C640" i="38"/>
  <c r="D640" i="38" s="1"/>
  <c r="F640" i="38" s="1"/>
  <c r="G640" i="38" s="1"/>
  <c r="F964" i="38"/>
  <c r="G964" i="38" s="1"/>
  <c r="F976" i="38"/>
  <c r="G976" i="38" s="1"/>
  <c r="E760" i="38"/>
  <c r="P779" i="38"/>
  <c r="P781" i="38"/>
  <c r="R781" i="38" s="1"/>
  <c r="D869" i="38"/>
  <c r="D871" i="38"/>
  <c r="J894" i="38"/>
  <c r="J895" i="38" s="1"/>
  <c r="N893" i="38"/>
  <c r="P893" i="38" s="1"/>
  <c r="P894" i="38" s="1"/>
  <c r="P895" i="38" s="1"/>
  <c r="J913" i="38"/>
  <c r="J914" i="38" s="1"/>
  <c r="N912" i="38"/>
  <c r="P912" i="38" s="1"/>
  <c r="D919" i="38"/>
  <c r="C174" i="38"/>
  <c r="D174" i="38" s="1"/>
  <c r="H200" i="38"/>
  <c r="D213" i="38"/>
  <c r="P295" i="38"/>
  <c r="R295" i="38" s="1"/>
  <c r="E632" i="38"/>
  <c r="F632" i="38" s="1"/>
  <c r="G632" i="38" s="1"/>
  <c r="P892" i="38"/>
  <c r="D926" i="38"/>
  <c r="P288" i="38"/>
  <c r="R288" i="38" s="1"/>
  <c r="P292" i="38"/>
  <c r="J347" i="38"/>
  <c r="P356" i="38"/>
  <c r="D436" i="38"/>
  <c r="P568" i="38"/>
  <c r="R568" i="38" s="1"/>
  <c r="P282" i="38"/>
  <c r="R282" i="38" s="1"/>
  <c r="P286" i="38"/>
  <c r="R286" i="38" s="1"/>
  <c r="P290" i="38"/>
  <c r="R290" i="38" s="1"/>
  <c r="P294" i="38"/>
  <c r="R294" i="38" s="1"/>
  <c r="P344" i="38"/>
  <c r="P349" i="38"/>
  <c r="P353" i="38"/>
  <c r="P570" i="38"/>
  <c r="R570" i="38" s="1"/>
  <c r="D651" i="38"/>
  <c r="D653" i="38"/>
  <c r="J787" i="38"/>
  <c r="B491" i="38"/>
  <c r="D491" i="38" s="1"/>
  <c r="N458" i="38"/>
  <c r="P458" i="38" s="1"/>
  <c r="G460" i="38"/>
  <c r="G461" i="38" s="1"/>
  <c r="C423" i="38"/>
  <c r="D423" i="38" s="1"/>
  <c r="J181" i="38"/>
  <c r="J182" i="38" s="1"/>
  <c r="E139" i="38"/>
  <c r="C387" i="38"/>
  <c r="P778" i="38"/>
  <c r="R778" i="38" s="1"/>
  <c r="P780" i="38"/>
  <c r="R780" i="38" s="1"/>
  <c r="P782" i="38"/>
  <c r="R782" i="38" s="1"/>
  <c r="P562" i="38"/>
  <c r="R562" i="38" s="1"/>
  <c r="F413" i="38"/>
  <c r="G413" i="38" s="1"/>
  <c r="P350" i="38"/>
  <c r="C367" i="38"/>
  <c r="D367" i="38" s="1"/>
  <c r="C830" i="38"/>
  <c r="B276" i="38"/>
  <c r="E276" i="38" s="1"/>
  <c r="N255" i="38"/>
  <c r="M255" i="38"/>
  <c r="F254" i="38"/>
  <c r="K87" i="38"/>
  <c r="F150" i="38"/>
  <c r="G150" i="38" s="1"/>
  <c r="B100" i="38"/>
  <c r="B121" i="38" s="1"/>
  <c r="E121" i="38" s="1"/>
  <c r="E761" i="38"/>
  <c r="E756" i="38"/>
  <c r="E67" i="38"/>
  <c r="D683" i="38"/>
  <c r="B471" i="38"/>
  <c r="D471" i="38" s="1"/>
  <c r="D473" i="38" s="1"/>
  <c r="H460" i="38"/>
  <c r="H461" i="38" s="1"/>
  <c r="D452" i="38"/>
  <c r="H181" i="38"/>
  <c r="H182" i="38" s="1"/>
  <c r="I181" i="38"/>
  <c r="I201" i="38" s="1"/>
  <c r="D173" i="38"/>
  <c r="C418" i="38"/>
  <c r="D418" i="38" s="1"/>
  <c r="F418" i="38" s="1"/>
  <c r="G418" i="38" s="1"/>
  <c r="D434" i="38"/>
  <c r="P789" i="38"/>
  <c r="P352" i="38"/>
  <c r="C833" i="38"/>
  <c r="C596" i="38"/>
  <c r="D596" i="38" s="1"/>
  <c r="C813" i="38"/>
  <c r="D813" i="38" s="1"/>
  <c r="C399" i="38"/>
  <c r="D399" i="38" s="1"/>
  <c r="C375" i="38"/>
  <c r="D375" i="38" s="1"/>
  <c r="C395" i="38"/>
  <c r="D395" i="38" s="1"/>
  <c r="C391" i="38"/>
  <c r="C805" i="38"/>
  <c r="D805" i="38" s="1"/>
  <c r="C588" i="38"/>
  <c r="D588" i="38" s="1"/>
  <c r="C585" i="38"/>
  <c r="D585" i="38" s="1"/>
  <c r="C799" i="38"/>
  <c r="D799" i="38" s="1"/>
  <c r="P790" i="38"/>
  <c r="R790" i="38" s="1"/>
  <c r="P783" i="38"/>
  <c r="R783" i="38" s="1"/>
  <c r="P571" i="38"/>
  <c r="R571" i="38" s="1"/>
  <c r="P564" i="38"/>
  <c r="R564" i="38" s="1"/>
  <c r="P569" i="38"/>
  <c r="P574" i="38"/>
  <c r="R574" i="38" s="1"/>
  <c r="D595" i="38"/>
  <c r="D591" i="38"/>
  <c r="C415" i="38"/>
  <c r="D415" i="38" s="1"/>
  <c r="E415" i="38"/>
  <c r="D437" i="38"/>
  <c r="P345" i="38"/>
  <c r="C398" i="38"/>
  <c r="C394" i="38"/>
  <c r="C390" i="38"/>
  <c r="Q560" i="38"/>
  <c r="R292" i="38"/>
  <c r="Q354" i="38"/>
  <c r="C583" i="38"/>
  <c r="D583" i="38" s="1"/>
  <c r="C828" i="38"/>
  <c r="D828" i="38" s="1"/>
  <c r="C397" i="38"/>
  <c r="D397" i="38" s="1"/>
  <c r="C393" i="38"/>
  <c r="C389" i="38"/>
  <c r="C819" i="38"/>
  <c r="C824" i="38"/>
  <c r="C400" i="38"/>
  <c r="C396" i="38"/>
  <c r="C392" i="38"/>
  <c r="C388" i="38"/>
  <c r="H786" i="38"/>
  <c r="D157" i="38"/>
  <c r="D158" i="38"/>
  <c r="E757" i="38"/>
  <c r="J240" i="38"/>
  <c r="I91" i="38"/>
  <c r="E72" i="38"/>
  <c r="B92" i="38"/>
  <c r="N92" i="38" s="1"/>
  <c r="B88" i="38"/>
  <c r="N88" i="38" s="1"/>
  <c r="E75" i="38"/>
  <c r="E81" i="38"/>
  <c r="B99" i="38"/>
  <c r="B120" i="38" s="1"/>
  <c r="E120" i="38" s="1"/>
  <c r="H91" i="38"/>
  <c r="J91" i="38"/>
  <c r="J1100" i="1"/>
  <c r="I336" i="13"/>
  <c r="J1056" i="1"/>
  <c r="J1013" i="1"/>
  <c r="L348" i="1"/>
  <c r="L336" i="1"/>
  <c r="L338" i="1"/>
  <c r="L354" i="1"/>
  <c r="L366" i="1"/>
  <c r="L374" i="1"/>
  <c r="L346" i="1"/>
  <c r="L362" i="1"/>
  <c r="L372" i="1"/>
  <c r="J337" i="13"/>
  <c r="K337" i="13" s="1"/>
  <c r="K335" i="13"/>
  <c r="L368" i="1"/>
  <c r="L352" i="1"/>
  <c r="F974" i="38"/>
  <c r="G974" i="38" s="1"/>
  <c r="F971" i="38"/>
  <c r="G971" i="38" s="1"/>
  <c r="G972" i="38" s="1"/>
  <c r="H972" i="38" s="1"/>
  <c r="F959" i="38"/>
  <c r="G959" i="38" s="1"/>
  <c r="G960" i="38" s="1"/>
  <c r="H960" i="38" s="1"/>
  <c r="F952" i="38"/>
  <c r="G952" i="38" s="1"/>
  <c r="P787" i="38"/>
  <c r="P575" i="38"/>
  <c r="R575" i="38" s="1"/>
  <c r="P566" i="38"/>
  <c r="P560" i="38"/>
  <c r="D44" i="38"/>
  <c r="D60" i="38"/>
  <c r="F5" i="38"/>
  <c r="G5" i="38" s="1"/>
  <c r="Q785" i="38"/>
  <c r="P343" i="38"/>
  <c r="P346" i="38"/>
  <c r="Q787" i="38"/>
  <c r="C814" i="38"/>
  <c r="C808" i="38"/>
  <c r="D808" i="38" s="1"/>
  <c r="C800" i="38"/>
  <c r="D800" i="38" s="1"/>
  <c r="C10" i="38"/>
  <c r="D10" i="38" s="1"/>
  <c r="F10" i="38" s="1"/>
  <c r="G10" i="38" s="1"/>
  <c r="C12" i="38"/>
  <c r="D12" i="38" s="1"/>
  <c r="F12" i="38" s="1"/>
  <c r="G12" i="38" s="1"/>
  <c r="D59" i="38"/>
  <c r="B114" i="38"/>
  <c r="Q791" i="38"/>
  <c r="C823" i="38"/>
  <c r="D823" i="38" s="1"/>
  <c r="C378" i="38"/>
  <c r="D378" i="38" s="1"/>
  <c r="C374" i="38"/>
  <c r="D374" i="38" s="1"/>
  <c r="C370" i="38"/>
  <c r="D370" i="38" s="1"/>
  <c r="Q566" i="38"/>
  <c r="P291" i="38"/>
  <c r="R291" i="38" s="1"/>
  <c r="Q349" i="38"/>
  <c r="P355" i="38"/>
  <c r="Q357" i="38"/>
  <c r="Q789" i="38"/>
  <c r="C812" i="38"/>
  <c r="D812" i="38" s="1"/>
  <c r="C804" i="38"/>
  <c r="D804" i="38" s="1"/>
  <c r="C827" i="38"/>
  <c r="C822" i="38"/>
  <c r="D377" i="38"/>
  <c r="D379" i="38"/>
  <c r="C373" i="38"/>
  <c r="D373" i="38" s="1"/>
  <c r="P284" i="38"/>
  <c r="R284" i="38" s="1"/>
  <c r="P285" i="38"/>
  <c r="R285" i="38" s="1"/>
  <c r="P289" i="38"/>
  <c r="R289" i="38" s="1"/>
  <c r="P293" i="38"/>
  <c r="R293" i="38" s="1"/>
  <c r="D318" i="38"/>
  <c r="P351" i="38"/>
  <c r="Q788" i="38"/>
  <c r="C809" i="38"/>
  <c r="D809" i="38" s="1"/>
  <c r="C801" i="38"/>
  <c r="D801" i="38" s="1"/>
  <c r="C831" i="38"/>
  <c r="D831" i="38" s="1"/>
  <c r="C826" i="38"/>
  <c r="C820" i="38"/>
  <c r="C380" i="38"/>
  <c r="D380" i="38" s="1"/>
  <c r="C372" i="38"/>
  <c r="D372" i="38" s="1"/>
  <c r="C811" i="38"/>
  <c r="D811" i="38" s="1"/>
  <c r="C803" i="38"/>
  <c r="D803" i="38" s="1"/>
  <c r="Q356" i="38"/>
  <c r="Q573" i="38"/>
  <c r="C810" i="38"/>
  <c r="D810" i="38" s="1"/>
  <c r="C806" i="38"/>
  <c r="D806" i="38" s="1"/>
  <c r="C802" i="38"/>
  <c r="D802" i="38" s="1"/>
  <c r="C834" i="38"/>
  <c r="C20" i="38"/>
  <c r="D20" i="38" s="1"/>
  <c r="E33" i="38"/>
  <c r="G33" i="38"/>
  <c r="K240" i="38"/>
  <c r="P348" i="38"/>
  <c r="C615" i="38"/>
  <c r="Q779" i="38"/>
  <c r="C829" i="38"/>
  <c r="C825" i="38"/>
  <c r="C821" i="38"/>
  <c r="C15" i="38"/>
  <c r="D15" i="38" s="1"/>
  <c r="C25" i="38"/>
  <c r="D25" i="38" s="1"/>
  <c r="N91" i="38"/>
  <c r="C33" i="38"/>
  <c r="F17" i="38"/>
  <c r="G17" i="38" s="1"/>
  <c r="F27" i="38"/>
  <c r="G27" i="38" s="1"/>
  <c r="D53" i="38"/>
  <c r="K91" i="38"/>
  <c r="J94" i="38"/>
  <c r="Q345" i="38"/>
  <c r="P357" i="38"/>
  <c r="K93" i="38"/>
  <c r="K297" i="38"/>
  <c r="K298" i="38" s="1"/>
  <c r="I778" i="38"/>
  <c r="I779" i="38"/>
  <c r="C593" i="38"/>
  <c r="D593" i="38" s="1"/>
  <c r="D314" i="38"/>
  <c r="Q353" i="38"/>
  <c r="D310" i="38"/>
  <c r="D306" i="38"/>
  <c r="Q355" i="38"/>
  <c r="I677" i="38"/>
  <c r="I678" i="38" s="1"/>
  <c r="J677" i="38"/>
  <c r="J678" i="38" s="1"/>
  <c r="N676" i="38"/>
  <c r="P676" i="38" s="1"/>
  <c r="H677" i="38"/>
  <c r="H678" i="38" s="1"/>
  <c r="D682" i="38"/>
  <c r="N675" i="38"/>
  <c r="P675" i="38" s="1"/>
  <c r="P677" i="38" s="1"/>
  <c r="P678" i="38" s="1"/>
  <c r="C419" i="38"/>
  <c r="D419" i="38" s="1"/>
  <c r="F419" i="38" s="1"/>
  <c r="G419" i="38" s="1"/>
  <c r="D435" i="38"/>
  <c r="E130" i="38"/>
  <c r="C149" i="38"/>
  <c r="D149" i="38" s="1"/>
  <c r="F149" i="38" s="1"/>
  <c r="G149" i="38" s="1"/>
  <c r="C144" i="38"/>
  <c r="D144" i="38" s="1"/>
  <c r="F144" i="38" s="1"/>
  <c r="G144" i="38" s="1"/>
  <c r="D156" i="38"/>
  <c r="C167" i="38"/>
  <c r="D167" i="38" s="1"/>
  <c r="E136" i="38"/>
  <c r="F136" i="38" s="1"/>
  <c r="G136" i="38" s="1"/>
  <c r="F134" i="38"/>
  <c r="G134" i="38" s="1"/>
  <c r="J90" i="38"/>
  <c r="M90" i="38"/>
  <c r="B110" i="38"/>
  <c r="E110" i="38" s="1"/>
  <c r="E71" i="38"/>
  <c r="M91" i="38"/>
  <c r="K85" i="38"/>
  <c r="H350" i="38"/>
  <c r="H352" i="38"/>
  <c r="H354" i="38"/>
  <c r="H357" i="38"/>
  <c r="H570" i="38"/>
  <c r="H571" i="38"/>
  <c r="H573" i="38"/>
  <c r="H346" i="38"/>
  <c r="H349" i="38"/>
  <c r="H356" i="38"/>
  <c r="J564" i="38"/>
  <c r="H344" i="38"/>
  <c r="J346" i="38"/>
  <c r="H353" i="38"/>
  <c r="L297" i="38"/>
  <c r="L298" i="38" s="1"/>
  <c r="H297" i="38"/>
  <c r="H298" i="38" s="1"/>
  <c r="P287" i="38"/>
  <c r="R287" i="38" s="1"/>
  <c r="P283" i="38"/>
  <c r="R283" i="38" s="1"/>
  <c r="D368" i="38"/>
  <c r="D371" i="38"/>
  <c r="C603" i="38"/>
  <c r="P347" i="38"/>
  <c r="N459" i="38"/>
  <c r="P459" i="38" s="1"/>
  <c r="D466" i="38"/>
  <c r="D467" i="38" s="1"/>
  <c r="I479" i="38"/>
  <c r="I480" i="38" s="1"/>
  <c r="P561" i="38"/>
  <c r="P567" i="38"/>
  <c r="P572" i="38"/>
  <c r="R572" i="38" s="1"/>
  <c r="P573" i="38"/>
  <c r="D807" i="38"/>
  <c r="P786" i="38"/>
  <c r="R786" i="38" s="1"/>
  <c r="P788" i="38"/>
  <c r="E765" i="38"/>
  <c r="E764" i="38"/>
  <c r="I787" i="38"/>
  <c r="N743" i="38"/>
  <c r="O743" i="38" s="1"/>
  <c r="Q743" i="38" s="1"/>
  <c r="I739" i="38"/>
  <c r="I743" i="38"/>
  <c r="N736" i="38"/>
  <c r="O736" i="38" s="1"/>
  <c r="Q736" i="38" s="1"/>
  <c r="E759" i="38"/>
  <c r="B772" i="38"/>
  <c r="E772" i="38" s="1"/>
  <c r="N751" i="38"/>
  <c r="M751" i="38"/>
  <c r="F751" i="38"/>
  <c r="F22" i="38"/>
  <c r="G22" i="38" s="1"/>
  <c r="L52" i="38"/>
  <c r="M52" i="38" s="1"/>
  <c r="F881" i="38"/>
  <c r="F883" i="38" s="1"/>
  <c r="E7" i="38"/>
  <c r="D45" i="38"/>
  <c r="L51" i="38"/>
  <c r="M51" i="38" s="1"/>
  <c r="D52" i="38"/>
  <c r="J736" i="38"/>
  <c r="B737" i="38"/>
  <c r="B738" i="38"/>
  <c r="J739" i="38"/>
  <c r="B740" i="38"/>
  <c r="B741" i="38"/>
  <c r="B742" i="38"/>
  <c r="J743" i="38"/>
  <c r="B744" i="38"/>
  <c r="B745" i="38"/>
  <c r="B750" i="38"/>
  <c r="B758" i="38"/>
  <c r="E758" i="38" s="1"/>
  <c r="B762" i="38"/>
  <c r="E762" i="38" s="1"/>
  <c r="E853" i="38"/>
  <c r="F853" i="38" s="1"/>
  <c r="G853" i="38" s="1"/>
  <c r="C852" i="38"/>
  <c r="D852" i="38" s="1"/>
  <c r="F852" i="38" s="1"/>
  <c r="G852" i="38" s="1"/>
  <c r="F880" i="38"/>
  <c r="F882" i="38" s="1"/>
  <c r="I54" i="38"/>
  <c r="I55" i="38" s="1"/>
  <c r="E20" i="38"/>
  <c r="L53" i="38"/>
  <c r="M53" i="38" s="1"/>
  <c r="E731" i="38"/>
  <c r="E732" i="38" s="1"/>
  <c r="K736" i="38"/>
  <c r="K739" i="38"/>
  <c r="K743" i="38"/>
  <c r="D888" i="38"/>
  <c r="F849" i="38"/>
  <c r="G849" i="38" s="1"/>
  <c r="D51" i="38"/>
  <c r="D61" i="38"/>
  <c r="E718" i="38"/>
  <c r="E722" i="38"/>
  <c r="E726" i="38"/>
  <c r="H736" i="38"/>
  <c r="H739" i="38"/>
  <c r="H743" i="38"/>
  <c r="P777" i="38"/>
  <c r="R777" i="38" s="1"/>
  <c r="P785" i="38"/>
  <c r="B814" i="38"/>
  <c r="E814" i="38" s="1"/>
  <c r="N792" i="38"/>
  <c r="P792" i="38" s="1"/>
  <c r="R792" i="38" s="1"/>
  <c r="I792" i="38"/>
  <c r="L792" i="38"/>
  <c r="L793" i="38" s="1"/>
  <c r="L794" i="38" s="1"/>
  <c r="H792" i="38"/>
  <c r="F863" i="38"/>
  <c r="G863" i="38" s="1"/>
  <c r="D918" i="38"/>
  <c r="E859" i="38"/>
  <c r="F859" i="38" s="1"/>
  <c r="G859" i="38" s="1"/>
  <c r="K89" i="38"/>
  <c r="E260" i="38"/>
  <c r="I777" i="38"/>
  <c r="E70" i="38"/>
  <c r="N86" i="38"/>
  <c r="I86" i="38"/>
  <c r="M86" i="38"/>
  <c r="H86" i="38"/>
  <c r="F140" i="38"/>
  <c r="G140" i="38" s="1"/>
  <c r="Q569" i="38"/>
  <c r="Q352" i="38"/>
  <c r="C586" i="38"/>
  <c r="D586" i="38" s="1"/>
  <c r="D369" i="38"/>
  <c r="B330" i="38"/>
  <c r="D330" i="38" s="1"/>
  <c r="E429" i="38"/>
  <c r="F429" i="38" s="1"/>
  <c r="G429" i="38" s="1"/>
  <c r="C7" i="38"/>
  <c r="D7" i="38" s="1"/>
  <c r="E15" i="38"/>
  <c r="J87" i="38"/>
  <c r="B109" i="38"/>
  <c r="E109" i="38" s="1"/>
  <c r="N89" i="38"/>
  <c r="I89" i="38"/>
  <c r="M89" i="38"/>
  <c r="H89" i="38"/>
  <c r="N93" i="38"/>
  <c r="I93" i="38"/>
  <c r="M93" i="38"/>
  <c r="H93" i="38"/>
  <c r="C114" i="38"/>
  <c r="B113" i="38"/>
  <c r="E113" i="38" s="1"/>
  <c r="B261" i="38"/>
  <c r="E261" i="38" s="1"/>
  <c r="B241" i="38"/>
  <c r="E222" i="38"/>
  <c r="I786" i="38"/>
  <c r="E234" i="38"/>
  <c r="H347" i="38"/>
  <c r="H355" i="38"/>
  <c r="B386" i="38"/>
  <c r="D386" i="38" s="1"/>
  <c r="E447" i="38"/>
  <c r="F447" i="38" s="1"/>
  <c r="F449" i="38" s="1"/>
  <c r="C446" i="38"/>
  <c r="D446" i="38" s="1"/>
  <c r="N519" i="38"/>
  <c r="O519" i="38" s="1"/>
  <c r="Q519" i="38" s="1"/>
  <c r="I519" i="38"/>
  <c r="J519" i="38"/>
  <c r="H519" i="38"/>
  <c r="B14" i="38"/>
  <c r="D43" i="38"/>
  <c r="E66" i="38"/>
  <c r="J86" i="38"/>
  <c r="H90" i="38"/>
  <c r="H94" i="38"/>
  <c r="C139" i="38"/>
  <c r="D139" i="38" s="1"/>
  <c r="E167" i="38"/>
  <c r="C168" i="38"/>
  <c r="D168" i="38" s="1"/>
  <c r="F168" i="38" s="1"/>
  <c r="F170" i="38" s="1"/>
  <c r="N180" i="38"/>
  <c r="P180" i="38" s="1"/>
  <c r="B192" i="38"/>
  <c r="D192" i="38" s="1"/>
  <c r="D194" i="38" s="1"/>
  <c r="B223" i="38"/>
  <c r="E235" i="38"/>
  <c r="E275" i="38"/>
  <c r="Q565" i="38"/>
  <c r="Q348" i="38"/>
  <c r="B326" i="38"/>
  <c r="D326" i="38" s="1"/>
  <c r="B334" i="38"/>
  <c r="D334" i="38" s="1"/>
  <c r="H343" i="38"/>
  <c r="P354" i="38"/>
  <c r="D366" i="38"/>
  <c r="B393" i="38"/>
  <c r="E409" i="38"/>
  <c r="D490" i="38"/>
  <c r="B533" i="38"/>
  <c r="B604" i="38"/>
  <c r="D604" i="38" s="1"/>
  <c r="D584" i="38"/>
  <c r="Q561" i="38"/>
  <c r="Q344" i="38"/>
  <c r="C582" i="38"/>
  <c r="D582" i="38" s="1"/>
  <c r="D365" i="38"/>
  <c r="C590" i="38"/>
  <c r="D590" i="38" s="1"/>
  <c r="C594" i="38"/>
  <c r="D594" i="38" s="1"/>
  <c r="B338" i="38"/>
  <c r="D338" i="38" s="1"/>
  <c r="B390" i="38"/>
  <c r="B400" i="38"/>
  <c r="H566" i="38"/>
  <c r="B26" i="38"/>
  <c r="B16" i="38"/>
  <c r="E25" i="38"/>
  <c r="B105" i="38"/>
  <c r="E105" i="38" s="1"/>
  <c r="N85" i="38"/>
  <c r="I85" i="38"/>
  <c r="M85" i="38"/>
  <c r="H85" i="38"/>
  <c r="D484" i="38"/>
  <c r="D486" i="38" s="1"/>
  <c r="D205" i="38"/>
  <c r="J85" i="38"/>
  <c r="K86" i="38"/>
  <c r="N87" i="38"/>
  <c r="I87" i="38"/>
  <c r="M87" i="38"/>
  <c r="H87" i="38"/>
  <c r="J89" i="38"/>
  <c r="K90" i="38"/>
  <c r="J93" i="38"/>
  <c r="K94" i="38"/>
  <c r="B106" i="38"/>
  <c r="E106" i="38" s="1"/>
  <c r="B107" i="38"/>
  <c r="E107" i="38" s="1"/>
  <c r="D155" i="38"/>
  <c r="D187" i="38"/>
  <c r="D188" i="38" s="1"/>
  <c r="H240" i="38"/>
  <c r="P296" i="38"/>
  <c r="R296" i="38" s="1"/>
  <c r="D303" i="38"/>
  <c r="D307" i="38"/>
  <c r="D311" i="38"/>
  <c r="D315" i="38"/>
  <c r="B323" i="38"/>
  <c r="D323" i="38" s="1"/>
  <c r="B331" i="38"/>
  <c r="D331" i="38" s="1"/>
  <c r="I359" i="38"/>
  <c r="I360" i="38" s="1"/>
  <c r="B394" i="38"/>
  <c r="F425" i="38"/>
  <c r="G425" i="38" s="1"/>
  <c r="K519" i="38"/>
  <c r="I90" i="38"/>
  <c r="N90" i="38"/>
  <c r="I94" i="38"/>
  <c r="N94" i="38"/>
  <c r="O94" i="38" s="1"/>
  <c r="Q94" i="38" s="1"/>
  <c r="M100" i="38"/>
  <c r="C111" i="38"/>
  <c r="E111" i="38" s="1"/>
  <c r="I240" i="38"/>
  <c r="N240" i="38"/>
  <c r="O240" i="38" s="1"/>
  <c r="Q240" i="38" s="1"/>
  <c r="N254" i="38"/>
  <c r="O254" i="38" s="1"/>
  <c r="Q254" i="38" s="1"/>
  <c r="F255" i="38"/>
  <c r="I297" i="38"/>
  <c r="I298" i="38" s="1"/>
  <c r="D305" i="38"/>
  <c r="D309" i="38"/>
  <c r="D313" i="38"/>
  <c r="D317" i="38"/>
  <c r="B325" i="38"/>
  <c r="D325" i="38" s="1"/>
  <c r="B329" i="38"/>
  <c r="D329" i="38" s="1"/>
  <c r="B333" i="38"/>
  <c r="D333" i="38" s="1"/>
  <c r="B337" i="38"/>
  <c r="D337" i="38" s="1"/>
  <c r="P358" i="38"/>
  <c r="D376" i="38"/>
  <c r="B388" i="38"/>
  <c r="B392" i="38"/>
  <c r="B396" i="38"/>
  <c r="B616" i="38"/>
  <c r="D616" i="38" s="1"/>
  <c r="J297" i="38"/>
  <c r="J298" i="38" s="1"/>
  <c r="Q563" i="38"/>
  <c r="R563" i="38" s="1"/>
  <c r="Q346" i="38"/>
  <c r="Q567" i="38"/>
  <c r="Q350" i="38"/>
  <c r="D304" i="38"/>
  <c r="D308" i="38"/>
  <c r="D312" i="38"/>
  <c r="D316" i="38"/>
  <c r="B324" i="38"/>
  <c r="D324" i="38" s="1"/>
  <c r="B328" i="38"/>
  <c r="D328" i="38" s="1"/>
  <c r="B332" i="38"/>
  <c r="D332" i="38" s="1"/>
  <c r="B336" i="38"/>
  <c r="D336" i="38" s="1"/>
  <c r="F423" i="38"/>
  <c r="G423" i="38" s="1"/>
  <c r="B609" i="38"/>
  <c r="D609" i="38" s="1"/>
  <c r="D589" i="38"/>
  <c r="B613" i="38"/>
  <c r="D613" i="38" s="1"/>
  <c r="Q343" i="38"/>
  <c r="Q347" i="38"/>
  <c r="Q351" i="38"/>
  <c r="C385" i="38"/>
  <c r="L477" i="38"/>
  <c r="N477" i="38" s="1"/>
  <c r="P477" i="38" s="1"/>
  <c r="B539" i="38"/>
  <c r="E539" i="38" s="1"/>
  <c r="H575" i="38"/>
  <c r="B608" i="38"/>
  <c r="D608" i="38" s="1"/>
  <c r="B617" i="38"/>
  <c r="D617" i="38" s="1"/>
  <c r="D597" i="38"/>
  <c r="Q358" i="38"/>
  <c r="F534" i="38"/>
  <c r="N534" i="38"/>
  <c r="O534" i="38" s="1"/>
  <c r="Q534" i="38" s="1"/>
  <c r="B555" i="38"/>
  <c r="E555" i="38" s="1"/>
  <c r="H562" i="38"/>
  <c r="H572" i="38"/>
  <c r="B605" i="38"/>
  <c r="D605" i="38" s="1"/>
  <c r="B612" i="38"/>
  <c r="D612" i="38" s="1"/>
  <c r="D592" i="38"/>
  <c r="H574" i="38"/>
  <c r="D990" i="38"/>
  <c r="I563" i="38"/>
  <c r="E646" i="38"/>
  <c r="F646" i="38" s="1"/>
  <c r="G646" i="38" s="1"/>
  <c r="G677" i="38"/>
  <c r="G678" i="38" s="1"/>
  <c r="F954" i="38"/>
  <c r="G954" i="38" s="1"/>
  <c r="D611" i="38"/>
  <c r="F636" i="38"/>
  <c r="G636" i="38" s="1"/>
  <c r="D670" i="38"/>
  <c r="D671" i="38" s="1"/>
  <c r="F962" i="38"/>
  <c r="G962" i="38" s="1"/>
  <c r="D614" i="38"/>
  <c r="E626" i="38"/>
  <c r="D689" i="38"/>
  <c r="D690" i="38" s="1"/>
  <c r="J575" i="38"/>
  <c r="E1229" i="1"/>
  <c r="P1101" i="1" s="1"/>
  <c r="A1230" i="1"/>
  <c r="E1230" i="1"/>
  <c r="P808" i="1"/>
  <c r="P730" i="1"/>
  <c r="P692" i="1"/>
  <c r="P690" i="1"/>
  <c r="D821" i="38" l="1"/>
  <c r="D826" i="38"/>
  <c r="E319" i="38"/>
  <c r="E935" i="38" s="1"/>
  <c r="D391" i="38"/>
  <c r="G977" i="38"/>
  <c r="H977" i="38" s="1"/>
  <c r="R353" i="38"/>
  <c r="D872" i="38"/>
  <c r="Q297" i="38"/>
  <c r="R297" i="38" s="1"/>
  <c r="D454" i="38"/>
  <c r="P913" i="38"/>
  <c r="P914" i="38" s="1"/>
  <c r="Q298" i="38"/>
  <c r="R298" i="38" s="1"/>
  <c r="D398" i="38"/>
  <c r="D833" i="38"/>
  <c r="D829" i="38"/>
  <c r="D819" i="38"/>
  <c r="E815" i="38"/>
  <c r="E943" i="38" s="1"/>
  <c r="D603" i="38"/>
  <c r="P181" i="38"/>
  <c r="P182" i="38" s="1"/>
  <c r="G955" i="38"/>
  <c r="H955" i="38" s="1"/>
  <c r="P200" i="38"/>
  <c r="P201" i="38" s="1"/>
  <c r="D207" i="38"/>
  <c r="D615" i="38"/>
  <c r="D820" i="38"/>
  <c r="D822" i="38"/>
  <c r="D830" i="38"/>
  <c r="R791" i="38"/>
  <c r="F446" i="38"/>
  <c r="F448" i="38" s="1"/>
  <c r="O751" i="38"/>
  <c r="Q751" i="38" s="1"/>
  <c r="D825" i="38"/>
  <c r="D824" i="38"/>
  <c r="D387" i="38"/>
  <c r="D827" i="38"/>
  <c r="R779" i="38"/>
  <c r="D385" i="38"/>
  <c r="D389" i="38"/>
  <c r="E381" i="38"/>
  <c r="E936" i="38" s="1"/>
  <c r="O255" i="38"/>
  <c r="Q255" i="38" s="1"/>
  <c r="Q256" i="38" s="1"/>
  <c r="Q257" i="38" s="1"/>
  <c r="N100" i="38"/>
  <c r="J1057" i="1"/>
  <c r="J1014" i="1"/>
  <c r="J1101" i="1"/>
  <c r="R569" i="38"/>
  <c r="J359" i="38"/>
  <c r="J360" i="38" s="1"/>
  <c r="P479" i="38"/>
  <c r="P480" i="38" s="1"/>
  <c r="G201" i="38"/>
  <c r="D492" i="38"/>
  <c r="G647" i="38"/>
  <c r="K92" i="38"/>
  <c r="F100" i="38"/>
  <c r="G965" i="38"/>
  <c r="H965" i="38" s="1"/>
  <c r="N99" i="38"/>
  <c r="D655" i="38"/>
  <c r="D920" i="38"/>
  <c r="R344" i="38"/>
  <c r="M88" i="38"/>
  <c r="O88" i="38" s="1"/>
  <c r="Q88" i="38" s="1"/>
  <c r="K88" i="38"/>
  <c r="I88" i="38"/>
  <c r="J88" i="38"/>
  <c r="R356" i="38"/>
  <c r="R349" i="38"/>
  <c r="D175" i="38"/>
  <c r="H201" i="38"/>
  <c r="F415" i="38"/>
  <c r="G415" i="38" s="1"/>
  <c r="G431" i="38" s="1"/>
  <c r="F139" i="38"/>
  <c r="G139" i="38" s="1"/>
  <c r="G151" i="38" s="1"/>
  <c r="R350" i="38"/>
  <c r="R785" i="38"/>
  <c r="R789" i="38"/>
  <c r="R566" i="38"/>
  <c r="D438" i="38"/>
  <c r="R352" i="38"/>
  <c r="R345" i="38"/>
  <c r="F256" i="38"/>
  <c r="F257" i="38" s="1"/>
  <c r="E122" i="38"/>
  <c r="F99" i="38"/>
  <c r="H92" i="38"/>
  <c r="B112" i="38"/>
  <c r="E112" i="38" s="1"/>
  <c r="I92" i="38"/>
  <c r="J92" i="38"/>
  <c r="M92" i="38"/>
  <c r="O92" i="38" s="1"/>
  <c r="Q92" i="38" s="1"/>
  <c r="M99" i="38"/>
  <c r="E114" i="38"/>
  <c r="B108" i="38"/>
  <c r="E108" i="38" s="1"/>
  <c r="D54" i="38"/>
  <c r="D55" i="38" s="1"/>
  <c r="D62" i="38"/>
  <c r="D684" i="38"/>
  <c r="I182" i="38"/>
  <c r="R354" i="38"/>
  <c r="H793" i="38"/>
  <c r="H794" i="38" s="1"/>
  <c r="R573" i="38"/>
  <c r="P460" i="38"/>
  <c r="P461" i="38" s="1"/>
  <c r="G430" i="38"/>
  <c r="R343" i="38"/>
  <c r="R560" i="38"/>
  <c r="R787" i="38"/>
  <c r="H88" i="38"/>
  <c r="O91" i="38"/>
  <c r="Q91" i="38" s="1"/>
  <c r="D46" i="38"/>
  <c r="J37" i="38"/>
  <c r="F7" i="38"/>
  <c r="G7" i="38" s="1"/>
  <c r="G8" i="38" s="1"/>
  <c r="F25" i="38"/>
  <c r="G25" i="38" s="1"/>
  <c r="G28" i="38" s="1"/>
  <c r="I28" i="38" s="1"/>
  <c r="F20" i="38"/>
  <c r="G20" i="38" s="1"/>
  <c r="G23" i="38" s="1"/>
  <c r="H23" i="38" s="1"/>
  <c r="H978" i="38"/>
  <c r="R561" i="38"/>
  <c r="R788" i="38"/>
  <c r="G13" i="38"/>
  <c r="J13" i="38" s="1"/>
  <c r="R346" i="38"/>
  <c r="R351" i="38"/>
  <c r="O87" i="38"/>
  <c r="Q87" i="38" s="1"/>
  <c r="R355" i="38"/>
  <c r="R357" i="38"/>
  <c r="R347" i="38"/>
  <c r="D159" i="38"/>
  <c r="R348" i="38"/>
  <c r="F15" i="38"/>
  <c r="G15" i="38" s="1"/>
  <c r="G18" i="38" s="1"/>
  <c r="H18" i="38" s="1"/>
  <c r="E76" i="38"/>
  <c r="D392" i="38"/>
  <c r="F167" i="38"/>
  <c r="F169" i="38" s="1"/>
  <c r="G152" i="38"/>
  <c r="O90" i="38"/>
  <c r="Q90" i="38" s="1"/>
  <c r="O93" i="38"/>
  <c r="Q93" i="38" s="1"/>
  <c r="O89" i="38"/>
  <c r="Q89" i="38" s="1"/>
  <c r="O86" i="38"/>
  <c r="Q86" i="38" s="1"/>
  <c r="O85" i="38"/>
  <c r="Q85" i="38" s="1"/>
  <c r="K359" i="38"/>
  <c r="K360" i="38" s="1"/>
  <c r="D394" i="38"/>
  <c r="D390" i="38"/>
  <c r="R567" i="38"/>
  <c r="Q576" i="38" s="1"/>
  <c r="R576" i="38" s="1"/>
  <c r="E766" i="38"/>
  <c r="E513" i="38"/>
  <c r="E515" i="38" s="1"/>
  <c r="E727" i="38"/>
  <c r="J786" i="38"/>
  <c r="O53" i="38"/>
  <c r="P53" i="38"/>
  <c r="Q54" i="38" s="1"/>
  <c r="O51" i="38"/>
  <c r="P51" i="38"/>
  <c r="P52" i="38"/>
  <c r="O52" i="38"/>
  <c r="M742" i="38"/>
  <c r="H742" i="38"/>
  <c r="I742" i="38"/>
  <c r="K742" i="38"/>
  <c r="J742" i="38"/>
  <c r="N742" i="38"/>
  <c r="M738" i="38"/>
  <c r="H738" i="38"/>
  <c r="N738" i="38"/>
  <c r="I738" i="38"/>
  <c r="K738" i="38"/>
  <c r="J738" i="38"/>
  <c r="M745" i="38"/>
  <c r="H745" i="38"/>
  <c r="I745" i="38"/>
  <c r="K745" i="38"/>
  <c r="J745" i="38"/>
  <c r="N745" i="38"/>
  <c r="M741" i="38"/>
  <c r="H741" i="38"/>
  <c r="K741" i="38"/>
  <c r="J741" i="38"/>
  <c r="N741" i="38"/>
  <c r="I741" i="38"/>
  <c r="M737" i="38"/>
  <c r="H737" i="38"/>
  <c r="N737" i="38"/>
  <c r="K737" i="38"/>
  <c r="J737" i="38"/>
  <c r="I737" i="38"/>
  <c r="B771" i="38"/>
  <c r="E771" i="38" s="1"/>
  <c r="E773" i="38" s="1"/>
  <c r="F750" i="38"/>
  <c r="F752" i="38" s="1"/>
  <c r="F753" i="38" s="1"/>
  <c r="M750" i="38"/>
  <c r="N750" i="38"/>
  <c r="K793" i="38"/>
  <c r="K794" i="38" s="1"/>
  <c r="G864" i="38"/>
  <c r="M744" i="38"/>
  <c r="H744" i="38"/>
  <c r="N744" i="38"/>
  <c r="K744" i="38"/>
  <c r="J744" i="38"/>
  <c r="I744" i="38"/>
  <c r="M740" i="38"/>
  <c r="H740" i="38"/>
  <c r="I740" i="38"/>
  <c r="K740" i="38"/>
  <c r="J740" i="38"/>
  <c r="N740" i="38"/>
  <c r="G865" i="38"/>
  <c r="D814" i="38"/>
  <c r="D815" i="38" s="1"/>
  <c r="B834" i="38"/>
  <c r="D834" i="38" s="1"/>
  <c r="E277" i="38"/>
  <c r="D381" i="38"/>
  <c r="D319" i="38"/>
  <c r="R358" i="38"/>
  <c r="J241" i="38"/>
  <c r="N241" i="38"/>
  <c r="I241" i="38"/>
  <c r="K241" i="38"/>
  <c r="H241" i="38"/>
  <c r="M241" i="38"/>
  <c r="O241" i="38" s="1"/>
  <c r="Q241" i="38" s="1"/>
  <c r="M533" i="38"/>
  <c r="B554" i="38"/>
  <c r="E554" i="38" s="1"/>
  <c r="E556" i="38" s="1"/>
  <c r="F533" i="38"/>
  <c r="F535" i="38" s="1"/>
  <c r="F536" i="38" s="1"/>
  <c r="N533" i="38"/>
  <c r="D393" i="38"/>
  <c r="H359" i="38"/>
  <c r="H360" i="38" s="1"/>
  <c r="E236" i="38"/>
  <c r="O100" i="38"/>
  <c r="Q100" i="38" s="1"/>
  <c r="D339" i="38"/>
  <c r="B242" i="38"/>
  <c r="B224" i="38"/>
  <c r="B262" i="38"/>
  <c r="E262" i="38" s="1"/>
  <c r="E223" i="38"/>
  <c r="K576" i="38"/>
  <c r="K577" i="38" s="1"/>
  <c r="D388" i="38"/>
  <c r="E500" i="38"/>
  <c r="E221" i="38"/>
  <c r="B540" i="38"/>
  <c r="E540" i="38" s="1"/>
  <c r="B520" i="38"/>
  <c r="E501" i="38"/>
  <c r="G648" i="38"/>
  <c r="D396" i="38"/>
  <c r="D400" i="38"/>
  <c r="P691" i="1"/>
  <c r="K1113" i="1"/>
  <c r="J1113" i="1"/>
  <c r="I1113" i="1"/>
  <c r="K1086" i="1"/>
  <c r="J1086" i="1"/>
  <c r="I1086" i="1"/>
  <c r="K1075" i="1"/>
  <c r="J1075" i="1"/>
  <c r="I1075" i="1"/>
  <c r="K832" i="1"/>
  <c r="H833" i="1"/>
  <c r="K833" i="1" s="1"/>
  <c r="G833" i="1"/>
  <c r="I832" i="1"/>
  <c r="K825" i="1"/>
  <c r="J825" i="1"/>
  <c r="I825" i="1"/>
  <c r="K811" i="1"/>
  <c r="K810" i="1"/>
  <c r="K809" i="1"/>
  <c r="J809" i="1"/>
  <c r="I809" i="1"/>
  <c r="P800" i="1"/>
  <c r="D501" i="34"/>
  <c r="C214" i="34" s="1"/>
  <c r="D502" i="34"/>
  <c r="C230" i="34" s="1"/>
  <c r="B258" i="36"/>
  <c r="D503" i="34" s="1"/>
  <c r="C246" i="34" s="1"/>
  <c r="B110" i="36"/>
  <c r="D494" i="34"/>
  <c r="C102" i="34" s="1"/>
  <c r="D495" i="34"/>
  <c r="C118" i="34" s="1"/>
  <c r="B102" i="36"/>
  <c r="D493" i="34"/>
  <c r="C86" i="34" s="1"/>
  <c r="K95" i="38" l="1"/>
  <c r="K96" i="38" s="1"/>
  <c r="Q793" i="38"/>
  <c r="R793" i="38" s="1"/>
  <c r="O737" i="38"/>
  <c r="Q737" i="38" s="1"/>
  <c r="K746" i="38"/>
  <c r="K747" i="38" s="1"/>
  <c r="Q794" i="38"/>
  <c r="R794" i="38" s="1"/>
  <c r="H966" i="38"/>
  <c r="Q96" i="38"/>
  <c r="R96" i="38" s="1"/>
  <c r="Q55" i="38"/>
  <c r="R55" i="38" s="1"/>
  <c r="Q359" i="38"/>
  <c r="R359" i="38" s="1"/>
  <c r="Q360" i="38"/>
  <c r="R360" i="38" s="1"/>
  <c r="F943" i="38"/>
  <c r="B943" i="38"/>
  <c r="C943" i="38" s="1"/>
  <c r="Q95" i="38"/>
  <c r="R95" i="38" s="1"/>
  <c r="F936" i="38"/>
  <c r="B936" i="38"/>
  <c r="C936" i="38" s="1"/>
  <c r="D835" i="38"/>
  <c r="B935" i="38"/>
  <c r="C935" i="38" s="1"/>
  <c r="F935" i="38"/>
  <c r="O99" i="38"/>
  <c r="Q99" i="38" s="1"/>
  <c r="Q101" i="38" s="1"/>
  <c r="Q102" i="38" s="1"/>
  <c r="J95" i="38"/>
  <c r="J96" i="38" s="1"/>
  <c r="I13" i="38"/>
  <c r="O533" i="38"/>
  <c r="Q533" i="38" s="1"/>
  <c r="Q535" i="38" s="1"/>
  <c r="Q536" i="38" s="1"/>
  <c r="I95" i="38"/>
  <c r="I96" i="38" s="1"/>
  <c r="H95" i="38"/>
  <c r="H96" i="38" s="1"/>
  <c r="B126" i="36"/>
  <c r="B134" i="36"/>
  <c r="B118" i="36"/>
  <c r="B141" i="36"/>
  <c r="O745" i="38"/>
  <c r="Q745" i="38" s="1"/>
  <c r="F101" i="38"/>
  <c r="F102" i="38" s="1"/>
  <c r="E115" i="38"/>
  <c r="J49" i="40"/>
  <c r="I49" i="40"/>
  <c r="J45" i="40"/>
  <c r="I45" i="40"/>
  <c r="J52" i="40"/>
  <c r="I52" i="40"/>
  <c r="J44" i="40"/>
  <c r="I44" i="40"/>
  <c r="J51" i="40"/>
  <c r="I51" i="40"/>
  <c r="J47" i="40"/>
  <c r="I47" i="40"/>
  <c r="I43" i="40"/>
  <c r="J43" i="40"/>
  <c r="J39" i="40"/>
  <c r="I39" i="40"/>
  <c r="J41" i="40"/>
  <c r="I41" i="40"/>
  <c r="J48" i="40"/>
  <c r="I48" i="40"/>
  <c r="J40" i="40"/>
  <c r="I40" i="40"/>
  <c r="J50" i="40"/>
  <c r="I50" i="40"/>
  <c r="J46" i="40"/>
  <c r="I46" i="40"/>
  <c r="J42" i="40"/>
  <c r="I42" i="40"/>
  <c r="J38" i="40"/>
  <c r="I38" i="40"/>
  <c r="J788" i="38"/>
  <c r="I18" i="38"/>
  <c r="H13" i="38"/>
  <c r="J28" i="38"/>
  <c r="H8" i="38"/>
  <c r="I8" i="38"/>
  <c r="J8" i="38"/>
  <c r="H28" i="38"/>
  <c r="J23" i="38"/>
  <c r="R54" i="38"/>
  <c r="I23" i="38"/>
  <c r="J18" i="38"/>
  <c r="D401" i="38"/>
  <c r="O750" i="38"/>
  <c r="Q750" i="38" s="1"/>
  <c r="Q752" i="38" s="1"/>
  <c r="Q753" i="38" s="1"/>
  <c r="H746" i="38"/>
  <c r="H747" i="38" s="1"/>
  <c r="J746" i="38"/>
  <c r="J747" i="38" s="1"/>
  <c r="I746" i="38"/>
  <c r="I747" i="38" s="1"/>
  <c r="O740" i="38"/>
  <c r="Q740" i="38" s="1"/>
  <c r="O742" i="38"/>
  <c r="Q742" i="38" s="1"/>
  <c r="O741" i="38"/>
  <c r="Q741" i="38" s="1"/>
  <c r="O744" i="38"/>
  <c r="Q744" i="38" s="1"/>
  <c r="O738" i="38"/>
  <c r="Q738" i="38" s="1"/>
  <c r="Q747" i="38" s="1"/>
  <c r="R747" i="38" s="1"/>
  <c r="B541" i="38"/>
  <c r="E541" i="38" s="1"/>
  <c r="B521" i="38"/>
  <c r="E502" i="38"/>
  <c r="N520" i="38"/>
  <c r="I520" i="38"/>
  <c r="H520" i="38"/>
  <c r="M520" i="38"/>
  <c r="J520" i="38"/>
  <c r="K520" i="38"/>
  <c r="B243" i="38"/>
  <c r="B263" i="38"/>
  <c r="E263" i="38" s="1"/>
  <c r="B225" i="38"/>
  <c r="E224" i="38"/>
  <c r="J242" i="38"/>
  <c r="N242" i="38"/>
  <c r="I242" i="38"/>
  <c r="M242" i="38"/>
  <c r="H242" i="38"/>
  <c r="K242" i="38"/>
  <c r="I833" i="1"/>
  <c r="L1086" i="1"/>
  <c r="J833" i="1"/>
  <c r="L833" i="1" s="1"/>
  <c r="J832" i="1"/>
  <c r="L832" i="1" s="1"/>
  <c r="L1075" i="1"/>
  <c r="L1113" i="1"/>
  <c r="L809" i="1"/>
  <c r="L825" i="1"/>
  <c r="I167" i="34"/>
  <c r="I183" i="34"/>
  <c r="J187" i="34" s="1"/>
  <c r="I199" i="34"/>
  <c r="I215" i="34"/>
  <c r="I231" i="34"/>
  <c r="J239" i="34" s="1"/>
  <c r="I247" i="34"/>
  <c r="P508" i="1"/>
  <c r="P509" i="1"/>
  <c r="G282" i="13"/>
  <c r="F282" i="13"/>
  <c r="M285" i="13"/>
  <c r="M284" i="13"/>
  <c r="K49" i="15"/>
  <c r="C129" i="32" s="1"/>
  <c r="J220" i="19"/>
  <c r="G226" i="19"/>
  <c r="F226" i="19"/>
  <c r="G225" i="19"/>
  <c r="F225" i="19"/>
  <c r="G224" i="19"/>
  <c r="F224" i="19"/>
  <c r="G223" i="19"/>
  <c r="F223" i="19"/>
  <c r="G222" i="19"/>
  <c r="F222" i="19"/>
  <c r="G221" i="19"/>
  <c r="F221" i="19"/>
  <c r="G220" i="19"/>
  <c r="H220" i="19" s="1"/>
  <c r="I219" i="19"/>
  <c r="G219" i="19"/>
  <c r="H219" i="19" s="1"/>
  <c r="P722" i="1"/>
  <c r="P684" i="1"/>
  <c r="H224" i="19" l="1"/>
  <c r="Q746" i="38"/>
  <c r="R746" i="38" s="1"/>
  <c r="H221" i="19"/>
  <c r="H223" i="19"/>
  <c r="J449" i="34"/>
  <c r="J445" i="34"/>
  <c r="J441" i="34"/>
  <c r="J450" i="34"/>
  <c r="J446" i="34"/>
  <c r="J442" i="34"/>
  <c r="J448" i="34"/>
  <c r="J451" i="34"/>
  <c r="J447" i="34"/>
  <c r="J443" i="34"/>
  <c r="J439" i="34"/>
  <c r="J444" i="34"/>
  <c r="J440" i="34"/>
  <c r="J401" i="34"/>
  <c r="J397" i="34"/>
  <c r="J393" i="34"/>
  <c r="J385" i="34"/>
  <c r="J381" i="34"/>
  <c r="J377" i="34"/>
  <c r="J392" i="34"/>
  <c r="J402" i="34"/>
  <c r="J398" i="34"/>
  <c r="J394" i="34"/>
  <c r="J386" i="34"/>
  <c r="J382" i="34"/>
  <c r="J378" i="34"/>
  <c r="J400" i="34"/>
  <c r="J384" i="34"/>
  <c r="J380" i="34"/>
  <c r="J376" i="34"/>
  <c r="J403" i="34"/>
  <c r="J399" i="34"/>
  <c r="J395" i="34"/>
  <c r="J391" i="34"/>
  <c r="J387" i="34"/>
  <c r="J383" i="34"/>
  <c r="J379" i="34"/>
  <c r="J375" i="34"/>
  <c r="J396" i="34"/>
  <c r="J369" i="34"/>
  <c r="J365" i="34"/>
  <c r="J361" i="34"/>
  <c r="J353" i="34"/>
  <c r="J349" i="34"/>
  <c r="J345" i="34"/>
  <c r="J367" i="34"/>
  <c r="J359" i="34"/>
  <c r="J355" i="34"/>
  <c r="J347" i="34"/>
  <c r="J370" i="34"/>
  <c r="J366" i="34"/>
  <c r="J362" i="34"/>
  <c r="J354" i="34"/>
  <c r="J350" i="34"/>
  <c r="J346" i="34"/>
  <c r="J371" i="34"/>
  <c r="J363" i="34"/>
  <c r="J351" i="34"/>
  <c r="J343" i="34"/>
  <c r="J368" i="34"/>
  <c r="J364" i="34"/>
  <c r="J360" i="34"/>
  <c r="J352" i="34"/>
  <c r="J348" i="34"/>
  <c r="J344" i="34"/>
  <c r="J433" i="34"/>
  <c r="J429" i="34"/>
  <c r="J425" i="34"/>
  <c r="J434" i="34"/>
  <c r="J430" i="34"/>
  <c r="J426" i="34"/>
  <c r="J432" i="34"/>
  <c r="J424" i="34"/>
  <c r="J435" i="34"/>
  <c r="J431" i="34"/>
  <c r="J427" i="34"/>
  <c r="J423" i="34"/>
  <c r="J428" i="34"/>
  <c r="J465" i="34"/>
  <c r="J461" i="34"/>
  <c r="J457" i="34"/>
  <c r="J417" i="34"/>
  <c r="J413" i="34"/>
  <c r="J409" i="34"/>
  <c r="J460" i="34"/>
  <c r="J416" i="34"/>
  <c r="J466" i="34"/>
  <c r="J462" i="34"/>
  <c r="J458" i="34"/>
  <c r="J418" i="34"/>
  <c r="J414" i="34"/>
  <c r="J410" i="34"/>
  <c r="J464" i="34"/>
  <c r="J412" i="34"/>
  <c r="J408" i="34"/>
  <c r="J467" i="34"/>
  <c r="J463" i="34"/>
  <c r="J459" i="34"/>
  <c r="J455" i="34"/>
  <c r="J419" i="34"/>
  <c r="J415" i="34"/>
  <c r="J411" i="34"/>
  <c r="J407" i="34"/>
  <c r="J456" i="34"/>
  <c r="J337" i="34"/>
  <c r="J333" i="34"/>
  <c r="J329" i="34"/>
  <c r="J321" i="34"/>
  <c r="J317" i="34"/>
  <c r="J313" i="34"/>
  <c r="J305" i="34"/>
  <c r="J301" i="34"/>
  <c r="J297" i="34"/>
  <c r="J335" i="34"/>
  <c r="J331" i="34"/>
  <c r="J323" i="34"/>
  <c r="J319" i="34"/>
  <c r="J315" i="34"/>
  <c r="J311" i="34"/>
  <c r="J307" i="34"/>
  <c r="J303" i="34"/>
  <c r="J299" i="34"/>
  <c r="J295" i="34"/>
  <c r="J332" i="34"/>
  <c r="J328" i="34"/>
  <c r="J304" i="34"/>
  <c r="J300" i="34"/>
  <c r="J338" i="34"/>
  <c r="J334" i="34"/>
  <c r="J330" i="34"/>
  <c r="J322" i="34"/>
  <c r="J318" i="34"/>
  <c r="J314" i="34"/>
  <c r="J306" i="34"/>
  <c r="J302" i="34"/>
  <c r="J298" i="34"/>
  <c r="J339" i="34"/>
  <c r="J327" i="34"/>
  <c r="J336" i="34"/>
  <c r="J320" i="34"/>
  <c r="J316" i="34"/>
  <c r="J312" i="34"/>
  <c r="J296" i="34"/>
  <c r="J289" i="34"/>
  <c r="J285" i="34"/>
  <c r="J281" i="34"/>
  <c r="J290" i="34"/>
  <c r="J286" i="34"/>
  <c r="J282" i="34"/>
  <c r="J291" i="34"/>
  <c r="J287" i="34"/>
  <c r="J283" i="34"/>
  <c r="J279" i="34"/>
  <c r="J288" i="34"/>
  <c r="J284" i="34"/>
  <c r="J280" i="34"/>
  <c r="J273" i="34"/>
  <c r="J269" i="34"/>
  <c r="J265" i="34"/>
  <c r="J274" i="34"/>
  <c r="J270" i="34"/>
  <c r="J266" i="34"/>
  <c r="J275" i="34"/>
  <c r="J271" i="34"/>
  <c r="J267" i="34"/>
  <c r="J263" i="34"/>
  <c r="J272" i="34"/>
  <c r="J268" i="34"/>
  <c r="J264" i="34"/>
  <c r="J108" i="12"/>
  <c r="O111" i="12" s="1"/>
  <c r="O108" i="12"/>
  <c r="J37" i="40"/>
  <c r="I37" i="40"/>
  <c r="I66" i="40" s="1"/>
  <c r="K539" i="1"/>
  <c r="I29" i="38"/>
  <c r="H29" i="38"/>
  <c r="J29" i="38"/>
  <c r="J243" i="38"/>
  <c r="N243" i="38"/>
  <c r="I243" i="38"/>
  <c r="K243" i="38"/>
  <c r="M243" i="38"/>
  <c r="H243" i="38"/>
  <c r="O242" i="38"/>
  <c r="Q242" i="38" s="1"/>
  <c r="Q251" i="38" s="1"/>
  <c r="R251" i="38" s="1"/>
  <c r="B244" i="38"/>
  <c r="B264" i="38"/>
  <c r="E264" i="38" s="1"/>
  <c r="B226" i="38"/>
  <c r="E225" i="38"/>
  <c r="N521" i="38"/>
  <c r="I521" i="38"/>
  <c r="M521" i="38"/>
  <c r="K521" i="38"/>
  <c r="J521" i="38"/>
  <c r="H521" i="38"/>
  <c r="O520" i="38"/>
  <c r="Q520" i="38" s="1"/>
  <c r="B542" i="38"/>
  <c r="E542" i="38" s="1"/>
  <c r="E503" i="38"/>
  <c r="B522" i="38"/>
  <c r="K561" i="1"/>
  <c r="K570" i="1"/>
  <c r="K566" i="1"/>
  <c r="K563" i="1"/>
  <c r="K567" i="1"/>
  <c r="K569" i="1"/>
  <c r="K574" i="1"/>
  <c r="K562" i="1"/>
  <c r="K565" i="1"/>
  <c r="K568" i="1"/>
  <c r="K564" i="1"/>
  <c r="K571" i="1"/>
  <c r="K572" i="1"/>
  <c r="K560" i="1"/>
  <c r="K573" i="1"/>
  <c r="K575" i="1"/>
  <c r="K542" i="1"/>
  <c r="K511" i="1"/>
  <c r="K540" i="1"/>
  <c r="J189" i="34"/>
  <c r="J237" i="34"/>
  <c r="J193" i="34"/>
  <c r="J241" i="34"/>
  <c r="J194" i="34"/>
  <c r="J242" i="34"/>
  <c r="J259" i="34"/>
  <c r="J254" i="34"/>
  <c r="J250" i="34"/>
  <c r="J258" i="34"/>
  <c r="J257" i="34"/>
  <c r="J253" i="34"/>
  <c r="J249" i="34"/>
  <c r="J256" i="34"/>
  <c r="J252" i="34"/>
  <c r="J248" i="34"/>
  <c r="J255" i="34"/>
  <c r="J251" i="34"/>
  <c r="J247" i="34"/>
  <c r="J235" i="34"/>
  <c r="J218" i="34"/>
  <c r="J222" i="34"/>
  <c r="J226" i="34"/>
  <c r="J219" i="34"/>
  <c r="J223" i="34"/>
  <c r="J227" i="34"/>
  <c r="J216" i="34"/>
  <c r="J220" i="34"/>
  <c r="J224" i="34"/>
  <c r="J215" i="34"/>
  <c r="J217" i="34"/>
  <c r="J221" i="34"/>
  <c r="J225" i="34"/>
  <c r="J202" i="34"/>
  <c r="J206" i="34"/>
  <c r="J210" i="34"/>
  <c r="J203" i="34"/>
  <c r="J207" i="34"/>
  <c r="J211" i="34"/>
  <c r="J200" i="34"/>
  <c r="J204" i="34"/>
  <c r="J208" i="34"/>
  <c r="J199" i="34"/>
  <c r="J201" i="34"/>
  <c r="J205" i="34"/>
  <c r="J209" i="34"/>
  <c r="J234" i="34"/>
  <c r="J233" i="34"/>
  <c r="J231" i="34"/>
  <c r="J232" i="34"/>
  <c r="J236" i="34"/>
  <c r="J240" i="34"/>
  <c r="J238" i="34"/>
  <c r="J243" i="34"/>
  <c r="J185" i="34"/>
  <c r="J188" i="34"/>
  <c r="J192" i="34"/>
  <c r="J183" i="34"/>
  <c r="J184" i="34"/>
  <c r="J186" i="34"/>
  <c r="J191" i="34"/>
  <c r="J190" i="34"/>
  <c r="J195" i="34"/>
  <c r="J171" i="34"/>
  <c r="J175" i="34"/>
  <c r="J179" i="34"/>
  <c r="J169" i="34"/>
  <c r="J177" i="34"/>
  <c r="J174" i="34"/>
  <c r="J168" i="34"/>
  <c r="J172" i="34"/>
  <c r="J176" i="34"/>
  <c r="J167" i="34"/>
  <c r="J173" i="34"/>
  <c r="J170" i="34"/>
  <c r="J178" i="34"/>
  <c r="K510" i="1"/>
  <c r="K513" i="1"/>
  <c r="K544" i="1"/>
  <c r="K512" i="1"/>
  <c r="K508" i="1"/>
  <c r="K541" i="1"/>
  <c r="K543" i="1"/>
  <c r="K509" i="1"/>
  <c r="J50" i="15"/>
  <c r="K50" i="15" s="1"/>
  <c r="C130" i="32" s="1"/>
  <c r="H282" i="13"/>
  <c r="K219" i="19"/>
  <c r="H225" i="19"/>
  <c r="H222" i="19"/>
  <c r="H226" i="19"/>
  <c r="J221" i="19"/>
  <c r="K220" i="19"/>
  <c r="E1223" i="1"/>
  <c r="E1216" i="1"/>
  <c r="P1039" i="1" s="1"/>
  <c r="I119" i="34"/>
  <c r="I55" i="34"/>
  <c r="I23" i="34"/>
  <c r="I39" i="34"/>
  <c r="I71" i="34"/>
  <c r="I87" i="34"/>
  <c r="I103" i="34"/>
  <c r="J110" i="34" s="1"/>
  <c r="I135" i="34"/>
  <c r="I151" i="34"/>
  <c r="I7" i="34"/>
  <c r="J10" i="34" s="1"/>
  <c r="B74" i="36"/>
  <c r="B92" i="36"/>
  <c r="B66" i="36"/>
  <c r="B83" i="36"/>
  <c r="B57" i="36"/>
  <c r="D492" i="34"/>
  <c r="C70" i="34" s="1"/>
  <c r="D491" i="34"/>
  <c r="C54" i="34" s="1"/>
  <c r="D490" i="34"/>
  <c r="C38" i="34" s="1"/>
  <c r="B244" i="36"/>
  <c r="D489" i="34" s="1"/>
  <c r="C22" i="34" s="1"/>
  <c r="B243" i="36"/>
  <c r="D488" i="34" s="1"/>
  <c r="C6" i="34" s="1"/>
  <c r="K589" i="1" l="1"/>
  <c r="J66" i="40"/>
  <c r="H227" i="19"/>
  <c r="H228" i="19" s="1"/>
  <c r="I226" i="19"/>
  <c r="B15" i="36"/>
  <c r="B24" i="36"/>
  <c r="B36" i="36"/>
  <c r="B6" i="36"/>
  <c r="B47" i="36"/>
  <c r="J111" i="12"/>
  <c r="K111" i="12" s="1"/>
  <c r="J109" i="12"/>
  <c r="K109" i="12" s="1"/>
  <c r="K108" i="12"/>
  <c r="J112" i="12"/>
  <c r="K112" i="12" s="1"/>
  <c r="O110" i="12"/>
  <c r="O112" i="12"/>
  <c r="O113" i="12"/>
  <c r="J113" i="12"/>
  <c r="K113" i="12" s="1"/>
  <c r="J110" i="12"/>
  <c r="K110" i="12" s="1"/>
  <c r="O109" i="12"/>
  <c r="O521" i="38"/>
  <c r="Q521" i="38" s="1"/>
  <c r="Q530" i="38" s="1"/>
  <c r="R530" i="38" s="1"/>
  <c r="P1216" i="1"/>
  <c r="P1057" i="1"/>
  <c r="O243" i="38"/>
  <c r="Q243" i="38" s="1"/>
  <c r="N522" i="38"/>
  <c r="I522" i="38"/>
  <c r="K522" i="38"/>
  <c r="J522" i="38"/>
  <c r="M522" i="38"/>
  <c r="H522" i="38"/>
  <c r="B543" i="38"/>
  <c r="E543" i="38" s="1"/>
  <c r="E504" i="38"/>
  <c r="J777" i="38" s="1"/>
  <c r="B523" i="38"/>
  <c r="B265" i="38"/>
  <c r="E265" i="38" s="1"/>
  <c r="B245" i="38"/>
  <c r="E226" i="38"/>
  <c r="B227" i="38"/>
  <c r="J244" i="38"/>
  <c r="N244" i="38"/>
  <c r="I244" i="38"/>
  <c r="H244" i="38"/>
  <c r="M244" i="38"/>
  <c r="K244" i="38"/>
  <c r="J17" i="34"/>
  <c r="J18" i="34"/>
  <c r="J111" i="34"/>
  <c r="J9" i="34"/>
  <c r="J160" i="34"/>
  <c r="J161" i="34"/>
  <c r="J152" i="34"/>
  <c r="J153" i="34"/>
  <c r="J96" i="34"/>
  <c r="J97" i="34"/>
  <c r="J88" i="34"/>
  <c r="J89" i="34"/>
  <c r="J30" i="34"/>
  <c r="J31" i="34"/>
  <c r="J43" i="34"/>
  <c r="J47" i="34"/>
  <c r="J51" i="34"/>
  <c r="J40" i="34"/>
  <c r="J44" i="34"/>
  <c r="J48" i="34"/>
  <c r="J39" i="34"/>
  <c r="J45" i="34"/>
  <c r="J46" i="34"/>
  <c r="J41" i="34"/>
  <c r="J49" i="34"/>
  <c r="J42" i="34"/>
  <c r="J50" i="34"/>
  <c r="J136" i="34"/>
  <c r="J140" i="34"/>
  <c r="J144" i="34"/>
  <c r="J135" i="34"/>
  <c r="J137" i="34"/>
  <c r="J141" i="34"/>
  <c r="J145" i="34"/>
  <c r="J72" i="34"/>
  <c r="J76" i="34"/>
  <c r="J80" i="34"/>
  <c r="J71" i="34"/>
  <c r="J73" i="34"/>
  <c r="J77" i="34"/>
  <c r="J81" i="34"/>
  <c r="J58" i="34"/>
  <c r="J62" i="34"/>
  <c r="J66" i="34"/>
  <c r="J59" i="34"/>
  <c r="J63" i="34"/>
  <c r="J67" i="34"/>
  <c r="J61" i="34"/>
  <c r="J83" i="34"/>
  <c r="J75" i="34"/>
  <c r="J122" i="34"/>
  <c r="J126" i="34"/>
  <c r="J130" i="34"/>
  <c r="J123" i="34"/>
  <c r="J127" i="34"/>
  <c r="J131" i="34"/>
  <c r="J125" i="34"/>
  <c r="J147" i="34"/>
  <c r="J139" i="34"/>
  <c r="J55" i="34"/>
  <c r="J60" i="34"/>
  <c r="J82" i="34"/>
  <c r="J74" i="34"/>
  <c r="J119" i="34"/>
  <c r="J124" i="34"/>
  <c r="J146" i="34"/>
  <c r="J138" i="34"/>
  <c r="J11" i="34"/>
  <c r="J15" i="34"/>
  <c r="J19" i="34"/>
  <c r="J8" i="34"/>
  <c r="J12" i="34"/>
  <c r="J16" i="34"/>
  <c r="J7" i="34"/>
  <c r="J104" i="34"/>
  <c r="J108" i="34"/>
  <c r="J112" i="34"/>
  <c r="J103" i="34"/>
  <c r="J105" i="34"/>
  <c r="J109" i="34"/>
  <c r="J113" i="34"/>
  <c r="J14" i="34"/>
  <c r="J24" i="34"/>
  <c r="J28" i="34"/>
  <c r="J32" i="34"/>
  <c r="J23" i="34"/>
  <c r="J25" i="34"/>
  <c r="J29" i="34"/>
  <c r="J33" i="34"/>
  <c r="J35" i="34"/>
  <c r="J27" i="34"/>
  <c r="J65" i="34"/>
  <c r="J57" i="34"/>
  <c r="J79" i="34"/>
  <c r="J90" i="34"/>
  <c r="J94" i="34"/>
  <c r="J98" i="34"/>
  <c r="J91" i="34"/>
  <c r="J95" i="34"/>
  <c r="J99" i="34"/>
  <c r="J93" i="34"/>
  <c r="J115" i="34"/>
  <c r="J107" i="34"/>
  <c r="J129" i="34"/>
  <c r="J121" i="34"/>
  <c r="J143" i="34"/>
  <c r="J154" i="34"/>
  <c r="J158" i="34"/>
  <c r="J162" i="34"/>
  <c r="J155" i="34"/>
  <c r="J159" i="34"/>
  <c r="J163" i="34"/>
  <c r="J157" i="34"/>
  <c r="J13" i="34"/>
  <c r="J34" i="34"/>
  <c r="J26" i="34"/>
  <c r="J64" i="34"/>
  <c r="J56" i="34"/>
  <c r="J78" i="34"/>
  <c r="J87" i="34"/>
  <c r="J92" i="34"/>
  <c r="J114" i="34"/>
  <c r="J106" i="34"/>
  <c r="J128" i="34"/>
  <c r="J120" i="34"/>
  <c r="J142" i="34"/>
  <c r="J151" i="34"/>
  <c r="J156" i="34"/>
  <c r="I222" i="19"/>
  <c r="J222" i="19"/>
  <c r="K222" i="19" s="1"/>
  <c r="K221" i="19"/>
  <c r="O522" i="38" l="1"/>
  <c r="Q522" i="38" s="1"/>
  <c r="F475" i="34"/>
  <c r="P1076" i="1"/>
  <c r="P1127" i="1"/>
  <c r="F472" i="34"/>
  <c r="F476" i="34"/>
  <c r="P514" i="1" s="1"/>
  <c r="F477" i="34"/>
  <c r="P515" i="1" s="1"/>
  <c r="F474" i="34"/>
  <c r="P512" i="1" s="1"/>
  <c r="F473" i="34"/>
  <c r="P511" i="1" s="1"/>
  <c r="F478" i="34"/>
  <c r="P516" i="1" s="1"/>
  <c r="F479" i="34"/>
  <c r="P517" i="1" s="1"/>
  <c r="F484" i="34"/>
  <c r="P522" i="1" s="1"/>
  <c r="F483" i="34"/>
  <c r="P521" i="1" s="1"/>
  <c r="F481" i="34"/>
  <c r="P519" i="1" s="1"/>
  <c r="F480" i="34"/>
  <c r="P518" i="1" s="1"/>
  <c r="F482" i="34"/>
  <c r="P520" i="1" s="1"/>
  <c r="E461" i="1"/>
  <c r="P513" i="1"/>
  <c r="E462" i="1"/>
  <c r="P1100" i="1"/>
  <c r="O244" i="38"/>
  <c r="Q244" i="38" s="1"/>
  <c r="B544" i="38"/>
  <c r="E544" i="38" s="1"/>
  <c r="B524" i="38"/>
  <c r="E505" i="38"/>
  <c r="J778" i="38" s="1"/>
  <c r="J245" i="38"/>
  <c r="N245" i="38"/>
  <c r="I245" i="38"/>
  <c r="K245" i="38"/>
  <c r="M245" i="38"/>
  <c r="H245" i="38"/>
  <c r="N523" i="38"/>
  <c r="I523" i="38"/>
  <c r="J523" i="38"/>
  <c r="H523" i="38"/>
  <c r="M523" i="38"/>
  <c r="O523" i="38" s="1"/>
  <c r="Q523" i="38" s="1"/>
  <c r="K523" i="38"/>
  <c r="B266" i="38"/>
  <c r="E266" i="38" s="1"/>
  <c r="B246" i="38"/>
  <c r="B228" i="38"/>
  <c r="E227" i="38"/>
  <c r="E450" i="1"/>
  <c r="E449" i="1"/>
  <c r="K282" i="13"/>
  <c r="J284" i="13"/>
  <c r="K284" i="13" s="1"/>
  <c r="J283" i="13"/>
  <c r="K283" i="13" s="1"/>
  <c r="C94" i="27"/>
  <c r="P1038" i="1"/>
  <c r="E1222" i="1"/>
  <c r="P1215" i="1" l="1"/>
  <c r="J91" i="22" s="1"/>
  <c r="P510" i="1"/>
  <c r="C99" i="32"/>
  <c r="O245" i="38"/>
  <c r="Q245" i="38" s="1"/>
  <c r="B267" i="38"/>
  <c r="E267" i="38" s="1"/>
  <c r="B247" i="38"/>
  <c r="B229" i="38"/>
  <c r="E228" i="38"/>
  <c r="N524" i="38"/>
  <c r="I524" i="38"/>
  <c r="M524" i="38"/>
  <c r="K524" i="38"/>
  <c r="J524" i="38"/>
  <c r="H524" i="38"/>
  <c r="J246" i="38"/>
  <c r="N246" i="38"/>
  <c r="I246" i="38"/>
  <c r="M246" i="38"/>
  <c r="H246" i="38"/>
  <c r="K246" i="38"/>
  <c r="B545" i="38"/>
  <c r="B525" i="38"/>
  <c r="E506" i="38"/>
  <c r="J779" i="38" s="1"/>
  <c r="H272" i="13"/>
  <c r="E545" i="38" l="1"/>
  <c r="O246" i="38"/>
  <c r="Q246" i="38" s="1"/>
  <c r="N525" i="38"/>
  <c r="I525" i="38"/>
  <c r="K525" i="38"/>
  <c r="H525" i="38"/>
  <c r="M525" i="38"/>
  <c r="O525" i="38" s="1"/>
  <c r="Q525" i="38" s="1"/>
  <c r="J525" i="38"/>
  <c r="J247" i="38"/>
  <c r="N247" i="38"/>
  <c r="I247" i="38"/>
  <c r="M247" i="38"/>
  <c r="K247" i="38"/>
  <c r="H247" i="38"/>
  <c r="B526" i="38"/>
  <c r="B546" i="38"/>
  <c r="E546" i="38" s="1"/>
  <c r="E507" i="38"/>
  <c r="O524" i="38"/>
  <c r="Q524" i="38" s="1"/>
  <c r="B248" i="38"/>
  <c r="B268" i="38"/>
  <c r="E268" i="38" s="1"/>
  <c r="B230" i="38"/>
  <c r="E229" i="38"/>
  <c r="N565" i="38" l="1"/>
  <c r="B587" i="38"/>
  <c r="E587" i="38" s="1"/>
  <c r="E598" i="38" s="1"/>
  <c r="E939" i="38" s="1"/>
  <c r="O565" i="38"/>
  <c r="H565" i="38"/>
  <c r="H576" i="38" s="1"/>
  <c r="H577" i="38" s="1"/>
  <c r="J565" i="38"/>
  <c r="J576" i="38" s="1"/>
  <c r="J577" i="38" s="1"/>
  <c r="L565" i="38"/>
  <c r="L576" i="38" s="1"/>
  <c r="L577" i="38" s="1"/>
  <c r="I565" i="38"/>
  <c r="I576" i="38" s="1"/>
  <c r="I577" i="38" s="1"/>
  <c r="O247" i="38"/>
  <c r="Q247" i="38" s="1"/>
  <c r="J780" i="38"/>
  <c r="I780" i="38"/>
  <c r="J248" i="38"/>
  <c r="N248" i="38"/>
  <c r="I248" i="38"/>
  <c r="H248" i="38"/>
  <c r="M248" i="38"/>
  <c r="K248" i="38"/>
  <c r="N526" i="38"/>
  <c r="I526" i="38"/>
  <c r="M526" i="38"/>
  <c r="J526" i="38"/>
  <c r="H526" i="38"/>
  <c r="K526" i="38"/>
  <c r="E508" i="38"/>
  <c r="B547" i="38"/>
  <c r="E547" i="38" s="1"/>
  <c r="B527" i="38"/>
  <c r="B269" i="38"/>
  <c r="E269" i="38" s="1"/>
  <c r="E270" i="38" s="1"/>
  <c r="B249" i="38"/>
  <c r="E230" i="38"/>
  <c r="E231" i="38" s="1"/>
  <c r="C180" i="27"/>
  <c r="M47" i="36" s="1"/>
  <c r="G95" i="18"/>
  <c r="H95" i="18" s="1"/>
  <c r="G94" i="18"/>
  <c r="H94" i="18" s="1"/>
  <c r="C172" i="27"/>
  <c r="B263" i="32"/>
  <c r="P499" i="1"/>
  <c r="P500" i="1"/>
  <c r="P501" i="1"/>
  <c r="P502" i="1"/>
  <c r="P503" i="1"/>
  <c r="P504" i="1"/>
  <c r="P505" i="1"/>
  <c r="P506" i="1"/>
  <c r="P507" i="1"/>
  <c r="P498" i="1"/>
  <c r="F939" i="38" l="1"/>
  <c r="B939" i="38"/>
  <c r="C939" i="38" s="1"/>
  <c r="B607" i="38"/>
  <c r="D607" i="38" s="1"/>
  <c r="D618" i="38" s="1"/>
  <c r="D587" i="38"/>
  <c r="D598" i="38" s="1"/>
  <c r="P565" i="38"/>
  <c r="R565" i="38" s="1"/>
  <c r="Q577" i="38" s="1"/>
  <c r="R577" i="38" s="1"/>
  <c r="O526" i="38"/>
  <c r="Q526" i="38" s="1"/>
  <c r="I781" i="38"/>
  <c r="I793" i="38" s="1"/>
  <c r="I794" i="38" s="1"/>
  <c r="J781" i="38"/>
  <c r="B548" i="38"/>
  <c r="E548" i="38" s="1"/>
  <c r="E549" i="38" s="1"/>
  <c r="B528" i="38"/>
  <c r="E509" i="38"/>
  <c r="O248" i="38"/>
  <c r="Q248" i="38" s="1"/>
  <c r="N249" i="38"/>
  <c r="J249" i="38"/>
  <c r="J250" i="38" s="1"/>
  <c r="J251" i="38" s="1"/>
  <c r="I249" i="38"/>
  <c r="I250" i="38" s="1"/>
  <c r="I251" i="38" s="1"/>
  <c r="K249" i="38"/>
  <c r="K250" i="38" s="1"/>
  <c r="K251" i="38" s="1"/>
  <c r="M249" i="38"/>
  <c r="H249" i="38"/>
  <c r="H250" i="38" s="1"/>
  <c r="H251" i="38" s="1"/>
  <c r="N527" i="38"/>
  <c r="I527" i="38"/>
  <c r="K527" i="38"/>
  <c r="H527" i="38"/>
  <c r="M527" i="38"/>
  <c r="J527" i="38"/>
  <c r="I95" i="18"/>
  <c r="F180" i="27" s="1"/>
  <c r="AP12" i="50" s="1"/>
  <c r="AX29" i="50" s="1"/>
  <c r="BB29" i="50" s="1"/>
  <c r="O527" i="38" l="1"/>
  <c r="Q527" i="38" s="1"/>
  <c r="N47" i="36"/>
  <c r="O249" i="38"/>
  <c r="Q249" i="38" s="1"/>
  <c r="Q250" i="38" s="1"/>
  <c r="R250" i="38" s="1"/>
  <c r="E510" i="38"/>
  <c r="J782" i="38"/>
  <c r="N528" i="38"/>
  <c r="I528" i="38"/>
  <c r="I529" i="38" s="1"/>
  <c r="I530" i="38" s="1"/>
  <c r="J528" i="38"/>
  <c r="J529" i="38" s="1"/>
  <c r="J530" i="38" s="1"/>
  <c r="M528" i="38"/>
  <c r="K528" i="38"/>
  <c r="K529" i="38" s="1"/>
  <c r="K530" i="38" s="1"/>
  <c r="H528" i="38"/>
  <c r="H529" i="38" s="1"/>
  <c r="H530" i="38" s="1"/>
  <c r="K151" i="1"/>
  <c r="J151" i="1"/>
  <c r="I151" i="1"/>
  <c r="J783" i="38" l="1"/>
  <c r="J793" i="38" s="1"/>
  <c r="J794" i="38" s="1"/>
  <c r="O528" i="38"/>
  <c r="Q528" i="38" s="1"/>
  <c r="Q529" i="38" s="1"/>
  <c r="R529" i="38" s="1"/>
  <c r="L151" i="1"/>
  <c r="I145" i="36"/>
  <c r="H145" i="36"/>
  <c r="P19" i="40"/>
  <c r="N19" i="40"/>
  <c r="J145" i="36" l="1"/>
  <c r="G145" i="36"/>
  <c r="B82" i="32" l="1"/>
  <c r="B544" i="1"/>
  <c r="B575" i="1" s="1"/>
  <c r="B606" i="1" s="1"/>
  <c r="J100" i="13"/>
  <c r="C70" i="27"/>
  <c r="C179" i="27"/>
  <c r="K498" i="1"/>
  <c r="F107" i="36"/>
  <c r="G86" i="18"/>
  <c r="H86" i="18" s="1"/>
  <c r="G90" i="18"/>
  <c r="G89" i="18"/>
  <c r="G88" i="18"/>
  <c r="G87" i="18"/>
  <c r="H89" i="18" l="1"/>
  <c r="G98" i="18"/>
  <c r="H98" i="18" s="1"/>
  <c r="H90" i="18"/>
  <c r="G99" i="18"/>
  <c r="H99" i="18" s="1"/>
  <c r="H87" i="18"/>
  <c r="G96" i="18"/>
  <c r="H96" i="18" s="1"/>
  <c r="H88" i="18"/>
  <c r="G97" i="18"/>
  <c r="H97" i="18" s="1"/>
  <c r="J98" i="13"/>
  <c r="J99" i="13"/>
  <c r="I86" i="18"/>
  <c r="I90" i="18" l="1"/>
  <c r="I99" i="18"/>
  <c r="H100" i="18"/>
  <c r="H101" i="18" s="1"/>
  <c r="H91" i="18"/>
  <c r="H92" i="18" s="1"/>
  <c r="F179" i="27" s="1"/>
  <c r="P150" i="25"/>
  <c r="M150" i="25"/>
  <c r="C121" i="32"/>
  <c r="J7" i="15"/>
  <c r="J31" i="15"/>
  <c r="G305" i="12" l="1"/>
  <c r="H305" i="12" l="1"/>
  <c r="G307" i="12" s="1"/>
  <c r="H307" i="12" s="1"/>
  <c r="I307" i="12" s="1"/>
  <c r="G306" i="12"/>
  <c r="H306" i="12" s="1"/>
  <c r="I306" i="12" s="1"/>
  <c r="B2" i="32"/>
  <c r="C245" i="32"/>
  <c r="H1266" i="1" l="1"/>
  <c r="K1266" i="1" s="1"/>
  <c r="H298" i="1"/>
  <c r="H150" i="1"/>
  <c r="K476" i="1"/>
  <c r="G1266" i="1"/>
  <c r="J1266" i="1" s="1"/>
  <c r="L1266" i="1" s="1"/>
  <c r="G150" i="1"/>
  <c r="G298" i="1"/>
  <c r="K150" i="1"/>
  <c r="K298" i="1"/>
  <c r="H308" i="12"/>
  <c r="H309" i="12" s="1"/>
  <c r="F70" i="27" s="1"/>
  <c r="I476" i="1"/>
  <c r="I1266" i="1"/>
  <c r="O156" i="24"/>
  <c r="C237" i="32"/>
  <c r="C222" i="32"/>
  <c r="C223" i="32"/>
  <c r="C252" i="32"/>
  <c r="C236" i="32"/>
  <c r="J7" i="21"/>
  <c r="J9" i="21" s="1"/>
  <c r="J309" i="21"/>
  <c r="J298" i="1" l="1"/>
  <c r="L298" i="1" s="1"/>
  <c r="I298" i="1"/>
  <c r="J150" i="1"/>
  <c r="L150" i="1" s="1"/>
  <c r="I150" i="1"/>
  <c r="J476" i="1"/>
  <c r="L476" i="1" s="1"/>
  <c r="K282" i="24"/>
  <c r="K309" i="24"/>
  <c r="K101" i="24"/>
  <c r="K273" i="24"/>
  <c r="J8" i="21"/>
  <c r="A54" i="1" l="1"/>
  <c r="A55" i="1" s="1"/>
  <c r="A63" i="1" l="1"/>
  <c r="K538" i="1"/>
  <c r="K537" i="1"/>
  <c r="K536" i="1"/>
  <c r="K535" i="1"/>
  <c r="K534" i="1"/>
  <c r="K533" i="1"/>
  <c r="K532" i="1"/>
  <c r="K531" i="1"/>
  <c r="K530" i="1"/>
  <c r="K529" i="1"/>
  <c r="K507" i="1"/>
  <c r="K506" i="1"/>
  <c r="K505" i="1"/>
  <c r="K504" i="1"/>
  <c r="K503" i="1"/>
  <c r="A38" i="40"/>
  <c r="A39" i="40" s="1"/>
  <c r="A40" i="40" s="1"/>
  <c r="A41" i="40" s="1"/>
  <c r="A42" i="40" s="1"/>
  <c r="A43" i="40" s="1"/>
  <c r="A44" i="40" s="1"/>
  <c r="A45" i="40" s="1"/>
  <c r="A46" i="40" s="1"/>
  <c r="A47" i="40" s="1"/>
  <c r="A48" i="40" s="1"/>
  <c r="A49" i="40" s="1"/>
  <c r="A50" i="40" s="1"/>
  <c r="A51" i="40" s="1"/>
  <c r="A52" i="40" s="1"/>
  <c r="A53" i="40" s="1"/>
  <c r="A54" i="40" s="1"/>
  <c r="A55" i="40" s="1"/>
  <c r="A56" i="40" s="1"/>
  <c r="A57" i="40" s="1"/>
  <c r="A58" i="40" s="1"/>
  <c r="A59" i="40" s="1"/>
  <c r="A60" i="40" s="1"/>
  <c r="A61" i="40" s="1"/>
  <c r="A62" i="40" s="1"/>
  <c r="A63" i="40" s="1"/>
  <c r="A64" i="40" s="1"/>
  <c r="A65" i="40" s="1"/>
  <c r="C100" i="32"/>
  <c r="C101" i="32"/>
  <c r="C102" i="32"/>
  <c r="C103" i="32"/>
  <c r="C104" i="32"/>
  <c r="C105" i="32"/>
  <c r="C106" i="32"/>
  <c r="C107" i="32"/>
  <c r="C108" i="32"/>
  <c r="C109" i="32"/>
  <c r="C110" i="32"/>
  <c r="C111" i="32"/>
  <c r="F138" i="36"/>
  <c r="H138" i="36" s="1"/>
  <c r="F131" i="36"/>
  <c r="I131" i="36" s="1"/>
  <c r="F115" i="36"/>
  <c r="G115" i="36" s="1"/>
  <c r="I107" i="36"/>
  <c r="G107" i="36"/>
  <c r="H107" i="36"/>
  <c r="F99" i="36"/>
  <c r="I99" i="36" s="1"/>
  <c r="I89" i="36"/>
  <c r="F80" i="36"/>
  <c r="K558" i="1" l="1"/>
  <c r="G99" i="36"/>
  <c r="H115" i="36"/>
  <c r="J107" i="36"/>
  <c r="I138" i="36"/>
  <c r="J138" i="36" s="1"/>
  <c r="H99" i="36"/>
  <c r="G138" i="36"/>
  <c r="B529" i="1"/>
  <c r="B560" i="1" s="1"/>
  <c r="B591" i="1" s="1"/>
  <c r="I115" i="36"/>
  <c r="G131" i="36"/>
  <c r="H131" i="36"/>
  <c r="J131" i="36" s="1"/>
  <c r="J99" i="36"/>
  <c r="H89" i="36"/>
  <c r="J89" i="36" s="1"/>
  <c r="G89" i="36"/>
  <c r="G80" i="36"/>
  <c r="B72" i="32" l="1"/>
  <c r="B534" i="1"/>
  <c r="B565" i="1" s="1"/>
  <c r="B596" i="1" s="1"/>
  <c r="B74" i="32"/>
  <c r="B536" i="1"/>
  <c r="B567" i="1" s="1"/>
  <c r="B598" i="1" s="1"/>
  <c r="B70" i="32"/>
  <c r="B532" i="1"/>
  <c r="B563" i="1" s="1"/>
  <c r="B594" i="1" s="1"/>
  <c r="B81" i="32"/>
  <c r="B543" i="1"/>
  <c r="B574" i="1" s="1"/>
  <c r="B605" i="1" s="1"/>
  <c r="B79" i="32"/>
  <c r="B541" i="1"/>
  <c r="B572" i="1" s="1"/>
  <c r="B603" i="1" s="1"/>
  <c r="B75" i="32"/>
  <c r="B537" i="1"/>
  <c r="B568" i="1" s="1"/>
  <c r="B599" i="1" s="1"/>
  <c r="B77" i="32"/>
  <c r="B539" i="1"/>
  <c r="B570" i="1" s="1"/>
  <c r="B601" i="1" s="1"/>
  <c r="B71" i="32"/>
  <c r="B533" i="1"/>
  <c r="B564" i="1" s="1"/>
  <c r="B595" i="1" s="1"/>
  <c r="B80" i="32"/>
  <c r="B542" i="1"/>
  <c r="B573" i="1" s="1"/>
  <c r="B604" i="1" s="1"/>
  <c r="B76" i="32"/>
  <c r="B538" i="1"/>
  <c r="B569" i="1" s="1"/>
  <c r="B600" i="1" s="1"/>
  <c r="B73" i="32"/>
  <c r="B535" i="1"/>
  <c r="B566" i="1" s="1"/>
  <c r="B597" i="1" s="1"/>
  <c r="B78" i="32"/>
  <c r="B540" i="1"/>
  <c r="B571" i="1" s="1"/>
  <c r="B602" i="1" s="1"/>
  <c r="B69" i="32"/>
  <c r="B531" i="1"/>
  <c r="B562" i="1" s="1"/>
  <c r="B593" i="1" s="1"/>
  <c r="B68" i="32"/>
  <c r="B530" i="1"/>
  <c r="B561" i="1" s="1"/>
  <c r="B592" i="1" s="1"/>
  <c r="J115" i="36"/>
  <c r="B67" i="32"/>
  <c r="P1037" i="1"/>
  <c r="C229" i="32" l="1"/>
  <c r="C233" i="32"/>
  <c r="C231" i="32"/>
  <c r="C230" i="32"/>
  <c r="C228" i="32"/>
  <c r="C235" i="32"/>
  <c r="F235" i="32" s="1"/>
  <c r="C227" i="32"/>
  <c r="C234" i="32"/>
  <c r="C232" i="32"/>
  <c r="B6" i="44"/>
  <c r="B5" i="44"/>
  <c r="B4" i="44"/>
  <c r="H755" i="1"/>
  <c r="G755" i="1"/>
  <c r="H716" i="1"/>
  <c r="G716" i="1"/>
  <c r="L8" i="11" l="1"/>
  <c r="L9" i="11"/>
  <c r="L7" i="11"/>
  <c r="J8" i="11"/>
  <c r="K8" i="11" s="1"/>
  <c r="J155" i="12"/>
  <c r="J156" i="12"/>
  <c r="J154" i="12"/>
  <c r="C63" i="32"/>
  <c r="J173" i="13"/>
  <c r="J172" i="13"/>
  <c r="G75" i="13"/>
  <c r="G62" i="17"/>
  <c r="I261" i="17" s="1"/>
  <c r="J9" i="11" l="1"/>
  <c r="K9" i="11" s="1"/>
  <c r="E105" i="11" s="1"/>
  <c r="K7" i="11"/>
  <c r="C14" i="32" l="1"/>
  <c r="E103" i="11"/>
  <c r="L12" i="1"/>
  <c r="L8" i="1"/>
  <c r="L7" i="1"/>
  <c r="L6" i="1"/>
  <c r="L5" i="1"/>
  <c r="C9" i="1"/>
  <c r="C8" i="1"/>
  <c r="C7" i="1"/>
  <c r="C6" i="1"/>
  <c r="C42" i="32" l="1"/>
  <c r="P1078" i="1"/>
  <c r="F237" i="32" l="1"/>
  <c r="F163" i="32"/>
  <c r="C54" i="32"/>
  <c r="C53" i="32"/>
  <c r="C52" i="32"/>
  <c r="C44" i="32"/>
  <c r="C30" i="32"/>
  <c r="F169" i="32"/>
  <c r="F42" i="32" l="1"/>
  <c r="K100" i="1" l="1"/>
  <c r="J100" i="1"/>
  <c r="I100" i="1"/>
  <c r="K98" i="1"/>
  <c r="J98" i="1"/>
  <c r="I98" i="1"/>
  <c r="L98" i="1" l="1"/>
  <c r="L100" i="1"/>
  <c r="C238" i="32" l="1"/>
  <c r="F238" i="32" s="1"/>
  <c r="G69" i="12" l="1"/>
  <c r="D74" i="12"/>
  <c r="G24" i="12"/>
  <c r="G93" i="22"/>
  <c r="J53" i="1" l="1"/>
  <c r="K53" i="1"/>
  <c r="L53" i="1" l="1"/>
  <c r="I53" i="1"/>
  <c r="A74" i="1" l="1"/>
  <c r="F36" i="39" l="1"/>
  <c r="K337" i="24" l="1"/>
  <c r="K328" i="24"/>
  <c r="K319" i="24"/>
  <c r="K310" i="24"/>
  <c r="K301" i="24"/>
  <c r="K292" i="24"/>
  <c r="K283" i="24"/>
  <c r="K274" i="24"/>
  <c r="J293" i="21"/>
  <c r="J294" i="21" s="1"/>
  <c r="J295" i="21" s="1"/>
  <c r="J296" i="21" s="1"/>
  <c r="J297" i="21" s="1"/>
  <c r="J298" i="21" s="1"/>
  <c r="J299" i="21" s="1"/>
  <c r="J300" i="21" s="1"/>
  <c r="J301" i="21" s="1"/>
  <c r="J302" i="21" s="1"/>
  <c r="J303" i="21" s="1"/>
  <c r="J304" i="21" s="1"/>
  <c r="J305" i="21" s="1"/>
  <c r="J48" i="21"/>
  <c r="J228" i="15"/>
  <c r="D47" i="39"/>
  <c r="H12" i="43" l="1"/>
  <c r="E12" i="43"/>
  <c r="M49" i="13"/>
  <c r="M50" i="13" s="1"/>
  <c r="G108" i="13"/>
  <c r="H108" i="13" s="1"/>
  <c r="H336" i="24"/>
  <c r="H327" i="24"/>
  <c r="H291" i="24"/>
  <c r="F229" i="32" s="1"/>
  <c r="H282" i="24"/>
  <c r="H273" i="24"/>
  <c r="I273" i="24" s="1"/>
  <c r="L337" i="24"/>
  <c r="L336" i="24"/>
  <c r="L328" i="24"/>
  <c r="L327" i="24"/>
  <c r="L319" i="24"/>
  <c r="L318" i="24"/>
  <c r="H318" i="24"/>
  <c r="L310" i="24"/>
  <c r="L309" i="24"/>
  <c r="H309" i="24"/>
  <c r="F231" i="32" s="1"/>
  <c r="L301" i="24"/>
  <c r="L300" i="24"/>
  <c r="H300" i="24"/>
  <c r="F230" i="32" s="1"/>
  <c r="L292" i="24"/>
  <c r="L291" i="24"/>
  <c r="L283" i="24"/>
  <c r="L282" i="24"/>
  <c r="L274" i="24"/>
  <c r="L273" i="24"/>
  <c r="I327" i="24" l="1"/>
  <c r="F233" i="32"/>
  <c r="H274" i="24"/>
  <c r="I274" i="24" s="1"/>
  <c r="J274" i="24" s="1"/>
  <c r="H346" i="24"/>
  <c r="I346" i="24" s="1"/>
  <c r="I282" i="24"/>
  <c r="I336" i="24"/>
  <c r="F234" i="32"/>
  <c r="I318" i="24"/>
  <c r="I309" i="24"/>
  <c r="I291" i="24"/>
  <c r="I300" i="24"/>
  <c r="H337" i="24"/>
  <c r="I337" i="24" s="1"/>
  <c r="H328" i="24"/>
  <c r="I328" i="24" s="1"/>
  <c r="H292" i="24"/>
  <c r="I292" i="24" s="1"/>
  <c r="H310" i="24"/>
  <c r="I310" i="24" s="1"/>
  <c r="H283" i="24"/>
  <c r="I283" i="24" s="1"/>
  <c r="H301" i="24"/>
  <c r="I301" i="24" s="1"/>
  <c r="H319" i="24"/>
  <c r="I319" i="24" s="1"/>
  <c r="G1162" i="1" l="1"/>
  <c r="J1162" i="1" s="1"/>
  <c r="G1119" i="1"/>
  <c r="J1119" i="1" s="1"/>
  <c r="J310" i="24"/>
  <c r="G1036" i="1" s="1"/>
  <c r="J337" i="24"/>
  <c r="G1076" i="1"/>
  <c r="G1032" i="1"/>
  <c r="J301" i="24"/>
  <c r="J346" i="24"/>
  <c r="J283" i="24"/>
  <c r="J319" i="24"/>
  <c r="J292" i="24"/>
  <c r="J328" i="24"/>
  <c r="F91" i="39"/>
  <c r="F93" i="39" s="1"/>
  <c r="F90" i="39"/>
  <c r="F69" i="39"/>
  <c r="F49" i="39"/>
  <c r="M55" i="39"/>
  <c r="P18" i="40"/>
  <c r="P17" i="40"/>
  <c r="P15" i="40"/>
  <c r="P14" i="40"/>
  <c r="F51" i="39"/>
  <c r="F44" i="36"/>
  <c r="F54" i="36"/>
  <c r="F63" i="36"/>
  <c r="F71" i="36"/>
  <c r="G211" i="19"/>
  <c r="H211" i="19" s="1"/>
  <c r="F21" i="36"/>
  <c r="I21" i="36" s="1"/>
  <c r="F12" i="36"/>
  <c r="Q7" i="39"/>
  <c r="F70" i="39"/>
  <c r="N17" i="40"/>
  <c r="N16" i="40"/>
  <c r="N14" i="40"/>
  <c r="P10" i="40"/>
  <c r="N10" i="40"/>
  <c r="P9" i="40"/>
  <c r="N9" i="40"/>
  <c r="P8" i="40"/>
  <c r="N8" i="40"/>
  <c r="N7" i="40"/>
  <c r="P6" i="40"/>
  <c r="N6" i="40"/>
  <c r="P5" i="40"/>
  <c r="P4" i="40"/>
  <c r="N4" i="40"/>
  <c r="N5" i="40"/>
  <c r="P7" i="40"/>
  <c r="N13" i="40"/>
  <c r="P13" i="40"/>
  <c r="N15" i="40"/>
  <c r="P16" i="40"/>
  <c r="N11" i="40"/>
  <c r="Q25" i="39"/>
  <c r="E25" i="39" s="1"/>
  <c r="E31" i="39"/>
  <c r="E29" i="39"/>
  <c r="E26" i="39"/>
  <c r="R19" i="39"/>
  <c r="Q16" i="39"/>
  <c r="Q19" i="39"/>
  <c r="T18" i="39"/>
  <c r="T12" i="39"/>
  <c r="Q13" i="39"/>
  <c r="Q10" i="39"/>
  <c r="Q4" i="39"/>
  <c r="G1080" i="1" l="1"/>
  <c r="G1164" i="1"/>
  <c r="J1164" i="1" s="1"/>
  <c r="G1121" i="1"/>
  <c r="J1121" i="1" s="1"/>
  <c r="G1165" i="1"/>
  <c r="J1165" i="1" s="1"/>
  <c r="G1122" i="1"/>
  <c r="J1122" i="1" s="1"/>
  <c r="G1083" i="1"/>
  <c r="G1169" i="1"/>
  <c r="J1169" i="1" s="1"/>
  <c r="G1126" i="1"/>
  <c r="J1126" i="1" s="1"/>
  <c r="G1167" i="1"/>
  <c r="J1167" i="1" s="1"/>
  <c r="G1124" i="1"/>
  <c r="J1124" i="1" s="1"/>
  <c r="G1166" i="1"/>
  <c r="J1166" i="1" s="1"/>
  <c r="G1123" i="1"/>
  <c r="J1123" i="1" s="1"/>
  <c r="G1163" i="1"/>
  <c r="J1163" i="1" s="1"/>
  <c r="G1120" i="1"/>
  <c r="J1120" i="1" s="1"/>
  <c r="G1168" i="1"/>
  <c r="J1168" i="1" s="1"/>
  <c r="G1125" i="1"/>
  <c r="J1125" i="1" s="1"/>
  <c r="G1170" i="1"/>
  <c r="J1170" i="1" s="1"/>
  <c r="G1127" i="1"/>
  <c r="J1127" i="1" s="1"/>
  <c r="J993" i="1"/>
  <c r="G1039" i="1"/>
  <c r="J1039" i="1" s="1"/>
  <c r="G1033" i="1"/>
  <c r="G1077" i="1"/>
  <c r="J990" i="1"/>
  <c r="J1080" i="1"/>
  <c r="J1076" i="1"/>
  <c r="G1082" i="1"/>
  <c r="G1038" i="1"/>
  <c r="G1084" i="1"/>
  <c r="G1040" i="1"/>
  <c r="J996" i="1"/>
  <c r="G1034" i="1"/>
  <c r="J991" i="1"/>
  <c r="G1078" i="1"/>
  <c r="G1079" i="1"/>
  <c r="J992" i="1"/>
  <c r="G1035" i="1"/>
  <c r="J1032" i="1"/>
  <c r="G1037" i="1"/>
  <c r="G1081" i="1"/>
  <c r="J994" i="1"/>
  <c r="J1036" i="1"/>
  <c r="J1083" i="1"/>
  <c r="F50" i="39"/>
  <c r="N18" i="40"/>
  <c r="J989" i="1"/>
  <c r="F92" i="39"/>
  <c r="I211" i="19"/>
  <c r="E30" i="39"/>
  <c r="E28" i="39" s="1"/>
  <c r="E17" i="39"/>
  <c r="F33" i="36"/>
  <c r="F71" i="39"/>
  <c r="G73" i="17"/>
  <c r="I262" i="17" s="1"/>
  <c r="J1034" i="1" l="1"/>
  <c r="J1084" i="1"/>
  <c r="J1082" i="1"/>
  <c r="J1079" i="1"/>
  <c r="J997" i="1"/>
  <c r="J1037" i="1"/>
  <c r="J1078" i="1"/>
  <c r="J1038" i="1"/>
  <c r="J1077" i="1"/>
  <c r="J1081" i="1"/>
  <c r="J1035" i="1"/>
  <c r="J1040" i="1"/>
  <c r="J995" i="1"/>
  <c r="J1033" i="1"/>
  <c r="K755" i="1" l="1"/>
  <c r="J755" i="1"/>
  <c r="I754" i="1"/>
  <c r="J754" i="1"/>
  <c r="K733" i="1"/>
  <c r="K732" i="1"/>
  <c r="K731" i="1"/>
  <c r="J731" i="1"/>
  <c r="I731" i="1"/>
  <c r="L755" i="1" l="1"/>
  <c r="L731" i="1"/>
  <c r="K754" i="1"/>
  <c r="L754" i="1" s="1"/>
  <c r="I755" i="1"/>
  <c r="P12" i="40"/>
  <c r="N12" i="40"/>
  <c r="P11" i="40"/>
  <c r="A5" i="40"/>
  <c r="A6" i="40" s="1"/>
  <c r="A7" i="40" s="1"/>
  <c r="A8" i="40" s="1"/>
  <c r="A9" i="40" s="1"/>
  <c r="A10" i="40" s="1"/>
  <c r="A11" i="40" s="1"/>
  <c r="A12" i="40" s="1"/>
  <c r="A13" i="40" s="1"/>
  <c r="A14" i="40" s="1"/>
  <c r="A15" i="40" s="1"/>
  <c r="A16" i="40" s="1"/>
  <c r="A17" i="40" s="1"/>
  <c r="A18" i="40" s="1"/>
  <c r="A19" i="40" s="1"/>
  <c r="A20" i="40" s="1"/>
  <c r="A21" i="40" s="1"/>
  <c r="A22" i="40" s="1"/>
  <c r="A23" i="40" s="1"/>
  <c r="A24" i="40" s="1"/>
  <c r="A25" i="40" s="1"/>
  <c r="A26" i="40" s="1"/>
  <c r="A27" i="40" s="1"/>
  <c r="A28" i="40" s="1"/>
  <c r="A29" i="40" s="1"/>
  <c r="A30" i="40" s="1"/>
  <c r="A31" i="40" s="1"/>
  <c r="A32" i="40" s="1"/>
  <c r="E18" i="39" l="1"/>
  <c r="J285" i="15" l="1"/>
  <c r="J276" i="15"/>
  <c r="J266" i="15"/>
  <c r="J267" i="15" s="1"/>
  <c r="J229" i="15"/>
  <c r="J220" i="15"/>
  <c r="J151" i="15"/>
  <c r="J160" i="15"/>
  <c r="J133" i="15" l="1"/>
  <c r="J195" i="15"/>
  <c r="J196" i="15" s="1"/>
  <c r="J197" i="15" s="1"/>
  <c r="J198" i="15" s="1"/>
  <c r="J199" i="15" s="1"/>
  <c r="J200" i="15" s="1"/>
  <c r="J201" i="15" s="1"/>
  <c r="C167" i="27" l="1"/>
  <c r="C166" i="27"/>
  <c r="C165" i="27"/>
  <c r="H245" i="17"/>
  <c r="H244" i="17"/>
  <c r="H243" i="17"/>
  <c r="H242" i="17"/>
  <c r="H241" i="17"/>
  <c r="H240" i="17"/>
  <c r="H239" i="17"/>
  <c r="H234" i="17"/>
  <c r="H233" i="17"/>
  <c r="H232" i="17"/>
  <c r="H231" i="17"/>
  <c r="H230" i="17"/>
  <c r="H229" i="17"/>
  <c r="H228" i="17"/>
  <c r="I277" i="17"/>
  <c r="H223" i="17"/>
  <c r="H222" i="17"/>
  <c r="H221" i="17"/>
  <c r="H220" i="17"/>
  <c r="H219" i="17"/>
  <c r="H218" i="17"/>
  <c r="H217" i="17"/>
  <c r="I223" i="17" l="1"/>
  <c r="H238" i="17"/>
  <c r="H246" i="17" s="1"/>
  <c r="H247" i="17" s="1"/>
  <c r="F167" i="27" s="1"/>
  <c r="H227" i="17"/>
  <c r="H235" i="17" s="1"/>
  <c r="H236" i="17" s="1"/>
  <c r="F166" i="27" s="1"/>
  <c r="H216" i="17"/>
  <c r="H224" i="17" s="1"/>
  <c r="H225" i="17" s="1"/>
  <c r="F165" i="27" s="1"/>
  <c r="I245" i="17"/>
  <c r="I234" i="17"/>
  <c r="I218" i="17" l="1"/>
  <c r="I241" i="17"/>
  <c r="I229" i="17"/>
  <c r="J928" i="1" l="1"/>
  <c r="G954" i="1"/>
  <c r="J954" i="1" s="1"/>
  <c r="J21" i="36"/>
  <c r="A450" i="1"/>
  <c r="A232" i="1" l="1"/>
  <c r="A248" i="1" s="1"/>
  <c r="A236" i="1" l="1"/>
  <c r="A242" i="1"/>
  <c r="E19" i="42"/>
  <c r="A254" i="1" l="1"/>
  <c r="A260" i="1" s="1"/>
  <c r="A265" i="1" s="1"/>
  <c r="K285" i="15"/>
  <c r="K284" i="15"/>
  <c r="K276" i="15"/>
  <c r="K275" i="15"/>
  <c r="K7" i="15"/>
  <c r="C117" i="32" s="1"/>
  <c r="J8" i="15" l="1"/>
  <c r="K8" i="15" s="1"/>
  <c r="G44" i="36" l="1"/>
  <c r="E10" i="39" l="1"/>
  <c r="E2" i="39"/>
  <c r="I12" i="36" l="1"/>
  <c r="J12" i="36" s="1"/>
  <c r="G12" i="36"/>
  <c r="E3" i="42" l="1"/>
  <c r="E17" i="1" s="1"/>
  <c r="K254" i="24" l="1"/>
  <c r="J46" i="36"/>
  <c r="K256" i="24" l="1"/>
  <c r="K255" i="24"/>
  <c r="J91" i="39"/>
  <c r="H2" i="39"/>
  <c r="K502" i="1" l="1"/>
  <c r="H91" i="39"/>
  <c r="M17" i="36" l="1"/>
  <c r="J37" i="39"/>
  <c r="M143" i="21" l="1"/>
  <c r="F72" i="39" l="1"/>
  <c r="F67" i="39"/>
  <c r="F66" i="39" l="1"/>
  <c r="G95" i="17" l="1"/>
  <c r="I264" i="17" s="1"/>
  <c r="H14" i="39"/>
  <c r="H6" i="39"/>
  <c r="M134" i="21"/>
  <c r="M152" i="21"/>
  <c r="C194" i="27"/>
  <c r="M7" i="36" s="1"/>
  <c r="C193" i="27"/>
  <c r="M6" i="36" s="1"/>
  <c r="G201" i="19"/>
  <c r="G191" i="19"/>
  <c r="H191" i="19" s="1"/>
  <c r="H202" i="19"/>
  <c r="H193" i="19"/>
  <c r="H192" i="19"/>
  <c r="I193" i="19" l="1"/>
  <c r="F61" i="39" l="1"/>
  <c r="F56" i="39"/>
  <c r="P149" i="25" l="1"/>
  <c r="M149" i="25"/>
  <c r="G256" i="15" l="1"/>
  <c r="H256" i="15" s="1"/>
  <c r="G299" i="12"/>
  <c r="G242" i="15"/>
  <c r="H242" i="15" s="1"/>
  <c r="E23" i="39" l="1"/>
  <c r="E20" i="39" s="1"/>
  <c r="I60" i="43" l="1"/>
  <c r="F60" i="43"/>
  <c r="C60" i="43"/>
  <c r="I59" i="43"/>
  <c r="I58" i="43"/>
  <c r="F59" i="43"/>
  <c r="F58" i="43"/>
  <c r="C59" i="43"/>
  <c r="C58" i="43"/>
  <c r="I68" i="43" l="1"/>
  <c r="I67" i="43"/>
  <c r="F68" i="43"/>
  <c r="F67" i="43"/>
  <c r="F45" i="43"/>
  <c r="F46" i="43"/>
  <c r="C68" i="43"/>
  <c r="C67" i="43"/>
  <c r="I69" i="43"/>
  <c r="F69" i="43"/>
  <c r="U61" i="43"/>
  <c r="W61" i="43" s="1"/>
  <c r="L61" i="43"/>
  <c r="I61" i="43"/>
  <c r="K61" i="43" s="1"/>
  <c r="F61" i="43"/>
  <c r="H61" i="43" s="1"/>
  <c r="C61" i="43"/>
  <c r="E61" i="43" s="1"/>
  <c r="I46" i="43"/>
  <c r="I45" i="43"/>
  <c r="C46" i="43"/>
  <c r="C45" i="43"/>
  <c r="I47" i="43"/>
  <c r="F47" i="43"/>
  <c r="C47" i="43"/>
  <c r="U39" i="43"/>
  <c r="L39" i="43"/>
  <c r="L38" i="43"/>
  <c r="L37" i="43"/>
  <c r="L36" i="43"/>
  <c r="I39" i="43"/>
  <c r="I38" i="43"/>
  <c r="I37" i="43"/>
  <c r="I36" i="43"/>
  <c r="F39" i="43"/>
  <c r="F38" i="43"/>
  <c r="F37" i="43"/>
  <c r="F36" i="43"/>
  <c r="C39" i="43"/>
  <c r="C38" i="43"/>
  <c r="C37" i="43"/>
  <c r="C36" i="43"/>
  <c r="W13" i="43"/>
  <c r="N13" i="43"/>
  <c r="K13" i="43"/>
  <c r="H13" i="43"/>
  <c r="W12" i="43"/>
  <c r="N12" i="43"/>
  <c r="K12" i="43"/>
  <c r="N61" i="43" l="1"/>
  <c r="T61" i="43"/>
  <c r="Q61" i="43"/>
  <c r="T39" i="43"/>
  <c r="Q39" i="43"/>
  <c r="N39" i="43"/>
  <c r="W39" i="43"/>
  <c r="H69" i="43"/>
  <c r="K39" i="43"/>
  <c r="H39" i="43"/>
  <c r="E39" i="43"/>
  <c r="K69" i="43"/>
  <c r="E69" i="43"/>
  <c r="E47" i="43"/>
  <c r="K47" i="43"/>
  <c r="H47" i="43"/>
  <c r="C27" i="43"/>
  <c r="C28" i="43"/>
  <c r="E34" i="1" s="1"/>
  <c r="C50" i="43" l="1"/>
  <c r="E38" i="1" s="1"/>
  <c r="C72" i="43"/>
  <c r="E44" i="1" s="1"/>
  <c r="J17" i="10"/>
  <c r="E33" i="1"/>
  <c r="K10" i="43" l="1"/>
  <c r="E15" i="42"/>
  <c r="E11" i="42"/>
  <c r="E7" i="42"/>
  <c r="E18" i="1" s="1"/>
  <c r="C5" i="1"/>
  <c r="C26" i="43" l="1"/>
  <c r="E32" i="1" l="1"/>
  <c r="E36" i="1" s="1"/>
  <c r="E7" i="39"/>
  <c r="E5" i="39" l="1"/>
  <c r="E6" i="39" l="1"/>
  <c r="E1" i="39"/>
  <c r="G237" i="15"/>
  <c r="E3" i="39" l="1"/>
  <c r="G97" i="13"/>
  <c r="G71" i="36" l="1"/>
  <c r="G63" i="36"/>
  <c r="G33" i="36"/>
  <c r="F81" i="39"/>
  <c r="F82" i="39"/>
  <c r="G54" i="36" l="1"/>
  <c r="G21" i="36"/>
  <c r="E21" i="39"/>
  <c r="E22" i="39" s="1"/>
  <c r="E19" i="39" s="1"/>
  <c r="F77" i="39"/>
  <c r="F76" i="39"/>
  <c r="C69" i="27" l="1"/>
  <c r="G178" i="19" l="1"/>
  <c r="E200" i="32" s="1"/>
  <c r="G177" i="19"/>
  <c r="E199" i="32" s="1"/>
  <c r="G176" i="19"/>
  <c r="E201" i="32" s="1"/>
  <c r="I178" i="19"/>
  <c r="K300" i="12"/>
  <c r="E146" i="25"/>
  <c r="H178" i="19" l="1"/>
  <c r="H299" i="12"/>
  <c r="G300" i="12" s="1"/>
  <c r="H300" i="12" s="1"/>
  <c r="G301" i="12" l="1"/>
  <c r="I300" i="12"/>
  <c r="G167" i="1" s="1"/>
  <c r="G262" i="13"/>
  <c r="H262" i="13" s="1"/>
  <c r="K262" i="13"/>
  <c r="J167" i="1" l="1"/>
  <c r="G149" i="1"/>
  <c r="G297" i="1"/>
  <c r="G131" i="1"/>
  <c r="G202" i="1"/>
  <c r="J474" i="1"/>
  <c r="J263" i="13"/>
  <c r="J297" i="1" l="1"/>
  <c r="J149" i="1"/>
  <c r="J202" i="1"/>
  <c r="J131" i="1"/>
  <c r="J475" i="1"/>
  <c r="J264" i="13"/>
  <c r="K263" i="13"/>
  <c r="K264" i="13" l="1"/>
  <c r="J265" i="13"/>
  <c r="K265" i="13" s="1"/>
  <c r="F187" i="19"/>
  <c r="F186" i="19"/>
  <c r="F185" i="19"/>
  <c r="F184" i="19"/>
  <c r="F183" i="19"/>
  <c r="F182" i="19"/>
  <c r="I177" i="19"/>
  <c r="I176" i="19"/>
  <c r="I163" i="19"/>
  <c r="I162" i="19"/>
  <c r="G163" i="19"/>
  <c r="G162" i="19"/>
  <c r="F158" i="19"/>
  <c r="F157" i="19"/>
  <c r="F156" i="19"/>
  <c r="F155" i="19"/>
  <c r="F154" i="19"/>
  <c r="F153" i="19"/>
  <c r="I148" i="19"/>
  <c r="I149" i="19"/>
  <c r="G149" i="19"/>
  <c r="G148" i="19"/>
  <c r="C339" i="27"/>
  <c r="B302" i="27"/>
  <c r="B303" i="27" s="1"/>
  <c r="B304" i="27" s="1"/>
  <c r="B305" i="27" s="1"/>
  <c r="B306" i="27" s="1"/>
  <c r="B307" i="27" s="1"/>
  <c r="B308" i="27" s="1"/>
  <c r="B309" i="27" s="1"/>
  <c r="B310" i="27" s="1"/>
  <c r="B311" i="27" s="1"/>
  <c r="B312" i="27" s="1"/>
  <c r="B313" i="27" s="1"/>
  <c r="B314" i="27" s="1"/>
  <c r="B315" i="27" s="1"/>
  <c r="B316" i="27" s="1"/>
  <c r="B317" i="27" s="1"/>
  <c r="B318" i="27" s="1"/>
  <c r="B319" i="27" s="1"/>
  <c r="B320" i="27" s="1"/>
  <c r="B321" i="27" s="1"/>
  <c r="B322" i="27" s="1"/>
  <c r="B323" i="27" s="1"/>
  <c r="B324" i="27" s="1"/>
  <c r="B325" i="27" s="1"/>
  <c r="B326" i="27" s="1"/>
  <c r="B327" i="27" s="1"/>
  <c r="B328" i="27" s="1"/>
  <c r="B329" i="27" s="1"/>
  <c r="B330" i="27" s="1"/>
  <c r="B331" i="27" s="1"/>
  <c r="B332" i="27" s="1"/>
  <c r="B333" i="27" s="1"/>
  <c r="B334" i="27" s="1"/>
  <c r="B335" i="27" s="1"/>
  <c r="B336" i="27" s="1"/>
  <c r="B337" i="27" s="1"/>
  <c r="B338" i="27" s="1"/>
  <c r="B339" i="27" s="1"/>
  <c r="B340" i="27" s="1"/>
  <c r="B341" i="27" s="1"/>
  <c r="B342" i="27" s="1"/>
  <c r="B343" i="27" s="1"/>
  <c r="B344" i="27" s="1"/>
  <c r="B345" i="27" s="1"/>
  <c r="B346" i="27" s="1"/>
  <c r="H363" i="24"/>
  <c r="I363" i="24" s="1"/>
  <c r="H364" i="24" l="1"/>
  <c r="I364" i="24" s="1"/>
  <c r="J364" i="24" s="1"/>
  <c r="H146" i="24" l="1"/>
  <c r="J151" i="24"/>
  <c r="J147" i="24"/>
  <c r="E336" i="25"/>
  <c r="E335" i="25"/>
  <c r="E331" i="25"/>
  <c r="G1195" i="1" l="1"/>
  <c r="G1152" i="1"/>
  <c r="G1109" i="1"/>
  <c r="G1066" i="1"/>
  <c r="H1195" i="1"/>
  <c r="K1195" i="1" s="1"/>
  <c r="H1152" i="1"/>
  <c r="K1152" i="1" s="1"/>
  <c r="H1109" i="1"/>
  <c r="K1109" i="1" s="1"/>
  <c r="H1066" i="1"/>
  <c r="A132" i="1"/>
  <c r="A151" i="1" s="1"/>
  <c r="A155" i="1" s="1"/>
  <c r="J1109" i="1" l="1"/>
  <c r="L1109" i="1" s="1"/>
  <c r="I1109" i="1"/>
  <c r="J1152" i="1"/>
  <c r="L1152" i="1" s="1"/>
  <c r="I1152" i="1"/>
  <c r="J1195" i="1"/>
  <c r="L1195" i="1" s="1"/>
  <c r="I1195" i="1"/>
  <c r="J178" i="19"/>
  <c r="K178" i="19" l="1"/>
  <c r="C200" i="32" s="1"/>
  <c r="F200" i="32" s="1"/>
  <c r="J179" i="19"/>
  <c r="K179" i="19" s="1"/>
  <c r="K176" i="19"/>
  <c r="H176" i="19"/>
  <c r="C178" i="27"/>
  <c r="M16" i="36" s="1"/>
  <c r="C177" i="27"/>
  <c r="M15" i="36" s="1"/>
  <c r="I677" i="1" l="1"/>
  <c r="F87" i="39" l="1"/>
  <c r="F86" i="39"/>
  <c r="J162" i="13" l="1"/>
  <c r="J163" i="13" s="1"/>
  <c r="L38" i="21"/>
  <c r="L39" i="21"/>
  <c r="L37" i="21"/>
  <c r="F71" i="13" l="1"/>
  <c r="F70" i="13"/>
  <c r="F69" i="13"/>
  <c r="F68" i="13"/>
  <c r="F62" i="13"/>
  <c r="F61" i="13"/>
  <c r="F60" i="13"/>
  <c r="F59" i="13"/>
  <c r="J163" i="19"/>
  <c r="J165" i="19" s="1"/>
  <c r="J166" i="19" s="1"/>
  <c r="J149" i="19"/>
  <c r="J151" i="19" s="1"/>
  <c r="J152" i="19" s="1"/>
  <c r="J153" i="19" s="1"/>
  <c r="J154" i="19" s="1"/>
  <c r="C202" i="27"/>
  <c r="J167" i="19" l="1"/>
  <c r="J168" i="19" s="1"/>
  <c r="K166" i="19"/>
  <c r="J181" i="19"/>
  <c r="J182" i="19" s="1"/>
  <c r="J183" i="19" s="1"/>
  <c r="G187" i="19" l="1"/>
  <c r="G186" i="19"/>
  <c r="G185" i="19"/>
  <c r="G184" i="19"/>
  <c r="G204" i="19" s="1"/>
  <c r="H204" i="19" s="1"/>
  <c r="G183" i="19"/>
  <c r="G182" i="19"/>
  <c r="G181" i="19"/>
  <c r="H181" i="19" s="1"/>
  <c r="H177" i="19"/>
  <c r="G196" i="19" l="1"/>
  <c r="H196" i="19" s="1"/>
  <c r="G206" i="19"/>
  <c r="H206" i="19" s="1"/>
  <c r="G195" i="19"/>
  <c r="H195" i="19" s="1"/>
  <c r="G205" i="19"/>
  <c r="H205" i="19" s="1"/>
  <c r="G197" i="19"/>
  <c r="H197" i="19" s="1"/>
  <c r="G207" i="19"/>
  <c r="H207" i="19" s="1"/>
  <c r="H184" i="19"/>
  <c r="G194" i="19"/>
  <c r="H194" i="19" s="1"/>
  <c r="H182" i="19"/>
  <c r="H187" i="19"/>
  <c r="H185" i="19"/>
  <c r="K149" i="19"/>
  <c r="H183" i="19"/>
  <c r="H186" i="19"/>
  <c r="H163" i="19"/>
  <c r="K163" i="19"/>
  <c r="K162" i="19"/>
  <c r="H162" i="19"/>
  <c r="H149" i="19"/>
  <c r="I207" i="19" l="1"/>
  <c r="C199" i="32"/>
  <c r="I197" i="19"/>
  <c r="H198" i="19"/>
  <c r="H199" i="19" s="1"/>
  <c r="F193" i="27" s="1"/>
  <c r="I183" i="19"/>
  <c r="I187" i="19"/>
  <c r="H188" i="19"/>
  <c r="H189" i="19" s="1"/>
  <c r="F202" i="27" s="1"/>
  <c r="K177" i="19"/>
  <c r="E4" i="39"/>
  <c r="AP6" i="50" l="1"/>
  <c r="K1260" i="1"/>
  <c r="J1260" i="1"/>
  <c r="F199" i="32"/>
  <c r="N6" i="36"/>
  <c r="K181" i="19"/>
  <c r="L1260" i="1" l="1"/>
  <c r="F212" i="36"/>
  <c r="G212" i="36" s="1"/>
  <c r="J212" i="36" s="1"/>
  <c r="F219" i="36"/>
  <c r="G219" i="36" s="1"/>
  <c r="F226" i="36"/>
  <c r="G226" i="36" s="1"/>
  <c r="F198" i="36"/>
  <c r="G198" i="36" s="1"/>
  <c r="J198" i="36" s="1"/>
  <c r="F205" i="36"/>
  <c r="G205" i="36" s="1"/>
  <c r="F191" i="36"/>
  <c r="G191" i="36" s="1"/>
  <c r="F233" i="36"/>
  <c r="G233" i="36" s="1"/>
  <c r="F184" i="36"/>
  <c r="G184" i="36" s="1"/>
  <c r="F177" i="36"/>
  <c r="G177" i="36" s="1"/>
  <c r="J177" i="36" s="1"/>
  <c r="K183" i="19"/>
  <c r="K182" i="19"/>
  <c r="J226" i="36" l="1"/>
  <c r="J219" i="36"/>
  <c r="J205" i="36"/>
  <c r="J191" i="36"/>
  <c r="J184" i="36"/>
  <c r="J233" i="36"/>
  <c r="A168" i="1" l="1"/>
  <c r="A172" i="1" l="1"/>
  <c r="A184" i="1" s="1"/>
  <c r="A178" i="1" l="1"/>
  <c r="A190" i="1" s="1"/>
  <c r="C131" i="27"/>
  <c r="I237" i="15"/>
  <c r="I238" i="15"/>
  <c r="F247" i="15"/>
  <c r="F246" i="15"/>
  <c r="F245" i="15"/>
  <c r="F244" i="15"/>
  <c r="F243" i="15"/>
  <c r="F241" i="15"/>
  <c r="G95" i="20"/>
  <c r="A201" i="1" l="1"/>
  <c r="A196" i="1"/>
  <c r="K141" i="13"/>
  <c r="C191" i="32" s="1"/>
  <c r="E128" i="25"/>
  <c r="G141" i="13" s="1"/>
  <c r="F191" i="32" l="1"/>
  <c r="J142" i="13"/>
  <c r="K142" i="13" s="1"/>
  <c r="G151" i="13"/>
  <c r="J143" i="13" l="1"/>
  <c r="J144" i="13" s="1"/>
  <c r="K144" i="13" s="1"/>
  <c r="K143" i="13" l="1"/>
  <c r="F238" i="15" l="1"/>
  <c r="G247" i="15"/>
  <c r="H247" i="15" s="1"/>
  <c r="G246" i="15"/>
  <c r="H246" i="15" s="1"/>
  <c r="G245" i="15"/>
  <c r="H245" i="15" s="1"/>
  <c r="G244" i="15"/>
  <c r="G243" i="15"/>
  <c r="H243" i="15" s="1"/>
  <c r="G241" i="15"/>
  <c r="H241" i="15" s="1"/>
  <c r="G240" i="15"/>
  <c r="H240" i="15" s="1"/>
  <c r="H239" i="15"/>
  <c r="H244" i="15" l="1"/>
  <c r="I247" i="15" s="1"/>
  <c r="H237" i="15"/>
  <c r="K490" i="1" l="1"/>
  <c r="K491" i="1"/>
  <c r="J27" i="21"/>
  <c r="J28" i="21"/>
  <c r="J26" i="21"/>
  <c r="J49" i="21"/>
  <c r="J50" i="21"/>
  <c r="J363" i="21"/>
  <c r="J373" i="21"/>
  <c r="F57" i="39" l="1"/>
  <c r="K255" i="13" l="1"/>
  <c r="K382" i="24"/>
  <c r="K265" i="24"/>
  <c r="K192" i="24"/>
  <c r="K191" i="24"/>
  <c r="C201" i="27"/>
  <c r="G172" i="19"/>
  <c r="G171" i="19"/>
  <c r="G203" i="19" s="1"/>
  <c r="H203" i="19" s="1"/>
  <c r="G170" i="19"/>
  <c r="G169" i="19"/>
  <c r="H201" i="19" s="1"/>
  <c r="G168" i="19"/>
  <c r="G167" i="19"/>
  <c r="G158" i="19"/>
  <c r="G157" i="19"/>
  <c r="G156" i="19"/>
  <c r="G155" i="19"/>
  <c r="G154" i="19"/>
  <c r="G153" i="19"/>
  <c r="I203" i="19" l="1"/>
  <c r="H208" i="19"/>
  <c r="H209" i="19" s="1"/>
  <c r="F194" i="27" s="1"/>
  <c r="AP8" i="50" s="1"/>
  <c r="AX30" i="50" l="1"/>
  <c r="BB30" i="50" s="1"/>
  <c r="AP7" i="50"/>
  <c r="N7" i="36"/>
  <c r="G77" i="18"/>
  <c r="G69" i="18"/>
  <c r="G43" i="18"/>
  <c r="G78" i="18"/>
  <c r="G61" i="18"/>
  <c r="G44" i="18"/>
  <c r="G35" i="18"/>
  <c r="AX35" i="50" l="1"/>
  <c r="BB35" i="50" s="1"/>
  <c r="F185" i="36"/>
  <c r="G185" i="36" s="1"/>
  <c r="F192" i="36"/>
  <c r="F199" i="36"/>
  <c r="G199" i="36" s="1"/>
  <c r="F227" i="36"/>
  <c r="G227" i="36" s="1"/>
  <c r="F220" i="36"/>
  <c r="G220" i="36" s="1"/>
  <c r="F206" i="36"/>
  <c r="G206" i="36" s="1"/>
  <c r="F234" i="36"/>
  <c r="G234" i="36" s="1"/>
  <c r="G73" i="18"/>
  <c r="G72" i="18"/>
  <c r="G71" i="18"/>
  <c r="G70" i="18"/>
  <c r="G82" i="18"/>
  <c r="G81" i="18"/>
  <c r="G80" i="18"/>
  <c r="G79" i="18"/>
  <c r="G65" i="18"/>
  <c r="G64" i="18"/>
  <c r="G63" i="18"/>
  <c r="G62" i="18"/>
  <c r="G56" i="18"/>
  <c r="G55" i="18"/>
  <c r="G54" i="18"/>
  <c r="G53" i="18"/>
  <c r="G48" i="18"/>
  <c r="G47" i="18"/>
  <c r="G46" i="18"/>
  <c r="G45" i="18"/>
  <c r="G39" i="18"/>
  <c r="G38" i="18"/>
  <c r="G37" i="18"/>
  <c r="G36" i="18"/>
  <c r="J234" i="36" l="1"/>
  <c r="C64" i="27"/>
  <c r="G252" i="12"/>
  <c r="H252" i="12" s="1"/>
  <c r="G251" i="12"/>
  <c r="H251" i="12" l="1"/>
  <c r="I252" i="12" s="1"/>
  <c r="C155" i="27"/>
  <c r="I266" i="17"/>
  <c r="G398" i="1" l="1"/>
  <c r="J398" i="1" s="1"/>
  <c r="G390" i="1"/>
  <c r="J390" i="1" s="1"/>
  <c r="G405" i="1"/>
  <c r="J405" i="1" s="1"/>
  <c r="G290" i="1"/>
  <c r="J290" i="1" s="1"/>
  <c r="G282" i="1"/>
  <c r="J282" i="1" s="1"/>
  <c r="G274" i="1"/>
  <c r="J274" i="1" s="1"/>
  <c r="G341" i="1"/>
  <c r="J341" i="1" s="1"/>
  <c r="G349" i="1"/>
  <c r="R50" i="1"/>
  <c r="G219" i="1"/>
  <c r="G211" i="1"/>
  <c r="G126" i="1"/>
  <c r="G135" i="1"/>
  <c r="G356" i="1"/>
  <c r="G226" i="1"/>
  <c r="G159" i="1"/>
  <c r="A80" i="1"/>
  <c r="H117" i="17"/>
  <c r="C147" i="27"/>
  <c r="B146" i="27"/>
  <c r="B147" i="27" s="1"/>
  <c r="B148" i="27" s="1"/>
  <c r="B149" i="27" s="1"/>
  <c r="B150" i="27" s="1"/>
  <c r="B151" i="27" s="1"/>
  <c r="B152" i="27" s="1"/>
  <c r="B153" i="27" s="1"/>
  <c r="B154" i="27" s="1"/>
  <c r="B155" i="27" s="1"/>
  <c r="B156" i="27" s="1"/>
  <c r="B157" i="27" s="1"/>
  <c r="B158" i="27" s="1"/>
  <c r="B159" i="27" s="1"/>
  <c r="B160" i="27" s="1"/>
  <c r="B161" i="27" s="1"/>
  <c r="B162" i="27" s="1"/>
  <c r="J142" i="1" l="1"/>
  <c r="J356" i="1"/>
  <c r="B163" i="27"/>
  <c r="B164" i="27" s="1"/>
  <c r="B165" i="27" s="1"/>
  <c r="B166" i="27" s="1"/>
  <c r="B167" i="27" s="1"/>
  <c r="G73" i="16" l="1"/>
  <c r="G71" i="16" l="1"/>
  <c r="H71" i="16" s="1"/>
  <c r="H73" i="16"/>
  <c r="G254" i="13"/>
  <c r="G243" i="13"/>
  <c r="H243" i="13" s="1"/>
  <c r="G207" i="13"/>
  <c r="G269" i="15"/>
  <c r="H269" i="15" s="1"/>
  <c r="G268" i="15"/>
  <c r="H268" i="15" s="1"/>
  <c r="G242" i="13"/>
  <c r="H242" i="13" s="1"/>
  <c r="G253" i="13"/>
  <c r="C164" i="27"/>
  <c r="H208" i="17"/>
  <c r="H207" i="17"/>
  <c r="G206" i="17"/>
  <c r="I275" i="17" s="1"/>
  <c r="G267" i="15" l="1"/>
  <c r="H267" i="15" s="1"/>
  <c r="G264" i="13"/>
  <c r="H253" i="13"/>
  <c r="H206" i="17"/>
  <c r="I208" i="17" s="1"/>
  <c r="G947" i="1" s="1"/>
  <c r="H254" i="13"/>
  <c r="J947" i="1" l="1"/>
  <c r="H263" i="13"/>
  <c r="H264" i="13"/>
  <c r="G276" i="15"/>
  <c r="H276" i="15" s="1"/>
  <c r="I264" i="13" l="1"/>
  <c r="G285" i="15"/>
  <c r="H285" i="15" s="1"/>
  <c r="F38" i="39"/>
  <c r="F62" i="39"/>
  <c r="O46" i="12" l="1"/>
  <c r="O47" i="12" s="1"/>
  <c r="O48" i="12" s="1"/>
  <c r="O49" i="12" s="1"/>
  <c r="E15" i="39"/>
  <c r="E12" i="39" s="1"/>
  <c r="J50" i="39"/>
  <c r="F52" i="39"/>
  <c r="J70" i="39"/>
  <c r="J46" i="12" l="1"/>
  <c r="J47" i="12" s="1"/>
  <c r="J48" i="12" s="1"/>
  <c r="J49" i="12" s="1"/>
  <c r="J159" i="1"/>
  <c r="H50" i="39"/>
  <c r="E13" i="39"/>
  <c r="H70" i="39"/>
  <c r="J95" i="12" l="1"/>
  <c r="O99" i="12"/>
  <c r="O96" i="12"/>
  <c r="O98" i="12"/>
  <c r="O95" i="12"/>
  <c r="O97" i="12"/>
  <c r="O100" i="12"/>
  <c r="E9" i="39"/>
  <c r="M131" i="12"/>
  <c r="E14" i="39"/>
  <c r="J131" i="13"/>
  <c r="K130" i="13"/>
  <c r="O87" i="12" l="1"/>
  <c r="O83" i="12"/>
  <c r="O86" i="12"/>
  <c r="O82" i="12"/>
  <c r="O85" i="12"/>
  <c r="O84" i="12"/>
  <c r="J98" i="12"/>
  <c r="J99" i="12"/>
  <c r="J100" i="12"/>
  <c r="J96" i="12"/>
  <c r="J97" i="12"/>
  <c r="E11" i="39"/>
  <c r="K95" i="12"/>
  <c r="M251" i="12"/>
  <c r="M206" i="12"/>
  <c r="K131" i="13"/>
  <c r="J132" i="13"/>
  <c r="J33" i="1"/>
  <c r="J34" i="1"/>
  <c r="J35" i="1"/>
  <c r="J37" i="1"/>
  <c r="I19" i="1"/>
  <c r="J19" i="1"/>
  <c r="K19" i="1"/>
  <c r="I20" i="1"/>
  <c r="J20" i="1"/>
  <c r="K20" i="1"/>
  <c r="I24" i="1"/>
  <c r="J24" i="1"/>
  <c r="K24" i="1"/>
  <c r="J25" i="1"/>
  <c r="J26" i="1"/>
  <c r="J27" i="1"/>
  <c r="I28" i="1"/>
  <c r="J28" i="1"/>
  <c r="K28" i="1"/>
  <c r="I29" i="1"/>
  <c r="J29" i="1"/>
  <c r="K29" i="1"/>
  <c r="M242" i="12" l="1"/>
  <c r="K167" i="12"/>
  <c r="K166" i="12"/>
  <c r="J133" i="13"/>
  <c r="K133" i="13" s="1"/>
  <c r="K132" i="13"/>
  <c r="L24" i="1"/>
  <c r="L28" i="1"/>
  <c r="L19" i="1"/>
  <c r="L29" i="1"/>
  <c r="L20" i="1"/>
  <c r="M233" i="12" l="1"/>
  <c r="G130" i="13"/>
  <c r="C153" i="27"/>
  <c r="C33" i="27"/>
  <c r="H95" i="17"/>
  <c r="H130" i="13" l="1"/>
  <c r="C133" i="27"/>
  <c r="C132" i="27"/>
  <c r="G284" i="15"/>
  <c r="H284" i="15" s="1"/>
  <c r="G275" i="15"/>
  <c r="H275" i="15" s="1"/>
  <c r="F61" i="11" l="1"/>
  <c r="F60" i="11"/>
  <c r="F59" i="11"/>
  <c r="F58" i="11"/>
  <c r="F57" i="11"/>
  <c r="F56" i="11"/>
  <c r="F55" i="11"/>
  <c r="F54" i="11"/>
  <c r="F53" i="11"/>
  <c r="F52" i="11"/>
  <c r="G98" i="11" l="1"/>
  <c r="E54" i="32" s="1"/>
  <c r="F54" i="32" s="1"/>
  <c r="F38" i="27"/>
  <c r="C38" i="27"/>
  <c r="K251" i="13" l="1"/>
  <c r="K253" i="13"/>
  <c r="K254" i="13"/>
  <c r="K252" i="13"/>
  <c r="G166" i="19" l="1"/>
  <c r="H166" i="19" s="1"/>
  <c r="H165" i="19"/>
  <c r="G36" i="17"/>
  <c r="H36" i="17" s="1"/>
  <c r="G35" i="17"/>
  <c r="H35" i="17" s="1"/>
  <c r="G34" i="17"/>
  <c r="H34" i="17" s="1"/>
  <c r="G33" i="17"/>
  <c r="H33" i="17" s="1"/>
  <c r="G32" i="17"/>
  <c r="H32" i="17" s="1"/>
  <c r="G31" i="17"/>
  <c r="H31" i="17" s="1"/>
  <c r="G30" i="17"/>
  <c r="H30" i="17" s="1"/>
  <c r="H29" i="17"/>
  <c r="I36" i="17" l="1"/>
  <c r="I32" i="17"/>
  <c r="H168" i="19"/>
  <c r="H172" i="19"/>
  <c r="H167" i="19"/>
  <c r="H170" i="19"/>
  <c r="H171" i="19"/>
  <c r="H169" i="19"/>
  <c r="H37" i="17"/>
  <c r="H38" i="17" s="1"/>
  <c r="F147" i="27" s="1"/>
  <c r="C221" i="27"/>
  <c r="M34" i="36" s="1"/>
  <c r="H95" i="20"/>
  <c r="I95" i="20" l="1"/>
  <c r="G1279" i="1" s="1"/>
  <c r="E355" i="25"/>
  <c r="E337" i="25"/>
  <c r="E328" i="25"/>
  <c r="E327" i="25"/>
  <c r="E326" i="25"/>
  <c r="E318" i="25"/>
  <c r="E279" i="25"/>
  <c r="E278" i="25"/>
  <c r="E277" i="25"/>
  <c r="E274" i="25"/>
  <c r="E273" i="25"/>
  <c r="E271" i="25"/>
  <c r="E264" i="25"/>
  <c r="E263" i="25"/>
  <c r="E259" i="25"/>
  <c r="G238" i="15" l="1"/>
  <c r="G302" i="15"/>
  <c r="K165" i="19"/>
  <c r="K167" i="19"/>
  <c r="K168" i="19"/>
  <c r="H302" i="15" l="1"/>
  <c r="H238" i="15"/>
  <c r="I172" i="19"/>
  <c r="I243" i="15" l="1"/>
  <c r="H248" i="15"/>
  <c r="H249" i="15" s="1"/>
  <c r="C200" i="27"/>
  <c r="H148" i="19"/>
  <c r="G152" i="19"/>
  <c r="H151" i="19"/>
  <c r="J490" i="1" l="1"/>
  <c r="L490" i="1" s="1"/>
  <c r="I490" i="1"/>
  <c r="K1253" i="1"/>
  <c r="H152" i="19"/>
  <c r="H154" i="19"/>
  <c r="H158" i="19"/>
  <c r="H156" i="19"/>
  <c r="H157" i="19"/>
  <c r="H155" i="19"/>
  <c r="H153" i="19"/>
  <c r="I158" i="19" l="1"/>
  <c r="K151" i="19" l="1"/>
  <c r="K154" i="19"/>
  <c r="K148" i="19"/>
  <c r="K152" i="19"/>
  <c r="K153" i="19"/>
  <c r="C203" i="32" l="1"/>
  <c r="F203" i="32" s="1"/>
  <c r="C205" i="32"/>
  <c r="F205" i="32" s="1"/>
  <c r="K162" i="13"/>
  <c r="K163" i="13"/>
  <c r="K161" i="13"/>
  <c r="C189" i="32" s="1"/>
  <c r="H78" i="18" l="1"/>
  <c r="H77" i="18"/>
  <c r="H82" i="18"/>
  <c r="H72" i="18"/>
  <c r="H80" i="18"/>
  <c r="H70" i="18"/>
  <c r="H69" i="18"/>
  <c r="I69" i="18" s="1"/>
  <c r="I78" i="18" l="1"/>
  <c r="H79" i="18"/>
  <c r="H81" i="18"/>
  <c r="H71" i="18"/>
  <c r="H73" i="18"/>
  <c r="I82" i="18" l="1"/>
  <c r="H83" i="18"/>
  <c r="H84" i="18" s="1"/>
  <c r="F178" i="27" s="1"/>
  <c r="N16" i="36" s="1"/>
  <c r="H74" i="18"/>
  <c r="H75" i="18" s="1"/>
  <c r="F177" i="27" s="1"/>
  <c r="N15" i="36" s="1"/>
  <c r="I73" i="18"/>
  <c r="K695" i="1" l="1"/>
  <c r="J215" i="21" l="1"/>
  <c r="I1287" i="1"/>
  <c r="J1287" i="1"/>
  <c r="K1287" i="1"/>
  <c r="I1283" i="1"/>
  <c r="J1283" i="1"/>
  <c r="K1283" i="1"/>
  <c r="I1282" i="1"/>
  <c r="L1283" i="1" l="1"/>
  <c r="L1287" i="1"/>
  <c r="K716" i="1"/>
  <c r="K678" i="1"/>
  <c r="C142" i="27" l="1"/>
  <c r="I1204" i="1" l="1"/>
  <c r="J1204" i="1"/>
  <c r="K1204" i="1"/>
  <c r="K1070" i="1"/>
  <c r="K1042" i="1"/>
  <c r="J1042" i="1"/>
  <c r="I1042" i="1"/>
  <c r="K1031" i="1"/>
  <c r="J1031" i="1"/>
  <c r="K988" i="1"/>
  <c r="I999" i="1"/>
  <c r="J999" i="1"/>
  <c r="K999" i="1"/>
  <c r="K1026" i="1"/>
  <c r="I693" i="1"/>
  <c r="J693" i="1"/>
  <c r="K693" i="1"/>
  <c r="K694" i="1"/>
  <c r="I715" i="1"/>
  <c r="I650" i="1"/>
  <c r="J650" i="1"/>
  <c r="K650" i="1"/>
  <c r="K651" i="1"/>
  <c r="K652" i="1"/>
  <c r="J404" i="24"/>
  <c r="J400" i="24"/>
  <c r="J1066" i="1" l="1"/>
  <c r="J1022" i="1"/>
  <c r="K1022" i="1"/>
  <c r="L1042" i="1"/>
  <c r="L1204" i="1"/>
  <c r="L1031" i="1"/>
  <c r="J716" i="1"/>
  <c r="L716" i="1" s="1"/>
  <c r="I716" i="1"/>
  <c r="L999" i="1"/>
  <c r="L693" i="1"/>
  <c r="L650" i="1"/>
  <c r="I1031" i="1"/>
  <c r="L1022" i="1" l="1"/>
  <c r="K1066" i="1"/>
  <c r="L1066" i="1" s="1"/>
  <c r="I1066" i="1"/>
  <c r="I1022" i="1"/>
  <c r="E229" i="25"/>
  <c r="F27" i="13"/>
  <c r="J402" i="21"/>
  <c r="K402" i="21" s="1"/>
  <c r="J403" i="21"/>
  <c r="K403" i="21" s="1"/>
  <c r="J404" i="21"/>
  <c r="K404" i="21" s="1"/>
  <c r="J405" i="21"/>
  <c r="K405" i="21" s="1"/>
  <c r="J401" i="21"/>
  <c r="K401" i="21" s="1"/>
  <c r="J406" i="21"/>
  <c r="K406" i="21" s="1"/>
  <c r="J400" i="21"/>
  <c r="K400" i="21" s="1"/>
  <c r="K293" i="21"/>
  <c r="C269" i="27"/>
  <c r="G302" i="21"/>
  <c r="G303" i="21"/>
  <c r="J715" i="1" l="1"/>
  <c r="K715" i="1"/>
  <c r="C251" i="27"/>
  <c r="B231" i="27"/>
  <c r="B232" i="27" s="1"/>
  <c r="B233" i="27" s="1"/>
  <c r="B234" i="27" s="1"/>
  <c r="B235" i="27" s="1"/>
  <c r="B236" i="27" s="1"/>
  <c r="B237" i="27" s="1"/>
  <c r="B238" i="27" s="1"/>
  <c r="B239" i="27" s="1"/>
  <c r="B240" i="27" s="1"/>
  <c r="B241" i="27" s="1"/>
  <c r="B242" i="27" s="1"/>
  <c r="B243" i="27" s="1"/>
  <c r="B244" i="27" s="1"/>
  <c r="B245" i="27" s="1"/>
  <c r="B246" i="27" s="1"/>
  <c r="B247" i="27" s="1"/>
  <c r="B248" i="27" s="1"/>
  <c r="B249" i="27" s="1"/>
  <c r="B250" i="27" s="1"/>
  <c r="B251" i="27" s="1"/>
  <c r="B252" i="27" s="1"/>
  <c r="B253" i="27" s="1"/>
  <c r="B254" i="27" s="1"/>
  <c r="B255" i="27" s="1"/>
  <c r="B256" i="27" s="1"/>
  <c r="B257" i="27" s="1"/>
  <c r="B258" i="27" s="1"/>
  <c r="B259" i="27" s="1"/>
  <c r="B260" i="27" s="1"/>
  <c r="B261" i="27" s="1"/>
  <c r="B262" i="27" s="1"/>
  <c r="B263" i="27" s="1"/>
  <c r="B264" i="27" s="1"/>
  <c r="B265" i="27" s="1"/>
  <c r="B266" i="27" s="1"/>
  <c r="B267" i="27" s="1"/>
  <c r="B268" i="27" s="1"/>
  <c r="B269" i="27" s="1"/>
  <c r="B270" i="27" s="1"/>
  <c r="B271" i="27" s="1"/>
  <c r="B272" i="27" s="1"/>
  <c r="B273" i="27" s="1"/>
  <c r="B274" i="27" s="1"/>
  <c r="B275" i="27" s="1"/>
  <c r="B276" i="27" s="1"/>
  <c r="B277" i="27" s="1"/>
  <c r="G215" i="21"/>
  <c r="F215" i="21"/>
  <c r="L715" i="1" l="1"/>
  <c r="H215" i="21"/>
  <c r="G220" i="21" s="1"/>
  <c r="H220" i="21" s="1"/>
  <c r="I215" i="21" s="1"/>
  <c r="G802" i="1" l="1"/>
  <c r="J802" i="1" s="1"/>
  <c r="G841" i="1"/>
  <c r="J841" i="1" s="1"/>
  <c r="G763" i="1"/>
  <c r="J763" i="1" s="1"/>
  <c r="G724" i="1"/>
  <c r="G686" i="1"/>
  <c r="J724" i="1" l="1"/>
  <c r="J643" i="1"/>
  <c r="J686" i="1"/>
  <c r="K215" i="21" l="1"/>
  <c r="C242" i="27"/>
  <c r="G125" i="21"/>
  <c r="J32" i="1" l="1"/>
  <c r="C84" i="27" l="1"/>
  <c r="G119" i="13"/>
  <c r="G266" i="15"/>
  <c r="H266" i="15" l="1"/>
  <c r="K265" i="15"/>
  <c r="C132" i="32" s="1"/>
  <c r="K267" i="15"/>
  <c r="K266" i="15"/>
  <c r="H119" i="13"/>
  <c r="C151" i="27"/>
  <c r="H73" i="17" l="1"/>
  <c r="C176" i="27" l="1"/>
  <c r="M14" i="36" s="1"/>
  <c r="C175" i="27"/>
  <c r="M13" i="36" s="1"/>
  <c r="H61" i="18"/>
  <c r="H60" i="18"/>
  <c r="H65" i="18"/>
  <c r="H64" i="18"/>
  <c r="H54" i="18"/>
  <c r="H62" i="18"/>
  <c r="H52" i="18"/>
  <c r="I52" i="18" s="1"/>
  <c r="I61" i="18" l="1"/>
  <c r="H53" i="18"/>
  <c r="H63" i="18"/>
  <c r="H66" i="18" s="1"/>
  <c r="H67" i="18" s="1"/>
  <c r="F176" i="27" s="1"/>
  <c r="N14" i="36" s="1"/>
  <c r="H55" i="18"/>
  <c r="H56" i="18"/>
  <c r="I65" i="18" l="1"/>
  <c r="I56" i="18"/>
  <c r="H57" i="18"/>
  <c r="H58" i="18" s="1"/>
  <c r="F175" i="27" s="1"/>
  <c r="N13" i="36" s="1"/>
  <c r="K1282" i="1" l="1"/>
  <c r="J1282" i="1"/>
  <c r="L1282" i="1" l="1"/>
  <c r="C154" i="27"/>
  <c r="G106" i="17"/>
  <c r="I265" i="17" s="1"/>
  <c r="H106" i="17" l="1"/>
  <c r="J677" i="1" l="1"/>
  <c r="K677" i="1"/>
  <c r="L677" i="1" l="1"/>
  <c r="K98" i="13" l="1"/>
  <c r="K99" i="13"/>
  <c r="K100" i="13"/>
  <c r="K97" i="13"/>
  <c r="C195" i="27"/>
  <c r="M45" i="36" s="1"/>
  <c r="H105" i="19"/>
  <c r="H104" i="19"/>
  <c r="C192" i="32" l="1"/>
  <c r="F192" i="32" s="1"/>
  <c r="C340" i="27"/>
  <c r="H372" i="24"/>
  <c r="C343" i="27"/>
  <c r="C342" i="27"/>
  <c r="I408" i="24"/>
  <c r="I390" i="24" l="1"/>
  <c r="I372" i="24"/>
  <c r="H409" i="24"/>
  <c r="I409" i="24" s="1"/>
  <c r="J409" i="24" s="1"/>
  <c r="G1185" i="1" s="1"/>
  <c r="J1185" i="1" l="1"/>
  <c r="G1142" i="1"/>
  <c r="J1142" i="1" s="1"/>
  <c r="G1099" i="1"/>
  <c r="G1055" i="1"/>
  <c r="H373" i="24"/>
  <c r="I373" i="24" s="1"/>
  <c r="J373" i="24" s="1"/>
  <c r="H391" i="24"/>
  <c r="I391" i="24" s="1"/>
  <c r="J391" i="24" s="1"/>
  <c r="G1196" i="1" s="1"/>
  <c r="G34" i="16"/>
  <c r="G1112" i="1" l="1"/>
  <c r="J1112" i="1" s="1"/>
  <c r="G1198" i="1"/>
  <c r="J1198" i="1" s="1"/>
  <c r="G1155" i="1"/>
  <c r="J1155" i="1" s="1"/>
  <c r="J1196" i="1"/>
  <c r="G1110" i="1"/>
  <c r="J1110" i="1" s="1"/>
  <c r="G1153" i="1"/>
  <c r="J1099" i="1"/>
  <c r="G1069" i="1"/>
  <c r="G1067" i="1"/>
  <c r="J1055" i="1"/>
  <c r="J1012" i="1"/>
  <c r="G87" i="20"/>
  <c r="J1153" i="1" l="1"/>
  <c r="J1069" i="1"/>
  <c r="J1025" i="1"/>
  <c r="J1023" i="1"/>
  <c r="J1067" i="1"/>
  <c r="L101" i="24" l="1"/>
  <c r="K219" i="24" l="1"/>
  <c r="K218" i="24"/>
  <c r="K229" i="15"/>
  <c r="K228" i="15"/>
  <c r="F121" i="32" s="1"/>
  <c r="K220" i="15"/>
  <c r="K219" i="15"/>
  <c r="F120" i="32" s="1"/>
  <c r="C37" i="27" l="1"/>
  <c r="G94" i="11"/>
  <c r="H94" i="11" s="1"/>
  <c r="G93" i="11"/>
  <c r="H93" i="11" s="1"/>
  <c r="G92" i="11"/>
  <c r="H92" i="11" s="1"/>
  <c r="G91" i="11"/>
  <c r="H91" i="11" s="1"/>
  <c r="G90" i="11"/>
  <c r="H90" i="11" s="1"/>
  <c r="G89" i="11"/>
  <c r="H89" i="11" s="1"/>
  <c r="G88" i="11"/>
  <c r="H88" i="11" s="1"/>
  <c r="H37" i="18"/>
  <c r="H45" i="18"/>
  <c r="C174" i="27"/>
  <c r="M12" i="36" s="1"/>
  <c r="C173" i="27"/>
  <c r="M10" i="36" s="1"/>
  <c r="H44" i="18"/>
  <c r="H43" i="18"/>
  <c r="H48" i="18"/>
  <c r="H47" i="18"/>
  <c r="H35" i="18"/>
  <c r="I35" i="18" s="1"/>
  <c r="I44" i="18" l="1"/>
  <c r="I94" i="11"/>
  <c r="I90" i="11"/>
  <c r="H39" i="18"/>
  <c r="H95" i="11"/>
  <c r="H96" i="11" s="1"/>
  <c r="F37" i="27" s="1"/>
  <c r="H46" i="18"/>
  <c r="H49" i="18" s="1"/>
  <c r="H50" i="18" s="1"/>
  <c r="F174" i="27" s="1"/>
  <c r="H36" i="18"/>
  <c r="H38" i="18"/>
  <c r="N12" i="36" l="1"/>
  <c r="I48" i="18"/>
  <c r="I39" i="18"/>
  <c r="H40" i="18"/>
  <c r="H41" i="18" s="1"/>
  <c r="F173" i="27" s="1"/>
  <c r="N10" i="36" l="1"/>
  <c r="K160" i="15"/>
  <c r="C166" i="32" s="1"/>
  <c r="K159" i="15"/>
  <c r="C159" i="32" s="1"/>
  <c r="C311" i="27"/>
  <c r="H101" i="24"/>
  <c r="F252" i="32" s="1"/>
  <c r="F316" i="27"/>
  <c r="C130" i="27"/>
  <c r="C129" i="27"/>
  <c r="C128" i="27"/>
  <c r="H228" i="15"/>
  <c r="G220" i="15"/>
  <c r="H220" i="15" s="1"/>
  <c r="H219" i="15"/>
  <c r="I220" i="15" l="1"/>
  <c r="J486" i="1" s="1"/>
  <c r="J678" i="1"/>
  <c r="L678" i="1" s="1"/>
  <c r="I678" i="1"/>
  <c r="I988" i="1"/>
  <c r="J988" i="1"/>
  <c r="L988" i="1" s="1"/>
  <c r="I101" i="24"/>
  <c r="H102" i="24" s="1"/>
  <c r="I102" i="24" s="1"/>
  <c r="G229" i="15"/>
  <c r="H229" i="15" s="1"/>
  <c r="I229" i="15" s="1"/>
  <c r="J488" i="1" s="1"/>
  <c r="C227" i="27"/>
  <c r="M44" i="36" s="1"/>
  <c r="C226" i="27"/>
  <c r="M42" i="36" s="1"/>
  <c r="C225" i="27"/>
  <c r="M41" i="36" s="1"/>
  <c r="C224" i="27"/>
  <c r="M38" i="36" s="1"/>
  <c r="C223" i="27"/>
  <c r="M36" i="36" s="1"/>
  <c r="C222" i="27"/>
  <c r="M35" i="36" s="1"/>
  <c r="C220" i="27"/>
  <c r="C219" i="27"/>
  <c r="C218" i="27"/>
  <c r="M29" i="36" s="1"/>
  <c r="C217" i="27"/>
  <c r="M26" i="36" s="1"/>
  <c r="C216" i="27"/>
  <c r="M25" i="36" s="1"/>
  <c r="C215" i="27"/>
  <c r="M24" i="36" s="1"/>
  <c r="C214" i="27"/>
  <c r="M23" i="36" s="1"/>
  <c r="C213" i="27"/>
  <c r="M22" i="36" s="1"/>
  <c r="C212" i="27"/>
  <c r="M21" i="36" s="1"/>
  <c r="C211" i="27"/>
  <c r="M20" i="36" s="1"/>
  <c r="C210" i="27"/>
  <c r="M19" i="36" s="1"/>
  <c r="M31" i="36" l="1"/>
  <c r="M32" i="36"/>
  <c r="J102" i="24"/>
  <c r="K87" i="13"/>
  <c r="K88" i="13"/>
  <c r="K89" i="13"/>
  <c r="K86" i="13"/>
  <c r="G1146" i="1" l="1"/>
  <c r="J1146" i="1" s="1"/>
  <c r="G1103" i="1"/>
  <c r="J1103" i="1" s="1"/>
  <c r="G1060" i="1"/>
  <c r="K171" i="13"/>
  <c r="C186" i="32" l="1"/>
  <c r="F186" i="32" s="1"/>
  <c r="J1060" i="1"/>
  <c r="J1016" i="1"/>
  <c r="K173" i="13"/>
  <c r="K172" i="13"/>
  <c r="L219" i="24" l="1"/>
  <c r="L218" i="24"/>
  <c r="K236" i="24"/>
  <c r="K47" i="24"/>
  <c r="L47" i="24" s="1"/>
  <c r="K48" i="24"/>
  <c r="L48" i="24" s="1"/>
  <c r="K46" i="24"/>
  <c r="L46" i="24" s="1"/>
  <c r="K36" i="24"/>
  <c r="K237" i="24" l="1"/>
  <c r="K57" i="24"/>
  <c r="K27" i="21"/>
  <c r="K28" i="21"/>
  <c r="K26" i="21"/>
  <c r="K8" i="21"/>
  <c r="K9" i="21"/>
  <c r="K7" i="21"/>
  <c r="C260" i="32" s="1"/>
  <c r="K47" i="12"/>
  <c r="K48" i="12"/>
  <c r="K49" i="12"/>
  <c r="K46" i="12"/>
  <c r="K25" i="12"/>
  <c r="K26" i="12"/>
  <c r="K27" i="12"/>
  <c r="K24" i="12"/>
  <c r="J52" i="10"/>
  <c r="J46" i="10"/>
  <c r="K46" i="10" s="1"/>
  <c r="J69" i="9"/>
  <c r="K69" i="9" s="1"/>
  <c r="J70" i="9"/>
  <c r="K70" i="9" s="1"/>
  <c r="J71" i="9"/>
  <c r="K71" i="9" s="1"/>
  <c r="J72" i="9"/>
  <c r="K72" i="9" s="1"/>
  <c r="J73" i="9"/>
  <c r="K73" i="9" s="1"/>
  <c r="J74" i="9"/>
  <c r="K74" i="9" s="1"/>
  <c r="J68" i="9"/>
  <c r="K68" i="9" s="1"/>
  <c r="J55" i="9"/>
  <c r="K55" i="9" s="1"/>
  <c r="J56" i="9"/>
  <c r="K56" i="9" s="1"/>
  <c r="J57" i="9"/>
  <c r="K57" i="9" s="1"/>
  <c r="J58" i="9"/>
  <c r="K58" i="9" s="1"/>
  <c r="J59" i="9"/>
  <c r="K59" i="9" s="1"/>
  <c r="J60" i="9"/>
  <c r="K60" i="9" s="1"/>
  <c r="J54" i="9"/>
  <c r="K54" i="9" s="1"/>
  <c r="J42" i="9"/>
  <c r="K42" i="9" s="1"/>
  <c r="J43" i="9"/>
  <c r="K43" i="9" s="1"/>
  <c r="J44" i="9"/>
  <c r="K44" i="9" s="1"/>
  <c r="J45" i="9"/>
  <c r="K45" i="9" s="1"/>
  <c r="J33" i="9"/>
  <c r="K33" i="9" s="1"/>
  <c r="J34" i="9"/>
  <c r="K34" i="9" s="1"/>
  <c r="J35" i="9"/>
  <c r="K35" i="9" s="1"/>
  <c r="J36" i="9"/>
  <c r="K36" i="9" s="1"/>
  <c r="J37" i="9"/>
  <c r="K37" i="9" s="1"/>
  <c r="J38" i="9"/>
  <c r="K38" i="9" s="1"/>
  <c r="J39" i="9"/>
  <c r="K39" i="9" s="1"/>
  <c r="J40" i="9"/>
  <c r="K40" i="9" s="1"/>
  <c r="J41" i="9"/>
  <c r="K41" i="9" s="1"/>
  <c r="J32" i="9"/>
  <c r="K32" i="9" s="1"/>
  <c r="J6" i="9"/>
  <c r="J14" i="9" s="1"/>
  <c r="J7" i="9" l="1"/>
  <c r="K7" i="9" s="1"/>
  <c r="J10" i="9"/>
  <c r="J13" i="9"/>
  <c r="J9" i="9"/>
  <c r="J12" i="9"/>
  <c r="J8" i="9"/>
  <c r="J11" i="9"/>
  <c r="L57" i="24"/>
  <c r="L237" i="24"/>
  <c r="L236" i="24"/>
  <c r="L382" i="24"/>
  <c r="L192" i="24"/>
  <c r="L191" i="24"/>
  <c r="L255" i="24"/>
  <c r="L256" i="24"/>
  <c r="L254" i="24"/>
  <c r="C242" i="32" s="1"/>
  <c r="L265" i="24"/>
  <c r="K363" i="21"/>
  <c r="C288" i="32" s="1"/>
  <c r="K309" i="21"/>
  <c r="K373" i="21"/>
  <c r="K49" i="21"/>
  <c r="K50" i="21"/>
  <c r="K48" i="21"/>
  <c r="C261" i="32" s="1"/>
  <c r="K294" i="21"/>
  <c r="K295" i="21"/>
  <c r="C37" i="32" s="1"/>
  <c r="K296" i="21"/>
  <c r="K297" i="21"/>
  <c r="K298" i="21"/>
  <c r="J27" i="13" s="1"/>
  <c r="K299" i="21"/>
  <c r="C270" i="32" s="1"/>
  <c r="K300" i="21"/>
  <c r="C271" i="32" s="1"/>
  <c r="K301" i="21"/>
  <c r="K302" i="21"/>
  <c r="C43" i="32" s="1"/>
  <c r="F43" i="32" s="1"/>
  <c r="K303" i="21"/>
  <c r="C40" i="32" s="1"/>
  <c r="F40" i="32" s="1"/>
  <c r="K304" i="21"/>
  <c r="C272" i="32" s="1"/>
  <c r="K305" i="21"/>
  <c r="J28" i="13" l="1"/>
  <c r="K28" i="13" s="1"/>
  <c r="K27" i="13"/>
  <c r="J29" i="13"/>
  <c r="K29" i="13" s="1"/>
  <c r="K155" i="12"/>
  <c r="K156" i="12"/>
  <c r="K154" i="12"/>
  <c r="K52" i="10"/>
  <c r="C41" i="32" s="1"/>
  <c r="K13" i="9"/>
  <c r="K14" i="9"/>
  <c r="C34" i="32" s="1"/>
  <c r="K8" i="9"/>
  <c r="K9" i="9"/>
  <c r="C33" i="32" s="1"/>
  <c r="K10" i="9"/>
  <c r="K11" i="9"/>
  <c r="K12" i="9"/>
  <c r="J23" i="9" l="1"/>
  <c r="K23" i="9" s="1"/>
  <c r="J24" i="9"/>
  <c r="K24" i="9" s="1"/>
  <c r="C60" i="32" s="1"/>
  <c r="J22" i="9"/>
  <c r="K22" i="9" s="1"/>
  <c r="C59" i="32" s="1"/>
  <c r="C316" i="27" l="1"/>
  <c r="K37" i="24" l="1"/>
  <c r="L37" i="24" s="1"/>
  <c r="K38" i="24"/>
  <c r="L38" i="24" s="1"/>
  <c r="L36" i="24"/>
  <c r="C243" i="32" s="1"/>
  <c r="K151" i="15" l="1"/>
  <c r="K150" i="15"/>
  <c r="C118" i="32" s="1"/>
  <c r="K99" i="12"/>
  <c r="K96" i="12"/>
  <c r="K100" i="12"/>
  <c r="K97" i="12"/>
  <c r="K98" i="12"/>
  <c r="C341" i="27"/>
  <c r="C314" i="27"/>
  <c r="H381" i="24"/>
  <c r="C32" i="32" l="1"/>
  <c r="C131" i="32"/>
  <c r="I381" i="24"/>
  <c r="H382" i="24" l="1"/>
  <c r="I382" i="24" s="1"/>
  <c r="J382" i="24" s="1"/>
  <c r="C127" i="27"/>
  <c r="G210" i="15"/>
  <c r="C268" i="27"/>
  <c r="G390" i="21"/>
  <c r="G391" i="21"/>
  <c r="H391" i="21" s="1"/>
  <c r="G1111" i="1" l="1"/>
  <c r="J1111" i="1" s="1"/>
  <c r="G1197" i="1"/>
  <c r="J1197" i="1" s="1"/>
  <c r="G1154" i="1"/>
  <c r="J1154" i="1" s="1"/>
  <c r="G1068" i="1"/>
  <c r="H210" i="15"/>
  <c r="H390" i="21"/>
  <c r="I391" i="21" s="1"/>
  <c r="G819" i="1" l="1"/>
  <c r="J819" i="1" s="1"/>
  <c r="G858" i="1"/>
  <c r="J858" i="1" s="1"/>
  <c r="G780" i="1"/>
  <c r="J780" i="1" s="1"/>
  <c r="G741" i="1"/>
  <c r="G703" i="1"/>
  <c r="J1068" i="1"/>
  <c r="J1024" i="1"/>
  <c r="K199" i="15"/>
  <c r="K196" i="15"/>
  <c r="C123" i="32" s="1"/>
  <c r="K200" i="15"/>
  <c r="K197" i="15"/>
  <c r="C124" i="32" s="1"/>
  <c r="K201" i="15"/>
  <c r="K198" i="15"/>
  <c r="K195" i="15"/>
  <c r="J741" i="1" l="1"/>
  <c r="C127" i="32"/>
  <c r="F127" i="32" s="1"/>
  <c r="C126" i="32"/>
  <c r="F126" i="32" s="1"/>
  <c r="C125" i="32"/>
  <c r="F125" i="32" s="1"/>
  <c r="J661" i="1"/>
  <c r="J703" i="1"/>
  <c r="J36" i="1"/>
  <c r="J40" i="10" l="1"/>
  <c r="K40" i="10" s="1"/>
  <c r="C38" i="32" s="1"/>
  <c r="C261" i="27"/>
  <c r="G318" i="21"/>
  <c r="H318" i="21" s="1"/>
  <c r="G323" i="21" l="1"/>
  <c r="H323" i="21" s="1"/>
  <c r="I318" i="21" s="1"/>
  <c r="C324" i="27" l="1"/>
  <c r="H218" i="24"/>
  <c r="I218" i="24" l="1"/>
  <c r="C107" i="27"/>
  <c r="G23" i="15"/>
  <c r="C87" i="27"/>
  <c r="H23" i="15" l="1"/>
  <c r="I23" i="15" s="1"/>
  <c r="J493" i="1" s="1"/>
  <c r="H161" i="13"/>
  <c r="H219" i="24"/>
  <c r="I219" i="24" s="1"/>
  <c r="J219" i="24" s="1"/>
  <c r="G111" i="20"/>
  <c r="H111" i="20" s="1"/>
  <c r="I111" i="20" s="1"/>
  <c r="G1097" i="1" l="1"/>
  <c r="J1097" i="1" s="1"/>
  <c r="G1183" i="1"/>
  <c r="J1183" i="1" s="1"/>
  <c r="G1140" i="1"/>
  <c r="J1140" i="1" s="1"/>
  <c r="F223" i="32"/>
  <c r="G1053" i="1"/>
  <c r="J1053" i="1" s="1"/>
  <c r="J1010" i="1"/>
  <c r="C160" i="27" l="1"/>
  <c r="G168" i="17"/>
  <c r="G169" i="17"/>
  <c r="H169" i="17" s="1"/>
  <c r="H168" i="17" l="1"/>
  <c r="I169" i="17" s="1"/>
  <c r="I271" i="17"/>
  <c r="J93" i="22" l="1"/>
  <c r="K93" i="22" s="1"/>
  <c r="C148" i="32" s="1"/>
  <c r="F148" i="32" s="1"/>
  <c r="J95" i="22"/>
  <c r="K95" i="22" s="1"/>
  <c r="C143" i="32" s="1"/>
  <c r="J92" i="22"/>
  <c r="K92" i="22" s="1"/>
  <c r="J94" i="22"/>
  <c r="K94" i="22" s="1"/>
  <c r="C149" i="32" s="1"/>
  <c r="F149" i="32" s="1"/>
  <c r="K91" i="22"/>
  <c r="C146" i="32" s="1"/>
  <c r="K133" i="15"/>
  <c r="C115" i="32" s="1"/>
  <c r="G119" i="20" l="1"/>
  <c r="H119" i="20" s="1"/>
  <c r="I119" i="20" s="1"/>
  <c r="C141" i="27"/>
  <c r="H59" i="16"/>
  <c r="H57" i="16"/>
  <c r="A86" i="1" l="1"/>
  <c r="A92" i="1" s="1"/>
  <c r="A112" i="1" s="1"/>
  <c r="C322" i="27" l="1"/>
  <c r="H209" i="24"/>
  <c r="C320" i="27"/>
  <c r="C319" i="27"/>
  <c r="I182" i="24"/>
  <c r="I173" i="24"/>
  <c r="A98" i="1" l="1"/>
  <c r="A104" i="1" s="1"/>
  <c r="H183" i="24"/>
  <c r="I183" i="24" s="1"/>
  <c r="J183" i="24" s="1"/>
  <c r="I209" i="24"/>
  <c r="H174" i="24"/>
  <c r="I174" i="24" s="1"/>
  <c r="J174" i="24" s="1"/>
  <c r="A117" i="1" l="1"/>
  <c r="G1133" i="1"/>
  <c r="J1133" i="1" s="1"/>
  <c r="G1176" i="1"/>
  <c r="G1135" i="1"/>
  <c r="J1135" i="1" s="1"/>
  <c r="G1178" i="1"/>
  <c r="G1090" i="1"/>
  <c r="J1090" i="1" s="1"/>
  <c r="G1046" i="1"/>
  <c r="G1092" i="1"/>
  <c r="J1092" i="1" s="1"/>
  <c r="G1048" i="1"/>
  <c r="H210" i="24"/>
  <c r="I210" i="24" s="1"/>
  <c r="J210" i="24" s="1"/>
  <c r="C159" i="27"/>
  <c r="G159" i="17"/>
  <c r="G160" i="17"/>
  <c r="H160" i="17" s="1"/>
  <c r="G1093" i="1" l="1"/>
  <c r="J1093" i="1" s="1"/>
  <c r="G1179" i="1"/>
  <c r="J1179" i="1" s="1"/>
  <c r="G1136" i="1"/>
  <c r="J1136" i="1" s="1"/>
  <c r="H159" i="17"/>
  <c r="I160" i="17" s="1"/>
  <c r="I270" i="17"/>
  <c r="J1178" i="1"/>
  <c r="J1176" i="1"/>
  <c r="G1049" i="1"/>
  <c r="J1005" i="1"/>
  <c r="J1048" i="1"/>
  <c r="J1046" i="1"/>
  <c r="J1003" i="1"/>
  <c r="C152" i="27"/>
  <c r="J1049" i="1" l="1"/>
  <c r="J1006" i="1"/>
  <c r="H84" i="17"/>
  <c r="G103" i="20" l="1"/>
  <c r="H103" i="20" l="1"/>
  <c r="I103" i="20" s="1"/>
  <c r="G243" i="19" s="1"/>
  <c r="H243" i="19" s="1"/>
  <c r="A1221" i="1"/>
  <c r="A1222" i="1" s="1"/>
  <c r="A1223" i="1" s="1"/>
  <c r="G151" i="20"/>
  <c r="H151" i="20" s="1"/>
  <c r="I151" i="20" s="1"/>
  <c r="G143" i="20"/>
  <c r="H143" i="20" s="1"/>
  <c r="I143" i="20" s="1"/>
  <c r="C338" i="27"/>
  <c r="H354" i="24"/>
  <c r="I354" i="24" s="1"/>
  <c r="C329" i="27"/>
  <c r="C328" i="27"/>
  <c r="H264" i="24"/>
  <c r="F236" i="32" s="1"/>
  <c r="H260" i="24"/>
  <c r="I260" i="24" s="1"/>
  <c r="H259" i="24"/>
  <c r="H350" i="24" s="1"/>
  <c r="I350" i="24" s="1"/>
  <c r="H258" i="24"/>
  <c r="H349" i="24" s="1"/>
  <c r="I349" i="24" s="1"/>
  <c r="H257" i="24"/>
  <c r="H348" i="24" s="1"/>
  <c r="I348" i="24" s="1"/>
  <c r="H254" i="24"/>
  <c r="F242" i="32" s="1"/>
  <c r="C327" i="27"/>
  <c r="C315" i="27"/>
  <c r="H245" i="24"/>
  <c r="H137" i="24"/>
  <c r="C163" i="27"/>
  <c r="G198" i="17"/>
  <c r="F44" i="32" s="1"/>
  <c r="G195" i="17"/>
  <c r="I274" i="17" s="1"/>
  <c r="G196" i="17"/>
  <c r="H196" i="17" s="1"/>
  <c r="H252" i="19" l="1"/>
  <c r="H253" i="19" s="1"/>
  <c r="F205" i="27" s="1"/>
  <c r="I247" i="19"/>
  <c r="G1267" i="1" s="1"/>
  <c r="G369" i="34"/>
  <c r="H369" i="34" s="1"/>
  <c r="G433" i="34"/>
  <c r="H433" i="34" s="1"/>
  <c r="G353" i="34"/>
  <c r="H353" i="34" s="1"/>
  <c r="G385" i="34"/>
  <c r="H385" i="34" s="1"/>
  <c r="G449" i="34"/>
  <c r="H449" i="34" s="1"/>
  <c r="G401" i="34"/>
  <c r="H401" i="34" s="1"/>
  <c r="G394" i="34"/>
  <c r="H394" i="34" s="1"/>
  <c r="G362" i="34"/>
  <c r="H362" i="34" s="1"/>
  <c r="G442" i="34"/>
  <c r="H442" i="34" s="1"/>
  <c r="G378" i="34"/>
  <c r="H378" i="34" s="1"/>
  <c r="G346" i="34"/>
  <c r="H346" i="34" s="1"/>
  <c r="G426" i="34"/>
  <c r="H426" i="34" s="1"/>
  <c r="H195" i="17"/>
  <c r="G164" i="19"/>
  <c r="H164" i="19" s="1"/>
  <c r="G150" i="19"/>
  <c r="H150" i="19" s="1"/>
  <c r="G417" i="34"/>
  <c r="H417" i="34" s="1"/>
  <c r="G465" i="34"/>
  <c r="H465" i="34" s="1"/>
  <c r="G410" i="34"/>
  <c r="H410" i="34" s="1"/>
  <c r="G458" i="34"/>
  <c r="H458" i="34" s="1"/>
  <c r="G321" i="34"/>
  <c r="H321" i="34" s="1"/>
  <c r="G305" i="34"/>
  <c r="H305" i="34" s="1"/>
  <c r="G337" i="34"/>
  <c r="H337" i="34" s="1"/>
  <c r="G298" i="34"/>
  <c r="H298" i="34" s="1"/>
  <c r="G330" i="34"/>
  <c r="H330" i="34" s="1"/>
  <c r="G314" i="34"/>
  <c r="H314" i="34" s="1"/>
  <c r="G257" i="34"/>
  <c r="H257" i="34" s="1"/>
  <c r="G289" i="34"/>
  <c r="H289" i="34" s="1"/>
  <c r="G273" i="34"/>
  <c r="H273" i="34" s="1"/>
  <c r="G250" i="34"/>
  <c r="H250" i="34" s="1"/>
  <c r="G266" i="34"/>
  <c r="H266" i="34" s="1"/>
  <c r="G282" i="34"/>
  <c r="H282" i="34" s="1"/>
  <c r="F102" i="32"/>
  <c r="G202" i="34"/>
  <c r="H202" i="34" s="1"/>
  <c r="G138" i="34"/>
  <c r="H138" i="34" s="1"/>
  <c r="G74" i="34"/>
  <c r="H74" i="34" s="1"/>
  <c r="G10" i="34"/>
  <c r="G170" i="34"/>
  <c r="H170" i="34" s="1"/>
  <c r="G42" i="34"/>
  <c r="H42" i="34" s="1"/>
  <c r="G186" i="34"/>
  <c r="H186" i="34" s="1"/>
  <c r="G122" i="34"/>
  <c r="H122" i="34" s="1"/>
  <c r="G58" i="34"/>
  <c r="H58" i="34" s="1"/>
  <c r="G234" i="34"/>
  <c r="H234" i="34" s="1"/>
  <c r="G106" i="34"/>
  <c r="H106" i="34" s="1"/>
  <c r="G218" i="34"/>
  <c r="H218" i="34" s="1"/>
  <c r="G154" i="34"/>
  <c r="H154" i="34" s="1"/>
  <c r="G90" i="34"/>
  <c r="H90" i="34" s="1"/>
  <c r="G26" i="34"/>
  <c r="H26" i="34" s="1"/>
  <c r="J632" i="1"/>
  <c r="G225" i="34"/>
  <c r="H225" i="34" s="1"/>
  <c r="G161" i="34"/>
  <c r="H161" i="34" s="1"/>
  <c r="G97" i="34"/>
  <c r="H97" i="34" s="1"/>
  <c r="G33" i="34"/>
  <c r="H33" i="34" s="1"/>
  <c r="G129" i="34"/>
  <c r="H129" i="34" s="1"/>
  <c r="G177" i="34"/>
  <c r="H177" i="34" s="1"/>
  <c r="G209" i="34"/>
  <c r="H209" i="34" s="1"/>
  <c r="G145" i="34"/>
  <c r="H145" i="34" s="1"/>
  <c r="G81" i="34"/>
  <c r="H81" i="34" s="1"/>
  <c r="G17" i="34"/>
  <c r="H17" i="34" s="1"/>
  <c r="G193" i="34"/>
  <c r="H193" i="34" s="1"/>
  <c r="G65" i="34"/>
  <c r="H65" i="34" s="1"/>
  <c r="G241" i="34"/>
  <c r="H241" i="34" s="1"/>
  <c r="G113" i="34"/>
  <c r="H113" i="34" s="1"/>
  <c r="G49" i="34"/>
  <c r="H49" i="34" s="1"/>
  <c r="H341" i="24"/>
  <c r="I341" i="24" s="1"/>
  <c r="H332" i="24"/>
  <c r="I332" i="24" s="1"/>
  <c r="H331" i="24"/>
  <c r="I331" i="24" s="1"/>
  <c r="H340" i="24"/>
  <c r="I340" i="24" s="1"/>
  <c r="H339" i="24"/>
  <c r="I339" i="24" s="1"/>
  <c r="H330" i="24"/>
  <c r="I330" i="24" s="1"/>
  <c r="H276" i="24"/>
  <c r="H303" i="24"/>
  <c r="I303" i="24" s="1"/>
  <c r="H294" i="24"/>
  <c r="I294" i="24" s="1"/>
  <c r="H321" i="24"/>
  <c r="I321" i="24" s="1"/>
  <c r="H285" i="24"/>
  <c r="I285" i="24" s="1"/>
  <c r="H312" i="24"/>
  <c r="I312" i="24" s="1"/>
  <c r="H278" i="24"/>
  <c r="H323" i="24"/>
  <c r="I323" i="24" s="1"/>
  <c r="H287" i="24"/>
  <c r="I287" i="24" s="1"/>
  <c r="H314" i="24"/>
  <c r="I314" i="24" s="1"/>
  <c r="H296" i="24"/>
  <c r="I296" i="24" s="1"/>
  <c r="H305" i="24"/>
  <c r="I305" i="24" s="1"/>
  <c r="H277" i="24"/>
  <c r="H304" i="24"/>
  <c r="I304" i="24" s="1"/>
  <c r="H286" i="24"/>
  <c r="I286" i="24" s="1"/>
  <c r="H313" i="24"/>
  <c r="I313" i="24" s="1"/>
  <c r="H322" i="24"/>
  <c r="I322" i="24" s="1"/>
  <c r="H295" i="24"/>
  <c r="I295" i="24" s="1"/>
  <c r="I258" i="24"/>
  <c r="I259" i="24"/>
  <c r="I257" i="24"/>
  <c r="H198" i="17"/>
  <c r="I137" i="24"/>
  <c r="I245" i="24"/>
  <c r="I264" i="24"/>
  <c r="I254" i="24"/>
  <c r="H269" i="24"/>
  <c r="H268" i="24"/>
  <c r="H266" i="24"/>
  <c r="H365" i="24" s="1"/>
  <c r="I365" i="24" s="1"/>
  <c r="H267" i="24"/>
  <c r="H366" i="24" s="1"/>
  <c r="I366" i="24" s="1"/>
  <c r="H355" i="24"/>
  <c r="I355" i="24" s="1"/>
  <c r="J355" i="24" s="1"/>
  <c r="G1206" i="1" s="1"/>
  <c r="C267" i="27"/>
  <c r="C266" i="27"/>
  <c r="G381" i="21"/>
  <c r="G382" i="21"/>
  <c r="H382" i="21" s="1"/>
  <c r="G373" i="21"/>
  <c r="H373" i="21" s="1"/>
  <c r="C244" i="27"/>
  <c r="G161" i="21"/>
  <c r="C126" i="27"/>
  <c r="H198" i="15"/>
  <c r="H199" i="15"/>
  <c r="H200" i="15"/>
  <c r="H201" i="15"/>
  <c r="J1267" i="1" l="1"/>
  <c r="L1267" i="1" s="1"/>
  <c r="I1267" i="1"/>
  <c r="I154" i="19"/>
  <c r="H159" i="19"/>
  <c r="H160" i="19" s="1"/>
  <c r="F200" i="27" s="1"/>
  <c r="I168" i="19"/>
  <c r="H173" i="19"/>
  <c r="H174" i="19" s="1"/>
  <c r="F201" i="27" s="1"/>
  <c r="J1279" i="1"/>
  <c r="J260" i="24"/>
  <c r="I276" i="24"/>
  <c r="I277" i="24"/>
  <c r="I278" i="24"/>
  <c r="I269" i="24"/>
  <c r="H368" i="24"/>
  <c r="I368" i="24" s="1"/>
  <c r="I268" i="24"/>
  <c r="H367" i="24"/>
  <c r="I367" i="24" s="1"/>
  <c r="J1206" i="1"/>
  <c r="H256" i="24"/>
  <c r="H347" i="24" s="1"/>
  <c r="I347" i="24" s="1"/>
  <c r="H138" i="24"/>
  <c r="I138" i="24" s="1"/>
  <c r="J138" i="24" s="1"/>
  <c r="H265" i="24"/>
  <c r="I265" i="24" s="1"/>
  <c r="J265" i="24" s="1"/>
  <c r="H246" i="24"/>
  <c r="I246" i="24" s="1"/>
  <c r="J246" i="24" s="1"/>
  <c r="G1181" i="1" s="1"/>
  <c r="J1181" i="1" s="1"/>
  <c r="H372" i="21"/>
  <c r="I373" i="21" s="1"/>
  <c r="H381" i="21"/>
  <c r="I382" i="21" s="1"/>
  <c r="G860" i="1" s="1"/>
  <c r="I266" i="24"/>
  <c r="I267" i="24"/>
  <c r="H195" i="15"/>
  <c r="C52" i="27"/>
  <c r="F133" i="12"/>
  <c r="F132" i="12"/>
  <c r="G134" i="12"/>
  <c r="H134" i="12" s="1"/>
  <c r="G133" i="12"/>
  <c r="G132" i="12"/>
  <c r="G131" i="12"/>
  <c r="H131" i="12" s="1"/>
  <c r="C67" i="27"/>
  <c r="C66" i="27"/>
  <c r="C65" i="27"/>
  <c r="C63" i="27"/>
  <c r="C62" i="27"/>
  <c r="C61" i="27"/>
  <c r="G1074" i="1" l="1"/>
  <c r="G1160" i="1"/>
  <c r="J1160" i="1" s="1"/>
  <c r="G1117" i="1"/>
  <c r="J1117" i="1" s="1"/>
  <c r="G1108" i="1"/>
  <c r="J1108" i="1" s="1"/>
  <c r="G1194" i="1"/>
  <c r="J1194" i="1" s="1"/>
  <c r="G1151" i="1"/>
  <c r="J1151" i="1" s="1"/>
  <c r="G817" i="1"/>
  <c r="J817" i="1" s="1"/>
  <c r="G856" i="1"/>
  <c r="J856" i="1" s="1"/>
  <c r="G778" i="1"/>
  <c r="J778" i="1" s="1"/>
  <c r="H1128" i="1"/>
  <c r="K1128" i="1" s="1"/>
  <c r="H1171" i="1"/>
  <c r="J860" i="1"/>
  <c r="G821" i="1"/>
  <c r="J821" i="1" s="1"/>
  <c r="G782" i="1"/>
  <c r="J782" i="1" s="1"/>
  <c r="G1095" i="1"/>
  <c r="J1095" i="1" s="1"/>
  <c r="G1138" i="1"/>
  <c r="J1138" i="1" s="1"/>
  <c r="J350" i="24"/>
  <c r="I351" i="24"/>
  <c r="I352" i="24" s="1"/>
  <c r="H1085" i="1"/>
  <c r="K1085" i="1" s="1"/>
  <c r="K998" i="1"/>
  <c r="H1041" i="1"/>
  <c r="K1041" i="1" s="1"/>
  <c r="J1074" i="1"/>
  <c r="G1051" i="1"/>
  <c r="G739" i="1"/>
  <c r="J739" i="1" s="1"/>
  <c r="G701" i="1"/>
  <c r="G1030" i="1"/>
  <c r="G743" i="1"/>
  <c r="G705" i="1"/>
  <c r="G1065" i="1"/>
  <c r="H329" i="24"/>
  <c r="I329" i="24" s="1"/>
  <c r="H338" i="24"/>
  <c r="I338" i="24" s="1"/>
  <c r="H275" i="24"/>
  <c r="I275" i="24" s="1"/>
  <c r="H302" i="24"/>
  <c r="I302" i="24" s="1"/>
  <c r="H284" i="24"/>
  <c r="I284" i="24" s="1"/>
  <c r="H311" i="24"/>
  <c r="I311" i="24" s="1"/>
  <c r="H320" i="24"/>
  <c r="I320" i="24" s="1"/>
  <c r="H293" i="24"/>
  <c r="I293" i="24" s="1"/>
  <c r="H375" i="24"/>
  <c r="I375" i="24" s="1"/>
  <c r="I256" i="24"/>
  <c r="J368" i="24"/>
  <c r="I369" i="24"/>
  <c r="I370" i="24" s="1"/>
  <c r="F339" i="27" s="1"/>
  <c r="J269" i="24"/>
  <c r="H132" i="12"/>
  <c r="H358" i="24"/>
  <c r="H412" i="24" s="1"/>
  <c r="H376" i="24"/>
  <c r="I376" i="24" s="1"/>
  <c r="H377" i="24"/>
  <c r="I377" i="24" s="1"/>
  <c r="H359" i="24"/>
  <c r="H413" i="24" s="1"/>
  <c r="H133" i="12"/>
  <c r="I270" i="24"/>
  <c r="I271" i="24" s="1"/>
  <c r="F329" i="27" s="1"/>
  <c r="H357" i="24"/>
  <c r="H411" i="24" s="1"/>
  <c r="C326" i="27"/>
  <c r="C325" i="27"/>
  <c r="C323" i="27"/>
  <c r="C321" i="27"/>
  <c r="C318" i="27"/>
  <c r="C317" i="27"/>
  <c r="C313" i="27"/>
  <c r="C312" i="27"/>
  <c r="C310" i="27"/>
  <c r="C309" i="27"/>
  <c r="C308" i="27"/>
  <c r="C307" i="27"/>
  <c r="C306" i="27"/>
  <c r="C305" i="27"/>
  <c r="C304" i="27"/>
  <c r="C303" i="27"/>
  <c r="C302" i="27"/>
  <c r="C301" i="27"/>
  <c r="C298" i="27"/>
  <c r="C297" i="27"/>
  <c r="C296" i="27"/>
  <c r="B296" i="27"/>
  <c r="B297" i="27" s="1"/>
  <c r="B298" i="27" s="1"/>
  <c r="C295" i="27"/>
  <c r="C292" i="27"/>
  <c r="C291" i="27"/>
  <c r="C290" i="27"/>
  <c r="C289" i="27"/>
  <c r="C288" i="27"/>
  <c r="C287" i="27"/>
  <c r="C286" i="27"/>
  <c r="C285" i="27"/>
  <c r="C284" i="27"/>
  <c r="C283" i="27"/>
  <c r="C282" i="27"/>
  <c r="C281" i="27"/>
  <c r="B281" i="27"/>
  <c r="B282" i="27" s="1"/>
  <c r="B283" i="27" s="1"/>
  <c r="B284" i="27" s="1"/>
  <c r="B285" i="27" s="1"/>
  <c r="B286" i="27" s="1"/>
  <c r="B287" i="27" s="1"/>
  <c r="B288" i="27" s="1"/>
  <c r="B289" i="27" s="1"/>
  <c r="B290" i="27" s="1"/>
  <c r="B291" i="27" s="1"/>
  <c r="B292" i="27" s="1"/>
  <c r="C280" i="27"/>
  <c r="C265" i="27"/>
  <c r="C264" i="27"/>
  <c r="C263" i="27"/>
  <c r="C262" i="27"/>
  <c r="C260" i="27"/>
  <c r="C259" i="27"/>
  <c r="C258" i="27"/>
  <c r="C257" i="27"/>
  <c r="C256" i="27"/>
  <c r="C255" i="27"/>
  <c r="C254" i="27"/>
  <c r="C253" i="27"/>
  <c r="C252" i="27"/>
  <c r="C250" i="27"/>
  <c r="C249" i="27"/>
  <c r="C248" i="27"/>
  <c r="C247" i="27"/>
  <c r="C246" i="27"/>
  <c r="C245" i="27"/>
  <c r="C243" i="27"/>
  <c r="C241" i="27"/>
  <c r="C240" i="27"/>
  <c r="C239" i="27"/>
  <c r="C238" i="27"/>
  <c r="C237" i="27"/>
  <c r="C236" i="27"/>
  <c r="C235" i="27"/>
  <c r="C234" i="27"/>
  <c r="C233" i="27"/>
  <c r="C232" i="27"/>
  <c r="C231" i="27"/>
  <c r="C230" i="27"/>
  <c r="B211" i="27"/>
  <c r="B212" i="27" s="1"/>
  <c r="B213" i="27" s="1"/>
  <c r="B214" i="27" s="1"/>
  <c r="B215" i="27" s="1"/>
  <c r="B216" i="27" s="1"/>
  <c r="B217" i="27" s="1"/>
  <c r="B218" i="27" s="1"/>
  <c r="B219" i="27" s="1"/>
  <c r="B220" i="27" s="1"/>
  <c r="B221" i="27" s="1"/>
  <c r="B222" i="27" s="1"/>
  <c r="B223" i="27" s="1"/>
  <c r="B224" i="27" s="1"/>
  <c r="B225" i="27" s="1"/>
  <c r="B226" i="27" s="1"/>
  <c r="B227" i="27" s="1"/>
  <c r="C199" i="27"/>
  <c r="C198" i="27"/>
  <c r="C197" i="27"/>
  <c r="C196" i="27"/>
  <c r="M46" i="36" s="1"/>
  <c r="C192" i="27"/>
  <c r="M5" i="36" s="1"/>
  <c r="C191" i="27"/>
  <c r="M4" i="36" s="1"/>
  <c r="C190" i="27"/>
  <c r="C189" i="27"/>
  <c r="C188" i="27"/>
  <c r="C187" i="27"/>
  <c r="C186" i="27"/>
  <c r="C185" i="27"/>
  <c r="C184" i="27"/>
  <c r="B184" i="27"/>
  <c r="B185" i="27" s="1"/>
  <c r="B186" i="27" s="1"/>
  <c r="B187" i="27" s="1"/>
  <c r="B188" i="27" s="1"/>
  <c r="B189" i="27" s="1"/>
  <c r="B190" i="27" s="1"/>
  <c r="B191" i="27" s="1"/>
  <c r="B192" i="27" s="1"/>
  <c r="B193" i="27" s="1"/>
  <c r="B194" i="27" s="1"/>
  <c r="B195" i="27" s="1"/>
  <c r="B196" i="27" s="1"/>
  <c r="B197" i="27" s="1"/>
  <c r="B198" i="27" s="1"/>
  <c r="B199" i="27" s="1"/>
  <c r="B200" i="27" s="1"/>
  <c r="B201" i="27" s="1"/>
  <c r="C183" i="27"/>
  <c r="M9" i="36"/>
  <c r="C171" i="27"/>
  <c r="M8" i="36" s="1"/>
  <c r="B171" i="27"/>
  <c r="B172" i="27" s="1"/>
  <c r="B173" i="27" s="1"/>
  <c r="B174" i="27" s="1"/>
  <c r="B175" i="27" s="1"/>
  <c r="B176" i="27" s="1"/>
  <c r="B177" i="27" s="1"/>
  <c r="B178" i="27" s="1"/>
  <c r="B179" i="27" s="1"/>
  <c r="B180" i="27" s="1"/>
  <c r="C170" i="27"/>
  <c r="M3" i="36" s="1"/>
  <c r="C162" i="27"/>
  <c r="C161" i="27"/>
  <c r="C158" i="27"/>
  <c r="C157" i="27"/>
  <c r="C156" i="27"/>
  <c r="C150" i="27"/>
  <c r="C149" i="27"/>
  <c r="C148" i="27"/>
  <c r="C146" i="27"/>
  <c r="C145" i="27"/>
  <c r="C140" i="27"/>
  <c r="C139" i="27"/>
  <c r="C138" i="27"/>
  <c r="B138" i="27"/>
  <c r="B139" i="27" s="1"/>
  <c r="B140" i="27" s="1"/>
  <c r="C137" i="27"/>
  <c r="C125" i="27"/>
  <c r="C124" i="27"/>
  <c r="C123" i="27"/>
  <c r="C122" i="27"/>
  <c r="C121" i="27"/>
  <c r="C120" i="27"/>
  <c r="C119" i="27"/>
  <c r="C118" i="27"/>
  <c r="C117" i="27"/>
  <c r="C116" i="27"/>
  <c r="C115" i="27"/>
  <c r="C114" i="27"/>
  <c r="C113" i="27"/>
  <c r="C112" i="27"/>
  <c r="C111" i="27"/>
  <c r="C110" i="27"/>
  <c r="C109" i="27"/>
  <c r="C108" i="27"/>
  <c r="C106" i="27"/>
  <c r="C105" i="27"/>
  <c r="C102" i="27"/>
  <c r="B102" i="27"/>
  <c r="C101" i="27"/>
  <c r="C93" i="27"/>
  <c r="C92" i="27"/>
  <c r="C91" i="27"/>
  <c r="C90" i="27"/>
  <c r="C89" i="27"/>
  <c r="C88" i="27"/>
  <c r="C86" i="27"/>
  <c r="C85" i="27"/>
  <c r="C83" i="27"/>
  <c r="C82" i="27"/>
  <c r="C81" i="27"/>
  <c r="C79" i="27"/>
  <c r="C78" i="27"/>
  <c r="C77" i="27"/>
  <c r="C76" i="27"/>
  <c r="C75" i="27"/>
  <c r="C74" i="27"/>
  <c r="B74" i="27"/>
  <c r="B75" i="27" s="1"/>
  <c r="B76" i="27" s="1"/>
  <c r="B77" i="27" s="1"/>
  <c r="B78" i="27" s="1"/>
  <c r="B79" i="27" s="1"/>
  <c r="B80" i="27" s="1"/>
  <c r="B81" i="27" s="1"/>
  <c r="B82" i="27" s="1"/>
  <c r="B83" i="27" s="1"/>
  <c r="B84" i="27" s="1"/>
  <c r="B85" i="27" s="1"/>
  <c r="B86" i="27" s="1"/>
  <c r="B87" i="27" s="1"/>
  <c r="B88" i="27" s="1"/>
  <c r="B89" i="27" s="1"/>
  <c r="B90" i="27" s="1"/>
  <c r="B91" i="27" s="1"/>
  <c r="B92" i="27" s="1"/>
  <c r="B93" i="27" s="1"/>
  <c r="B94" i="27" s="1"/>
  <c r="B95" i="27" s="1"/>
  <c r="B96" i="27" s="1"/>
  <c r="B97" i="27" s="1"/>
  <c r="B98" i="27" s="1"/>
  <c r="C73" i="27"/>
  <c r="C60" i="27"/>
  <c r="C59" i="27"/>
  <c r="C58" i="27"/>
  <c r="C57" i="27"/>
  <c r="C56" i="27"/>
  <c r="C55" i="27"/>
  <c r="C54" i="27"/>
  <c r="C53" i="27"/>
  <c r="C51" i="27"/>
  <c r="C50" i="27"/>
  <c r="C49" i="27"/>
  <c r="C48" i="27"/>
  <c r="C47" i="27"/>
  <c r="C46" i="27"/>
  <c r="C45" i="27"/>
  <c r="C44" i="27"/>
  <c r="C43" i="27"/>
  <c r="C42" i="27"/>
  <c r="B42" i="27"/>
  <c r="B43" i="27" s="1"/>
  <c r="B44" i="27" s="1"/>
  <c r="B45" i="27" s="1"/>
  <c r="B46" i="27" s="1"/>
  <c r="B47" i="27" s="1"/>
  <c r="B48" i="27" s="1"/>
  <c r="B49" i="27" s="1"/>
  <c r="B50" i="27" s="1"/>
  <c r="B51" i="27" s="1"/>
  <c r="C41" i="27"/>
  <c r="C36" i="27"/>
  <c r="C35" i="27"/>
  <c r="C34" i="27"/>
  <c r="C32" i="27"/>
  <c r="C31" i="27"/>
  <c r="C30" i="27"/>
  <c r="B30" i="27"/>
  <c r="B31" i="27" s="1"/>
  <c r="B32" i="27" s="1"/>
  <c r="C29" i="27"/>
  <c r="C26" i="27"/>
  <c r="C25" i="27"/>
  <c r="C24" i="27"/>
  <c r="C23" i="27"/>
  <c r="C22" i="27"/>
  <c r="C21" i="27"/>
  <c r="C20" i="27"/>
  <c r="C19" i="27"/>
  <c r="C18" i="27"/>
  <c r="B18" i="27"/>
  <c r="B19" i="27" s="1"/>
  <c r="B20" i="27" s="1"/>
  <c r="B21" i="27" s="1"/>
  <c r="B22" i="27" s="1"/>
  <c r="B23" i="27" s="1"/>
  <c r="B24" i="27" s="1"/>
  <c r="B25" i="27" s="1"/>
  <c r="B26" i="27" s="1"/>
  <c r="C17" i="27"/>
  <c r="C14" i="27"/>
  <c r="C13" i="27"/>
  <c r="C12" i="27"/>
  <c r="C11" i="27"/>
  <c r="C10" i="27"/>
  <c r="C9" i="27"/>
  <c r="C8" i="27"/>
  <c r="C7" i="27"/>
  <c r="B7" i="27"/>
  <c r="B8" i="27" s="1"/>
  <c r="B9" i="27" s="1"/>
  <c r="B10" i="27" s="1"/>
  <c r="B11" i="27" s="1"/>
  <c r="B12" i="27" s="1"/>
  <c r="B13" i="27" s="1"/>
  <c r="B14" i="27" s="1"/>
  <c r="C6" i="27"/>
  <c r="B10" i="26"/>
  <c r="B11" i="26" s="1"/>
  <c r="B12" i="26" s="1"/>
  <c r="B13" i="26" s="1"/>
  <c r="B14" i="26" s="1"/>
  <c r="B15" i="26" s="1"/>
  <c r="B16" i="26" s="1"/>
  <c r="B17" i="26" s="1"/>
  <c r="B18" i="26" s="1"/>
  <c r="B19" i="26" s="1"/>
  <c r="B20" i="26" s="1"/>
  <c r="B21" i="26" s="1"/>
  <c r="B22" i="26" s="1"/>
  <c r="B23" i="26" s="1"/>
  <c r="B24" i="26" s="1"/>
  <c r="B25" i="26" s="1"/>
  <c r="B26" i="26" s="1"/>
  <c r="B27" i="26" s="1"/>
  <c r="B28" i="26" s="1"/>
  <c r="B29" i="26" s="1"/>
  <c r="B30" i="26" s="1"/>
  <c r="B31" i="26" s="1"/>
  <c r="B32" i="26" s="1"/>
  <c r="B33" i="26" s="1"/>
  <c r="H16" i="23"/>
  <c r="I16" i="23" s="1"/>
  <c r="G8" i="19"/>
  <c r="G7" i="19"/>
  <c r="E358" i="25"/>
  <c r="H46" i="24"/>
  <c r="I46" i="24" s="1"/>
  <c r="H36" i="24"/>
  <c r="F243" i="32" s="1"/>
  <c r="H255" i="24"/>
  <c r="I255" i="24" s="1"/>
  <c r="H16" i="24"/>
  <c r="H6" i="24"/>
  <c r="G197" i="15"/>
  <c r="G196" i="15"/>
  <c r="G159" i="15"/>
  <c r="F159" i="32" s="1"/>
  <c r="G39" i="15"/>
  <c r="G15" i="15"/>
  <c r="H15" i="15" s="1"/>
  <c r="I15" i="15" s="1"/>
  <c r="G31" i="15"/>
  <c r="G7" i="15"/>
  <c r="G85" i="15"/>
  <c r="H85" i="15" s="1"/>
  <c r="G97" i="15"/>
  <c r="H97" i="15" s="1"/>
  <c r="G133" i="15"/>
  <c r="G206" i="21"/>
  <c r="H206" i="21" s="1"/>
  <c r="G211" i="21" s="1"/>
  <c r="H211" i="21" s="1"/>
  <c r="I206" i="21" s="1"/>
  <c r="G160" i="15"/>
  <c r="F166" i="32" s="1"/>
  <c r="G9" i="16"/>
  <c r="H9" i="16" s="1"/>
  <c r="G24" i="19"/>
  <c r="H24" i="19" s="1"/>
  <c r="I24" i="19" s="1"/>
  <c r="G78" i="11"/>
  <c r="E53" i="32" s="1"/>
  <c r="F53" i="32" s="1"/>
  <c r="G8" i="12"/>
  <c r="H8" i="12" s="1"/>
  <c r="G242" i="12"/>
  <c r="G233" i="12"/>
  <c r="G224" i="12"/>
  <c r="G278" i="12"/>
  <c r="H278" i="12" s="1"/>
  <c r="G269" i="12"/>
  <c r="G260" i="12"/>
  <c r="G103" i="22"/>
  <c r="H103" i="22" s="1"/>
  <c r="G42" i="19"/>
  <c r="H42" i="19" s="1"/>
  <c r="G15" i="18"/>
  <c r="H15" i="18" s="1"/>
  <c r="G33" i="9"/>
  <c r="G55" i="9" s="1"/>
  <c r="G69" i="9" s="1"/>
  <c r="H69" i="9" s="1"/>
  <c r="G24" i="22"/>
  <c r="G35" i="22" s="1"/>
  <c r="H35" i="22" s="1"/>
  <c r="G45" i="22"/>
  <c r="H45" i="22" s="1"/>
  <c r="G179" i="15"/>
  <c r="G55" i="22"/>
  <c r="G74" i="22"/>
  <c r="G83" i="22" s="1"/>
  <c r="G53" i="22"/>
  <c r="G198" i="12"/>
  <c r="H236" i="24"/>
  <c r="H227" i="24"/>
  <c r="H200" i="24"/>
  <c r="H191" i="24"/>
  <c r="H164" i="24"/>
  <c r="H155" i="24"/>
  <c r="H128" i="24"/>
  <c r="H119" i="24"/>
  <c r="H110" i="24"/>
  <c r="H92" i="24"/>
  <c r="I92" i="24" s="1"/>
  <c r="H83" i="24"/>
  <c r="I83" i="24" s="1"/>
  <c r="H74" i="24"/>
  <c r="I65" i="24"/>
  <c r="I71" i="24" s="1"/>
  <c r="I72" i="24" s="1"/>
  <c r="F307" i="27" s="1"/>
  <c r="H56" i="24"/>
  <c r="F245" i="32" s="1"/>
  <c r="H12" i="24"/>
  <c r="I12" i="24" s="1"/>
  <c r="H11" i="24"/>
  <c r="H21" i="24" s="1"/>
  <c r="H31" i="24" s="1"/>
  <c r="H41" i="24" s="1"/>
  <c r="H51" i="24" s="1"/>
  <c r="I51" i="24" s="1"/>
  <c r="H10" i="24"/>
  <c r="I10" i="24" s="1"/>
  <c r="H9" i="24"/>
  <c r="F33" i="23"/>
  <c r="H31" i="23"/>
  <c r="I31" i="23" s="1"/>
  <c r="F26" i="23"/>
  <c r="H24" i="23"/>
  <c r="I24" i="23" s="1"/>
  <c r="F23" i="23"/>
  <c r="F18" i="23"/>
  <c r="F15" i="23"/>
  <c r="F14" i="23"/>
  <c r="F10" i="23"/>
  <c r="H8" i="23"/>
  <c r="I8" i="23" s="1"/>
  <c r="H7" i="23"/>
  <c r="F7" i="23"/>
  <c r="H6" i="23"/>
  <c r="H14" i="23" s="1"/>
  <c r="H22" i="23" s="1"/>
  <c r="F6" i="23"/>
  <c r="G113" i="22"/>
  <c r="H113" i="22" s="1"/>
  <c r="G104" i="22"/>
  <c r="H104" i="22" s="1"/>
  <c r="H94" i="22"/>
  <c r="G54" i="22"/>
  <c r="H54" i="22" s="1"/>
  <c r="G46" i="22"/>
  <c r="G95" i="22" s="1"/>
  <c r="F143" i="32" s="1"/>
  <c r="G44" i="22"/>
  <c r="H44" i="22" s="1"/>
  <c r="G33" i="22"/>
  <c r="H33" i="22" s="1"/>
  <c r="G23" i="22"/>
  <c r="H23" i="22" s="1"/>
  <c r="G18" i="22"/>
  <c r="G28" i="22" s="1"/>
  <c r="G17" i="22"/>
  <c r="H17" i="22" s="1"/>
  <c r="G15" i="22"/>
  <c r="H15" i="22" s="1"/>
  <c r="G14" i="22"/>
  <c r="H14" i="22" s="1"/>
  <c r="G9" i="22"/>
  <c r="G19" i="22" s="1"/>
  <c r="G8" i="22"/>
  <c r="G16" i="22" s="1"/>
  <c r="G26" i="22" s="1"/>
  <c r="G37" i="22" s="1"/>
  <c r="G7" i="22"/>
  <c r="H7" i="22" s="1"/>
  <c r="I7" i="22" s="1"/>
  <c r="F288" i="32"/>
  <c r="G345" i="21"/>
  <c r="H336" i="21"/>
  <c r="G341" i="21" s="1"/>
  <c r="H341" i="21" s="1"/>
  <c r="I336" i="21" s="1"/>
  <c r="G327" i="21"/>
  <c r="G309" i="21"/>
  <c r="F286" i="32" s="1"/>
  <c r="G275" i="21"/>
  <c r="G266" i="21"/>
  <c r="H266" i="21" s="1"/>
  <c r="G250" i="21"/>
  <c r="G241" i="21"/>
  <c r="H241" i="21" s="1"/>
  <c r="G233" i="21"/>
  <c r="G232" i="21"/>
  <c r="G224" i="21"/>
  <c r="G197" i="21"/>
  <c r="G188" i="21"/>
  <c r="G179" i="21"/>
  <c r="G170" i="21"/>
  <c r="G152" i="21"/>
  <c r="G417" i="21" s="1"/>
  <c r="G143" i="21"/>
  <c r="G134" i="21"/>
  <c r="F134" i="21"/>
  <c r="G116" i="21"/>
  <c r="F116" i="21"/>
  <c r="G107" i="21"/>
  <c r="G85" i="21"/>
  <c r="G99" i="21" s="1"/>
  <c r="G83" i="21"/>
  <c r="H83" i="21" s="1"/>
  <c r="G68" i="21"/>
  <c r="H68" i="21" s="1"/>
  <c r="G59" i="21"/>
  <c r="H59" i="21" s="1"/>
  <c r="G48" i="21"/>
  <c r="F261" i="32" s="1"/>
  <c r="G37" i="21"/>
  <c r="G26" i="21"/>
  <c r="H26" i="21" s="1"/>
  <c r="G33" i="21" s="1"/>
  <c r="G17" i="21"/>
  <c r="G13" i="21"/>
  <c r="G12" i="21"/>
  <c r="H12" i="21" s="1"/>
  <c r="G11" i="21"/>
  <c r="G30" i="21" s="1"/>
  <c r="G10" i="21"/>
  <c r="G18" i="21" s="1"/>
  <c r="G9" i="21"/>
  <c r="G8" i="21"/>
  <c r="G27" i="21" s="1"/>
  <c r="G7" i="21"/>
  <c r="F260" i="32" s="1"/>
  <c r="G135" i="20"/>
  <c r="H135" i="20" s="1"/>
  <c r="I135" i="20" s="1"/>
  <c r="G127" i="20"/>
  <c r="H127" i="20" s="1"/>
  <c r="I127" i="20" s="1"/>
  <c r="H87" i="20"/>
  <c r="I87" i="20" s="1"/>
  <c r="G79" i="20"/>
  <c r="H79" i="20" s="1"/>
  <c r="I79" i="20" s="1"/>
  <c r="G71" i="20"/>
  <c r="H71" i="20" s="1"/>
  <c r="I71" i="20" s="1"/>
  <c r="G63" i="20"/>
  <c r="H63" i="20" s="1"/>
  <c r="I63" i="20" s="1"/>
  <c r="G55" i="20"/>
  <c r="H55" i="20" s="1"/>
  <c r="I55" i="20" s="1"/>
  <c r="G47" i="20"/>
  <c r="H47" i="20" s="1"/>
  <c r="I47" i="20" s="1"/>
  <c r="G39" i="20"/>
  <c r="H39" i="20" s="1"/>
  <c r="I39" i="20" s="1"/>
  <c r="G31" i="20"/>
  <c r="H31" i="20" s="1"/>
  <c r="I31" i="20" s="1"/>
  <c r="G23" i="20"/>
  <c r="H23" i="20" s="1"/>
  <c r="I23" i="20" s="1"/>
  <c r="G15" i="20"/>
  <c r="H15" i="20" s="1"/>
  <c r="I15" i="20" s="1"/>
  <c r="G11" i="20"/>
  <c r="H11" i="20" s="1"/>
  <c r="G10" i="20"/>
  <c r="G9" i="20"/>
  <c r="H9" i="20" s="1"/>
  <c r="G8" i="20"/>
  <c r="G7" i="20"/>
  <c r="F142" i="19"/>
  <c r="G140" i="19"/>
  <c r="H140" i="19" s="1"/>
  <c r="I140" i="19" s="1"/>
  <c r="F134" i="19"/>
  <c r="G132" i="19"/>
  <c r="H132" i="19" s="1"/>
  <c r="I132" i="19" s="1"/>
  <c r="H124" i="19"/>
  <c r="G115" i="19"/>
  <c r="H115" i="19" s="1"/>
  <c r="H114" i="19"/>
  <c r="G95" i="19"/>
  <c r="G94" i="19"/>
  <c r="H94" i="19" s="1"/>
  <c r="G93" i="19"/>
  <c r="H85" i="19"/>
  <c r="H84" i="19"/>
  <c r="G83" i="19"/>
  <c r="G113" i="19" s="1"/>
  <c r="G53" i="19"/>
  <c r="G64" i="19" s="1"/>
  <c r="H64" i="19" s="1"/>
  <c r="G50" i="19"/>
  <c r="G61" i="19" s="1"/>
  <c r="G41" i="19"/>
  <c r="H41" i="19" s="1"/>
  <c r="G40" i="19"/>
  <c r="H40" i="19" s="1"/>
  <c r="G32" i="19"/>
  <c r="H32" i="19" s="1"/>
  <c r="I32" i="19" s="1"/>
  <c r="G16" i="19"/>
  <c r="H16" i="19" s="1"/>
  <c r="I16" i="19" s="1"/>
  <c r="G12" i="19"/>
  <c r="G20" i="19" s="1"/>
  <c r="F12" i="19"/>
  <c r="G11" i="19"/>
  <c r="F11" i="19"/>
  <c r="G10" i="19"/>
  <c r="F10" i="19"/>
  <c r="G9" i="19"/>
  <c r="G17" i="19" s="1"/>
  <c r="F9" i="19"/>
  <c r="F8" i="19"/>
  <c r="F7" i="19"/>
  <c r="G27" i="18"/>
  <c r="H27" i="18" s="1"/>
  <c r="G26" i="18"/>
  <c r="H26" i="18" s="1"/>
  <c r="G16" i="18"/>
  <c r="G11" i="18"/>
  <c r="H11" i="18" s="1"/>
  <c r="G10" i="18"/>
  <c r="G9" i="18"/>
  <c r="H9" i="18" s="1"/>
  <c r="G8" i="18"/>
  <c r="G17" i="18" s="1"/>
  <c r="H17" i="18" s="1"/>
  <c r="G7" i="18"/>
  <c r="H7" i="18" s="1"/>
  <c r="I7" i="18" s="1"/>
  <c r="G186" i="17"/>
  <c r="I273" i="17" s="1"/>
  <c r="F186" i="17"/>
  <c r="F178" i="17"/>
  <c r="G177" i="17"/>
  <c r="I272" i="17" s="1"/>
  <c r="G154" i="17"/>
  <c r="F154" i="17"/>
  <c r="F163" i="17" s="1"/>
  <c r="G153" i="17"/>
  <c r="G162" i="17" s="1"/>
  <c r="G171" i="17" s="1"/>
  <c r="F153" i="17"/>
  <c r="F162" i="17" s="1"/>
  <c r="G151" i="17"/>
  <c r="H151" i="17" s="1"/>
  <c r="G150" i="17"/>
  <c r="I269" i="17" s="1"/>
  <c r="F139" i="17"/>
  <c r="G128" i="17"/>
  <c r="I267" i="17" s="1"/>
  <c r="F51" i="17"/>
  <c r="F18" i="17"/>
  <c r="G14" i="17"/>
  <c r="G13" i="17"/>
  <c r="H13" i="17" s="1"/>
  <c r="G12" i="17"/>
  <c r="G23" i="17" s="1"/>
  <c r="G45" i="17" s="1"/>
  <c r="G11" i="17"/>
  <c r="H11" i="17" s="1"/>
  <c r="G10" i="17"/>
  <c r="H10" i="17" s="1"/>
  <c r="G9" i="17"/>
  <c r="G20" i="17" s="1"/>
  <c r="G8" i="17"/>
  <c r="G19" i="17" s="1"/>
  <c r="G41" i="17" s="1"/>
  <c r="G47" i="16"/>
  <c r="G46" i="16"/>
  <c r="E156" i="32" s="1"/>
  <c r="H36" i="16"/>
  <c r="G24" i="16"/>
  <c r="H24" i="16" s="1"/>
  <c r="G23" i="16"/>
  <c r="G37" i="16" s="1"/>
  <c r="H22" i="16"/>
  <c r="G21" i="16"/>
  <c r="G20" i="16"/>
  <c r="G19" i="16"/>
  <c r="G18" i="16"/>
  <c r="G14" i="16"/>
  <c r="G28" i="16" s="1"/>
  <c r="G13" i="16"/>
  <c r="G12" i="16"/>
  <c r="G26" i="16" s="1"/>
  <c r="G11" i="16"/>
  <c r="H11" i="16" s="1"/>
  <c r="G10" i="16"/>
  <c r="H10" i="16" s="1"/>
  <c r="G8" i="16"/>
  <c r="H8" i="16" s="1"/>
  <c r="G7" i="16"/>
  <c r="H7" i="16" s="1"/>
  <c r="G187" i="15"/>
  <c r="H187" i="15" s="1"/>
  <c r="I187" i="15" s="1"/>
  <c r="H178" i="15"/>
  <c r="H177" i="15"/>
  <c r="G169" i="15"/>
  <c r="H169" i="15" s="1"/>
  <c r="F168" i="15"/>
  <c r="G141" i="15"/>
  <c r="F128" i="32" s="1"/>
  <c r="G124" i="15"/>
  <c r="G150" i="15" s="1"/>
  <c r="F118" i="32" s="1"/>
  <c r="G115" i="15"/>
  <c r="H115" i="15" s="1"/>
  <c r="G106" i="15"/>
  <c r="H106" i="15" s="1"/>
  <c r="G89" i="15"/>
  <c r="H89" i="15" s="1"/>
  <c r="G77" i="15"/>
  <c r="H77" i="15" s="1"/>
  <c r="G76" i="15"/>
  <c r="H76" i="15" s="1"/>
  <c r="G67" i="15"/>
  <c r="H67" i="15" s="1"/>
  <c r="G59" i="15"/>
  <c r="G58" i="15"/>
  <c r="H58" i="15" s="1"/>
  <c r="G50" i="15"/>
  <c r="F130" i="32" s="1"/>
  <c r="G49" i="15"/>
  <c r="G41" i="15"/>
  <c r="G88" i="15" s="1"/>
  <c r="H88" i="15" s="1"/>
  <c r="G40" i="15"/>
  <c r="G87" i="15" s="1"/>
  <c r="F39" i="15"/>
  <c r="F31" i="15"/>
  <c r="K31" i="15" s="1"/>
  <c r="C119" i="32" s="1"/>
  <c r="G11" i="15"/>
  <c r="H11" i="15" s="1"/>
  <c r="G10" i="15"/>
  <c r="G9" i="15"/>
  <c r="G17" i="15" s="1"/>
  <c r="G8" i="15"/>
  <c r="H8" i="15" s="1"/>
  <c r="G12" i="14"/>
  <c r="H12" i="14" s="1"/>
  <c r="G11" i="14"/>
  <c r="G10" i="14"/>
  <c r="G18" i="14" s="1"/>
  <c r="H18" i="14" s="1"/>
  <c r="G9" i="14"/>
  <c r="H9" i="14" s="1"/>
  <c r="G8" i="14"/>
  <c r="H8" i="14" s="1"/>
  <c r="G7" i="14"/>
  <c r="G230" i="13"/>
  <c r="F230" i="13"/>
  <c r="K230" i="13" s="1"/>
  <c r="C185" i="32" s="1"/>
  <c r="G221" i="13"/>
  <c r="H221" i="13" s="1"/>
  <c r="G220" i="13"/>
  <c r="H220" i="13" s="1"/>
  <c r="G206" i="13"/>
  <c r="H206" i="13" s="1"/>
  <c r="G199" i="13"/>
  <c r="G213" i="13" s="1"/>
  <c r="H213" i="13" s="1"/>
  <c r="G198" i="13"/>
  <c r="G224" i="13" s="1"/>
  <c r="H224" i="13" s="1"/>
  <c r="G196" i="13"/>
  <c r="G210" i="13" s="1"/>
  <c r="H210" i="13" s="1"/>
  <c r="G195" i="13"/>
  <c r="G209" i="13" s="1"/>
  <c r="H209" i="13" s="1"/>
  <c r="G192" i="13"/>
  <c r="H192" i="13" s="1"/>
  <c r="G191" i="13"/>
  <c r="G219" i="13" s="1"/>
  <c r="H219" i="13" s="1"/>
  <c r="G190" i="13"/>
  <c r="G204" i="13" s="1"/>
  <c r="G182" i="13"/>
  <c r="H182" i="13" s="1"/>
  <c r="H141" i="13"/>
  <c r="G86" i="13"/>
  <c r="H86" i="13" s="1"/>
  <c r="G78" i="13"/>
  <c r="G66" i="13"/>
  <c r="G58" i="13"/>
  <c r="H58" i="13" s="1"/>
  <c r="G57" i="13"/>
  <c r="G47" i="13"/>
  <c r="G215" i="12"/>
  <c r="G206" i="12"/>
  <c r="G197" i="12"/>
  <c r="H197" i="12" s="1"/>
  <c r="F175" i="12"/>
  <c r="F164" i="12"/>
  <c r="F153" i="12"/>
  <c r="K153" i="12" s="1"/>
  <c r="G148" i="12"/>
  <c r="G147" i="12"/>
  <c r="G145" i="12"/>
  <c r="G167" i="12" s="1"/>
  <c r="H167" i="12" s="1"/>
  <c r="G144" i="12"/>
  <c r="G155" i="12" s="1"/>
  <c r="F144" i="12"/>
  <c r="G143" i="12"/>
  <c r="G165" i="12" s="1"/>
  <c r="H165" i="12" s="1"/>
  <c r="F143" i="12"/>
  <c r="G142" i="12"/>
  <c r="G164" i="12" s="1"/>
  <c r="G126" i="12"/>
  <c r="H126" i="12" s="1"/>
  <c r="G122" i="12"/>
  <c r="G114" i="12"/>
  <c r="G124" i="12" s="1"/>
  <c r="D82" i="12"/>
  <c r="D87" i="12"/>
  <c r="G61" i="12"/>
  <c r="F53" i="12"/>
  <c r="F52" i="12"/>
  <c r="F51" i="12"/>
  <c r="F50" i="12"/>
  <c r="G30" i="12"/>
  <c r="H30" i="12" s="1"/>
  <c r="G29" i="12"/>
  <c r="G27" i="12"/>
  <c r="H27" i="12" s="1"/>
  <c r="G26" i="12"/>
  <c r="H26" i="12" s="1"/>
  <c r="G25" i="12"/>
  <c r="G17" i="12"/>
  <c r="G16" i="12"/>
  <c r="G12" i="12"/>
  <c r="G229" i="12" s="1"/>
  <c r="G11" i="12"/>
  <c r="G10" i="12"/>
  <c r="G227" i="12" s="1"/>
  <c r="G9" i="12"/>
  <c r="H84" i="11"/>
  <c r="G83" i="11"/>
  <c r="H83" i="11" s="1"/>
  <c r="G82" i="11"/>
  <c r="H82" i="11" s="1"/>
  <c r="G81" i="11"/>
  <c r="H81" i="11" s="1"/>
  <c r="G80" i="11"/>
  <c r="F30" i="32" s="1"/>
  <c r="E52" i="32"/>
  <c r="F52" i="32" s="1"/>
  <c r="F48" i="11"/>
  <c r="F47" i="11"/>
  <c r="F46" i="11"/>
  <c r="F45" i="11"/>
  <c r="F44" i="11"/>
  <c r="F43" i="11"/>
  <c r="F42" i="11"/>
  <c r="F41" i="11"/>
  <c r="F40" i="11"/>
  <c r="F39" i="11"/>
  <c r="G31" i="11"/>
  <c r="G44" i="11" s="1"/>
  <c r="G57" i="11" s="1"/>
  <c r="H57" i="11" s="1"/>
  <c r="G29" i="11"/>
  <c r="G42" i="11" s="1"/>
  <c r="G55" i="11" s="1"/>
  <c r="H55" i="11" s="1"/>
  <c r="F27" i="11"/>
  <c r="F26" i="11"/>
  <c r="G18" i="11"/>
  <c r="H18" i="11" s="1"/>
  <c r="G13" i="11"/>
  <c r="H13" i="11" s="1"/>
  <c r="G12" i="11"/>
  <c r="G21" i="11" s="1"/>
  <c r="G11" i="11"/>
  <c r="G10" i="11"/>
  <c r="G19" i="11" s="1"/>
  <c r="H19" i="11" s="1"/>
  <c r="G9" i="11"/>
  <c r="G8" i="11"/>
  <c r="H8" i="11" s="1"/>
  <c r="G7" i="11"/>
  <c r="F14" i="32" s="1"/>
  <c r="G52" i="10"/>
  <c r="F41" i="32" s="1"/>
  <c r="G46" i="10"/>
  <c r="H46" i="10" s="1"/>
  <c r="I46" i="10" s="1"/>
  <c r="G39" i="1" s="1"/>
  <c r="G40" i="10"/>
  <c r="H21" i="10"/>
  <c r="H17" i="10"/>
  <c r="G8" i="10"/>
  <c r="G13" i="10" s="1"/>
  <c r="H13" i="10" s="1"/>
  <c r="G7" i="10"/>
  <c r="G12" i="10" s="1"/>
  <c r="H12" i="10" s="1"/>
  <c r="G98" i="9"/>
  <c r="H98" i="9" s="1"/>
  <c r="G97" i="9"/>
  <c r="H97" i="9" s="1"/>
  <c r="G48" i="9"/>
  <c r="H48" i="9" s="1"/>
  <c r="G45" i="9"/>
  <c r="H45" i="9" s="1"/>
  <c r="G44" i="9"/>
  <c r="H44" i="9" s="1"/>
  <c r="G43" i="9"/>
  <c r="H43" i="9" s="1"/>
  <c r="G42" i="9"/>
  <c r="H42" i="9" s="1"/>
  <c r="G40" i="9"/>
  <c r="G37" i="9"/>
  <c r="G35" i="9"/>
  <c r="H35" i="9" s="1"/>
  <c r="G18" i="9"/>
  <c r="H18" i="9" s="1"/>
  <c r="G17" i="9"/>
  <c r="G27" i="9" s="1"/>
  <c r="G16" i="9"/>
  <c r="H16" i="9" s="1"/>
  <c r="G15" i="9"/>
  <c r="H15" i="9" s="1"/>
  <c r="G14" i="9"/>
  <c r="F34" i="32" s="1"/>
  <c r="G13" i="9"/>
  <c r="G11" i="9"/>
  <c r="G10" i="9"/>
  <c r="G9" i="9"/>
  <c r="F33" i="32" s="1"/>
  <c r="G8" i="9"/>
  <c r="H8" i="9" s="1"/>
  <c r="G7" i="9"/>
  <c r="F185" i="32" l="1"/>
  <c r="G326" i="13"/>
  <c r="H326" i="13" s="1"/>
  <c r="G315" i="13"/>
  <c r="H417" i="21"/>
  <c r="G426" i="21"/>
  <c r="G1226" i="1"/>
  <c r="J1226" i="1" s="1"/>
  <c r="G1247" i="1"/>
  <c r="J1247" i="1" s="1"/>
  <c r="G1233" i="1"/>
  <c r="J1233" i="1" s="1"/>
  <c r="G781" i="1"/>
  <c r="J781" i="1" s="1"/>
  <c r="G859" i="1"/>
  <c r="J859" i="1" s="1"/>
  <c r="H1117" i="1"/>
  <c r="K1117" i="1" s="1"/>
  <c r="H1160" i="1"/>
  <c r="K1171" i="1"/>
  <c r="G285" i="21"/>
  <c r="H285" i="21" s="1"/>
  <c r="G276" i="21"/>
  <c r="H11" i="13"/>
  <c r="G297" i="13"/>
  <c r="H319" i="13" s="1"/>
  <c r="G22" i="13"/>
  <c r="H22" i="13" s="1"/>
  <c r="G298" i="13"/>
  <c r="H320" i="13" s="1"/>
  <c r="H13" i="13"/>
  <c r="G299" i="13"/>
  <c r="H10" i="13"/>
  <c r="G296" i="13"/>
  <c r="H318" i="13" s="1"/>
  <c r="G377" i="34"/>
  <c r="H377" i="34" s="1"/>
  <c r="G425" i="34"/>
  <c r="H425" i="34" s="1"/>
  <c r="G345" i="34"/>
  <c r="H345" i="34" s="1"/>
  <c r="G441" i="34"/>
  <c r="H441" i="34" s="1"/>
  <c r="G393" i="34"/>
  <c r="H393" i="34" s="1"/>
  <c r="G361" i="34"/>
  <c r="H361" i="34" s="1"/>
  <c r="G398" i="34"/>
  <c r="H398" i="34" s="1"/>
  <c r="G366" i="34"/>
  <c r="H366" i="34" s="1"/>
  <c r="G382" i="34"/>
  <c r="H382" i="34" s="1"/>
  <c r="G430" i="34"/>
  <c r="H430" i="34" s="1"/>
  <c r="G446" i="34"/>
  <c r="H446" i="34" s="1"/>
  <c r="G350" i="34"/>
  <c r="H350" i="34" s="1"/>
  <c r="G443" i="34"/>
  <c r="H443" i="34" s="1"/>
  <c r="G395" i="34"/>
  <c r="H395" i="34" s="1"/>
  <c r="G347" i="34"/>
  <c r="H347" i="34" s="1"/>
  <c r="G379" i="34"/>
  <c r="H379" i="34" s="1"/>
  <c r="G363" i="34"/>
  <c r="H363" i="34" s="1"/>
  <c r="G427" i="34"/>
  <c r="H427" i="34" s="1"/>
  <c r="G447" i="34"/>
  <c r="H447" i="34" s="1"/>
  <c r="G351" i="34"/>
  <c r="H351" i="34" s="1"/>
  <c r="G367" i="34"/>
  <c r="H367" i="34" s="1"/>
  <c r="G431" i="34"/>
  <c r="H431" i="34" s="1"/>
  <c r="G399" i="34"/>
  <c r="H399" i="34" s="1"/>
  <c r="G383" i="34"/>
  <c r="H383" i="34" s="1"/>
  <c r="G402" i="34"/>
  <c r="H402" i="34" s="1"/>
  <c r="G370" i="34"/>
  <c r="H370" i="34" s="1"/>
  <c r="G354" i="34"/>
  <c r="H354" i="34" s="1"/>
  <c r="G386" i="34"/>
  <c r="H386" i="34" s="1"/>
  <c r="G450" i="34"/>
  <c r="H450" i="34" s="1"/>
  <c r="G434" i="34"/>
  <c r="H434" i="34" s="1"/>
  <c r="G380" i="34"/>
  <c r="H380" i="34" s="1"/>
  <c r="G364" i="34"/>
  <c r="H364" i="34" s="1"/>
  <c r="G444" i="34"/>
  <c r="H444" i="34" s="1"/>
  <c r="G396" i="34"/>
  <c r="H396" i="34" s="1"/>
  <c r="G428" i="34"/>
  <c r="H428" i="34" s="1"/>
  <c r="G348" i="34"/>
  <c r="H348" i="34" s="1"/>
  <c r="G384" i="34"/>
  <c r="H384" i="34" s="1"/>
  <c r="G352" i="34"/>
  <c r="H352" i="34" s="1"/>
  <c r="G448" i="34"/>
  <c r="H448" i="34" s="1"/>
  <c r="G400" i="34"/>
  <c r="H400" i="34" s="1"/>
  <c r="G368" i="34"/>
  <c r="H368" i="34" s="1"/>
  <c r="G432" i="34"/>
  <c r="H432" i="34" s="1"/>
  <c r="G451" i="34"/>
  <c r="H451" i="34" s="1"/>
  <c r="G387" i="34"/>
  <c r="H387" i="34" s="1"/>
  <c r="G403" i="34"/>
  <c r="H403" i="34" s="1"/>
  <c r="G355" i="34"/>
  <c r="H355" i="34" s="1"/>
  <c r="G435" i="34"/>
  <c r="H435" i="34" s="1"/>
  <c r="G371" i="34"/>
  <c r="H371" i="34" s="1"/>
  <c r="G376" i="34"/>
  <c r="H376" i="34" s="1"/>
  <c r="G392" i="34"/>
  <c r="H392" i="34" s="1"/>
  <c r="G344" i="34"/>
  <c r="H344" i="34" s="1"/>
  <c r="G424" i="34"/>
  <c r="H424" i="34" s="1"/>
  <c r="G440" i="34"/>
  <c r="H440" i="34" s="1"/>
  <c r="G360" i="34"/>
  <c r="H360" i="34" s="1"/>
  <c r="G429" i="34"/>
  <c r="H429" i="34" s="1"/>
  <c r="G445" i="34"/>
  <c r="H445" i="34" s="1"/>
  <c r="G365" i="34"/>
  <c r="H365" i="34" s="1"/>
  <c r="G381" i="34"/>
  <c r="H381" i="34" s="1"/>
  <c r="G397" i="34"/>
  <c r="H397" i="34" s="1"/>
  <c r="G349" i="34"/>
  <c r="H349" i="34" s="1"/>
  <c r="J1253" i="1"/>
  <c r="L1253" i="1" s="1"/>
  <c r="I1253" i="1"/>
  <c r="B202" i="27"/>
  <c r="B203" i="27" s="1"/>
  <c r="B204" i="27" s="1"/>
  <c r="B205" i="27" s="1"/>
  <c r="B206" i="27" s="1"/>
  <c r="B207" i="27" s="1"/>
  <c r="G409" i="34"/>
  <c r="H409" i="34" s="1"/>
  <c r="G457" i="34"/>
  <c r="H457" i="34" s="1"/>
  <c r="G414" i="34"/>
  <c r="H414" i="34" s="1"/>
  <c r="G462" i="34"/>
  <c r="H462" i="34" s="1"/>
  <c r="G411" i="34"/>
  <c r="H411" i="34" s="1"/>
  <c r="G459" i="34"/>
  <c r="H459" i="34" s="1"/>
  <c r="G415" i="34"/>
  <c r="H415" i="34" s="1"/>
  <c r="G463" i="34"/>
  <c r="H463" i="34" s="1"/>
  <c r="G418" i="34"/>
  <c r="H418" i="34" s="1"/>
  <c r="G466" i="34"/>
  <c r="H466" i="34" s="1"/>
  <c r="G460" i="34"/>
  <c r="H460" i="34" s="1"/>
  <c r="G412" i="34"/>
  <c r="H412" i="34" s="1"/>
  <c r="G464" i="34"/>
  <c r="H464" i="34" s="1"/>
  <c r="G416" i="34"/>
  <c r="H416" i="34" s="1"/>
  <c r="G419" i="34"/>
  <c r="H419" i="34" s="1"/>
  <c r="G467" i="34"/>
  <c r="H467" i="34" s="1"/>
  <c r="G456" i="34"/>
  <c r="H456" i="34" s="1"/>
  <c r="G408" i="34"/>
  <c r="H408" i="34" s="1"/>
  <c r="G461" i="34"/>
  <c r="H461" i="34" s="1"/>
  <c r="G413" i="34"/>
  <c r="H413" i="34" s="1"/>
  <c r="G313" i="34"/>
  <c r="H313" i="34" s="1"/>
  <c r="G329" i="34"/>
  <c r="H329" i="34" s="1"/>
  <c r="G297" i="34"/>
  <c r="H297" i="34" s="1"/>
  <c r="G302" i="34"/>
  <c r="H302" i="34" s="1"/>
  <c r="G334" i="34"/>
  <c r="H334" i="34" s="1"/>
  <c r="G318" i="34"/>
  <c r="H318" i="34" s="1"/>
  <c r="G315" i="34"/>
  <c r="H315" i="34" s="1"/>
  <c r="G331" i="34"/>
  <c r="H331" i="34" s="1"/>
  <c r="G299" i="34"/>
  <c r="H299" i="34" s="1"/>
  <c r="G335" i="34"/>
  <c r="H335" i="34" s="1"/>
  <c r="G319" i="34"/>
  <c r="H319" i="34" s="1"/>
  <c r="G303" i="34"/>
  <c r="H303" i="34" s="1"/>
  <c r="G338" i="34"/>
  <c r="H338" i="34" s="1"/>
  <c r="G306" i="34"/>
  <c r="H306" i="34" s="1"/>
  <c r="G322" i="34"/>
  <c r="H322" i="34" s="1"/>
  <c r="G316" i="34"/>
  <c r="H316" i="34" s="1"/>
  <c r="G332" i="34"/>
  <c r="H332" i="34" s="1"/>
  <c r="G300" i="34"/>
  <c r="H300" i="34" s="1"/>
  <c r="G304" i="34"/>
  <c r="H304" i="34" s="1"/>
  <c r="G320" i="34"/>
  <c r="H320" i="34" s="1"/>
  <c r="G336" i="34"/>
  <c r="H336" i="34" s="1"/>
  <c r="G323" i="34"/>
  <c r="H323" i="34" s="1"/>
  <c r="G339" i="34"/>
  <c r="H339" i="34" s="1"/>
  <c r="G307" i="34"/>
  <c r="H307" i="34" s="1"/>
  <c r="G328" i="34"/>
  <c r="H328" i="34" s="1"/>
  <c r="G312" i="34"/>
  <c r="H312" i="34" s="1"/>
  <c r="G296" i="34"/>
  <c r="H296" i="34" s="1"/>
  <c r="G301" i="34"/>
  <c r="H301" i="34" s="1"/>
  <c r="G317" i="34"/>
  <c r="H317" i="34" s="1"/>
  <c r="G333" i="34"/>
  <c r="H333" i="34" s="1"/>
  <c r="F38" i="32"/>
  <c r="G411" i="21"/>
  <c r="H411" i="21" s="1"/>
  <c r="G252" i="34"/>
  <c r="H252" i="34" s="1"/>
  <c r="G268" i="34"/>
  <c r="H268" i="34" s="1"/>
  <c r="G284" i="34"/>
  <c r="H284" i="34" s="1"/>
  <c r="G259" i="34"/>
  <c r="H259" i="34" s="1"/>
  <c r="G291" i="34"/>
  <c r="H291" i="34" s="1"/>
  <c r="G275" i="34"/>
  <c r="H275" i="34" s="1"/>
  <c r="G248" i="34"/>
  <c r="H248" i="34" s="1"/>
  <c r="G280" i="34"/>
  <c r="H280" i="34" s="1"/>
  <c r="G264" i="34"/>
  <c r="H264" i="34" s="1"/>
  <c r="G249" i="34"/>
  <c r="H249" i="34" s="1"/>
  <c r="G265" i="34"/>
  <c r="H265" i="34" s="1"/>
  <c r="G281" i="34"/>
  <c r="H281" i="34" s="1"/>
  <c r="G254" i="34"/>
  <c r="H254" i="34" s="1"/>
  <c r="G270" i="34"/>
  <c r="H270" i="34" s="1"/>
  <c r="G286" i="34"/>
  <c r="H286" i="34" s="1"/>
  <c r="G256" i="34"/>
  <c r="H256" i="34" s="1"/>
  <c r="G288" i="34"/>
  <c r="H288" i="34" s="1"/>
  <c r="G272" i="34"/>
  <c r="H272" i="34" s="1"/>
  <c r="G253" i="34"/>
  <c r="H253" i="34" s="1"/>
  <c r="G269" i="34"/>
  <c r="H269" i="34" s="1"/>
  <c r="G285" i="34"/>
  <c r="H285" i="34" s="1"/>
  <c r="H141" i="15"/>
  <c r="F129" i="32"/>
  <c r="G251" i="34"/>
  <c r="H251" i="34" s="1"/>
  <c r="G283" i="34"/>
  <c r="H283" i="34" s="1"/>
  <c r="G267" i="34"/>
  <c r="H267" i="34" s="1"/>
  <c r="G255" i="34"/>
  <c r="H255" i="34" s="1"/>
  <c r="G287" i="34"/>
  <c r="H287" i="34" s="1"/>
  <c r="G271" i="34"/>
  <c r="H271" i="34" s="1"/>
  <c r="G258" i="34"/>
  <c r="H258" i="34" s="1"/>
  <c r="G290" i="34"/>
  <c r="H290" i="34" s="1"/>
  <c r="G274" i="34"/>
  <c r="H274" i="34" s="1"/>
  <c r="I412" i="24"/>
  <c r="H421" i="24"/>
  <c r="I413" i="24"/>
  <c r="H422" i="24"/>
  <c r="I411" i="24"/>
  <c r="H420" i="24"/>
  <c r="H1074" i="1"/>
  <c r="H1030" i="1"/>
  <c r="K1030" i="1" s="1"/>
  <c r="K987" i="1"/>
  <c r="H150" i="17"/>
  <c r="I151" i="17" s="1"/>
  <c r="G820" i="1"/>
  <c r="H49" i="15"/>
  <c r="G98" i="15"/>
  <c r="G107" i="15" s="1"/>
  <c r="G303" i="15" s="1"/>
  <c r="H303" i="15" s="1"/>
  <c r="G25" i="19"/>
  <c r="G43" i="19" s="1"/>
  <c r="G212" i="19"/>
  <c r="H212" i="19" s="1"/>
  <c r="G28" i="19"/>
  <c r="G36" i="19" s="1"/>
  <c r="H36" i="19" s="1"/>
  <c r="G215" i="19"/>
  <c r="H215" i="19" s="1"/>
  <c r="F119" i="32"/>
  <c r="J628" i="1"/>
  <c r="G221" i="34"/>
  <c r="H221" i="34" s="1"/>
  <c r="G157" i="34"/>
  <c r="H157" i="34" s="1"/>
  <c r="G93" i="34"/>
  <c r="H93" i="34" s="1"/>
  <c r="G29" i="34"/>
  <c r="H29" i="34" s="1"/>
  <c r="G189" i="34"/>
  <c r="H189" i="34" s="1"/>
  <c r="G61" i="34"/>
  <c r="H61" i="34" s="1"/>
  <c r="G237" i="34"/>
  <c r="H237" i="34" s="1"/>
  <c r="G173" i="34"/>
  <c r="H173" i="34" s="1"/>
  <c r="G205" i="34"/>
  <c r="H205" i="34" s="1"/>
  <c r="G141" i="34"/>
  <c r="H141" i="34" s="1"/>
  <c r="G77" i="34"/>
  <c r="H77" i="34" s="1"/>
  <c r="G13" i="34"/>
  <c r="G125" i="34"/>
  <c r="H125" i="34" s="1"/>
  <c r="G109" i="34"/>
  <c r="H109" i="34" s="1"/>
  <c r="G45" i="34"/>
  <c r="H45" i="34" s="1"/>
  <c r="G217" i="34"/>
  <c r="H217" i="34" s="1"/>
  <c r="G153" i="34"/>
  <c r="H153" i="34" s="1"/>
  <c r="G89" i="34"/>
  <c r="H89" i="34" s="1"/>
  <c r="G25" i="34"/>
  <c r="H25" i="34" s="1"/>
  <c r="G121" i="34"/>
  <c r="H121" i="34" s="1"/>
  <c r="G233" i="34"/>
  <c r="H233" i="34" s="1"/>
  <c r="G201" i="34"/>
  <c r="H201" i="34" s="1"/>
  <c r="G137" i="34"/>
  <c r="H137" i="34" s="1"/>
  <c r="G73" i="34"/>
  <c r="H73" i="34" s="1"/>
  <c r="G9" i="34"/>
  <c r="G185" i="34"/>
  <c r="H185" i="34" s="1"/>
  <c r="G57" i="34"/>
  <c r="H57" i="34" s="1"/>
  <c r="G41" i="34"/>
  <c r="H41" i="34" s="1"/>
  <c r="G169" i="34"/>
  <c r="H169" i="34" s="1"/>
  <c r="G105" i="34"/>
  <c r="H105" i="34" s="1"/>
  <c r="H7" i="15"/>
  <c r="I7" i="15" s="1"/>
  <c r="F117" i="32"/>
  <c r="G187" i="34"/>
  <c r="H187" i="34" s="1"/>
  <c r="G123" i="34"/>
  <c r="H123" i="34" s="1"/>
  <c r="G59" i="34"/>
  <c r="H59" i="34" s="1"/>
  <c r="G219" i="34"/>
  <c r="H219" i="34" s="1"/>
  <c r="G91" i="34"/>
  <c r="H91" i="34" s="1"/>
  <c r="G235" i="34"/>
  <c r="H235" i="34" s="1"/>
  <c r="G171" i="34"/>
  <c r="H171" i="34" s="1"/>
  <c r="G107" i="34"/>
  <c r="H107" i="34" s="1"/>
  <c r="G43" i="34"/>
  <c r="H43" i="34" s="1"/>
  <c r="G155" i="34"/>
  <c r="H155" i="34" s="1"/>
  <c r="G27" i="34"/>
  <c r="H27" i="34" s="1"/>
  <c r="G203" i="34"/>
  <c r="H203" i="34" s="1"/>
  <c r="G75" i="34"/>
  <c r="H75" i="34" s="1"/>
  <c r="G11" i="34"/>
  <c r="G139" i="34"/>
  <c r="H139" i="34" s="1"/>
  <c r="G191" i="34"/>
  <c r="H191" i="34" s="1"/>
  <c r="G127" i="34"/>
  <c r="H127" i="34" s="1"/>
  <c r="G63" i="34"/>
  <c r="H63" i="34" s="1"/>
  <c r="G159" i="34"/>
  <c r="H159" i="34" s="1"/>
  <c r="G31" i="34"/>
  <c r="H31" i="34" s="1"/>
  <c r="G239" i="34"/>
  <c r="H239" i="34" s="1"/>
  <c r="G175" i="34"/>
  <c r="H175" i="34" s="1"/>
  <c r="G111" i="34"/>
  <c r="H111" i="34" s="1"/>
  <c r="G47" i="34"/>
  <c r="H47" i="34" s="1"/>
  <c r="G223" i="34"/>
  <c r="H223" i="34" s="1"/>
  <c r="G95" i="34"/>
  <c r="H95" i="34" s="1"/>
  <c r="G207" i="34"/>
  <c r="H207" i="34" s="1"/>
  <c r="G15" i="34"/>
  <c r="H15" i="34" s="1"/>
  <c r="G79" i="34"/>
  <c r="H79" i="34" s="1"/>
  <c r="G143" i="34"/>
  <c r="H143" i="34" s="1"/>
  <c r="G210" i="34"/>
  <c r="H210" i="34" s="1"/>
  <c r="G146" i="34"/>
  <c r="H146" i="34" s="1"/>
  <c r="G82" i="34"/>
  <c r="H82" i="34" s="1"/>
  <c r="G18" i="34"/>
  <c r="H18" i="34" s="1"/>
  <c r="G178" i="34"/>
  <c r="H178" i="34" s="1"/>
  <c r="G50" i="34"/>
  <c r="H50" i="34" s="1"/>
  <c r="G194" i="34"/>
  <c r="H194" i="34" s="1"/>
  <c r="G130" i="34"/>
  <c r="H130" i="34" s="1"/>
  <c r="G66" i="34"/>
  <c r="H66" i="34" s="1"/>
  <c r="G242" i="34"/>
  <c r="H242" i="34" s="1"/>
  <c r="G114" i="34"/>
  <c r="H114" i="34" s="1"/>
  <c r="G226" i="34"/>
  <c r="H226" i="34" s="1"/>
  <c r="G34" i="34"/>
  <c r="H34" i="34" s="1"/>
  <c r="G162" i="34"/>
  <c r="H162" i="34" s="1"/>
  <c r="G98" i="34"/>
  <c r="H98" i="34" s="1"/>
  <c r="F115" i="32"/>
  <c r="F123" i="32"/>
  <c r="F100" i="32"/>
  <c r="G232" i="34"/>
  <c r="H232" i="34" s="1"/>
  <c r="G168" i="34"/>
  <c r="H168" i="34" s="1"/>
  <c r="G104" i="34"/>
  <c r="H104" i="34" s="1"/>
  <c r="G40" i="34"/>
  <c r="H40" i="34" s="1"/>
  <c r="G200" i="34"/>
  <c r="H200" i="34" s="1"/>
  <c r="G72" i="34"/>
  <c r="H72" i="34" s="1"/>
  <c r="G216" i="34"/>
  <c r="H216" i="34" s="1"/>
  <c r="G152" i="34"/>
  <c r="H152" i="34" s="1"/>
  <c r="G88" i="34"/>
  <c r="H88" i="34" s="1"/>
  <c r="G24" i="34"/>
  <c r="H24" i="34" s="1"/>
  <c r="G136" i="34"/>
  <c r="H136" i="34" s="1"/>
  <c r="G8" i="34"/>
  <c r="G184" i="34"/>
  <c r="H184" i="34" s="1"/>
  <c r="G56" i="34"/>
  <c r="H56" i="34" s="1"/>
  <c r="G120" i="34"/>
  <c r="H120" i="34" s="1"/>
  <c r="G206" i="34"/>
  <c r="H206" i="34" s="1"/>
  <c r="G142" i="34"/>
  <c r="H142" i="34" s="1"/>
  <c r="G78" i="34"/>
  <c r="H78" i="34" s="1"/>
  <c r="G14" i="34"/>
  <c r="G238" i="34"/>
  <c r="H238" i="34" s="1"/>
  <c r="G110" i="34"/>
  <c r="H110" i="34" s="1"/>
  <c r="G190" i="34"/>
  <c r="H190" i="34" s="1"/>
  <c r="G126" i="34"/>
  <c r="H126" i="34" s="1"/>
  <c r="G62" i="34"/>
  <c r="H62" i="34" s="1"/>
  <c r="G174" i="34"/>
  <c r="H174" i="34" s="1"/>
  <c r="G46" i="34"/>
  <c r="H46" i="34" s="1"/>
  <c r="G222" i="34"/>
  <c r="H222" i="34" s="1"/>
  <c r="G94" i="34"/>
  <c r="H94" i="34" s="1"/>
  <c r="G158" i="34"/>
  <c r="H158" i="34" s="1"/>
  <c r="G30" i="34"/>
  <c r="H30" i="34" s="1"/>
  <c r="F104" i="32"/>
  <c r="G236" i="34"/>
  <c r="H236" i="34" s="1"/>
  <c r="G172" i="34"/>
  <c r="H172" i="34" s="1"/>
  <c r="G108" i="34"/>
  <c r="H108" i="34" s="1"/>
  <c r="G44" i="34"/>
  <c r="H44" i="34" s="1"/>
  <c r="G140" i="34"/>
  <c r="H140" i="34" s="1"/>
  <c r="G12" i="34"/>
  <c r="G188" i="34"/>
  <c r="H188" i="34" s="1"/>
  <c r="G220" i="34"/>
  <c r="H220" i="34" s="1"/>
  <c r="G156" i="34"/>
  <c r="H156" i="34" s="1"/>
  <c r="G92" i="34"/>
  <c r="H92" i="34" s="1"/>
  <c r="G28" i="34"/>
  <c r="H28" i="34" s="1"/>
  <c r="G204" i="34"/>
  <c r="H204" i="34" s="1"/>
  <c r="G76" i="34"/>
  <c r="H76" i="34" s="1"/>
  <c r="G124" i="34"/>
  <c r="H124" i="34" s="1"/>
  <c r="G60" i="34"/>
  <c r="H60" i="34" s="1"/>
  <c r="G240" i="34"/>
  <c r="H240" i="34" s="1"/>
  <c r="G176" i="34"/>
  <c r="H176" i="34" s="1"/>
  <c r="G112" i="34"/>
  <c r="H112" i="34" s="1"/>
  <c r="G48" i="34"/>
  <c r="H48" i="34" s="1"/>
  <c r="G208" i="34"/>
  <c r="H208" i="34" s="1"/>
  <c r="G80" i="34"/>
  <c r="H80" i="34" s="1"/>
  <c r="G224" i="34"/>
  <c r="H224" i="34" s="1"/>
  <c r="G160" i="34"/>
  <c r="H160" i="34" s="1"/>
  <c r="G96" i="34"/>
  <c r="H96" i="34" s="1"/>
  <c r="G32" i="34"/>
  <c r="H32" i="34" s="1"/>
  <c r="G144" i="34"/>
  <c r="H144" i="34" s="1"/>
  <c r="G16" i="34"/>
  <c r="H16" i="34" s="1"/>
  <c r="G192" i="34"/>
  <c r="H192" i="34" s="1"/>
  <c r="G128" i="34"/>
  <c r="H128" i="34" s="1"/>
  <c r="G64" i="34"/>
  <c r="H64" i="34" s="1"/>
  <c r="J634" i="1"/>
  <c r="G195" i="34"/>
  <c r="H195" i="34" s="1"/>
  <c r="G131" i="34"/>
  <c r="H131" i="34" s="1"/>
  <c r="G67" i="34"/>
  <c r="H67" i="34" s="1"/>
  <c r="G227" i="34"/>
  <c r="H227" i="34" s="1"/>
  <c r="G99" i="34"/>
  <c r="H99" i="34" s="1"/>
  <c r="G211" i="34"/>
  <c r="H211" i="34" s="1"/>
  <c r="G243" i="34"/>
  <c r="H243" i="34" s="1"/>
  <c r="G179" i="34"/>
  <c r="H179" i="34" s="1"/>
  <c r="G115" i="34"/>
  <c r="H115" i="34" s="1"/>
  <c r="G51" i="34"/>
  <c r="H51" i="34" s="1"/>
  <c r="G163" i="34"/>
  <c r="H163" i="34" s="1"/>
  <c r="G35" i="34"/>
  <c r="H35" i="34" s="1"/>
  <c r="G147" i="34"/>
  <c r="H147" i="34" s="1"/>
  <c r="G83" i="34"/>
  <c r="H83" i="34" s="1"/>
  <c r="G19" i="34"/>
  <c r="H19" i="34" s="1"/>
  <c r="F124" i="32"/>
  <c r="J743" i="1"/>
  <c r="G1219" i="1"/>
  <c r="G1240" i="1"/>
  <c r="J1240" i="1" s="1"/>
  <c r="G1212" i="1"/>
  <c r="G704" i="1"/>
  <c r="G742" i="1"/>
  <c r="H7" i="11"/>
  <c r="H40" i="9"/>
  <c r="G7" i="13"/>
  <c r="H374" i="24"/>
  <c r="I374" i="24" s="1"/>
  <c r="J377" i="24" s="1"/>
  <c r="H1198" i="1" s="1"/>
  <c r="H53" i="22"/>
  <c r="G92" i="22"/>
  <c r="H356" i="24"/>
  <c r="H410" i="24" s="1"/>
  <c r="G9" i="13"/>
  <c r="G304" i="21"/>
  <c r="F272" i="32" s="1"/>
  <c r="I6" i="24"/>
  <c r="J341" i="24"/>
  <c r="I342" i="24"/>
  <c r="I343" i="24" s="1"/>
  <c r="F337" i="27" s="1"/>
  <c r="J332" i="24"/>
  <c r="I333" i="24"/>
  <c r="I334" i="24" s="1"/>
  <c r="F336" i="27" s="1"/>
  <c r="J296" i="24"/>
  <c r="I297" i="24"/>
  <c r="I298" i="24" s="1"/>
  <c r="F232" i="32" s="1"/>
  <c r="J323" i="24"/>
  <c r="I324" i="24"/>
  <c r="I325" i="24" s="1"/>
  <c r="F335" i="27" s="1"/>
  <c r="J314" i="24"/>
  <c r="I315" i="24"/>
  <c r="I316" i="24" s="1"/>
  <c r="F334" i="27" s="1"/>
  <c r="J287" i="24"/>
  <c r="I288" i="24"/>
  <c r="I289" i="24" s="1"/>
  <c r="F228" i="32" s="1"/>
  <c r="J305" i="24"/>
  <c r="I306" i="24"/>
  <c r="I307" i="24" s="1"/>
  <c r="J278" i="24"/>
  <c r="I279" i="24"/>
  <c r="I280" i="24" s="1"/>
  <c r="F227" i="32" s="1"/>
  <c r="G16" i="20"/>
  <c r="G24" i="20" s="1"/>
  <c r="H8" i="20"/>
  <c r="G18" i="20"/>
  <c r="G26" i="20" s="1"/>
  <c r="H26" i="20" s="1"/>
  <c r="H10" i="20"/>
  <c r="H7" i="20"/>
  <c r="I7" i="20" s="1"/>
  <c r="H385" i="24"/>
  <c r="H394" i="24" s="1"/>
  <c r="I394" i="24" s="1"/>
  <c r="I358" i="24"/>
  <c r="H62" i="17"/>
  <c r="H95" i="19"/>
  <c r="I134" i="12"/>
  <c r="G930" i="1" s="1"/>
  <c r="H204" i="13"/>
  <c r="G240" i="13"/>
  <c r="G163" i="17"/>
  <c r="G172" i="17" s="1"/>
  <c r="J39" i="1"/>
  <c r="B33" i="27"/>
  <c r="B34" i="27" s="1"/>
  <c r="B35" i="27" s="1"/>
  <c r="B36" i="27" s="1"/>
  <c r="B37" i="27" s="1"/>
  <c r="B38" i="27" s="1"/>
  <c r="H327" i="21"/>
  <c r="G332" i="21" s="1"/>
  <c r="H332" i="21" s="1"/>
  <c r="I327" i="21" s="1"/>
  <c r="H80" i="11"/>
  <c r="H78" i="11"/>
  <c r="H65" i="11"/>
  <c r="I65" i="11" s="1"/>
  <c r="I13" i="10"/>
  <c r="H22" i="10"/>
  <c r="H23" i="10" s="1"/>
  <c r="F20" i="27" s="1"/>
  <c r="I21" i="10"/>
  <c r="H34" i="1" s="1"/>
  <c r="H18" i="10"/>
  <c r="H19" i="10" s="1"/>
  <c r="F19" i="27" s="1"/>
  <c r="I17" i="10"/>
  <c r="H44" i="11"/>
  <c r="I84" i="11"/>
  <c r="H177" i="17"/>
  <c r="I77" i="15"/>
  <c r="I261" i="24"/>
  <c r="I262" i="24" s="1"/>
  <c r="F328" i="27" s="1"/>
  <c r="J256" i="24"/>
  <c r="J1065" i="1"/>
  <c r="J663" i="1"/>
  <c r="I98" i="9"/>
  <c r="G267" i="21"/>
  <c r="H267" i="21" s="1"/>
  <c r="I266" i="21" s="1"/>
  <c r="J701" i="1"/>
  <c r="J987" i="1"/>
  <c r="J1008" i="1"/>
  <c r="J1021" i="1"/>
  <c r="J705" i="1"/>
  <c r="J1051" i="1"/>
  <c r="I42" i="19"/>
  <c r="G1284" i="1" s="1"/>
  <c r="J625" i="1"/>
  <c r="J659" i="1"/>
  <c r="J1030" i="1"/>
  <c r="I10" i="16"/>
  <c r="G294" i="21"/>
  <c r="F37" i="32" s="1"/>
  <c r="G401" i="21"/>
  <c r="H401" i="21" s="1"/>
  <c r="H8" i="19"/>
  <c r="H12" i="19"/>
  <c r="F125" i="21"/>
  <c r="G13" i="22"/>
  <c r="H13" i="22" s="1"/>
  <c r="H47" i="13"/>
  <c r="G193" i="13"/>
  <c r="H193" i="13" s="1"/>
  <c r="H215" i="12"/>
  <c r="H57" i="13"/>
  <c r="I58" i="13" s="1"/>
  <c r="H386" i="24"/>
  <c r="H395" i="24" s="1"/>
  <c r="I395" i="24" s="1"/>
  <c r="H97" i="13"/>
  <c r="H93" i="19"/>
  <c r="G103" i="19"/>
  <c r="H103" i="19" s="1"/>
  <c r="I105" i="19" s="1"/>
  <c r="H7" i="24"/>
  <c r="I359" i="24"/>
  <c r="G51" i="17"/>
  <c r="H159" i="15"/>
  <c r="H128" i="17"/>
  <c r="H160" i="15"/>
  <c r="G24" i="9"/>
  <c r="G26" i="11"/>
  <c r="G39" i="11" s="1"/>
  <c r="G79" i="11"/>
  <c r="H79" i="11" s="1"/>
  <c r="G17" i="14"/>
  <c r="H17" i="14" s="1"/>
  <c r="G20" i="14"/>
  <c r="H20" i="14" s="1"/>
  <c r="H14" i="9"/>
  <c r="H206" i="12"/>
  <c r="I164" i="24"/>
  <c r="I236" i="24"/>
  <c r="H10" i="9"/>
  <c r="H133" i="15"/>
  <c r="I133" i="15" s="1"/>
  <c r="H11" i="19"/>
  <c r="H17" i="21"/>
  <c r="H224" i="21"/>
  <c r="I224" i="21" s="1"/>
  <c r="H250" i="21"/>
  <c r="I250" i="21" s="1"/>
  <c r="I119" i="24"/>
  <c r="H260" i="12"/>
  <c r="H224" i="12"/>
  <c r="H196" i="15"/>
  <c r="I36" i="24"/>
  <c r="H11" i="9"/>
  <c r="G25" i="9"/>
  <c r="G61" i="9" s="1"/>
  <c r="G75" i="9" s="1"/>
  <c r="H52" i="10"/>
  <c r="I52" i="10" s="1"/>
  <c r="G40" i="1" s="1"/>
  <c r="G28" i="11"/>
  <c r="G41" i="11" s="1"/>
  <c r="G18" i="18"/>
  <c r="G29" i="18" s="1"/>
  <c r="H29" i="18" s="1"/>
  <c r="H18" i="22"/>
  <c r="I128" i="24"/>
  <c r="I200" i="24"/>
  <c r="H83" i="22"/>
  <c r="H233" i="12"/>
  <c r="H197" i="15"/>
  <c r="G41" i="9"/>
  <c r="H41" i="9" s="1"/>
  <c r="H16" i="12"/>
  <c r="H122" i="12"/>
  <c r="H150" i="15"/>
  <c r="G32" i="16"/>
  <c r="G55" i="16" s="1"/>
  <c r="H48" i="21"/>
  <c r="G55" i="21" s="1"/>
  <c r="H99" i="21"/>
  <c r="H275" i="21"/>
  <c r="G280" i="21" s="1"/>
  <c r="H280" i="21" s="1"/>
  <c r="I275" i="21" s="1"/>
  <c r="H309" i="21"/>
  <c r="G314" i="21" s="1"/>
  <c r="H314" i="21" s="1"/>
  <c r="I309" i="21" s="1"/>
  <c r="G786" i="1" s="1"/>
  <c r="J786" i="1" s="1"/>
  <c r="H363" i="21"/>
  <c r="G368" i="21" s="1"/>
  <c r="I110" i="24"/>
  <c r="H17" i="12"/>
  <c r="H66" i="13"/>
  <c r="H171" i="13"/>
  <c r="H10" i="14"/>
  <c r="G19" i="19"/>
  <c r="H107" i="21"/>
  <c r="G112" i="21" s="1"/>
  <c r="H112" i="21" s="1"/>
  <c r="I107" i="21" s="1"/>
  <c r="H93" i="22"/>
  <c r="I74" i="24"/>
  <c r="I191" i="24"/>
  <c r="G32" i="9"/>
  <c r="H32" i="9" s="1"/>
  <c r="G19" i="12"/>
  <c r="H19" i="12" s="1"/>
  <c r="H75" i="13"/>
  <c r="G181" i="13"/>
  <c r="H181" i="13" s="1"/>
  <c r="I182" i="13" s="1"/>
  <c r="H20" i="16"/>
  <c r="H7" i="21"/>
  <c r="H232" i="21"/>
  <c r="H258" i="21"/>
  <c r="I258" i="21" s="1"/>
  <c r="H302" i="21"/>
  <c r="G23" i="9"/>
  <c r="H23" i="9" s="1"/>
  <c r="H8" i="10"/>
  <c r="G26" i="10"/>
  <c r="H26" i="10" s="1"/>
  <c r="G7" i="12"/>
  <c r="H7" i="12" s="1"/>
  <c r="I8" i="12" s="1"/>
  <c r="H124" i="12"/>
  <c r="H164" i="12"/>
  <c r="G89" i="13"/>
  <c r="G100" i="13" s="1"/>
  <c r="G111" i="13" s="1"/>
  <c r="H111" i="13" s="1"/>
  <c r="H34" i="16"/>
  <c r="G18" i="17"/>
  <c r="I257" i="17" s="1"/>
  <c r="H37" i="21"/>
  <c r="G44" i="21" s="1"/>
  <c r="H233" i="21"/>
  <c r="H303" i="21"/>
  <c r="H345" i="21"/>
  <c r="H16" i="22"/>
  <c r="H95" i="22"/>
  <c r="I56" i="24"/>
  <c r="I155" i="24"/>
  <c r="I227" i="24"/>
  <c r="H179" i="15"/>
  <c r="I179" i="15" s="1"/>
  <c r="H269" i="12"/>
  <c r="H242" i="12"/>
  <c r="H39" i="15"/>
  <c r="I16" i="24"/>
  <c r="H7" i="19"/>
  <c r="H14" i="10"/>
  <c r="G410" i="21" s="1"/>
  <c r="H410" i="21" s="1"/>
  <c r="F171" i="17"/>
  <c r="H171" i="17" s="1"/>
  <c r="H162" i="17"/>
  <c r="H9" i="22"/>
  <c r="H17" i="9"/>
  <c r="I18" i="9" s="1"/>
  <c r="G26" i="9"/>
  <c r="H26" i="9" s="1"/>
  <c r="H10" i="11"/>
  <c r="G194" i="13"/>
  <c r="G222" i="13" s="1"/>
  <c r="H222" i="13" s="1"/>
  <c r="F172" i="17"/>
  <c r="G20" i="18"/>
  <c r="G31" i="18" s="1"/>
  <c r="H31" i="18" s="1"/>
  <c r="H134" i="21"/>
  <c r="G139" i="21" s="1"/>
  <c r="H139" i="21" s="1"/>
  <c r="I134" i="21" s="1"/>
  <c r="G842" i="1" s="1"/>
  <c r="J842" i="1" s="1"/>
  <c r="G158" i="12"/>
  <c r="H158" i="12" s="1"/>
  <c r="G136" i="12"/>
  <c r="H136" i="12" s="1"/>
  <c r="H154" i="17"/>
  <c r="H186" i="17"/>
  <c r="G27" i="22"/>
  <c r="G47" i="22" s="1"/>
  <c r="H47" i="22" s="1"/>
  <c r="I7" i="23"/>
  <c r="H148" i="12"/>
  <c r="G137" i="12"/>
  <c r="H137" i="12" s="1"/>
  <c r="I357" i="24"/>
  <c r="H384" i="24"/>
  <c r="H393" i="24" s="1"/>
  <c r="I393" i="24" s="1"/>
  <c r="H31" i="15"/>
  <c r="I31" i="15" s="1"/>
  <c r="G19" i="21"/>
  <c r="G33" i="15"/>
  <c r="H33" i="15" s="1"/>
  <c r="G25" i="15"/>
  <c r="H25" i="15" s="1"/>
  <c r="H12" i="16"/>
  <c r="H46" i="16"/>
  <c r="H47" i="16"/>
  <c r="H151" i="13"/>
  <c r="G225" i="13"/>
  <c r="H225" i="13" s="1"/>
  <c r="H153" i="17"/>
  <c r="H28" i="16"/>
  <c r="G42" i="16"/>
  <c r="G51" i="16" s="1"/>
  <c r="H14" i="16"/>
  <c r="H21" i="16"/>
  <c r="G58" i="16"/>
  <c r="G25" i="16"/>
  <c r="G39" i="16" s="1"/>
  <c r="H37" i="16"/>
  <c r="G60" i="16"/>
  <c r="H24" i="12"/>
  <c r="G12" i="9"/>
  <c r="F59" i="32" s="1"/>
  <c r="G27" i="11"/>
  <c r="G40" i="11" s="1"/>
  <c r="G123" i="22"/>
  <c r="H123" i="22" s="1"/>
  <c r="G212" i="13"/>
  <c r="H212" i="13" s="1"/>
  <c r="H12" i="13"/>
  <c r="H198" i="13"/>
  <c r="H230" i="13"/>
  <c r="H199" i="13"/>
  <c r="I21" i="24"/>
  <c r="I31" i="24"/>
  <c r="I11" i="24"/>
  <c r="I41" i="24"/>
  <c r="G17" i="20"/>
  <c r="G25" i="20" s="1"/>
  <c r="H37" i="9"/>
  <c r="H196" i="13"/>
  <c r="G64" i="22"/>
  <c r="H55" i="22"/>
  <c r="H191" i="13"/>
  <c r="G84" i="21"/>
  <c r="G98" i="21" s="1"/>
  <c r="H98" i="21" s="1"/>
  <c r="G67" i="13"/>
  <c r="G51" i="19"/>
  <c r="G62" i="19" s="1"/>
  <c r="G225" i="12"/>
  <c r="G279" i="12"/>
  <c r="H279" i="12" s="1"/>
  <c r="I279" i="12" s="1"/>
  <c r="G270" i="12"/>
  <c r="H270" i="12" s="1"/>
  <c r="G261" i="12"/>
  <c r="H261" i="12" s="1"/>
  <c r="G234" i="12"/>
  <c r="H234" i="12" s="1"/>
  <c r="G243" i="12"/>
  <c r="H243" i="12" s="1"/>
  <c r="H114" i="12"/>
  <c r="H50" i="19"/>
  <c r="G122" i="22"/>
  <c r="H122" i="22" s="1"/>
  <c r="H18" i="16"/>
  <c r="H24" i="22"/>
  <c r="H29" i="11"/>
  <c r="G25" i="22"/>
  <c r="G24" i="18"/>
  <c r="H24" i="18" s="1"/>
  <c r="G39" i="9"/>
  <c r="G59" i="9" s="1"/>
  <c r="G73" i="9" s="1"/>
  <c r="H73" i="9" s="1"/>
  <c r="H195" i="13"/>
  <c r="G112" i="22"/>
  <c r="H112" i="22" s="1"/>
  <c r="G21" i="17"/>
  <c r="G43" i="17" s="1"/>
  <c r="G22" i="17"/>
  <c r="H23" i="17"/>
  <c r="G24" i="17"/>
  <c r="H7" i="17"/>
  <c r="H20" i="17"/>
  <c r="G42" i="17"/>
  <c r="G53" i="17" s="1"/>
  <c r="H30" i="23"/>
  <c r="I30" i="23" s="1"/>
  <c r="I22" i="23"/>
  <c r="G60" i="9"/>
  <c r="H9" i="9"/>
  <c r="H144" i="12"/>
  <c r="G166" i="12"/>
  <c r="H166" i="12" s="1"/>
  <c r="G17" i="11"/>
  <c r="H17" i="11" s="1"/>
  <c r="I18" i="11" s="1"/>
  <c r="I14" i="23"/>
  <c r="H26" i="24"/>
  <c r="I26" i="24" s="1"/>
  <c r="H33" i="9"/>
  <c r="H46" i="22"/>
  <c r="I6" i="23"/>
  <c r="G35" i="16"/>
  <c r="H42" i="11"/>
  <c r="G38" i="16"/>
  <c r="G75" i="19"/>
  <c r="H75" i="19" s="1"/>
  <c r="H85" i="21"/>
  <c r="G30" i="11"/>
  <c r="H30" i="11" s="1"/>
  <c r="H78" i="13"/>
  <c r="H23" i="16"/>
  <c r="H9" i="17"/>
  <c r="H40" i="17"/>
  <c r="G34" i="22"/>
  <c r="H34" i="22" s="1"/>
  <c r="H15" i="23"/>
  <c r="H23" i="23" s="1"/>
  <c r="I23" i="23" s="1"/>
  <c r="G38" i="12"/>
  <c r="H38" i="12" s="1"/>
  <c r="G139" i="17"/>
  <c r="H83" i="19"/>
  <c r="I85" i="19" s="1"/>
  <c r="H7" i="36" s="1"/>
  <c r="H13" i="9"/>
  <c r="G38" i="9"/>
  <c r="H38" i="9" s="1"/>
  <c r="H31" i="11"/>
  <c r="H8" i="21"/>
  <c r="G31" i="21"/>
  <c r="G42" i="21" s="1"/>
  <c r="H42" i="21" s="1"/>
  <c r="H11" i="21"/>
  <c r="G38" i="21"/>
  <c r="G49" i="21" s="1"/>
  <c r="H49" i="21" s="1"/>
  <c r="H27" i="21"/>
  <c r="G20" i="21"/>
  <c r="H116" i="21"/>
  <c r="G121" i="21" s="1"/>
  <c r="H121" i="21" s="1"/>
  <c r="I116" i="21" s="1"/>
  <c r="G29" i="21"/>
  <c r="B52" i="27"/>
  <c r="B53" i="27" s="1"/>
  <c r="B54" i="27" s="1"/>
  <c r="B55" i="27" s="1"/>
  <c r="B56" i="27" s="1"/>
  <c r="B57" i="27" s="1"/>
  <c r="B58" i="27" s="1"/>
  <c r="B59" i="27" s="1"/>
  <c r="B60" i="27" s="1"/>
  <c r="B61" i="27" s="1"/>
  <c r="B62" i="27" s="1"/>
  <c r="G19" i="15"/>
  <c r="H19" i="15" s="1"/>
  <c r="H40" i="15"/>
  <c r="H50" i="15"/>
  <c r="G16" i="15"/>
  <c r="G86" i="15"/>
  <c r="H86" i="15" s="1"/>
  <c r="H124" i="15"/>
  <c r="H9" i="15"/>
  <c r="H98" i="15"/>
  <c r="I98" i="15" s="1"/>
  <c r="H9" i="12"/>
  <c r="G226" i="12"/>
  <c r="G170" i="12"/>
  <c r="H170" i="12" s="1"/>
  <c r="H10" i="12"/>
  <c r="G37" i="12"/>
  <c r="G154" i="12"/>
  <c r="H154" i="12" s="1"/>
  <c r="H143" i="12"/>
  <c r="H11" i="12"/>
  <c r="G228" i="12"/>
  <c r="G238" i="12"/>
  <c r="G256" i="12" s="1"/>
  <c r="H256" i="12" s="1"/>
  <c r="H229" i="12"/>
  <c r="G41" i="12"/>
  <c r="H41" i="12" s="1"/>
  <c r="G159" i="12"/>
  <c r="G181" i="12" s="1"/>
  <c r="H142" i="12"/>
  <c r="H145" i="12"/>
  <c r="H227" i="12"/>
  <c r="G236" i="12"/>
  <c r="G254" i="12" s="1"/>
  <c r="H254" i="12" s="1"/>
  <c r="H21" i="11"/>
  <c r="G34" i="11"/>
  <c r="H14" i="17"/>
  <c r="G25" i="17"/>
  <c r="H7" i="9"/>
  <c r="H11" i="11"/>
  <c r="G20" i="11"/>
  <c r="G21" i="13"/>
  <c r="G63" i="9"/>
  <c r="G49" i="9"/>
  <c r="H49" i="9" s="1"/>
  <c r="H27" i="9"/>
  <c r="G207" i="12"/>
  <c r="H198" i="12"/>
  <c r="I198" i="12" s="1"/>
  <c r="G36" i="12"/>
  <c r="H25" i="12"/>
  <c r="G28" i="9"/>
  <c r="H55" i="9"/>
  <c r="H12" i="11"/>
  <c r="G32" i="11"/>
  <c r="G18" i="12"/>
  <c r="H18" i="12" s="1"/>
  <c r="G28" i="12"/>
  <c r="G36" i="9"/>
  <c r="G72" i="21"/>
  <c r="H72" i="21" s="1"/>
  <c r="H40" i="10"/>
  <c r="I40" i="10" s="1"/>
  <c r="G22" i="11"/>
  <c r="G40" i="12"/>
  <c r="H29" i="12"/>
  <c r="G177" i="12"/>
  <c r="H155" i="12"/>
  <c r="G25" i="10"/>
  <c r="H7" i="10"/>
  <c r="G232" i="13"/>
  <c r="H232" i="13" s="1"/>
  <c r="H9" i="11"/>
  <c r="H12" i="12"/>
  <c r="G31" i="12"/>
  <c r="G20" i="12"/>
  <c r="H20" i="12" s="1"/>
  <c r="G74" i="12"/>
  <c r="H61" i="12"/>
  <c r="G169" i="12"/>
  <c r="H169" i="12" s="1"/>
  <c r="H11" i="14"/>
  <c r="G19" i="14"/>
  <c r="H19" i="14" s="1"/>
  <c r="G156" i="12"/>
  <c r="H59" i="15"/>
  <c r="I59" i="15" s="1"/>
  <c r="G68" i="15"/>
  <c r="H68" i="15" s="1"/>
  <c r="I68" i="15" s="1"/>
  <c r="G123" i="12"/>
  <c r="H123" i="12" s="1"/>
  <c r="H7" i="14"/>
  <c r="I8" i="14" s="1"/>
  <c r="G467" i="1" s="1"/>
  <c r="G16" i="14"/>
  <c r="H16" i="14" s="1"/>
  <c r="I16" i="14" s="1"/>
  <c r="G468" i="1" s="1"/>
  <c r="H19" i="16"/>
  <c r="G33" i="16"/>
  <c r="H147" i="12"/>
  <c r="G153" i="12"/>
  <c r="G175" i="12" s="1"/>
  <c r="G23" i="13"/>
  <c r="H190" i="13"/>
  <c r="G218" i="13"/>
  <c r="H218" i="13" s="1"/>
  <c r="H17" i="15"/>
  <c r="H26" i="16"/>
  <c r="G40" i="16"/>
  <c r="H19" i="17"/>
  <c r="H45" i="17"/>
  <c r="G56" i="17"/>
  <c r="G20" i="13"/>
  <c r="H10" i="15"/>
  <c r="G18" i="15"/>
  <c r="G26" i="15" s="1"/>
  <c r="H26" i="15" s="1"/>
  <c r="H87" i="15"/>
  <c r="G168" i="15"/>
  <c r="H168" i="15" s="1"/>
  <c r="I169" i="15" s="1"/>
  <c r="H13" i="16"/>
  <c r="G27" i="16"/>
  <c r="H41" i="17"/>
  <c r="G52" i="17"/>
  <c r="H17" i="19"/>
  <c r="G64" i="21"/>
  <c r="H64" i="21" s="1"/>
  <c r="I59" i="21" s="1"/>
  <c r="G205" i="13"/>
  <c r="H41" i="15"/>
  <c r="H8" i="17"/>
  <c r="H12" i="17"/>
  <c r="H8" i="18"/>
  <c r="G19" i="20"/>
  <c r="G28" i="21"/>
  <c r="H9" i="21"/>
  <c r="G25" i="18"/>
  <c r="H25" i="18" s="1"/>
  <c r="H16" i="18"/>
  <c r="I16" i="18" s="1"/>
  <c r="G28" i="18"/>
  <c r="H28" i="18" s="1"/>
  <c r="G72" i="19"/>
  <c r="H72" i="19" s="1"/>
  <c r="H61" i="19"/>
  <c r="H18" i="21"/>
  <c r="G41" i="21"/>
  <c r="H30" i="21"/>
  <c r="G19" i="18"/>
  <c r="H10" i="18"/>
  <c r="H33" i="21"/>
  <c r="H9" i="19"/>
  <c r="H53" i="19"/>
  <c r="G18" i="19"/>
  <c r="H10" i="19"/>
  <c r="H113" i="19"/>
  <c r="I115" i="19" s="1"/>
  <c r="G123" i="19"/>
  <c r="H123" i="19" s="1"/>
  <c r="I124" i="19" s="1"/>
  <c r="G32" i="21"/>
  <c r="G21" i="21"/>
  <c r="H13" i="21"/>
  <c r="H93" i="24"/>
  <c r="I93" i="24" s="1"/>
  <c r="J93" i="24" s="1"/>
  <c r="G52" i="19"/>
  <c r="G242" i="21"/>
  <c r="H20" i="19"/>
  <c r="H10" i="21"/>
  <c r="G29" i="22"/>
  <c r="H19" i="22"/>
  <c r="H28" i="22"/>
  <c r="G48" i="22"/>
  <c r="H48" i="22" s="1"/>
  <c r="H19" i="24"/>
  <c r="I9" i="24"/>
  <c r="G97" i="21"/>
  <c r="H97" i="21" s="1"/>
  <c r="H84" i="24"/>
  <c r="G39" i="22"/>
  <c r="H48" i="24"/>
  <c r="I48" i="24" s="1"/>
  <c r="G73" i="22"/>
  <c r="G63" i="22"/>
  <c r="H63" i="22" s="1"/>
  <c r="H26" i="22"/>
  <c r="H37" i="22"/>
  <c r="G56" i="22"/>
  <c r="H8" i="22"/>
  <c r="H74" i="22"/>
  <c r="H20" i="24"/>
  <c r="H60" i="24"/>
  <c r="G72" i="22"/>
  <c r="H72" i="22" s="1"/>
  <c r="H22" i="24"/>
  <c r="I55" i="22" l="1"/>
  <c r="G861" i="1"/>
  <c r="H33" i="1"/>
  <c r="K33" i="1" s="1"/>
  <c r="L33" i="1" s="1"/>
  <c r="G314" i="13"/>
  <c r="H314" i="13" s="1"/>
  <c r="G325" i="13"/>
  <c r="H325" i="13" s="1"/>
  <c r="I320" i="13"/>
  <c r="H426" i="21"/>
  <c r="G435" i="21"/>
  <c r="H435" i="21" s="1"/>
  <c r="J930" i="1"/>
  <c r="I1117" i="1"/>
  <c r="G840" i="1"/>
  <c r="J840" i="1" s="1"/>
  <c r="G838" i="1"/>
  <c r="J838" i="1" s="1"/>
  <c r="G762" i="1"/>
  <c r="J762" i="1" s="1"/>
  <c r="G760" i="1"/>
  <c r="J760" i="1" s="1"/>
  <c r="G1171" i="1"/>
  <c r="G1128" i="1"/>
  <c r="I84" i="24"/>
  <c r="J84" i="24" s="1"/>
  <c r="G797" i="1"/>
  <c r="J797" i="1" s="1"/>
  <c r="G836" i="1"/>
  <c r="J836" i="1" s="1"/>
  <c r="G758" i="1"/>
  <c r="J758" i="1" s="1"/>
  <c r="G897" i="1"/>
  <c r="J897" i="1" s="1"/>
  <c r="G913" i="1"/>
  <c r="J913" i="1" s="1"/>
  <c r="G905" i="1"/>
  <c r="J905" i="1" s="1"/>
  <c r="H139" i="17"/>
  <c r="I268" i="17"/>
  <c r="G943" i="1"/>
  <c r="J943" i="1" s="1"/>
  <c r="G976" i="1"/>
  <c r="J976" i="1" s="1"/>
  <c r="G948" i="1"/>
  <c r="J948" i="1" s="1"/>
  <c r="G824" i="1"/>
  <c r="J824" i="1" s="1"/>
  <c r="G863" i="1"/>
  <c r="J863" i="1" s="1"/>
  <c r="G785" i="1"/>
  <c r="J785" i="1" s="1"/>
  <c r="G828" i="1"/>
  <c r="J828" i="1" s="1"/>
  <c r="G867" i="1"/>
  <c r="J867" i="1" s="1"/>
  <c r="G790" i="1"/>
  <c r="J790" i="1" s="1"/>
  <c r="G823" i="1"/>
  <c r="J823" i="1" s="1"/>
  <c r="G862" i="1"/>
  <c r="J862" i="1" s="1"/>
  <c r="G784" i="1"/>
  <c r="J784" i="1" s="1"/>
  <c r="G787" i="1"/>
  <c r="J787" i="1" s="1"/>
  <c r="G748" i="1"/>
  <c r="H16" i="20"/>
  <c r="G32" i="13"/>
  <c r="H51" i="17"/>
  <c r="I260" i="17"/>
  <c r="H1121" i="1"/>
  <c r="K1121" i="1" s="1"/>
  <c r="L1121" i="1" s="1"/>
  <c r="H1164" i="1"/>
  <c r="H1167" i="1"/>
  <c r="H1163" i="1"/>
  <c r="H1162" i="1"/>
  <c r="H1168" i="1"/>
  <c r="H1170" i="1"/>
  <c r="H1169" i="1"/>
  <c r="H1165" i="1"/>
  <c r="H1166" i="1"/>
  <c r="K1198" i="1"/>
  <c r="L1198" i="1" s="1"/>
  <c r="I1198" i="1"/>
  <c r="K1160" i="1"/>
  <c r="L1160" i="1" s="1"/>
  <c r="I1160" i="1"/>
  <c r="J468" i="1"/>
  <c r="J467" i="1"/>
  <c r="G416" i="1"/>
  <c r="G422" i="1"/>
  <c r="G396" i="1"/>
  <c r="J861" i="1"/>
  <c r="G864" i="1"/>
  <c r="G803" i="1"/>
  <c r="J803" i="1" s="1"/>
  <c r="G764" i="1"/>
  <c r="J764" i="1" s="1"/>
  <c r="G461" i="1"/>
  <c r="J461" i="1" s="1"/>
  <c r="G455" i="1"/>
  <c r="J455" i="1" s="1"/>
  <c r="G322" i="1"/>
  <c r="J322" i="1" s="1"/>
  <c r="G316" i="1"/>
  <c r="J316" i="1" s="1"/>
  <c r="G280" i="1"/>
  <c r="J280" i="1" s="1"/>
  <c r="G310" i="1"/>
  <c r="J310" i="1" s="1"/>
  <c r="G462" i="1"/>
  <c r="J462" i="1" s="1"/>
  <c r="G456" i="1"/>
  <c r="J456" i="1" s="1"/>
  <c r="G822" i="1"/>
  <c r="J822" i="1" s="1"/>
  <c r="G783" i="1"/>
  <c r="J783" i="1" s="1"/>
  <c r="H1120" i="1"/>
  <c r="H1122" i="1"/>
  <c r="H1127" i="1"/>
  <c r="H1125" i="1"/>
  <c r="H1124" i="1"/>
  <c r="H1123" i="1"/>
  <c r="H1119" i="1"/>
  <c r="H1126" i="1"/>
  <c r="H1112" i="1"/>
  <c r="I1112" i="1" s="1"/>
  <c r="H1155" i="1"/>
  <c r="L1117" i="1"/>
  <c r="H25" i="19"/>
  <c r="G286" i="21"/>
  <c r="H286" i="21" s="1"/>
  <c r="G277" i="21"/>
  <c r="G311" i="21" s="1"/>
  <c r="G287" i="21"/>
  <c r="H287" i="21" s="1"/>
  <c r="G278" i="21"/>
  <c r="G312" i="21" s="1"/>
  <c r="G288" i="21"/>
  <c r="H288" i="21" s="1"/>
  <c r="G279" i="21"/>
  <c r="I13" i="13"/>
  <c r="H29" i="21"/>
  <c r="H18" i="20"/>
  <c r="R55" i="1"/>
  <c r="G243" i="1"/>
  <c r="G179" i="1"/>
  <c r="J179" i="1" s="1"/>
  <c r="G350" i="21"/>
  <c r="H350" i="21" s="1"/>
  <c r="I345" i="21" s="1"/>
  <c r="I303" i="15"/>
  <c r="J1284" i="1"/>
  <c r="H107" i="15"/>
  <c r="I107" i="15" s="1"/>
  <c r="G116" i="15"/>
  <c r="G125" i="15" s="1"/>
  <c r="G294" i="15"/>
  <c r="H294" i="15" s="1"/>
  <c r="J482" i="1"/>
  <c r="J477" i="1"/>
  <c r="G33" i="19"/>
  <c r="H33" i="19" s="1"/>
  <c r="H1083" i="1"/>
  <c r="H1079" i="1"/>
  <c r="H1039" i="1"/>
  <c r="H1037" i="1"/>
  <c r="H1084" i="1"/>
  <c r="H1080" i="1"/>
  <c r="H1035" i="1"/>
  <c r="H1081" i="1"/>
  <c r="H1040" i="1"/>
  <c r="H1036" i="1"/>
  <c r="H1077" i="1"/>
  <c r="H1038" i="1"/>
  <c r="H1032" i="1"/>
  <c r="H1082" i="1"/>
  <c r="H1076" i="1"/>
  <c r="H1033" i="1"/>
  <c r="G391" i="34"/>
  <c r="H391" i="34" s="1"/>
  <c r="H404" i="34" s="1"/>
  <c r="H405" i="34" s="1"/>
  <c r="H390" i="34" s="1"/>
  <c r="H512" i="34" s="1"/>
  <c r="G359" i="34"/>
  <c r="H359" i="34" s="1"/>
  <c r="H372" i="34" s="1"/>
  <c r="H373" i="34" s="1"/>
  <c r="H358" i="34" s="1"/>
  <c r="H510" i="34" s="1"/>
  <c r="G439" i="34"/>
  <c r="H439" i="34" s="1"/>
  <c r="H452" i="34" s="1"/>
  <c r="H453" i="34" s="1"/>
  <c r="H438" i="34" s="1"/>
  <c r="H515" i="34" s="1"/>
  <c r="G423" i="34"/>
  <c r="H423" i="34" s="1"/>
  <c r="H436" i="34" s="1"/>
  <c r="H437" i="34" s="1"/>
  <c r="H422" i="34" s="1"/>
  <c r="H514" i="34" s="1"/>
  <c r="G343" i="34"/>
  <c r="H343" i="34" s="1"/>
  <c r="H356" i="34" s="1"/>
  <c r="H357" i="34" s="1"/>
  <c r="H342" i="34" s="1"/>
  <c r="H509" i="34" s="1"/>
  <c r="G375" i="34"/>
  <c r="H375" i="34" s="1"/>
  <c r="H388" i="34" s="1"/>
  <c r="H389" i="34" s="1"/>
  <c r="H374" i="34" s="1"/>
  <c r="H511" i="34" s="1"/>
  <c r="H1034" i="1"/>
  <c r="H1078" i="1"/>
  <c r="G407" i="34"/>
  <c r="G455" i="34"/>
  <c r="G46" i="19"/>
  <c r="H46" i="19" s="1"/>
  <c r="H28" i="19"/>
  <c r="G295" i="34"/>
  <c r="G327" i="34"/>
  <c r="H327" i="34" s="1"/>
  <c r="H340" i="34" s="1"/>
  <c r="H341" i="34" s="1"/>
  <c r="H326" i="34" s="1"/>
  <c r="H508" i="34" s="1"/>
  <c r="G311" i="34"/>
  <c r="H9" i="13"/>
  <c r="G294" i="13"/>
  <c r="H316" i="13" s="1"/>
  <c r="K993" i="1"/>
  <c r="L993" i="1" s="1"/>
  <c r="G247" i="34"/>
  <c r="G279" i="34"/>
  <c r="G263" i="34"/>
  <c r="G973" i="1"/>
  <c r="J47" i="1"/>
  <c r="I422" i="24"/>
  <c r="H431" i="24"/>
  <c r="I420" i="24"/>
  <c r="H429" i="24"/>
  <c r="I421" i="24"/>
  <c r="H430" i="24"/>
  <c r="I410" i="24"/>
  <c r="J413" i="24" s="1"/>
  <c r="H1185" i="1" s="1"/>
  <c r="H419" i="24"/>
  <c r="K1074" i="1"/>
  <c r="L1074" i="1" s="1"/>
  <c r="I1074" i="1"/>
  <c r="G255" i="1"/>
  <c r="G249" i="1"/>
  <c r="G217" i="1"/>
  <c r="G367" i="1"/>
  <c r="G373" i="1"/>
  <c r="G347" i="1"/>
  <c r="J211" i="1"/>
  <c r="I50" i="15"/>
  <c r="G1085" i="1"/>
  <c r="J820" i="1"/>
  <c r="G799" i="1"/>
  <c r="G801" i="1"/>
  <c r="G980" i="1"/>
  <c r="G957" i="1"/>
  <c r="J484" i="1"/>
  <c r="J59" i="1"/>
  <c r="G213" i="19"/>
  <c r="H213" i="19" s="1"/>
  <c r="G26" i="19"/>
  <c r="H19" i="19"/>
  <c r="G214" i="19"/>
  <c r="H214" i="19" s="1"/>
  <c r="G27" i="19"/>
  <c r="H27" i="19" s="1"/>
  <c r="J623" i="1"/>
  <c r="J631" i="1"/>
  <c r="J624" i="1"/>
  <c r="J626" i="1"/>
  <c r="J627" i="1"/>
  <c r="J633" i="1"/>
  <c r="J629" i="1"/>
  <c r="J630" i="1"/>
  <c r="G183" i="34"/>
  <c r="G119" i="34"/>
  <c r="G55" i="34"/>
  <c r="G151" i="34"/>
  <c r="G23" i="34"/>
  <c r="G199" i="34"/>
  <c r="G231" i="34"/>
  <c r="G167" i="34"/>
  <c r="G103" i="34"/>
  <c r="G39" i="34"/>
  <c r="G215" i="34"/>
  <c r="G87" i="34"/>
  <c r="G135" i="34"/>
  <c r="G71" i="34"/>
  <c r="G7" i="34"/>
  <c r="J742" i="1"/>
  <c r="K17" i="1"/>
  <c r="I9" i="11"/>
  <c r="H383" i="24"/>
  <c r="H392" i="24" s="1"/>
  <c r="I392" i="24" s="1"/>
  <c r="I396" i="24" s="1"/>
  <c r="I397" i="24" s="1"/>
  <c r="F342" i="27" s="1"/>
  <c r="I356" i="24"/>
  <c r="J359" i="24" s="1"/>
  <c r="G721" i="1"/>
  <c r="G685" i="1"/>
  <c r="G723" i="1"/>
  <c r="G683" i="1"/>
  <c r="G745" i="1"/>
  <c r="G707" i="1"/>
  <c r="H1069" i="1"/>
  <c r="G450" i="1"/>
  <c r="G444" i="1"/>
  <c r="G719" i="1"/>
  <c r="J719" i="1" s="1"/>
  <c r="G681" i="1"/>
  <c r="G747" i="1"/>
  <c r="J747" i="1" s="1"/>
  <c r="G709" i="1"/>
  <c r="G706" i="1"/>
  <c r="G744" i="1"/>
  <c r="G1041" i="1"/>
  <c r="I378" i="24"/>
  <c r="I379" i="24" s="1"/>
  <c r="F340" i="27" s="1"/>
  <c r="G443" i="1"/>
  <c r="G449" i="1"/>
  <c r="G687" i="1"/>
  <c r="G725" i="1"/>
  <c r="J725" i="1" s="1"/>
  <c r="G938" i="1"/>
  <c r="G969" i="1"/>
  <c r="G960" i="1"/>
  <c r="G708" i="1"/>
  <c r="G746" i="1"/>
  <c r="J746" i="1" s="1"/>
  <c r="G712" i="1"/>
  <c r="G751" i="1"/>
  <c r="J751" i="1" s="1"/>
  <c r="G889" i="1"/>
  <c r="F63" i="32"/>
  <c r="J918" i="1"/>
  <c r="G191" i="1"/>
  <c r="G185" i="1"/>
  <c r="J185" i="1" s="1"/>
  <c r="G133" i="1"/>
  <c r="J133" i="1" s="1"/>
  <c r="J93" i="1"/>
  <c r="J87" i="1"/>
  <c r="J75" i="1"/>
  <c r="F103" i="32"/>
  <c r="H24" i="9"/>
  <c r="F60" i="32"/>
  <c r="H17" i="24"/>
  <c r="H27" i="24" s="1"/>
  <c r="H37" i="24" s="1"/>
  <c r="H47" i="24" s="1"/>
  <c r="I47" i="24" s="1"/>
  <c r="J48" i="24" s="1"/>
  <c r="G1203" i="1" s="1"/>
  <c r="G8" i="13"/>
  <c r="H64" i="22"/>
  <c r="G91" i="22"/>
  <c r="F146" i="32" s="1"/>
  <c r="G1248" i="1"/>
  <c r="F330" i="27"/>
  <c r="F331" i="27"/>
  <c r="F333" i="27"/>
  <c r="F332" i="27"/>
  <c r="I987" i="1"/>
  <c r="I385" i="24"/>
  <c r="G34" i="20"/>
  <c r="H34" i="20" s="1"/>
  <c r="F152" i="21"/>
  <c r="H152" i="21" s="1"/>
  <c r="I8" i="10"/>
  <c r="K32" i="1" s="1"/>
  <c r="H163" i="17"/>
  <c r="I1030" i="1"/>
  <c r="L987" i="1"/>
  <c r="L1030" i="1"/>
  <c r="I95" i="19"/>
  <c r="I11" i="15"/>
  <c r="B63" i="27"/>
  <c r="H55" i="16"/>
  <c r="G69" i="16"/>
  <c r="H69" i="16" s="1"/>
  <c r="G251" i="13"/>
  <c r="H240" i="13"/>
  <c r="G74" i="16"/>
  <c r="H74" i="16" s="1"/>
  <c r="H205" i="13"/>
  <c r="G241" i="13"/>
  <c r="G72" i="16"/>
  <c r="H72" i="16" s="1"/>
  <c r="H172" i="17"/>
  <c r="J40" i="1"/>
  <c r="I33" i="1"/>
  <c r="I34" i="1"/>
  <c r="K34" i="1"/>
  <c r="L34" i="1" s="1"/>
  <c r="J12" i="24"/>
  <c r="I11" i="18"/>
  <c r="I13" i="21"/>
  <c r="G31" i="10"/>
  <c r="H31" i="10" s="1"/>
  <c r="I12" i="14"/>
  <c r="G47" i="9"/>
  <c r="H47" i="9" s="1"/>
  <c r="H207" i="13"/>
  <c r="I14" i="17"/>
  <c r="H41" i="11"/>
  <c r="G54" i="11"/>
  <c r="H54" i="11" s="1"/>
  <c r="I13" i="11"/>
  <c r="K46" i="1" s="1"/>
  <c r="H39" i="11"/>
  <c r="G52" i="11"/>
  <c r="H52" i="11" s="1"/>
  <c r="H40" i="11"/>
  <c r="G53" i="11"/>
  <c r="H53" i="11" s="1"/>
  <c r="H85" i="11"/>
  <c r="H86" i="11" s="1"/>
  <c r="F36" i="27" s="1"/>
  <c r="I11" i="20"/>
  <c r="H143" i="21"/>
  <c r="H20" i="18"/>
  <c r="H10" i="22"/>
  <c r="H11" i="22" s="1"/>
  <c r="F280" i="27" s="1"/>
  <c r="I9" i="22"/>
  <c r="I20" i="12"/>
  <c r="I12" i="12"/>
  <c r="I20" i="14"/>
  <c r="I89" i="15"/>
  <c r="I222" i="13"/>
  <c r="I145" i="12"/>
  <c r="I27" i="12"/>
  <c r="I8" i="19"/>
  <c r="I27" i="18"/>
  <c r="I270" i="12"/>
  <c r="I12" i="19"/>
  <c r="H129" i="24"/>
  <c r="I129" i="24" s="1"/>
  <c r="J129" i="24" s="1"/>
  <c r="H120" i="24"/>
  <c r="I120" i="24" s="1"/>
  <c r="J120" i="24" s="1"/>
  <c r="I243" i="12"/>
  <c r="I167" i="12"/>
  <c r="H8" i="24"/>
  <c r="I8" i="24" s="1"/>
  <c r="H111" i="24"/>
  <c r="I111" i="24" s="1"/>
  <c r="J111" i="24" s="1"/>
  <c r="I124" i="12"/>
  <c r="H38" i="24"/>
  <c r="I38" i="24" s="1"/>
  <c r="G22" i="21"/>
  <c r="H22" i="21" s="1"/>
  <c r="I17" i="21" s="1"/>
  <c r="G853" i="1" s="1"/>
  <c r="H165" i="24"/>
  <c r="I165" i="24" s="1"/>
  <c r="J165" i="24" s="1"/>
  <c r="G1177" i="1" s="1"/>
  <c r="J662" i="1"/>
  <c r="J1219" i="1"/>
  <c r="I80" i="11"/>
  <c r="H57" i="24"/>
  <c r="I57" i="24" s="1"/>
  <c r="J57" i="24" s="1"/>
  <c r="H75" i="24"/>
  <c r="I75" i="24" s="1"/>
  <c r="J75" i="24" s="1"/>
  <c r="I10" i="17"/>
  <c r="H18" i="24"/>
  <c r="I18" i="24" s="1"/>
  <c r="H228" i="24"/>
  <c r="I228" i="24" s="1"/>
  <c r="J228" i="24" s="1"/>
  <c r="I233" i="21"/>
  <c r="G857" i="1" s="1"/>
  <c r="J857" i="1" s="1"/>
  <c r="H192" i="24"/>
  <c r="I192" i="24" s="1"/>
  <c r="J192" i="24" s="1"/>
  <c r="H201" i="24"/>
  <c r="I201" i="24" s="1"/>
  <c r="J201" i="24" s="1"/>
  <c r="I261" i="12"/>
  <c r="J1212" i="1"/>
  <c r="H28" i="24"/>
  <c r="I28" i="24" s="1"/>
  <c r="I41" i="15"/>
  <c r="H156" i="24"/>
  <c r="I156" i="24" s="1"/>
  <c r="J156" i="24" s="1"/>
  <c r="I9" i="21"/>
  <c r="G854" i="1" s="1"/>
  <c r="I17" i="12"/>
  <c r="G1288" i="1" s="1"/>
  <c r="J1288" i="1" s="1"/>
  <c r="I234" i="12"/>
  <c r="I201" i="15"/>
  <c r="H237" i="24"/>
  <c r="I237" i="24" s="1"/>
  <c r="J237" i="24" s="1"/>
  <c r="G1207" i="1" s="1"/>
  <c r="I160" i="15"/>
  <c r="J704" i="1"/>
  <c r="J1070" i="1"/>
  <c r="I1070" i="1"/>
  <c r="J1026" i="1"/>
  <c r="L1026" i="1" s="1"/>
  <c r="I1026" i="1"/>
  <c r="I14" i="16"/>
  <c r="I47" i="16"/>
  <c r="G912" i="1" s="1"/>
  <c r="I24" i="16"/>
  <c r="G908" i="1" s="1"/>
  <c r="H19" i="21"/>
  <c r="H61" i="9"/>
  <c r="H159" i="12"/>
  <c r="G293" i="21"/>
  <c r="H293" i="21" s="1"/>
  <c r="G400" i="21"/>
  <c r="H400" i="21" s="1"/>
  <c r="H125" i="21"/>
  <c r="G130" i="21" s="1"/>
  <c r="H130" i="21" s="1"/>
  <c r="I125" i="21" s="1"/>
  <c r="H100" i="13"/>
  <c r="G122" i="13"/>
  <c r="I7" i="24"/>
  <c r="I386" i="24"/>
  <c r="G54" i="9"/>
  <c r="H54" i="9" s="1"/>
  <c r="H89" i="13"/>
  <c r="G35" i="12"/>
  <c r="H35" i="12" s="1"/>
  <c r="H32" i="16"/>
  <c r="G148" i="21"/>
  <c r="H148" i="21" s="1"/>
  <c r="G208" i="13"/>
  <c r="H208" i="13" s="1"/>
  <c r="H194" i="13"/>
  <c r="I196" i="13" s="1"/>
  <c r="G53" i="21"/>
  <c r="H53" i="21" s="1"/>
  <c r="H21" i="14"/>
  <c r="H22" i="14" s="1"/>
  <c r="F102" i="27" s="1"/>
  <c r="G19" i="13"/>
  <c r="G29" i="13" s="1"/>
  <c r="H26" i="11"/>
  <c r="G34" i="9"/>
  <c r="G56" i="9" s="1"/>
  <c r="H28" i="11"/>
  <c r="G82" i="9"/>
  <c r="G87" i="9" s="1"/>
  <c r="H13" i="12"/>
  <c r="H14" i="12" s="1"/>
  <c r="F41" i="27" s="1"/>
  <c r="G46" i="9"/>
  <c r="H46" i="9" s="1"/>
  <c r="H25" i="9"/>
  <c r="H18" i="18"/>
  <c r="H12" i="15"/>
  <c r="H13" i="15" s="1"/>
  <c r="F105" i="27" s="1"/>
  <c r="H20" i="22"/>
  <c r="H21" i="22" s="1"/>
  <c r="F281" i="27" s="1"/>
  <c r="H15" i="10"/>
  <c r="F18" i="27" s="1"/>
  <c r="H60" i="16"/>
  <c r="H17" i="20"/>
  <c r="H12" i="9"/>
  <c r="H19" i="9" s="1"/>
  <c r="H20" i="9" s="1"/>
  <c r="F6" i="27" s="1"/>
  <c r="H18" i="17"/>
  <c r="G180" i="12"/>
  <c r="H180" i="12" s="1"/>
  <c r="H21" i="12"/>
  <c r="H22" i="12" s="1"/>
  <c r="F42" i="27" s="1"/>
  <c r="H9" i="10"/>
  <c r="G414" i="21" s="1"/>
  <c r="H414" i="21" s="1"/>
  <c r="H225" i="12"/>
  <c r="I225" i="12" s="1"/>
  <c r="H67" i="13"/>
  <c r="I67" i="13" s="1"/>
  <c r="H304" i="21"/>
  <c r="H92" i="22"/>
  <c r="H242" i="21"/>
  <c r="I242" i="21" s="1"/>
  <c r="G855" i="1" s="1"/>
  <c r="H69" i="12"/>
  <c r="H58" i="16"/>
  <c r="H15" i="16"/>
  <c r="H16" i="16" s="1"/>
  <c r="F137" i="27" s="1"/>
  <c r="G82" i="12"/>
  <c r="H82" i="12" s="1"/>
  <c r="I384" i="24"/>
  <c r="G38" i="22"/>
  <c r="G57" i="22" s="1"/>
  <c r="H27" i="22"/>
  <c r="G62" i="21"/>
  <c r="G75" i="21" s="1"/>
  <c r="H13" i="14"/>
  <c r="H14" i="14" s="1"/>
  <c r="H12" i="18"/>
  <c r="H13" i="18" s="1"/>
  <c r="F170" i="27" s="1"/>
  <c r="AP10" i="50" s="1"/>
  <c r="G62" i="9"/>
  <c r="H62" i="9" s="1"/>
  <c r="H27" i="11"/>
  <c r="G43" i="15"/>
  <c r="G52" i="15" s="1"/>
  <c r="G22" i="9"/>
  <c r="H22" i="9" s="1"/>
  <c r="H294" i="21"/>
  <c r="G319" i="21"/>
  <c r="H319" i="21" s="1"/>
  <c r="H16" i="15"/>
  <c r="G24" i="15"/>
  <c r="H24" i="15" s="1"/>
  <c r="G35" i="15"/>
  <c r="G27" i="15"/>
  <c r="H27" i="15" s="1"/>
  <c r="H42" i="16"/>
  <c r="H25" i="16"/>
  <c r="H35" i="16"/>
  <c r="H12" i="20"/>
  <c r="H13" i="20" s="1"/>
  <c r="F210" i="27" s="1"/>
  <c r="H33" i="16"/>
  <c r="G56" i="16"/>
  <c r="H38" i="16"/>
  <c r="G61" i="16"/>
  <c r="H51" i="16"/>
  <c r="G65" i="16"/>
  <c r="G79" i="16" s="1"/>
  <c r="H79" i="16" s="1"/>
  <c r="G43" i="11"/>
  <c r="G121" i="22"/>
  <c r="H121" i="22" s="1"/>
  <c r="H21" i="17"/>
  <c r="H42" i="17"/>
  <c r="H84" i="21"/>
  <c r="H59" i="9"/>
  <c r="H51" i="19"/>
  <c r="G176" i="12"/>
  <c r="H176" i="12" s="1"/>
  <c r="H39" i="9"/>
  <c r="G36" i="22"/>
  <c r="H36" i="22" s="1"/>
  <c r="H25" i="22"/>
  <c r="G58" i="9"/>
  <c r="G72" i="9" s="1"/>
  <c r="H72" i="9" s="1"/>
  <c r="H15" i="17"/>
  <c r="H16" i="17" s="1"/>
  <c r="F145" i="27" s="1"/>
  <c r="H24" i="17"/>
  <c r="G46" i="17"/>
  <c r="H22" i="17"/>
  <c r="G44" i="17"/>
  <c r="H14" i="11"/>
  <c r="H15" i="11" s="1"/>
  <c r="F29" i="27" s="1"/>
  <c r="I15" i="23"/>
  <c r="H60" i="9"/>
  <c r="G74" i="9"/>
  <c r="H74" i="9" s="1"/>
  <c r="H368" i="21"/>
  <c r="I363" i="21" s="1"/>
  <c r="G49" i="12"/>
  <c r="H31" i="21"/>
  <c r="H38" i="21"/>
  <c r="G40" i="21"/>
  <c r="G60" i="21" s="1"/>
  <c r="H20" i="21"/>
  <c r="G70" i="21"/>
  <c r="H70" i="21" s="1"/>
  <c r="H14" i="21"/>
  <c r="H15" i="21" s="1"/>
  <c r="F230" i="27" s="1"/>
  <c r="G32" i="15"/>
  <c r="G42" i="15" s="1"/>
  <c r="H37" i="12"/>
  <c r="G48" i="12"/>
  <c r="G52" i="12"/>
  <c r="G64" i="12" s="1"/>
  <c r="G90" i="12" s="1"/>
  <c r="H236" i="12"/>
  <c r="G245" i="12"/>
  <c r="G247" i="12"/>
  <c r="H238" i="12"/>
  <c r="H226" i="12"/>
  <c r="G235" i="12"/>
  <c r="G253" i="12" s="1"/>
  <c r="H253" i="12" s="1"/>
  <c r="H228" i="12"/>
  <c r="G237" i="12"/>
  <c r="G255" i="12" s="1"/>
  <c r="H255" i="12" s="1"/>
  <c r="H52" i="19"/>
  <c r="G63" i="19"/>
  <c r="H78" i="24"/>
  <c r="I60" i="24"/>
  <c r="G58" i="22"/>
  <c r="H39" i="22"/>
  <c r="G43" i="21"/>
  <c r="H32" i="21"/>
  <c r="H18" i="19"/>
  <c r="H19" i="18"/>
  <c r="G30" i="18"/>
  <c r="H30" i="18" s="1"/>
  <c r="H32" i="18" s="1"/>
  <c r="H33" i="18" s="1"/>
  <c r="F172" i="27" s="1"/>
  <c r="AP13" i="50" s="1"/>
  <c r="H43" i="17"/>
  <c r="G54" i="17"/>
  <c r="G34" i="15"/>
  <c r="H18" i="15"/>
  <c r="H207" i="12"/>
  <c r="I207" i="12" s="1"/>
  <c r="G216" i="12"/>
  <c r="H153" i="12"/>
  <c r="G33" i="20"/>
  <c r="H25" i="20"/>
  <c r="H19" i="20"/>
  <c r="G27" i="20"/>
  <c r="G41" i="16"/>
  <c r="H27" i="16"/>
  <c r="H20" i="13"/>
  <c r="G30" i="13"/>
  <c r="G49" i="16"/>
  <c r="H40" i="16"/>
  <c r="H28" i="12"/>
  <c r="G39" i="12"/>
  <c r="H28" i="9"/>
  <c r="G64" i="9"/>
  <c r="G50" i="9"/>
  <c r="H50" i="9" s="1"/>
  <c r="I20" i="24"/>
  <c r="H30" i="24"/>
  <c r="I19" i="24"/>
  <c r="H29" i="24"/>
  <c r="H13" i="19"/>
  <c r="H14" i="19" s="1"/>
  <c r="F183" i="27" s="1"/>
  <c r="G32" i="20"/>
  <c r="H24" i="20"/>
  <c r="H31" i="12"/>
  <c r="G42" i="12"/>
  <c r="H32" i="13"/>
  <c r="G42" i="13"/>
  <c r="G30" i="10"/>
  <c r="H25" i="10"/>
  <c r="H177" i="12"/>
  <c r="G188" i="12"/>
  <c r="H188" i="12" s="1"/>
  <c r="G77" i="9"/>
  <c r="H63" i="9"/>
  <c r="G33" i="11"/>
  <c r="H20" i="11"/>
  <c r="H156" i="12"/>
  <c r="G178" i="12"/>
  <c r="H36" i="9"/>
  <c r="G57" i="9"/>
  <c r="G47" i="12"/>
  <c r="H36" i="12"/>
  <c r="H34" i="11"/>
  <c r="G47" i="11"/>
  <c r="G60" i="11" s="1"/>
  <c r="H60" i="11" s="1"/>
  <c r="G87" i="12"/>
  <c r="H74" i="12"/>
  <c r="H40" i="12"/>
  <c r="G51" i="12"/>
  <c r="G45" i="11"/>
  <c r="G58" i="11" s="1"/>
  <c r="H58" i="11" s="1"/>
  <c r="H32" i="11"/>
  <c r="H21" i="13"/>
  <c r="G31" i="13"/>
  <c r="G47" i="17"/>
  <c r="H25" i="17"/>
  <c r="G63" i="17"/>
  <c r="H52" i="17"/>
  <c r="I22" i="24"/>
  <c r="H32" i="24"/>
  <c r="H73" i="22"/>
  <c r="G82" i="22"/>
  <c r="H62" i="19"/>
  <c r="G73" i="19"/>
  <c r="H73" i="19" s="1"/>
  <c r="G61" i="21"/>
  <c r="H41" i="21"/>
  <c r="G52" i="21"/>
  <c r="H52" i="21" s="1"/>
  <c r="H53" i="17"/>
  <c r="G64" i="17"/>
  <c r="H181" i="12"/>
  <c r="G192" i="12"/>
  <c r="G35" i="11"/>
  <c r="H22" i="11"/>
  <c r="G69" i="21"/>
  <c r="H7" i="13"/>
  <c r="G17" i="13"/>
  <c r="G40" i="22"/>
  <c r="H29" i="22"/>
  <c r="G49" i="22"/>
  <c r="H49" i="22" s="1"/>
  <c r="H50" i="22" s="1"/>
  <c r="H51" i="22" s="1"/>
  <c r="F284" i="27" s="1"/>
  <c r="G186" i="12"/>
  <c r="H186" i="12" s="1"/>
  <c r="H175" i="12"/>
  <c r="G75" i="22"/>
  <c r="G65" i="22"/>
  <c r="H56" i="22"/>
  <c r="H21" i="21"/>
  <c r="H55" i="21"/>
  <c r="H44" i="21"/>
  <c r="G310" i="21"/>
  <c r="H276" i="21"/>
  <c r="H28" i="21"/>
  <c r="I28" i="21" s="1"/>
  <c r="G865" i="1" s="1"/>
  <c r="G39" i="21"/>
  <c r="G67" i="17"/>
  <c r="H56" i="17"/>
  <c r="H23" i="13"/>
  <c r="G33" i="13"/>
  <c r="H39" i="16"/>
  <c r="G48" i="16"/>
  <c r="G54" i="19"/>
  <c r="H43" i="19"/>
  <c r="G99" i="9"/>
  <c r="H99" i="9" s="1"/>
  <c r="H75" i="9"/>
  <c r="H1288" i="1" l="1"/>
  <c r="H234" i="1"/>
  <c r="H153" i="1"/>
  <c r="H413" i="1"/>
  <c r="H301" i="1"/>
  <c r="H364" i="1"/>
  <c r="H170" i="1"/>
  <c r="I74" i="22"/>
  <c r="G1249" i="1" s="1"/>
  <c r="J1249" i="1" s="1"/>
  <c r="H278" i="21"/>
  <c r="H942" i="1"/>
  <c r="K942" i="1" s="1"/>
  <c r="H936" i="1"/>
  <c r="K936" i="1" s="1"/>
  <c r="H946" i="1"/>
  <c r="K946" i="1" s="1"/>
  <c r="K926" i="1"/>
  <c r="K927" i="1"/>
  <c r="K923" i="1"/>
  <c r="H947" i="1"/>
  <c r="H332" i="13"/>
  <c r="H333" i="13" s="1"/>
  <c r="F98" i="27" s="1"/>
  <c r="I327" i="13"/>
  <c r="G1278" i="1" s="1"/>
  <c r="G946" i="1"/>
  <c r="J924" i="1"/>
  <c r="K1112" i="1"/>
  <c r="L1112" i="1" s="1"/>
  <c r="H941" i="1"/>
  <c r="K941" i="1" s="1"/>
  <c r="K925" i="1"/>
  <c r="G941" i="1"/>
  <c r="H1055" i="1"/>
  <c r="K1055" i="1" s="1"/>
  <c r="L1055" i="1" s="1"/>
  <c r="H935" i="1"/>
  <c r="K935" i="1" s="1"/>
  <c r="H934" i="1"/>
  <c r="K934" i="1" s="1"/>
  <c r="K921" i="1"/>
  <c r="K922" i="1"/>
  <c r="G935" i="1"/>
  <c r="G934" i="1"/>
  <c r="I1288" i="1"/>
  <c r="K1288" i="1"/>
  <c r="L1288" i="1" s="1"/>
  <c r="G829" i="1"/>
  <c r="J829" i="1" s="1"/>
  <c r="G868" i="1"/>
  <c r="J868" i="1" s="1"/>
  <c r="G791" i="1"/>
  <c r="J791" i="1" s="1"/>
  <c r="G344" i="1"/>
  <c r="G240" i="1"/>
  <c r="J240" i="1" s="1"/>
  <c r="G307" i="1"/>
  <c r="J307" i="1" s="1"/>
  <c r="G425" i="1"/>
  <c r="J425" i="1" s="1"/>
  <c r="G408" i="1"/>
  <c r="J408" i="1" s="1"/>
  <c r="G399" i="1"/>
  <c r="J399" i="1" s="1"/>
  <c r="G419" i="1"/>
  <c r="J419" i="1" s="1"/>
  <c r="G393" i="1"/>
  <c r="J393" i="1" s="1"/>
  <c r="G319" i="1"/>
  <c r="J319" i="1" s="1"/>
  <c r="G325" i="1"/>
  <c r="J325" i="1" s="1"/>
  <c r="G283" i="1"/>
  <c r="J283" i="1" s="1"/>
  <c r="G277" i="1"/>
  <c r="G294" i="1"/>
  <c r="J294" i="1" s="1"/>
  <c r="R57" i="1"/>
  <c r="G413" i="1"/>
  <c r="J413" i="1" s="1"/>
  <c r="G301" i="1"/>
  <c r="J301" i="1" s="1"/>
  <c r="G1094" i="1"/>
  <c r="J1094" i="1" s="1"/>
  <c r="G1180" i="1"/>
  <c r="J1180" i="1" s="1"/>
  <c r="G1137" i="1"/>
  <c r="J1137" i="1" s="1"/>
  <c r="G1102" i="1"/>
  <c r="J1102" i="1" s="1"/>
  <c r="G1189" i="1"/>
  <c r="J1189" i="1" s="1"/>
  <c r="G1188" i="1"/>
  <c r="J1188" i="1" s="1"/>
  <c r="G1145" i="1"/>
  <c r="J1145" i="1" s="1"/>
  <c r="R58" i="1"/>
  <c r="G414" i="1"/>
  <c r="J414" i="1" s="1"/>
  <c r="G302" i="1"/>
  <c r="J302" i="1" s="1"/>
  <c r="J143" i="1"/>
  <c r="G239" i="1"/>
  <c r="J239" i="1" s="1"/>
  <c r="G306" i="1"/>
  <c r="J306" i="1" s="1"/>
  <c r="G391" i="1"/>
  <c r="J391" i="1" s="1"/>
  <c r="G406" i="1"/>
  <c r="J406" i="1" s="1"/>
  <c r="G275" i="1"/>
  <c r="J275" i="1" s="1"/>
  <c r="G291" i="1"/>
  <c r="J291" i="1" s="1"/>
  <c r="J141" i="1"/>
  <c r="G404" i="1"/>
  <c r="J404" i="1" s="1"/>
  <c r="G388" i="1"/>
  <c r="J388" i="1" s="1"/>
  <c r="G288" i="1"/>
  <c r="J288" i="1" s="1"/>
  <c r="G272" i="1"/>
  <c r="J272" i="1" s="1"/>
  <c r="G1104" i="1"/>
  <c r="J1104" i="1" s="1"/>
  <c r="G1061" i="1"/>
  <c r="J1061" i="1" s="1"/>
  <c r="J1017" i="1"/>
  <c r="G1190" i="1"/>
  <c r="J1190" i="1" s="1"/>
  <c r="G1098" i="1"/>
  <c r="J1098" i="1" s="1"/>
  <c r="G1184" i="1"/>
  <c r="J1184" i="1" s="1"/>
  <c r="G1141" i="1"/>
  <c r="J1141" i="1" s="1"/>
  <c r="G430" i="1"/>
  <c r="J430" i="1" s="1"/>
  <c r="G389" i="1"/>
  <c r="J389" i="1" s="1"/>
  <c r="G289" i="1"/>
  <c r="J289" i="1" s="1"/>
  <c r="G273" i="1"/>
  <c r="J273" i="1" s="1"/>
  <c r="G330" i="1"/>
  <c r="J330" i="1" s="1"/>
  <c r="G1114" i="1"/>
  <c r="J1114" i="1" s="1"/>
  <c r="G1200" i="1"/>
  <c r="J1200" i="1" s="1"/>
  <c r="G1157" i="1"/>
  <c r="J1157" i="1" s="1"/>
  <c r="G1105" i="1"/>
  <c r="J1105" i="1" s="1"/>
  <c r="G1191" i="1"/>
  <c r="J1191" i="1" s="1"/>
  <c r="G1148" i="1"/>
  <c r="J1148" i="1" s="1"/>
  <c r="G1106" i="1"/>
  <c r="J1106" i="1" s="1"/>
  <c r="G1192" i="1"/>
  <c r="J1192" i="1" s="1"/>
  <c r="G1149" i="1"/>
  <c r="J1149" i="1" s="1"/>
  <c r="I748" i="1"/>
  <c r="J748" i="1"/>
  <c r="L748" i="1" s="1"/>
  <c r="J1128" i="1"/>
  <c r="L1128" i="1" s="1"/>
  <c r="I1128" i="1"/>
  <c r="G424" i="1"/>
  <c r="J424" i="1" s="1"/>
  <c r="G407" i="1"/>
  <c r="J407" i="1" s="1"/>
  <c r="G418" i="1"/>
  <c r="J418" i="1" s="1"/>
  <c r="G409" i="1"/>
  <c r="J409" i="1" s="1"/>
  <c r="G392" i="1"/>
  <c r="J392" i="1" s="1"/>
  <c r="G312" i="1"/>
  <c r="J312" i="1" s="1"/>
  <c r="G293" i="1"/>
  <c r="J293" i="1" s="1"/>
  <c r="G318" i="1"/>
  <c r="J318" i="1" s="1"/>
  <c r="G292" i="1"/>
  <c r="J292" i="1" s="1"/>
  <c r="G324" i="1"/>
  <c r="J324" i="1" s="1"/>
  <c r="G313" i="1"/>
  <c r="J313" i="1" s="1"/>
  <c r="G276" i="1"/>
  <c r="J276" i="1" s="1"/>
  <c r="G1096" i="1"/>
  <c r="J1096" i="1" s="1"/>
  <c r="G1182" i="1"/>
  <c r="J1182" i="1" s="1"/>
  <c r="G1139" i="1"/>
  <c r="J1139" i="1" s="1"/>
  <c r="G1107" i="1"/>
  <c r="J1107" i="1" s="1"/>
  <c r="G1193" i="1"/>
  <c r="J1193" i="1" s="1"/>
  <c r="G1150" i="1"/>
  <c r="J1150" i="1" s="1"/>
  <c r="J1171" i="1"/>
  <c r="L1171" i="1" s="1"/>
  <c r="I1171" i="1"/>
  <c r="H277" i="21"/>
  <c r="G42" i="20"/>
  <c r="H42" i="20" s="1"/>
  <c r="H954" i="1"/>
  <c r="I1121" i="1"/>
  <c r="G953" i="1"/>
  <c r="J953" i="1" s="1"/>
  <c r="G952" i="1"/>
  <c r="J952" i="1" s="1"/>
  <c r="G951" i="1"/>
  <c r="J951" i="1" s="1"/>
  <c r="G933" i="1"/>
  <c r="J933" i="1" s="1"/>
  <c r="G57" i="19"/>
  <c r="H57" i="19" s="1"/>
  <c r="H82" i="9"/>
  <c r="K1169" i="1"/>
  <c r="L1169" i="1" s="1"/>
  <c r="I1169" i="1"/>
  <c r="K1170" i="1"/>
  <c r="L1170" i="1" s="1"/>
  <c r="I1170" i="1"/>
  <c r="K1167" i="1"/>
  <c r="L1167" i="1" s="1"/>
  <c r="I1167" i="1"/>
  <c r="K1185" i="1"/>
  <c r="L1185" i="1" s="1"/>
  <c r="I1185" i="1"/>
  <c r="K1166" i="1"/>
  <c r="L1166" i="1" s="1"/>
  <c r="I1166" i="1"/>
  <c r="K1168" i="1"/>
  <c r="L1168" i="1" s="1"/>
  <c r="I1168" i="1"/>
  <c r="K1164" i="1"/>
  <c r="L1164" i="1" s="1"/>
  <c r="I1164" i="1"/>
  <c r="K1163" i="1"/>
  <c r="L1163" i="1" s="1"/>
  <c r="I1163" i="1"/>
  <c r="K1165" i="1"/>
  <c r="L1165" i="1" s="1"/>
  <c r="I1165" i="1"/>
  <c r="K1162" i="1"/>
  <c r="L1162" i="1" s="1"/>
  <c r="I1162" i="1"/>
  <c r="G50" i="20"/>
  <c r="H50" i="20" s="1"/>
  <c r="G58" i="20"/>
  <c r="G66" i="20"/>
  <c r="H1233" i="1"/>
  <c r="K1233" i="1" s="1"/>
  <c r="H1247" i="1"/>
  <c r="H455" i="1"/>
  <c r="K455" i="1" s="1"/>
  <c r="L455" i="1" s="1"/>
  <c r="H467" i="1"/>
  <c r="H1131" i="1"/>
  <c r="K1131" i="1" s="1"/>
  <c r="H1174" i="1"/>
  <c r="H456" i="1"/>
  <c r="I456" i="1" s="1"/>
  <c r="H468" i="1"/>
  <c r="H952" i="1"/>
  <c r="H933" i="1"/>
  <c r="H951" i="1"/>
  <c r="H953" i="1"/>
  <c r="H955" i="1"/>
  <c r="K301" i="1"/>
  <c r="H776" i="1"/>
  <c r="K776" i="1" s="1"/>
  <c r="H854" i="1"/>
  <c r="K854" i="1" s="1"/>
  <c r="G237" i="1"/>
  <c r="G304" i="1"/>
  <c r="G386" i="1"/>
  <c r="G173" i="1"/>
  <c r="J854" i="1"/>
  <c r="J396" i="1"/>
  <c r="J865" i="1"/>
  <c r="J422" i="1"/>
  <c r="J416" i="1"/>
  <c r="J1248" i="1"/>
  <c r="J912" i="1"/>
  <c r="J908" i="1"/>
  <c r="J1177" i="1"/>
  <c r="J853" i="1"/>
  <c r="J855" i="1"/>
  <c r="J478" i="1"/>
  <c r="J864" i="1"/>
  <c r="J1280" i="1"/>
  <c r="G904" i="1"/>
  <c r="J904" i="1" s="1"/>
  <c r="G892" i="1"/>
  <c r="J892" i="1" s="1"/>
  <c r="G900" i="1"/>
  <c r="J900" i="1" s="1"/>
  <c r="F161" i="21"/>
  <c r="F170" i="21"/>
  <c r="G815" i="1"/>
  <c r="J815" i="1" s="1"/>
  <c r="G776" i="1"/>
  <c r="J776" i="1" s="1"/>
  <c r="G826" i="1"/>
  <c r="J826" i="1" s="1"/>
  <c r="G788" i="1"/>
  <c r="J788" i="1" s="1"/>
  <c r="G1091" i="1"/>
  <c r="J1091" i="1" s="1"/>
  <c r="G1134" i="1"/>
  <c r="J1134" i="1" s="1"/>
  <c r="G818" i="1"/>
  <c r="J818" i="1" s="1"/>
  <c r="G779" i="1"/>
  <c r="J779" i="1" s="1"/>
  <c r="G816" i="1"/>
  <c r="J816" i="1" s="1"/>
  <c r="G777" i="1"/>
  <c r="J777" i="1" s="1"/>
  <c r="G814" i="1"/>
  <c r="J814" i="1" s="1"/>
  <c r="G775" i="1"/>
  <c r="J775" i="1" s="1"/>
  <c r="G1227" i="1"/>
  <c r="J1227" i="1" s="1"/>
  <c r="G1234" i="1"/>
  <c r="J1234" i="1" s="1"/>
  <c r="G1228" i="1"/>
  <c r="J1228" i="1" s="1"/>
  <c r="G1235" i="1"/>
  <c r="J1235" i="1" s="1"/>
  <c r="K1126" i="1"/>
  <c r="L1126" i="1" s="1"/>
  <c r="I1126" i="1"/>
  <c r="K1125" i="1"/>
  <c r="L1125" i="1" s="1"/>
  <c r="I1125" i="1"/>
  <c r="K1119" i="1"/>
  <c r="L1119" i="1" s="1"/>
  <c r="I1119" i="1"/>
  <c r="K1127" i="1"/>
  <c r="L1127" i="1" s="1"/>
  <c r="I1127" i="1"/>
  <c r="H1099" i="1"/>
  <c r="I1099" i="1" s="1"/>
  <c r="H1142" i="1"/>
  <c r="K1155" i="1"/>
  <c r="L1155" i="1" s="1"/>
  <c r="I1155" i="1"/>
  <c r="K1123" i="1"/>
  <c r="L1123" i="1" s="1"/>
  <c r="I1123" i="1"/>
  <c r="K1122" i="1"/>
  <c r="L1122" i="1" s="1"/>
  <c r="I1122" i="1"/>
  <c r="K1124" i="1"/>
  <c r="L1124" i="1" s="1"/>
  <c r="I1124" i="1"/>
  <c r="K1120" i="1"/>
  <c r="L1120" i="1" s="1"/>
  <c r="I1120" i="1"/>
  <c r="J672" i="1"/>
  <c r="I289" i="21"/>
  <c r="G330" i="21"/>
  <c r="G339" i="21" s="1"/>
  <c r="G462" i="21" s="1"/>
  <c r="H462" i="21" s="1"/>
  <c r="H312" i="21"/>
  <c r="H290" i="21"/>
  <c r="H291" i="21" s="1"/>
  <c r="F272" i="27" s="1"/>
  <c r="J144" i="1"/>
  <c r="G246" i="1"/>
  <c r="G245" i="1"/>
  <c r="G182" i="1"/>
  <c r="J182" i="1" s="1"/>
  <c r="G181" i="1"/>
  <c r="J181" i="1" s="1"/>
  <c r="J243" i="1"/>
  <c r="G36" i="10"/>
  <c r="H36" i="10" s="1"/>
  <c r="J830" i="1"/>
  <c r="G714" i="1"/>
  <c r="J714" i="1" s="1"/>
  <c r="H116" i="15"/>
  <c r="I116" i="15" s="1"/>
  <c r="H1226" i="1"/>
  <c r="H1240" i="1"/>
  <c r="I1240" i="1" s="1"/>
  <c r="H1219" i="1"/>
  <c r="H1212" i="1"/>
  <c r="H461" i="1"/>
  <c r="H443" i="1"/>
  <c r="H449" i="1"/>
  <c r="K449" i="1" s="1"/>
  <c r="H462" i="1"/>
  <c r="H444" i="1"/>
  <c r="H450" i="1"/>
  <c r="K450" i="1" s="1"/>
  <c r="I294" i="15"/>
  <c r="J483" i="1" s="1"/>
  <c r="R51" i="1"/>
  <c r="G342" i="1"/>
  <c r="R48" i="1"/>
  <c r="G339" i="1"/>
  <c r="H215" i="34"/>
  <c r="H228" i="34" s="1"/>
  <c r="H229" i="34" s="1"/>
  <c r="H214" i="34" s="1"/>
  <c r="H501" i="34" s="1"/>
  <c r="H231" i="34"/>
  <c r="H244" i="34" s="1"/>
  <c r="H245" i="34" s="1"/>
  <c r="H230" i="34" s="1"/>
  <c r="H502" i="34" s="1"/>
  <c r="H55" i="34"/>
  <c r="H68" i="34" s="1"/>
  <c r="H69" i="34" s="1"/>
  <c r="H54" i="34" s="1"/>
  <c r="H491" i="34" s="1"/>
  <c r="H311" i="34"/>
  <c r="H324" i="34" s="1"/>
  <c r="H325" i="34" s="1"/>
  <c r="H310" i="34" s="1"/>
  <c r="H507" i="34" s="1"/>
  <c r="K1078" i="1"/>
  <c r="L1078" i="1" s="1"/>
  <c r="I1078" i="1"/>
  <c r="K1082" i="1"/>
  <c r="L1082" i="1" s="1"/>
  <c r="I1082" i="1"/>
  <c r="K1077" i="1"/>
  <c r="L1077" i="1" s="1"/>
  <c r="I1077" i="1"/>
  <c r="K1035" i="1"/>
  <c r="L1035" i="1" s="1"/>
  <c r="I1035" i="1"/>
  <c r="K1037" i="1"/>
  <c r="L1037" i="1" s="1"/>
  <c r="I1037" i="1"/>
  <c r="G381" i="1"/>
  <c r="G263" i="1"/>
  <c r="G199" i="1"/>
  <c r="G115" i="1"/>
  <c r="G340" i="1"/>
  <c r="H71" i="34"/>
  <c r="H84" i="34" s="1"/>
  <c r="H85" i="34" s="1"/>
  <c r="H70" i="34" s="1"/>
  <c r="H492" i="34" s="1"/>
  <c r="H39" i="34"/>
  <c r="H52" i="34" s="1"/>
  <c r="H53" i="34" s="1"/>
  <c r="H38" i="34" s="1"/>
  <c r="H490" i="34" s="1"/>
  <c r="H199" i="34"/>
  <c r="H212" i="34" s="1"/>
  <c r="H213" i="34" s="1"/>
  <c r="H198" i="34" s="1"/>
  <c r="H500" i="34" s="1"/>
  <c r="H119" i="34"/>
  <c r="H132" i="34" s="1"/>
  <c r="H133" i="34" s="1"/>
  <c r="H118" i="34" s="1"/>
  <c r="H495" i="34" s="1"/>
  <c r="H263" i="34"/>
  <c r="H276" i="34" s="1"/>
  <c r="H277" i="34" s="1"/>
  <c r="H262" i="34" s="1"/>
  <c r="H504" i="34" s="1"/>
  <c r="H455" i="34"/>
  <c r="H468" i="34" s="1"/>
  <c r="H469" i="34" s="1"/>
  <c r="H454" i="34" s="1"/>
  <c r="H516" i="34" s="1"/>
  <c r="K1034" i="1"/>
  <c r="L1034" i="1" s="1"/>
  <c r="I1034" i="1"/>
  <c r="K995" i="1"/>
  <c r="L995" i="1" s="1"/>
  <c r="I995" i="1"/>
  <c r="K1032" i="1"/>
  <c r="L1032" i="1" s="1"/>
  <c r="I1032" i="1"/>
  <c r="K1036" i="1"/>
  <c r="L1036" i="1" s="1"/>
  <c r="I1036" i="1"/>
  <c r="K1080" i="1"/>
  <c r="L1080" i="1" s="1"/>
  <c r="I1080" i="1"/>
  <c r="K1039" i="1"/>
  <c r="L1039" i="1" s="1"/>
  <c r="I1039" i="1"/>
  <c r="G360" i="1"/>
  <c r="G343" i="1"/>
  <c r="H135" i="34"/>
  <c r="H148" i="34" s="1"/>
  <c r="H149" i="34" s="1"/>
  <c r="H134" i="34" s="1"/>
  <c r="H496" i="34" s="1"/>
  <c r="H103" i="34"/>
  <c r="H116" i="34" s="1"/>
  <c r="H117" i="34" s="1"/>
  <c r="H102" i="34" s="1"/>
  <c r="H494" i="34" s="1"/>
  <c r="H23" i="34"/>
  <c r="H36" i="34" s="1"/>
  <c r="H37" i="34" s="1"/>
  <c r="H22" i="34" s="1"/>
  <c r="H489" i="34" s="1"/>
  <c r="H183" i="34"/>
  <c r="H196" i="34" s="1"/>
  <c r="H197" i="34" s="1"/>
  <c r="H182" i="34" s="1"/>
  <c r="H499" i="34" s="1"/>
  <c r="H279" i="34"/>
  <c r="H292" i="34" s="1"/>
  <c r="H293" i="34" s="1"/>
  <c r="H278" i="34" s="1"/>
  <c r="H505" i="34" s="1"/>
  <c r="H295" i="34"/>
  <c r="H308" i="34" s="1"/>
  <c r="H309" i="34" s="1"/>
  <c r="H294" i="34" s="1"/>
  <c r="H506" i="34" s="1"/>
  <c r="H407" i="34"/>
  <c r="H420" i="34" s="1"/>
  <c r="H421" i="34" s="1"/>
  <c r="H406" i="34" s="1"/>
  <c r="H513" i="34" s="1"/>
  <c r="K1033" i="1"/>
  <c r="L1033" i="1" s="1"/>
  <c r="I1033" i="1"/>
  <c r="K1038" i="1"/>
  <c r="L1038" i="1" s="1"/>
  <c r="I1038" i="1"/>
  <c r="K1040" i="1"/>
  <c r="L1040" i="1" s="1"/>
  <c r="I1040" i="1"/>
  <c r="K1084" i="1"/>
  <c r="L1084" i="1" s="1"/>
  <c r="I1084" i="1"/>
  <c r="K1079" i="1"/>
  <c r="L1079" i="1" s="1"/>
  <c r="I1079" i="1"/>
  <c r="H87" i="34"/>
  <c r="H100" i="34" s="1"/>
  <c r="H101" i="34" s="1"/>
  <c r="H86" i="34" s="1"/>
  <c r="H493" i="34" s="1"/>
  <c r="H167" i="34"/>
  <c r="H180" i="34" s="1"/>
  <c r="H181" i="34" s="1"/>
  <c r="H166" i="34" s="1"/>
  <c r="H498" i="34" s="1"/>
  <c r="H151" i="34"/>
  <c r="H164" i="34" s="1"/>
  <c r="H165" i="34" s="1"/>
  <c r="H150" i="34" s="1"/>
  <c r="H497" i="34" s="1"/>
  <c r="H247" i="34"/>
  <c r="H260" i="34" s="1"/>
  <c r="H261" i="34" s="1"/>
  <c r="H246" i="34" s="1"/>
  <c r="H503" i="34" s="1"/>
  <c r="K1076" i="1"/>
  <c r="L1076" i="1" s="1"/>
  <c r="I1076" i="1"/>
  <c r="K996" i="1"/>
  <c r="L996" i="1" s="1"/>
  <c r="I996" i="1"/>
  <c r="K1081" i="1"/>
  <c r="L1081" i="1" s="1"/>
  <c r="I1081" i="1"/>
  <c r="K997" i="1"/>
  <c r="L997" i="1" s="1"/>
  <c r="I997" i="1"/>
  <c r="K1083" i="1"/>
  <c r="L1083" i="1" s="1"/>
  <c r="I1083" i="1"/>
  <c r="H216" i="19"/>
  <c r="H217" i="19" s="1"/>
  <c r="F203" i="27" s="1"/>
  <c r="I430" i="24"/>
  <c r="H439" i="24"/>
  <c r="I439" i="24" s="1"/>
  <c r="I431" i="24"/>
  <c r="H440" i="24"/>
  <c r="I440" i="24" s="1"/>
  <c r="I429" i="24"/>
  <c r="H438" i="24"/>
  <c r="I438" i="24" s="1"/>
  <c r="I993" i="1"/>
  <c r="G18" i="13"/>
  <c r="G28" i="13" s="1"/>
  <c r="G38" i="13" s="1"/>
  <c r="G76" i="13" s="1"/>
  <c r="G293" i="13"/>
  <c r="H315" i="13" s="1"/>
  <c r="G230" i="1"/>
  <c r="G163" i="1"/>
  <c r="J163" i="1" s="1"/>
  <c r="G129" i="1"/>
  <c r="I42" i="17"/>
  <c r="G936" i="1" s="1"/>
  <c r="G128" i="1"/>
  <c r="G229" i="1"/>
  <c r="G162" i="1"/>
  <c r="G213" i="1"/>
  <c r="K994" i="1"/>
  <c r="L994" i="1" s="1"/>
  <c r="I994" i="1"/>
  <c r="G214" i="1"/>
  <c r="I1012" i="1"/>
  <c r="I414" i="24"/>
  <c r="I415" i="24" s="1"/>
  <c r="F343" i="27" s="1"/>
  <c r="H815" i="1"/>
  <c r="K815" i="1" s="1"/>
  <c r="H737" i="1"/>
  <c r="K737" i="1" s="1"/>
  <c r="K657" i="1"/>
  <c r="H699" i="1"/>
  <c r="K699" i="1" s="1"/>
  <c r="R52" i="1"/>
  <c r="G125" i="1"/>
  <c r="G210" i="1"/>
  <c r="R49" i="1"/>
  <c r="I46" i="1"/>
  <c r="J46" i="1"/>
  <c r="L46" i="1" s="1"/>
  <c r="G176" i="1"/>
  <c r="J176" i="1" s="1"/>
  <c r="R53" i="1"/>
  <c r="J973" i="1"/>
  <c r="J44" i="1"/>
  <c r="G212" i="1"/>
  <c r="G175" i="1"/>
  <c r="G127" i="1"/>
  <c r="G357" i="1"/>
  <c r="G227" i="1"/>
  <c r="G160" i="1"/>
  <c r="K364" i="1"/>
  <c r="K153" i="1"/>
  <c r="I419" i="24"/>
  <c r="I423" i="24" s="1"/>
  <c r="I424" i="24" s="1"/>
  <c r="F344" i="27" s="1"/>
  <c r="H428" i="24"/>
  <c r="H1088" i="1"/>
  <c r="K1088" i="1" s="1"/>
  <c r="K1001" i="1"/>
  <c r="H1044" i="1"/>
  <c r="K1044" i="1" s="1"/>
  <c r="G220" i="1"/>
  <c r="G370" i="1"/>
  <c r="G350" i="1"/>
  <c r="G258" i="1"/>
  <c r="G359" i="1"/>
  <c r="G376" i="1"/>
  <c r="G252" i="1"/>
  <c r="G896" i="1"/>
  <c r="J896" i="1" s="1"/>
  <c r="G154" i="1"/>
  <c r="G365" i="1"/>
  <c r="G209" i="1"/>
  <c r="G355" i="1"/>
  <c r="J217" i="1"/>
  <c r="G153" i="1"/>
  <c r="G364" i="1"/>
  <c r="J347" i="1"/>
  <c r="J249" i="1"/>
  <c r="J367" i="1"/>
  <c r="G358" i="1"/>
  <c r="G369" i="1"/>
  <c r="G161" i="1"/>
  <c r="J161" i="1" s="1"/>
  <c r="G375" i="1"/>
  <c r="G257" i="1"/>
  <c r="G228" i="1"/>
  <c r="G251" i="1"/>
  <c r="J373" i="1"/>
  <c r="J255" i="1"/>
  <c r="J980" i="1"/>
  <c r="J799" i="1"/>
  <c r="I990" i="1"/>
  <c r="K990" i="1"/>
  <c r="L990" i="1" s="1"/>
  <c r="J957" i="1"/>
  <c r="J801" i="1"/>
  <c r="J1085" i="1"/>
  <c r="I1085" i="1"/>
  <c r="K992" i="1"/>
  <c r="L992" i="1" s="1"/>
  <c r="I992" i="1"/>
  <c r="G1054" i="1"/>
  <c r="I24" i="9"/>
  <c r="J18" i="1" s="1"/>
  <c r="G193" i="1"/>
  <c r="G1052" i="1"/>
  <c r="G1050" i="1"/>
  <c r="F222" i="32"/>
  <c r="G158" i="1"/>
  <c r="G124" i="1"/>
  <c r="J66" i="1"/>
  <c r="G225" i="1"/>
  <c r="I20" i="19"/>
  <c r="I215" i="19"/>
  <c r="G191" i="12"/>
  <c r="G200" i="12" s="1"/>
  <c r="K170" i="1"/>
  <c r="K234" i="1"/>
  <c r="J395" i="24"/>
  <c r="H1196" i="1" s="1"/>
  <c r="I383" i="24"/>
  <c r="J386" i="24" s="1"/>
  <c r="H1197" i="1" s="1"/>
  <c r="J745" i="1"/>
  <c r="J744" i="1"/>
  <c r="I360" i="24"/>
  <c r="I361" i="24" s="1"/>
  <c r="F338" i="27" s="1"/>
  <c r="G1221" i="1"/>
  <c r="G1242" i="1"/>
  <c r="J1242" i="1" s="1"/>
  <c r="G1062" i="1"/>
  <c r="G1064" i="1"/>
  <c r="J99" i="1"/>
  <c r="G700" i="1"/>
  <c r="G738" i="1"/>
  <c r="G194" i="1"/>
  <c r="G188" i="1"/>
  <c r="G136" i="1"/>
  <c r="G884" i="1"/>
  <c r="J494" i="1"/>
  <c r="G234" i="1"/>
  <c r="G170" i="1"/>
  <c r="J450" i="1"/>
  <c r="G710" i="1"/>
  <c r="G749" i="1"/>
  <c r="J749" i="1" s="1"/>
  <c r="G752" i="1"/>
  <c r="G713" i="1"/>
  <c r="J471" i="1"/>
  <c r="G1071" i="1"/>
  <c r="G1047" i="1"/>
  <c r="G1063" i="1"/>
  <c r="J449" i="1"/>
  <c r="G187" i="1"/>
  <c r="G698" i="1"/>
  <c r="G736" i="1"/>
  <c r="J736" i="1" s="1"/>
  <c r="J622" i="1"/>
  <c r="J635" i="1" s="1"/>
  <c r="J191" i="1"/>
  <c r="J983" i="1"/>
  <c r="G888" i="1"/>
  <c r="J888" i="1" s="1"/>
  <c r="G880" i="1"/>
  <c r="G737" i="1"/>
  <c r="J737" i="1" s="1"/>
  <c r="G699" i="1"/>
  <c r="G702" i="1"/>
  <c r="G740" i="1"/>
  <c r="J740" i="1" s="1"/>
  <c r="G1059" i="1"/>
  <c r="G235" i="1"/>
  <c r="G171" i="1"/>
  <c r="H1206" i="1"/>
  <c r="I1206" i="1" s="1"/>
  <c r="G1241" i="1"/>
  <c r="J1241" i="1" s="1"/>
  <c r="G1220" i="1"/>
  <c r="F106" i="32"/>
  <c r="F107" i="32"/>
  <c r="F105" i="32"/>
  <c r="F111" i="32"/>
  <c r="F108" i="32"/>
  <c r="G75" i="16"/>
  <c r="H75" i="16" s="1"/>
  <c r="N3" i="36"/>
  <c r="F7" i="36" s="1"/>
  <c r="G7" i="36" s="1"/>
  <c r="K991" i="1"/>
  <c r="L991" i="1" s="1"/>
  <c r="I991" i="1"/>
  <c r="K989" i="1"/>
  <c r="L989" i="1" s="1"/>
  <c r="I989" i="1"/>
  <c r="J721" i="1"/>
  <c r="J723" i="1"/>
  <c r="N19" i="36"/>
  <c r="J960" i="1"/>
  <c r="J938" i="1"/>
  <c r="F298" i="32" s="1"/>
  <c r="N9" i="36"/>
  <c r="F17" i="36" s="1"/>
  <c r="G17" i="36" s="1"/>
  <c r="I32" i="1"/>
  <c r="L1070" i="1"/>
  <c r="L32" i="1"/>
  <c r="B64" i="27"/>
  <c r="B65" i="27" s="1"/>
  <c r="B66" i="27" s="1"/>
  <c r="I210" i="13"/>
  <c r="I256" i="12"/>
  <c r="H257" i="12"/>
  <c r="H258" i="12" s="1"/>
  <c r="F64" i="27" s="1"/>
  <c r="H56" i="16"/>
  <c r="G70" i="16"/>
  <c r="H70" i="16" s="1"/>
  <c r="G252" i="13"/>
  <c r="H252" i="13" s="1"/>
  <c r="H241" i="13"/>
  <c r="I243" i="13" s="1"/>
  <c r="G265" i="15"/>
  <c r="H251" i="13"/>
  <c r="J38" i="1"/>
  <c r="J41" i="1" s="1"/>
  <c r="I229" i="12"/>
  <c r="I33" i="21"/>
  <c r="I22" i="21"/>
  <c r="H21" i="18"/>
  <c r="H22" i="18" s="1"/>
  <c r="F171" i="27" s="1"/>
  <c r="AP11" i="50" s="1"/>
  <c r="AW35" i="50" s="1"/>
  <c r="BA35" i="50" s="1"/>
  <c r="I31" i="12"/>
  <c r="H20" i="20"/>
  <c r="H21" i="20" s="1"/>
  <c r="F211" i="27" s="1"/>
  <c r="H122" i="13"/>
  <c r="G133" i="13"/>
  <c r="H133" i="13" s="1"/>
  <c r="I143" i="21"/>
  <c r="G839" i="1" s="1"/>
  <c r="J839" i="1" s="1"/>
  <c r="H43" i="11"/>
  <c r="I44" i="11" s="1"/>
  <c r="G56" i="11"/>
  <c r="H56" i="11" s="1"/>
  <c r="I57" i="11" s="1"/>
  <c r="I22" i="11"/>
  <c r="I19" i="20"/>
  <c r="I28" i="9"/>
  <c r="K1025" i="1"/>
  <c r="L1025" i="1" s="1"/>
  <c r="I1025" i="1"/>
  <c r="I27" i="15"/>
  <c r="I31" i="18"/>
  <c r="H38" i="22"/>
  <c r="H27" i="10"/>
  <c r="H28" i="10" s="1"/>
  <c r="F21" i="27" s="1"/>
  <c r="I26" i="10"/>
  <c r="H35" i="1" s="1"/>
  <c r="J22" i="24"/>
  <c r="I23" i="13"/>
  <c r="I19" i="15"/>
  <c r="I25" i="17"/>
  <c r="I20" i="18"/>
  <c r="K622" i="1"/>
  <c r="I622" i="1"/>
  <c r="K1069" i="1"/>
  <c r="L1069" i="1" s="1"/>
  <c r="I1069" i="1"/>
  <c r="I13" i="24"/>
  <c r="I14" i="24" s="1"/>
  <c r="F301" i="27" s="1"/>
  <c r="H21" i="19"/>
  <c r="H22" i="19" s="1"/>
  <c r="F184" i="27" s="1"/>
  <c r="G45" i="19"/>
  <c r="H45" i="19" s="1"/>
  <c r="G35" i="19"/>
  <c r="H35" i="19" s="1"/>
  <c r="I21" i="17"/>
  <c r="I38" i="12"/>
  <c r="I14" i="9"/>
  <c r="I53" i="19"/>
  <c r="I50" i="9"/>
  <c r="H21" i="1" s="1"/>
  <c r="J1208" i="1"/>
  <c r="J644" i="1"/>
  <c r="J889" i="1"/>
  <c r="J642" i="1"/>
  <c r="J965" i="1"/>
  <c r="J998" i="1"/>
  <c r="I998" i="1"/>
  <c r="J664" i="1"/>
  <c r="J687" i="1"/>
  <c r="J665" i="1"/>
  <c r="J685" i="1"/>
  <c r="J667" i="1"/>
  <c r="J666" i="1"/>
  <c r="J8" i="24"/>
  <c r="J638" i="1"/>
  <c r="I156" i="12"/>
  <c r="J1203" i="1"/>
  <c r="J1041" i="1"/>
  <c r="I1041" i="1"/>
  <c r="J1207" i="1"/>
  <c r="J706" i="1"/>
  <c r="J712" i="1"/>
  <c r="J640" i="1"/>
  <c r="J917" i="1"/>
  <c r="J708" i="1"/>
  <c r="J681" i="1"/>
  <c r="I31" i="11"/>
  <c r="J881" i="1"/>
  <c r="J707" i="1"/>
  <c r="J670" i="1"/>
  <c r="J683" i="1"/>
  <c r="J709" i="1"/>
  <c r="I28" i="16"/>
  <c r="H908" i="1" s="1"/>
  <c r="K908" i="1" s="1"/>
  <c r="I38" i="16"/>
  <c r="G909" i="1" s="1"/>
  <c r="I27" i="24"/>
  <c r="J28" i="24" s="1"/>
  <c r="G1173" i="1" s="1"/>
  <c r="J1173" i="1" s="1"/>
  <c r="H32" i="12"/>
  <c r="H33" i="12" s="1"/>
  <c r="F43" i="27" s="1"/>
  <c r="F101" i="27"/>
  <c r="G298" i="21"/>
  <c r="H298" i="21" s="1"/>
  <c r="G405" i="21"/>
  <c r="H405" i="21" s="1"/>
  <c r="G301" i="21"/>
  <c r="H301" i="21" s="1"/>
  <c r="G89" i="17"/>
  <c r="H89" i="17" s="1"/>
  <c r="G78" i="17"/>
  <c r="H78" i="17" s="1"/>
  <c r="I17" i="24"/>
  <c r="J18" i="24" s="1"/>
  <c r="I37" i="24"/>
  <c r="J38" i="24" s="1"/>
  <c r="G85" i="17"/>
  <c r="G74" i="17"/>
  <c r="H74" i="17" s="1"/>
  <c r="G86" i="17"/>
  <c r="G75" i="17"/>
  <c r="H75" i="17" s="1"/>
  <c r="G68" i="9"/>
  <c r="H68" i="9" s="1"/>
  <c r="H216" i="12"/>
  <c r="I216" i="12" s="1"/>
  <c r="H20" i="15"/>
  <c r="H21" i="15" s="1"/>
  <c r="F106" i="27" s="1"/>
  <c r="H29" i="9"/>
  <c r="H30" i="9" s="1"/>
  <c r="F7" i="27" s="1"/>
  <c r="G46" i="12"/>
  <c r="H19" i="13"/>
  <c r="H34" i="9"/>
  <c r="H230" i="12"/>
  <c r="H231" i="12" s="1"/>
  <c r="F61" i="27" s="1"/>
  <c r="G95" i="12"/>
  <c r="H95" i="12" s="1"/>
  <c r="H43" i="15"/>
  <c r="G51" i="21"/>
  <c r="H51" i="21" s="1"/>
  <c r="H10" i="10"/>
  <c r="F17" i="27" s="1"/>
  <c r="G59" i="12"/>
  <c r="H59" i="12" s="1"/>
  <c r="H62" i="21"/>
  <c r="H61" i="16"/>
  <c r="H91" i="22"/>
  <c r="I95" i="22" s="1"/>
  <c r="H82" i="22"/>
  <c r="G77" i="12"/>
  <c r="H77" i="12" s="1"/>
  <c r="H30" i="22"/>
  <c r="H31" i="22" s="1"/>
  <c r="F282" i="27" s="1"/>
  <c r="H52" i="12"/>
  <c r="H29" i="16"/>
  <c r="H30" i="16" s="1"/>
  <c r="F138" i="27" s="1"/>
  <c r="H161" i="21"/>
  <c r="G166" i="21" s="1"/>
  <c r="H166" i="21" s="1"/>
  <c r="I161" i="21" s="1"/>
  <c r="G844" i="1" s="1"/>
  <c r="J844" i="1" s="1"/>
  <c r="G187" i="12"/>
  <c r="H187" i="12" s="1"/>
  <c r="H64" i="12"/>
  <c r="H23" i="21"/>
  <c r="H24" i="21" s="1"/>
  <c r="F231" i="27" s="1"/>
  <c r="G76" i="9"/>
  <c r="G100" i="9" s="1"/>
  <c r="H100" i="9" s="1"/>
  <c r="H35" i="15"/>
  <c r="G45" i="15"/>
  <c r="H28" i="15"/>
  <c r="H29" i="15" s="1"/>
  <c r="F107" i="27" s="1"/>
  <c r="H65" i="16"/>
  <c r="H26" i="17"/>
  <c r="H27" i="17" s="1"/>
  <c r="F146" i="27" s="1"/>
  <c r="H48" i="16"/>
  <c r="G62" i="16"/>
  <c r="G76" i="16" s="1"/>
  <c r="H76" i="16" s="1"/>
  <c r="H49" i="16"/>
  <c r="G63" i="16"/>
  <c r="G77" i="16" s="1"/>
  <c r="H77" i="16" s="1"/>
  <c r="H58" i="9"/>
  <c r="H49" i="12"/>
  <c r="G55" i="17"/>
  <c r="H44" i="17"/>
  <c r="G57" i="17"/>
  <c r="H46" i="17"/>
  <c r="H40" i="21"/>
  <c r="G81" i="21"/>
  <c r="H81" i="21" s="1"/>
  <c r="H34" i="21"/>
  <c r="H35" i="21" s="1"/>
  <c r="F232" i="27" s="1"/>
  <c r="H32" i="15"/>
  <c r="G244" i="12"/>
  <c r="H235" i="12"/>
  <c r="H247" i="12"/>
  <c r="G265" i="12"/>
  <c r="H245" i="12"/>
  <c r="G263" i="12"/>
  <c r="G246" i="12"/>
  <c r="H237" i="12"/>
  <c r="H48" i="12"/>
  <c r="G58" i="12"/>
  <c r="G328" i="21"/>
  <c r="H310" i="21"/>
  <c r="H33" i="13"/>
  <c r="G43" i="13"/>
  <c r="G105" i="22"/>
  <c r="H105" i="22" s="1"/>
  <c r="H65" i="22"/>
  <c r="G96" i="22"/>
  <c r="H17" i="13"/>
  <c r="G27" i="13"/>
  <c r="G37" i="13" s="1"/>
  <c r="G74" i="21"/>
  <c r="H61" i="21"/>
  <c r="I78" i="24"/>
  <c r="H87" i="24"/>
  <c r="H105" i="24" s="1"/>
  <c r="I105" i="24" s="1"/>
  <c r="H69" i="21"/>
  <c r="G80" i="21"/>
  <c r="I32" i="24"/>
  <c r="H42" i="24"/>
  <c r="H31" i="13"/>
  <c r="G41" i="13"/>
  <c r="H57" i="9"/>
  <c r="G71" i="9"/>
  <c r="H71" i="9" s="1"/>
  <c r="H23" i="11"/>
  <c r="H24" i="11" s="1"/>
  <c r="F30" i="27" s="1"/>
  <c r="H125" i="15"/>
  <c r="I125" i="15" s="1"/>
  <c r="G142" i="15"/>
  <c r="F131" i="32" s="1"/>
  <c r="H58" i="20"/>
  <c r="G74" i="20"/>
  <c r="G98" i="20" s="1"/>
  <c r="H98" i="20" s="1"/>
  <c r="H90" i="12"/>
  <c r="G103" i="12"/>
  <c r="H41" i="16"/>
  <c r="H43" i="16" s="1"/>
  <c r="H44" i="16" s="1"/>
  <c r="F139" i="27" s="1"/>
  <c r="G50" i="16"/>
  <c r="H56" i="9"/>
  <c r="G70" i="9"/>
  <c r="H70" i="9" s="1"/>
  <c r="H52" i="15"/>
  <c r="G61" i="15"/>
  <c r="H67" i="17"/>
  <c r="G133" i="17"/>
  <c r="H57" i="22"/>
  <c r="G76" i="22"/>
  <c r="G66" i="22"/>
  <c r="G59" i="22"/>
  <c r="H40" i="22"/>
  <c r="G130" i="17"/>
  <c r="H64" i="17"/>
  <c r="H47" i="11"/>
  <c r="G72" i="11"/>
  <c r="H72" i="11" s="1"/>
  <c r="H33" i="11"/>
  <c r="G46" i="11"/>
  <c r="I30" i="24"/>
  <c r="H40" i="24"/>
  <c r="H39" i="12"/>
  <c r="G50" i="12"/>
  <c r="G35" i="20"/>
  <c r="H27" i="20"/>
  <c r="H28" i="20" s="1"/>
  <c r="H29" i="20" s="1"/>
  <c r="F212" i="27" s="1"/>
  <c r="G74" i="19"/>
  <c r="H74" i="19" s="1"/>
  <c r="I75" i="19" s="1"/>
  <c r="H63" i="19"/>
  <c r="I64" i="19" s="1"/>
  <c r="H87" i="9"/>
  <c r="G92" i="9"/>
  <c r="H92" i="9" s="1"/>
  <c r="G48" i="11"/>
  <c r="G61" i="11" s="1"/>
  <c r="H61" i="11" s="1"/>
  <c r="H35" i="11"/>
  <c r="G329" i="21"/>
  <c r="H311" i="21"/>
  <c r="H8" i="13"/>
  <c r="H14" i="13" s="1"/>
  <c r="H30" i="10"/>
  <c r="G35" i="10"/>
  <c r="I29" i="24"/>
  <c r="H39" i="24"/>
  <c r="G44" i="15"/>
  <c r="H34" i="15"/>
  <c r="G54" i="21"/>
  <c r="H54" i="21" s="1"/>
  <c r="G63" i="21"/>
  <c r="H43" i="21"/>
  <c r="G68" i="19"/>
  <c r="H279" i="21"/>
  <c r="G313" i="21"/>
  <c r="G201" i="12"/>
  <c r="H192" i="12"/>
  <c r="H170" i="21"/>
  <c r="F179" i="21"/>
  <c r="H63" i="17"/>
  <c r="G129" i="17"/>
  <c r="G66" i="11"/>
  <c r="H45" i="11"/>
  <c r="H29" i="13"/>
  <c r="G39" i="13"/>
  <c r="G88" i="21"/>
  <c r="H75" i="21"/>
  <c r="G101" i="9"/>
  <c r="H101" i="9" s="1"/>
  <c r="H77" i="9"/>
  <c r="H42" i="13"/>
  <c r="G52" i="13"/>
  <c r="G65" i="17"/>
  <c r="H54" i="17"/>
  <c r="I54" i="17" s="1"/>
  <c r="H47" i="17"/>
  <c r="G58" i="17"/>
  <c r="H64" i="9"/>
  <c r="I64" i="9" s="1"/>
  <c r="G83" i="9"/>
  <c r="G78" i="9"/>
  <c r="G44" i="19"/>
  <c r="G34" i="19"/>
  <c r="H34" i="19" s="1"/>
  <c r="H26" i="19"/>
  <c r="G157" i="21"/>
  <c r="H157" i="21" s="1"/>
  <c r="I152" i="21" s="1"/>
  <c r="G843" i="1" s="1"/>
  <c r="J843" i="1" s="1"/>
  <c r="G77" i="22"/>
  <c r="G67" i="22"/>
  <c r="H58" i="22"/>
  <c r="H75" i="22"/>
  <c r="G84" i="22"/>
  <c r="H84" i="22" s="1"/>
  <c r="H47" i="12"/>
  <c r="G60" i="12"/>
  <c r="H54" i="19"/>
  <c r="G65" i="19"/>
  <c r="G71" i="21"/>
  <c r="H39" i="21"/>
  <c r="I39" i="21" s="1"/>
  <c r="G851" i="1" s="1"/>
  <c r="G50" i="21"/>
  <c r="H50" i="21" s="1"/>
  <c r="I50" i="21" s="1"/>
  <c r="G852" i="1" s="1"/>
  <c r="H51" i="12"/>
  <c r="G63" i="12"/>
  <c r="G73" i="21"/>
  <c r="H60" i="21"/>
  <c r="G100" i="12"/>
  <c r="H87" i="12"/>
  <c r="G189" i="12"/>
  <c r="H189" i="12" s="1"/>
  <c r="H178" i="12"/>
  <c r="I178" i="12" s="1"/>
  <c r="H42" i="15"/>
  <c r="G51" i="15"/>
  <c r="H42" i="12"/>
  <c r="G53" i="12"/>
  <c r="H32" i="20"/>
  <c r="G64" i="20"/>
  <c r="G48" i="20"/>
  <c r="H48" i="20" s="1"/>
  <c r="G56" i="20"/>
  <c r="G40" i="20"/>
  <c r="H40" i="20" s="1"/>
  <c r="H66" i="20"/>
  <c r="G82" i="20"/>
  <c r="H30" i="13"/>
  <c r="G40" i="13"/>
  <c r="G57" i="20"/>
  <c r="G41" i="20"/>
  <c r="H41" i="20" s="1"/>
  <c r="H33" i="20"/>
  <c r="G49" i="20"/>
  <c r="H49" i="20" s="1"/>
  <c r="G65" i="20"/>
  <c r="H159" i="1" l="1"/>
  <c r="H282" i="1"/>
  <c r="H392" i="1"/>
  <c r="H126" i="1"/>
  <c r="H213" i="1"/>
  <c r="H389" i="1"/>
  <c r="H405" i="1"/>
  <c r="H356" i="1"/>
  <c r="H125" i="1"/>
  <c r="H210" i="1"/>
  <c r="H226" i="1"/>
  <c r="H349" i="1"/>
  <c r="K349" i="1" s="1"/>
  <c r="H289" i="1"/>
  <c r="H290" i="1"/>
  <c r="H343" i="1"/>
  <c r="H276" i="1"/>
  <c r="H128" i="1"/>
  <c r="H211" i="1"/>
  <c r="H135" i="1"/>
  <c r="H390" i="1"/>
  <c r="H340" i="1"/>
  <c r="H341" i="1"/>
  <c r="H219" i="1"/>
  <c r="K219" i="1" s="1"/>
  <c r="H273" i="1"/>
  <c r="H274" i="1"/>
  <c r="H398" i="1"/>
  <c r="H419" i="1"/>
  <c r="H376" i="1"/>
  <c r="H307" i="1"/>
  <c r="H399" i="1"/>
  <c r="H176" i="1"/>
  <c r="H194" i="1"/>
  <c r="H229" i="1"/>
  <c r="H283" i="1"/>
  <c r="H214" i="1"/>
  <c r="H370" i="1"/>
  <c r="K370" i="1" s="1"/>
  <c r="H136" i="1"/>
  <c r="H408" i="1"/>
  <c r="H325" i="1"/>
  <c r="H129" i="1"/>
  <c r="H319" i="1"/>
  <c r="H252" i="1"/>
  <c r="H393" i="1"/>
  <c r="H344" i="1"/>
  <c r="H188" i="1"/>
  <c r="H258" i="1"/>
  <c r="H293" i="1"/>
  <c r="H350" i="1"/>
  <c r="K350" i="1" s="1"/>
  <c r="H162" i="1"/>
  <c r="H425" i="1"/>
  <c r="H220" i="1"/>
  <c r="H359" i="1"/>
  <c r="H240" i="1"/>
  <c r="H277" i="1"/>
  <c r="J936" i="1"/>
  <c r="L936" i="1" s="1"/>
  <c r="I936" i="1"/>
  <c r="K928" i="1"/>
  <c r="L928" i="1" s="1"/>
  <c r="I928" i="1"/>
  <c r="K947" i="1"/>
  <c r="L947" i="1" s="1"/>
  <c r="I947" i="1"/>
  <c r="J923" i="1"/>
  <c r="L923" i="1" s="1"/>
  <c r="I923" i="1"/>
  <c r="J946" i="1"/>
  <c r="L946" i="1" s="1"/>
  <c r="I946" i="1"/>
  <c r="J1278" i="1"/>
  <c r="H321" i="13"/>
  <c r="H322" i="13" s="1"/>
  <c r="F97" i="27" s="1"/>
  <c r="I316" i="13"/>
  <c r="G1277" i="1" s="1"/>
  <c r="I1055" i="1"/>
  <c r="G444" i="21"/>
  <c r="H444" i="21" s="1"/>
  <c r="G453" i="21"/>
  <c r="H453" i="21" s="1"/>
  <c r="H281" i="21"/>
  <c r="H282" i="21" s="1"/>
  <c r="F258" i="27" s="1"/>
  <c r="K924" i="1"/>
  <c r="L924" i="1" s="1"/>
  <c r="I924" i="1"/>
  <c r="J941" i="1"/>
  <c r="L941" i="1" s="1"/>
  <c r="I941" i="1"/>
  <c r="J934" i="1"/>
  <c r="L934" i="1" s="1"/>
  <c r="I934" i="1"/>
  <c r="J922" i="1"/>
  <c r="L922" i="1" s="1"/>
  <c r="I922" i="1"/>
  <c r="J921" i="1"/>
  <c r="L921" i="1" s="1"/>
  <c r="I921" i="1"/>
  <c r="J935" i="1"/>
  <c r="L935" i="1" s="1"/>
  <c r="I935" i="1"/>
  <c r="L301" i="1"/>
  <c r="G1089" i="1"/>
  <c r="J1089" i="1" s="1"/>
  <c r="G1175" i="1"/>
  <c r="J1175" i="1" s="1"/>
  <c r="G1132" i="1"/>
  <c r="J1132" i="1" s="1"/>
  <c r="G363" i="1"/>
  <c r="G169" i="1"/>
  <c r="G412" i="1"/>
  <c r="J412" i="1" s="1"/>
  <c r="G233" i="1"/>
  <c r="J233" i="1" s="1"/>
  <c r="G300" i="1"/>
  <c r="J300" i="1" s="1"/>
  <c r="G1088" i="1"/>
  <c r="I1088" i="1" s="1"/>
  <c r="G1174" i="1"/>
  <c r="J1174" i="1" s="1"/>
  <c r="G1131" i="1"/>
  <c r="J1131" i="1" s="1"/>
  <c r="L1131" i="1" s="1"/>
  <c r="H330" i="21"/>
  <c r="K954" i="1"/>
  <c r="L954" i="1" s="1"/>
  <c r="I954" i="1"/>
  <c r="H191" i="12"/>
  <c r="G42" i="10"/>
  <c r="I1233" i="1"/>
  <c r="I455" i="1"/>
  <c r="I854" i="1"/>
  <c r="I301" i="1"/>
  <c r="L854" i="1"/>
  <c r="K1099" i="1"/>
  <c r="L1099" i="1" s="1"/>
  <c r="K1196" i="1"/>
  <c r="L1196" i="1" s="1"/>
  <c r="I1196" i="1"/>
  <c r="K1197" i="1"/>
  <c r="L1197" i="1" s="1"/>
  <c r="I1197" i="1"/>
  <c r="I908" i="1"/>
  <c r="I413" i="1"/>
  <c r="K413" i="1"/>
  <c r="L413" i="1" s="1"/>
  <c r="K955" i="1"/>
  <c r="K951" i="1"/>
  <c r="L951" i="1" s="1"/>
  <c r="I951" i="1"/>
  <c r="K952" i="1"/>
  <c r="L952" i="1" s="1"/>
  <c r="I952" i="1"/>
  <c r="H775" i="1"/>
  <c r="K775" i="1" s="1"/>
  <c r="L775" i="1" s="1"/>
  <c r="H853" i="1"/>
  <c r="K953" i="1"/>
  <c r="L953" i="1" s="1"/>
  <c r="I953" i="1"/>
  <c r="K1174" i="1"/>
  <c r="I1247" i="1"/>
  <c r="K1247" i="1"/>
  <c r="K456" i="1"/>
  <c r="L456" i="1" s="1"/>
  <c r="K933" i="1"/>
  <c r="I933" i="1"/>
  <c r="H1132" i="1"/>
  <c r="H1175" i="1"/>
  <c r="H788" i="1"/>
  <c r="K788" i="1" s="1"/>
  <c r="L788" i="1" s="1"/>
  <c r="H865" i="1"/>
  <c r="K468" i="1"/>
  <c r="L468" i="1" s="1"/>
  <c r="I468" i="1"/>
  <c r="K467" i="1"/>
  <c r="L467" i="1" s="1"/>
  <c r="I467" i="1"/>
  <c r="J386" i="1"/>
  <c r="J304" i="1"/>
  <c r="J852" i="1"/>
  <c r="J237" i="1"/>
  <c r="G1243" i="1"/>
  <c r="G1244" i="1"/>
  <c r="J1250" i="1"/>
  <c r="J909" i="1"/>
  <c r="L908" i="1"/>
  <c r="J851" i="1"/>
  <c r="G893" i="1"/>
  <c r="J893" i="1" s="1"/>
  <c r="G901" i="1"/>
  <c r="J901" i="1" s="1"/>
  <c r="I776" i="1"/>
  <c r="L776" i="1"/>
  <c r="G761" i="1"/>
  <c r="J761" i="1" s="1"/>
  <c r="G1087" i="1"/>
  <c r="J1087" i="1" s="1"/>
  <c r="G1130" i="1"/>
  <c r="J1130" i="1" s="1"/>
  <c r="G805" i="1"/>
  <c r="J805" i="1" s="1"/>
  <c r="G766" i="1"/>
  <c r="J766" i="1" s="1"/>
  <c r="G804" i="1"/>
  <c r="J804" i="1" s="1"/>
  <c r="G765" i="1"/>
  <c r="J765" i="1" s="1"/>
  <c r="G813" i="1"/>
  <c r="J813" i="1" s="1"/>
  <c r="G774" i="1"/>
  <c r="J774" i="1" s="1"/>
  <c r="G812" i="1"/>
  <c r="J812" i="1" s="1"/>
  <c r="G773" i="1"/>
  <c r="J773" i="1" s="1"/>
  <c r="G1237" i="1"/>
  <c r="J1237" i="1" s="1"/>
  <c r="G1236" i="1"/>
  <c r="J1236" i="1" s="1"/>
  <c r="I1023" i="1"/>
  <c r="H1153" i="1"/>
  <c r="K1142" i="1"/>
  <c r="L1142" i="1" s="1"/>
  <c r="I1142" i="1"/>
  <c r="H1111" i="1"/>
  <c r="K1111" i="1" s="1"/>
  <c r="L1111" i="1" s="1"/>
  <c r="H1154" i="1"/>
  <c r="L1233" i="1"/>
  <c r="I277" i="1"/>
  <c r="H892" i="1"/>
  <c r="K892" i="1" s="1"/>
  <c r="L892" i="1" s="1"/>
  <c r="H900" i="1"/>
  <c r="J792" i="1"/>
  <c r="L449" i="1"/>
  <c r="R56" i="1"/>
  <c r="J245" i="1"/>
  <c r="J246" i="1"/>
  <c r="K1240" i="1"/>
  <c r="I443" i="1"/>
  <c r="I444" i="1"/>
  <c r="G357" i="21"/>
  <c r="H357" i="21" s="1"/>
  <c r="G348" i="21"/>
  <c r="I449" i="1"/>
  <c r="I450" i="1"/>
  <c r="I437" i="1"/>
  <c r="I438" i="1"/>
  <c r="L450" i="1"/>
  <c r="I47" i="17"/>
  <c r="H22" i="1"/>
  <c r="K22" i="1" s="1"/>
  <c r="K18" i="1"/>
  <c r="L18" i="1" s="1"/>
  <c r="K462" i="1"/>
  <c r="L462" i="1" s="1"/>
  <c r="I462" i="1"/>
  <c r="K493" i="1"/>
  <c r="L493" i="1" s="1"/>
  <c r="I493" i="1"/>
  <c r="K623" i="1"/>
  <c r="L623" i="1" s="1"/>
  <c r="K461" i="1"/>
  <c r="L461" i="1" s="1"/>
  <c r="I461" i="1"/>
  <c r="K1226" i="1"/>
  <c r="L1226" i="1" s="1"/>
  <c r="I1226" i="1"/>
  <c r="K47" i="1"/>
  <c r="L47" i="1" s="1"/>
  <c r="I47" i="1"/>
  <c r="B67" i="27"/>
  <c r="B70" i="27" s="1"/>
  <c r="K482" i="1"/>
  <c r="L482" i="1" s="1"/>
  <c r="I482" i="1"/>
  <c r="I344" i="1"/>
  <c r="K60" i="1"/>
  <c r="K340" i="1"/>
  <c r="K343" i="1"/>
  <c r="K67" i="1"/>
  <c r="K210" i="1"/>
  <c r="K125" i="1"/>
  <c r="J263" i="1"/>
  <c r="J339" i="1"/>
  <c r="J340" i="1"/>
  <c r="J381" i="1"/>
  <c r="J115" i="1"/>
  <c r="J342" i="1"/>
  <c r="J343" i="1"/>
  <c r="J199" i="1"/>
  <c r="G800" i="1"/>
  <c r="J800" i="1" s="1"/>
  <c r="I428" i="24"/>
  <c r="I432" i="24" s="1"/>
  <c r="I433" i="24" s="1"/>
  <c r="F345" i="27" s="1"/>
  <c r="H437" i="24"/>
  <c r="I437" i="24" s="1"/>
  <c r="J422" i="24"/>
  <c r="H1186" i="1" s="1"/>
  <c r="J60" i="1"/>
  <c r="K1012" i="1"/>
  <c r="L1012" i="1" s="1"/>
  <c r="L815" i="1"/>
  <c r="I815" i="1"/>
  <c r="L737" i="1"/>
  <c r="H826" i="1"/>
  <c r="H710" i="1"/>
  <c r="K710" i="1" s="1"/>
  <c r="H749" i="1"/>
  <c r="K749" i="1" s="1"/>
  <c r="L749" i="1" s="1"/>
  <c r="K668" i="1"/>
  <c r="H814" i="1"/>
  <c r="H698" i="1"/>
  <c r="K698" i="1" s="1"/>
  <c r="H736" i="1"/>
  <c r="K736" i="1" s="1"/>
  <c r="L736" i="1" s="1"/>
  <c r="K656" i="1"/>
  <c r="J210" i="1"/>
  <c r="J67" i="1"/>
  <c r="J125" i="1"/>
  <c r="J357" i="1"/>
  <c r="J212" i="1"/>
  <c r="J160" i="1"/>
  <c r="J127" i="1"/>
  <c r="J227" i="1"/>
  <c r="J69" i="1"/>
  <c r="K359" i="1"/>
  <c r="K252" i="1"/>
  <c r="K376" i="1"/>
  <c r="K258" i="1"/>
  <c r="K220" i="1"/>
  <c r="K145" i="1"/>
  <c r="K61" i="1"/>
  <c r="I153" i="1"/>
  <c r="J175" i="1"/>
  <c r="J431" i="24"/>
  <c r="H1058" i="1" s="1"/>
  <c r="H1089" i="1"/>
  <c r="K1089" i="1" s="1"/>
  <c r="H1045" i="1"/>
  <c r="K1045" i="1" s="1"/>
  <c r="K1002" i="1"/>
  <c r="J32" i="24"/>
  <c r="J153" i="1"/>
  <c r="L153" i="1" s="1"/>
  <c r="J369" i="1"/>
  <c r="I364" i="1"/>
  <c r="J364" i="1"/>
  <c r="L364" i="1" s="1"/>
  <c r="G152" i="1"/>
  <c r="J152" i="1" s="1"/>
  <c r="J154" i="1"/>
  <c r="J257" i="1"/>
  <c r="J358" i="1"/>
  <c r="J355" i="1"/>
  <c r="J359" i="1"/>
  <c r="J350" i="1"/>
  <c r="J213" i="1"/>
  <c r="I387" i="24"/>
  <c r="I388" i="24" s="1"/>
  <c r="F341" i="27" s="1"/>
  <c r="J219" i="1"/>
  <c r="J375" i="1"/>
  <c r="J349" i="1"/>
  <c r="J209" i="1"/>
  <c r="J370" i="1"/>
  <c r="J376" i="1"/>
  <c r="J251" i="1"/>
  <c r="J360" i="1"/>
  <c r="J365" i="1"/>
  <c r="J252" i="1"/>
  <c r="J258" i="1"/>
  <c r="J220" i="1"/>
  <c r="H1067" i="1"/>
  <c r="I1067" i="1" s="1"/>
  <c r="H1110" i="1"/>
  <c r="L1085" i="1"/>
  <c r="G1229" i="1"/>
  <c r="G1230" i="1"/>
  <c r="J1088" i="1"/>
  <c r="L1088" i="1" s="1"/>
  <c r="J107" i="1"/>
  <c r="J146" i="1"/>
  <c r="G722" i="1"/>
  <c r="G684" i="1"/>
  <c r="J111" i="1"/>
  <c r="J145" i="1"/>
  <c r="I234" i="1"/>
  <c r="K162" i="1"/>
  <c r="K229" i="1"/>
  <c r="I194" i="1"/>
  <c r="K96" i="1"/>
  <c r="K188" i="1"/>
  <c r="K136" i="1"/>
  <c r="K102" i="1"/>
  <c r="K84" i="1"/>
  <c r="K78" i="1"/>
  <c r="K226" i="1"/>
  <c r="I75" i="16"/>
  <c r="H265" i="15"/>
  <c r="I267" i="15" s="1"/>
  <c r="J492" i="1" s="1"/>
  <c r="F132" i="32"/>
  <c r="J54" i="1"/>
  <c r="I737" i="1"/>
  <c r="J235" i="1"/>
  <c r="J738" i="1"/>
  <c r="H884" i="1"/>
  <c r="K884" i="1" s="1"/>
  <c r="K876" i="1"/>
  <c r="J752" i="1"/>
  <c r="G735" i="1"/>
  <c r="G697" i="1"/>
  <c r="G1044" i="1"/>
  <c r="J61" i="1"/>
  <c r="G696" i="1"/>
  <c r="G734" i="1"/>
  <c r="K1206" i="1"/>
  <c r="L1206" i="1" s="1"/>
  <c r="G726" i="1"/>
  <c r="G688" i="1"/>
  <c r="J234" i="1"/>
  <c r="L234" i="1" s="1"/>
  <c r="J52" i="1"/>
  <c r="J228" i="1"/>
  <c r="J984" i="1"/>
  <c r="J128" i="1"/>
  <c r="J230" i="1"/>
  <c r="J102" i="1"/>
  <c r="J51" i="1"/>
  <c r="G1223" i="1"/>
  <c r="G1222" i="1"/>
  <c r="G1216" i="1"/>
  <c r="G885" i="1"/>
  <c r="J70" i="1"/>
  <c r="J193" i="1"/>
  <c r="J101" i="1"/>
  <c r="G689" i="1"/>
  <c r="G727" i="1"/>
  <c r="G1045" i="1"/>
  <c r="G1043" i="1"/>
  <c r="H1068" i="1"/>
  <c r="J58" i="1"/>
  <c r="J194" i="1"/>
  <c r="F101" i="32"/>
  <c r="F99" i="32"/>
  <c r="F109" i="32"/>
  <c r="K21" i="1"/>
  <c r="J124" i="1"/>
  <c r="J225" i="1"/>
  <c r="J226" i="1"/>
  <c r="J229" i="1"/>
  <c r="H10" i="34"/>
  <c r="N21" i="36"/>
  <c r="H41" i="22"/>
  <c r="H42" i="22" s="1"/>
  <c r="F283" i="27" s="1"/>
  <c r="N8" i="36"/>
  <c r="H9" i="34"/>
  <c r="N20" i="36"/>
  <c r="L998" i="1"/>
  <c r="L1041" i="1"/>
  <c r="L622" i="1"/>
  <c r="J68" i="1"/>
  <c r="J162" i="1"/>
  <c r="J158" i="1"/>
  <c r="J126" i="1"/>
  <c r="J96" i="1"/>
  <c r="J83" i="1"/>
  <c r="J84" i="1"/>
  <c r="J78" i="1"/>
  <c r="J95" i="1"/>
  <c r="J90" i="1"/>
  <c r="J77" i="1"/>
  <c r="J89" i="1"/>
  <c r="I254" i="13"/>
  <c r="I61" i="16"/>
  <c r="G910" i="1" s="1"/>
  <c r="J136" i="1"/>
  <c r="J135" i="1"/>
  <c r="I170" i="1"/>
  <c r="J170" i="1"/>
  <c r="L170" i="1" s="1"/>
  <c r="J188" i="1"/>
  <c r="J187" i="1"/>
  <c r="J171" i="1"/>
  <c r="I35" i="1"/>
  <c r="K35" i="1"/>
  <c r="H76" i="9"/>
  <c r="I42" i="12"/>
  <c r="I238" i="12"/>
  <c r="I44" i="21"/>
  <c r="I33" i="13"/>
  <c r="H86" i="17"/>
  <c r="G97" i="17"/>
  <c r="H85" i="17"/>
  <c r="G96" i="17"/>
  <c r="G111" i="17"/>
  <c r="H111" i="17" s="1"/>
  <c r="G100" i="17"/>
  <c r="I276" i="15"/>
  <c r="I285" i="15"/>
  <c r="I35" i="11"/>
  <c r="H46" i="11"/>
  <c r="G59" i="11"/>
  <c r="H59" i="11" s="1"/>
  <c r="I61" i="11" s="1"/>
  <c r="I23" i="24"/>
  <c r="I24" i="24" s="1"/>
  <c r="F302" i="27" s="1"/>
  <c r="I280" i="21"/>
  <c r="I35" i="15"/>
  <c r="K1212" i="1"/>
  <c r="I1212" i="1"/>
  <c r="I27" i="20"/>
  <c r="H32" i="10"/>
  <c r="I31" i="10"/>
  <c r="I55" i="21"/>
  <c r="K1219" i="1"/>
  <c r="I1219" i="1"/>
  <c r="J1011" i="1"/>
  <c r="G56" i="19"/>
  <c r="H56" i="19" s="1"/>
  <c r="J1054" i="1"/>
  <c r="I9" i="13"/>
  <c r="H29" i="19"/>
  <c r="H30" i="19" s="1"/>
  <c r="F185" i="27" s="1"/>
  <c r="I28" i="19"/>
  <c r="H37" i="19"/>
  <c r="H38" i="19" s="1"/>
  <c r="F186" i="27" s="1"/>
  <c r="I36" i="19"/>
  <c r="I189" i="12"/>
  <c r="I60" i="9"/>
  <c r="G22" i="1" s="1"/>
  <c r="J1062" i="1"/>
  <c r="J713" i="1"/>
  <c r="J1007" i="1"/>
  <c r="J710" i="1"/>
  <c r="J1052" i="1"/>
  <c r="J700" i="1"/>
  <c r="J1064" i="1"/>
  <c r="J656" i="1"/>
  <c r="J702" i="1"/>
  <c r="J1004" i="1"/>
  <c r="J1027" i="1"/>
  <c r="J1205" i="1"/>
  <c r="J1209" i="1" s="1"/>
  <c r="J1015" i="1"/>
  <c r="J1063" i="1"/>
  <c r="J1047" i="1"/>
  <c r="J699" i="1"/>
  <c r="L699" i="1" s="1"/>
  <c r="I699" i="1"/>
  <c r="J1050" i="1"/>
  <c r="G57" i="12"/>
  <c r="G72" i="12" s="1"/>
  <c r="H72" i="12" s="1"/>
  <c r="H51" i="9"/>
  <c r="H52" i="9" s="1"/>
  <c r="F8" i="27" s="1"/>
  <c r="I45" i="9"/>
  <c r="G21" i="1" s="1"/>
  <c r="I74" i="9"/>
  <c r="G23" i="1" s="1"/>
  <c r="J658" i="1"/>
  <c r="J1020" i="1"/>
  <c r="J1018" i="1"/>
  <c r="J698" i="1"/>
  <c r="J1059" i="1"/>
  <c r="J660" i="1"/>
  <c r="J671" i="1"/>
  <c r="J919" i="1"/>
  <c r="J1019" i="1"/>
  <c r="J668" i="1"/>
  <c r="J657" i="1"/>
  <c r="L657" i="1" s="1"/>
  <c r="I657" i="1"/>
  <c r="J1009" i="1"/>
  <c r="J1071" i="1"/>
  <c r="J880" i="1"/>
  <c r="J876" i="1"/>
  <c r="I42" i="16"/>
  <c r="J884" i="1"/>
  <c r="F299" i="32" s="1"/>
  <c r="G403" i="21"/>
  <c r="H403" i="21" s="1"/>
  <c r="G108" i="17"/>
  <c r="H108" i="17" s="1"/>
  <c r="H46" i="12"/>
  <c r="I49" i="12" s="1"/>
  <c r="G107" i="17"/>
  <c r="H107" i="17" s="1"/>
  <c r="G87" i="17"/>
  <c r="G76" i="17"/>
  <c r="H76" i="17" s="1"/>
  <c r="I76" i="17" s="1"/>
  <c r="G71" i="12"/>
  <c r="H71" i="12" s="1"/>
  <c r="G108" i="12"/>
  <c r="H108" i="12" s="1"/>
  <c r="H45" i="21"/>
  <c r="H46" i="21" s="1"/>
  <c r="F233" i="27" s="1"/>
  <c r="H36" i="15"/>
  <c r="H37" i="15" s="1"/>
  <c r="F108" i="27" s="1"/>
  <c r="H36" i="11"/>
  <c r="H37" i="11" s="1"/>
  <c r="F31" i="27" s="1"/>
  <c r="H45" i="15"/>
  <c r="G54" i="15"/>
  <c r="H63" i="16"/>
  <c r="H62" i="16"/>
  <c r="H48" i="17"/>
  <c r="H49" i="17" s="1"/>
  <c r="F148" i="27" s="1"/>
  <c r="H50" i="16"/>
  <c r="H52" i="16" s="1"/>
  <c r="H53" i="16" s="1"/>
  <c r="F140" i="27" s="1"/>
  <c r="G64" i="16"/>
  <c r="G78" i="16" s="1"/>
  <c r="H78" i="16" s="1"/>
  <c r="H80" i="16" s="1"/>
  <c r="H82" i="20"/>
  <c r="G106" i="20"/>
  <c r="H106" i="20" s="1"/>
  <c r="G95" i="21"/>
  <c r="H95" i="21" s="1"/>
  <c r="H57" i="17"/>
  <c r="G68" i="17"/>
  <c r="G66" i="17"/>
  <c r="H55" i="17"/>
  <c r="H65" i="9"/>
  <c r="H66" i="9" s="1"/>
  <c r="F9" i="27" s="1"/>
  <c r="H56" i="21"/>
  <c r="H57" i="21" s="1"/>
  <c r="F234" i="27" s="1"/>
  <c r="H58" i="12"/>
  <c r="G70" i="12"/>
  <c r="H265" i="12"/>
  <c r="G274" i="12"/>
  <c r="H43" i="12"/>
  <c r="H44" i="12" s="1"/>
  <c r="F44" i="27" s="1"/>
  <c r="H239" i="12"/>
  <c r="H240" i="12" s="1"/>
  <c r="F62" i="27" s="1"/>
  <c r="H263" i="12"/>
  <c r="G272" i="12"/>
  <c r="H246" i="12"/>
  <c r="G264" i="12"/>
  <c r="H244" i="12"/>
  <c r="G262" i="12"/>
  <c r="G41" i="10"/>
  <c r="H35" i="10"/>
  <c r="H40" i="13"/>
  <c r="G50" i="13"/>
  <c r="H64" i="20"/>
  <c r="G80" i="20"/>
  <c r="I33" i="24"/>
  <c r="I34" i="24" s="1"/>
  <c r="G68" i="22"/>
  <c r="H59" i="22"/>
  <c r="H60" i="22" s="1"/>
  <c r="H61" i="22" s="1"/>
  <c r="F285" i="27" s="1"/>
  <c r="G78" i="22"/>
  <c r="G151" i="15"/>
  <c r="F32" i="32" s="1"/>
  <c r="H142" i="15"/>
  <c r="I142" i="15" s="1"/>
  <c r="I42" i="24"/>
  <c r="H52" i="24"/>
  <c r="G76" i="19"/>
  <c r="H65" i="19"/>
  <c r="G107" i="22"/>
  <c r="H107" i="22" s="1"/>
  <c r="G98" i="22"/>
  <c r="H67" i="22"/>
  <c r="I40" i="24"/>
  <c r="H50" i="24"/>
  <c r="H66" i="22"/>
  <c r="G97" i="22"/>
  <c r="G106" i="22"/>
  <c r="H106" i="22" s="1"/>
  <c r="H96" i="22"/>
  <c r="G114" i="22"/>
  <c r="G337" i="21"/>
  <c r="G460" i="21" s="1"/>
  <c r="H460" i="21" s="1"/>
  <c r="H328" i="21"/>
  <c r="H201" i="12"/>
  <c r="G210" i="12"/>
  <c r="G85" i="22"/>
  <c r="H85" i="22" s="1"/>
  <c r="H76" i="22"/>
  <c r="H80" i="21"/>
  <c r="G94" i="21"/>
  <c r="H94" i="21" s="1"/>
  <c r="H100" i="12"/>
  <c r="G113" i="12"/>
  <c r="H113" i="12" s="1"/>
  <c r="G87" i="21"/>
  <c r="H74" i="21"/>
  <c r="H65" i="20"/>
  <c r="G81" i="20"/>
  <c r="H63" i="21"/>
  <c r="H65" i="21" s="1"/>
  <c r="H66" i="21" s="1"/>
  <c r="F235" i="27" s="1"/>
  <c r="G76" i="21"/>
  <c r="H60" i="12"/>
  <c r="G73" i="12"/>
  <c r="H66" i="11"/>
  <c r="G71" i="11"/>
  <c r="H71" i="11" s="1"/>
  <c r="G331" i="21"/>
  <c r="H313" i="21"/>
  <c r="H315" i="21" s="1"/>
  <c r="H316" i="21" s="1"/>
  <c r="F260" i="27" s="1"/>
  <c r="H18" i="13"/>
  <c r="H24" i="13" s="1"/>
  <c r="H25" i="13" s="1"/>
  <c r="F74" i="27" s="1"/>
  <c r="G144" i="17"/>
  <c r="H133" i="17"/>
  <c r="H103" i="12"/>
  <c r="G117" i="12"/>
  <c r="H117" i="12" s="1"/>
  <c r="H96" i="24"/>
  <c r="I87" i="24"/>
  <c r="H200" i="12"/>
  <c r="G209" i="12"/>
  <c r="G65" i="12"/>
  <c r="H53" i="12"/>
  <c r="G69" i="17"/>
  <c r="H58" i="17"/>
  <c r="H44" i="19"/>
  <c r="G55" i="19"/>
  <c r="H88" i="21"/>
  <c r="G102" i="21"/>
  <c r="G53" i="15"/>
  <c r="H44" i="15"/>
  <c r="H73" i="21"/>
  <c r="G86" i="21"/>
  <c r="H42" i="10"/>
  <c r="G48" i="10"/>
  <c r="G131" i="17"/>
  <c r="H65" i="17"/>
  <c r="I65" i="17" s="1"/>
  <c r="G942" i="1" s="1"/>
  <c r="H129" i="17"/>
  <c r="G140" i="17"/>
  <c r="H140" i="17" s="1"/>
  <c r="H339" i="21"/>
  <c r="H43" i="13"/>
  <c r="G53" i="13"/>
  <c r="G73" i="20"/>
  <c r="G97" i="20" s="1"/>
  <c r="H97" i="20" s="1"/>
  <c r="H57" i="20"/>
  <c r="H56" i="20"/>
  <c r="G72" i="20"/>
  <c r="G96" i="20" s="1"/>
  <c r="H96" i="20" s="1"/>
  <c r="G60" i="15"/>
  <c r="H51" i="15"/>
  <c r="H63" i="12"/>
  <c r="G89" i="12"/>
  <c r="G76" i="12"/>
  <c r="H76" i="12" s="1"/>
  <c r="H78" i="9"/>
  <c r="G73" i="11"/>
  <c r="H73" i="11" s="1"/>
  <c r="G102" i="9"/>
  <c r="H102" i="9" s="1"/>
  <c r="H103" i="9" s="1"/>
  <c r="H104" i="9" s="1"/>
  <c r="F14" i="27" s="1"/>
  <c r="H39" i="13"/>
  <c r="G49" i="13"/>
  <c r="G67" i="20"/>
  <c r="G51" i="20"/>
  <c r="H51" i="20" s="1"/>
  <c r="H52" i="20" s="1"/>
  <c r="H53" i="20" s="1"/>
  <c r="F215" i="27" s="1"/>
  <c r="G59" i="20"/>
  <c r="H35" i="20"/>
  <c r="H36" i="20" s="1"/>
  <c r="H37" i="20" s="1"/>
  <c r="F213" i="27" s="1"/>
  <c r="G43" i="20"/>
  <c r="H43" i="20" s="1"/>
  <c r="H44" i="20" s="1"/>
  <c r="H45" i="20" s="1"/>
  <c r="G141" i="17"/>
  <c r="H130" i="17"/>
  <c r="G70" i="15"/>
  <c r="H61" i="15"/>
  <c r="H74" i="20"/>
  <c r="G90" i="20"/>
  <c r="H41" i="13"/>
  <c r="G51" i="13"/>
  <c r="H27" i="13"/>
  <c r="H37" i="13"/>
  <c r="G88" i="9"/>
  <c r="H83" i="9"/>
  <c r="H179" i="21"/>
  <c r="F188" i="21"/>
  <c r="H68" i="19"/>
  <c r="G79" i="19"/>
  <c r="I39" i="24"/>
  <c r="H49" i="24"/>
  <c r="G338" i="21"/>
  <c r="G461" i="21" s="1"/>
  <c r="H461" i="21" s="1"/>
  <c r="H329" i="21"/>
  <c r="H50" i="12"/>
  <c r="G62" i="12"/>
  <c r="H77" i="22"/>
  <c r="G86" i="22"/>
  <c r="H86" i="22" s="1"/>
  <c r="G67" i="11"/>
  <c r="H67" i="11" s="1"/>
  <c r="H48" i="11"/>
  <c r="H71" i="21"/>
  <c r="I72" i="21" s="1"/>
  <c r="G82" i="21"/>
  <c r="H52" i="13"/>
  <c r="G61" i="13"/>
  <c r="G175" i="21"/>
  <c r="H175" i="21" s="1"/>
  <c r="I170" i="21" s="1"/>
  <c r="G837" i="1" s="1"/>
  <c r="J837" i="1" s="1"/>
  <c r="H15" i="13"/>
  <c r="F73" i="27" s="1"/>
  <c r="H193" i="1" l="1"/>
  <c r="H245" i="1"/>
  <c r="H181" i="1"/>
  <c r="H251" i="1"/>
  <c r="H182" i="1"/>
  <c r="H375" i="1"/>
  <c r="H324" i="1"/>
  <c r="H257" i="1"/>
  <c r="H246" i="1"/>
  <c r="H369" i="1"/>
  <c r="H230" i="1"/>
  <c r="H424" i="1"/>
  <c r="H294" i="1"/>
  <c r="H312" i="1"/>
  <c r="H187" i="1"/>
  <c r="H313" i="1"/>
  <c r="H418" i="1"/>
  <c r="H318" i="1"/>
  <c r="H163" i="1"/>
  <c r="H409" i="1"/>
  <c r="H360" i="1"/>
  <c r="J942" i="1"/>
  <c r="L942" i="1" s="1"/>
  <c r="I942" i="1"/>
  <c r="I67" i="1"/>
  <c r="I343" i="1"/>
  <c r="K1058" i="1"/>
  <c r="L1058" i="1" s="1"/>
  <c r="I1058" i="1"/>
  <c r="J926" i="1"/>
  <c r="L926" i="1" s="1"/>
  <c r="I926" i="1"/>
  <c r="J1277" i="1"/>
  <c r="L1174" i="1"/>
  <c r="G443" i="21"/>
  <c r="H443" i="21" s="1"/>
  <c r="G452" i="21"/>
  <c r="H452" i="21" s="1"/>
  <c r="G442" i="21"/>
  <c r="H442" i="21" s="1"/>
  <c r="G451" i="21"/>
  <c r="H451" i="21" s="1"/>
  <c r="I1132" i="1"/>
  <c r="I1174" i="1"/>
  <c r="L933" i="1"/>
  <c r="J1201" i="1"/>
  <c r="J1158" i="1"/>
  <c r="I1131" i="1"/>
  <c r="J62" i="1"/>
  <c r="G955" i="1"/>
  <c r="K1023" i="1"/>
  <c r="L1023" i="1" s="1"/>
  <c r="K1132" i="1"/>
  <c r="L1132" i="1" s="1"/>
  <c r="K1186" i="1"/>
  <c r="L1186" i="1" s="1"/>
  <c r="I1186" i="1"/>
  <c r="H1144" i="1"/>
  <c r="K1144" i="1" s="1"/>
  <c r="L1144" i="1" s="1"/>
  <c r="H1187" i="1"/>
  <c r="I393" i="1"/>
  <c r="K393" i="1"/>
  <c r="L393" i="1" s="1"/>
  <c r="H790" i="1"/>
  <c r="I790" i="1" s="1"/>
  <c r="H867" i="1"/>
  <c r="K419" i="1"/>
  <c r="L419" i="1" s="1"/>
  <c r="I419" i="1"/>
  <c r="I307" i="1"/>
  <c r="K307" i="1"/>
  <c r="L307" i="1" s="1"/>
  <c r="I389" i="1"/>
  <c r="K389" i="1"/>
  <c r="L389" i="1" s="1"/>
  <c r="H901" i="1"/>
  <c r="K901" i="1" s="1"/>
  <c r="L901" i="1" s="1"/>
  <c r="H909" i="1"/>
  <c r="H774" i="1"/>
  <c r="I774" i="1" s="1"/>
  <c r="H852" i="1"/>
  <c r="H1130" i="1"/>
  <c r="K1130" i="1" s="1"/>
  <c r="H1173" i="1"/>
  <c r="I788" i="1"/>
  <c r="I775" i="1"/>
  <c r="I399" i="1"/>
  <c r="K399" i="1"/>
  <c r="L399" i="1" s="1"/>
  <c r="I240" i="1"/>
  <c r="K240" i="1"/>
  <c r="L240" i="1" s="1"/>
  <c r="I398" i="1"/>
  <c r="K398" i="1"/>
  <c r="L398" i="1" s="1"/>
  <c r="K425" i="1"/>
  <c r="L425" i="1" s="1"/>
  <c r="I425" i="1"/>
  <c r="I405" i="1"/>
  <c r="K405" i="1"/>
  <c r="L405" i="1" s="1"/>
  <c r="K1175" i="1"/>
  <c r="L1175" i="1" s="1"/>
  <c r="I1175" i="1"/>
  <c r="L1247" i="1"/>
  <c r="H773" i="1"/>
  <c r="K773" i="1" s="1"/>
  <c r="L773" i="1" s="1"/>
  <c r="H851" i="1"/>
  <c r="G26" i="36"/>
  <c r="F8" i="36"/>
  <c r="G8" i="36" s="1"/>
  <c r="I408" i="1"/>
  <c r="K408" i="1"/>
  <c r="L408" i="1" s="1"/>
  <c r="K865" i="1"/>
  <c r="L865" i="1" s="1"/>
  <c r="I865" i="1"/>
  <c r="K853" i="1"/>
  <c r="L853" i="1" s="1"/>
  <c r="I853" i="1"/>
  <c r="I390" i="1"/>
  <c r="K390" i="1"/>
  <c r="L390" i="1" s="1"/>
  <c r="I392" i="1"/>
  <c r="K392" i="1"/>
  <c r="G337" i="1"/>
  <c r="G261" i="1"/>
  <c r="G156" i="1"/>
  <c r="J156" i="1" s="1"/>
  <c r="G197" i="1"/>
  <c r="G402" i="1"/>
  <c r="G328" i="1"/>
  <c r="J328" i="1" s="1"/>
  <c r="G223" i="1"/>
  <c r="G122" i="1"/>
  <c r="J64" i="1"/>
  <c r="G270" i="1"/>
  <c r="J270" i="1" s="1"/>
  <c r="G379" i="1"/>
  <c r="G286" i="1"/>
  <c r="J286" i="1" s="1"/>
  <c r="G207" i="1"/>
  <c r="G113" i="1"/>
  <c r="G353" i="1"/>
  <c r="G428" i="1"/>
  <c r="J1244" i="1"/>
  <c r="J1243" i="1"/>
  <c r="G903" i="1"/>
  <c r="J903" i="1" s="1"/>
  <c r="G911" i="1"/>
  <c r="J910" i="1"/>
  <c r="L1240" i="1"/>
  <c r="I892" i="1"/>
  <c r="G894" i="1"/>
  <c r="J894" i="1" s="1"/>
  <c r="G902" i="1"/>
  <c r="J902" i="1" s="1"/>
  <c r="I1111" i="1"/>
  <c r="J1238" i="1"/>
  <c r="G798" i="1"/>
  <c r="J798" i="1" s="1"/>
  <c r="G759" i="1"/>
  <c r="J759" i="1" s="1"/>
  <c r="H1056" i="1"/>
  <c r="K1056" i="1" s="1"/>
  <c r="L1056" i="1" s="1"/>
  <c r="H1143" i="1"/>
  <c r="K1154" i="1"/>
  <c r="L1154" i="1" s="1"/>
  <c r="I1154" i="1"/>
  <c r="K1153" i="1"/>
  <c r="L1153" i="1" s="1"/>
  <c r="I1153" i="1"/>
  <c r="I289" i="1"/>
  <c r="K289" i="1"/>
  <c r="L289" i="1" s="1"/>
  <c r="I276" i="1"/>
  <c r="K276" i="1"/>
  <c r="L276" i="1" s="1"/>
  <c r="I273" i="1"/>
  <c r="K273" i="1"/>
  <c r="L273" i="1" s="1"/>
  <c r="K900" i="1"/>
  <c r="I900" i="1"/>
  <c r="I283" i="1"/>
  <c r="K283" i="1"/>
  <c r="L283" i="1" s="1"/>
  <c r="K290" i="1"/>
  <c r="L290" i="1" s="1"/>
  <c r="I290" i="1"/>
  <c r="K319" i="1"/>
  <c r="L319" i="1" s="1"/>
  <c r="I319" i="1"/>
  <c r="I282" i="1"/>
  <c r="K282" i="1"/>
  <c r="L282" i="1" s="1"/>
  <c r="I274" i="1"/>
  <c r="K274" i="1"/>
  <c r="L274" i="1" s="1"/>
  <c r="I293" i="1"/>
  <c r="K293" i="1"/>
  <c r="L293" i="1" s="1"/>
  <c r="K325" i="1"/>
  <c r="L325" i="1" s="1"/>
  <c r="I325" i="1"/>
  <c r="J173" i="1"/>
  <c r="I1013" i="1"/>
  <c r="H1100" i="1"/>
  <c r="K1100" i="1" s="1"/>
  <c r="L1100" i="1" s="1"/>
  <c r="L60" i="1"/>
  <c r="G347" i="21"/>
  <c r="G356" i="21"/>
  <c r="H356" i="21" s="1"/>
  <c r="G355" i="21"/>
  <c r="H355" i="21" s="1"/>
  <c r="G346" i="21"/>
  <c r="I18" i="1"/>
  <c r="I623" i="1"/>
  <c r="L343" i="1"/>
  <c r="I60" i="1"/>
  <c r="H33" i="10"/>
  <c r="F22" i="27" s="1"/>
  <c r="H893" i="1"/>
  <c r="H885" i="1"/>
  <c r="K885" i="1" s="1"/>
  <c r="K877" i="1"/>
  <c r="K54" i="1"/>
  <c r="L54" i="1" s="1"/>
  <c r="I125" i="1"/>
  <c r="I340" i="1"/>
  <c r="L125" i="1"/>
  <c r="L67" i="1"/>
  <c r="L340" i="1"/>
  <c r="I210" i="1"/>
  <c r="L210" i="1"/>
  <c r="K484" i="1"/>
  <c r="L484" i="1" s="1"/>
  <c r="I484" i="1"/>
  <c r="K142" i="1"/>
  <c r="L142" i="1" s="1"/>
  <c r="I142" i="1"/>
  <c r="K341" i="1"/>
  <c r="L341" i="1" s="1"/>
  <c r="I341" i="1"/>
  <c r="J17" i="1"/>
  <c r="L17" i="1" s="1"/>
  <c r="J440" i="24"/>
  <c r="H1057" i="1" s="1"/>
  <c r="I441" i="24"/>
  <c r="I442" i="24" s="1"/>
  <c r="F346" i="27" s="1"/>
  <c r="L698" i="1"/>
  <c r="I698" i="1"/>
  <c r="I736" i="1"/>
  <c r="I749" i="1"/>
  <c r="H813" i="1"/>
  <c r="H735" i="1"/>
  <c r="K735" i="1" s="1"/>
  <c r="K655" i="1"/>
  <c r="H697" i="1"/>
  <c r="K697" i="1" s="1"/>
  <c r="H828" i="1"/>
  <c r="H712" i="1"/>
  <c r="H751" i="1"/>
  <c r="H812" i="1"/>
  <c r="H734" i="1"/>
  <c r="K734" i="1" s="1"/>
  <c r="K654" i="1"/>
  <c r="H696" i="1"/>
  <c r="K696" i="1" s="1"/>
  <c r="K814" i="1"/>
  <c r="L814" i="1" s="1"/>
  <c r="I814" i="1"/>
  <c r="K826" i="1"/>
  <c r="L826" i="1" s="1"/>
  <c r="I826" i="1"/>
  <c r="R54" i="1"/>
  <c r="H1101" i="1"/>
  <c r="I220" i="1"/>
  <c r="L258" i="1"/>
  <c r="I214" i="1"/>
  <c r="L220" i="1"/>
  <c r="I61" i="1"/>
  <c r="L252" i="1"/>
  <c r="L219" i="1"/>
  <c r="I350" i="1"/>
  <c r="I1089" i="1"/>
  <c r="L370" i="1"/>
  <c r="L349" i="1"/>
  <c r="L376" i="1"/>
  <c r="I349" i="1"/>
  <c r="L145" i="1"/>
  <c r="L350" i="1"/>
  <c r="I145" i="1"/>
  <c r="L359" i="1"/>
  <c r="K59" i="1"/>
  <c r="L59" i="1" s="1"/>
  <c r="I59" i="1"/>
  <c r="K356" i="1"/>
  <c r="L356" i="1" s="1"/>
  <c r="I356" i="1"/>
  <c r="I258" i="1"/>
  <c r="I370" i="1"/>
  <c r="I219" i="1"/>
  <c r="I359" i="1"/>
  <c r="L61" i="1"/>
  <c r="I252" i="1"/>
  <c r="I376" i="1"/>
  <c r="K176" i="1"/>
  <c r="L176" i="1" s="1"/>
  <c r="I176" i="1"/>
  <c r="K211" i="1"/>
  <c r="L211" i="1" s="1"/>
  <c r="I211" i="1"/>
  <c r="L1089" i="1"/>
  <c r="H1087" i="1"/>
  <c r="K1000" i="1"/>
  <c r="H1043" i="1"/>
  <c r="K1043" i="1" s="1"/>
  <c r="J363" i="1"/>
  <c r="I54" i="1"/>
  <c r="K1067" i="1"/>
  <c r="L1067" i="1" s="1"/>
  <c r="J1229" i="1"/>
  <c r="K1110" i="1"/>
  <c r="I1110" i="1"/>
  <c r="J1230" i="1"/>
  <c r="J1115" i="1"/>
  <c r="G879" i="1"/>
  <c r="J879" i="1" s="1"/>
  <c r="G895" i="1"/>
  <c r="J684" i="1"/>
  <c r="G887" i="1"/>
  <c r="J887" i="1" s="1"/>
  <c r="J722" i="1"/>
  <c r="J641" i="1"/>
  <c r="L229" i="1"/>
  <c r="I229" i="1"/>
  <c r="L102" i="1"/>
  <c r="L226" i="1"/>
  <c r="I102" i="1"/>
  <c r="I226" i="1"/>
  <c r="I163" i="1"/>
  <c r="K159" i="1"/>
  <c r="L159" i="1" s="1"/>
  <c r="I159" i="1"/>
  <c r="J726" i="1"/>
  <c r="J727" i="1"/>
  <c r="J734" i="1"/>
  <c r="J735" i="1"/>
  <c r="I17" i="1"/>
  <c r="J489" i="1"/>
  <c r="G886" i="1"/>
  <c r="J886" i="1" s="1"/>
  <c r="J878" i="1"/>
  <c r="G682" i="1"/>
  <c r="G720" i="1"/>
  <c r="J487" i="1"/>
  <c r="I668" i="1"/>
  <c r="N22" i="36"/>
  <c r="L668" i="1"/>
  <c r="H79" i="9"/>
  <c r="H80" i="9" s="1"/>
  <c r="F10" i="27" s="1"/>
  <c r="N24" i="36"/>
  <c r="H7" i="34"/>
  <c r="L710" i="1"/>
  <c r="I710" i="1"/>
  <c r="I84" i="1"/>
  <c r="L84" i="1"/>
  <c r="L1212" i="1"/>
  <c r="L1219" i="1"/>
  <c r="L35" i="1"/>
  <c r="L162" i="1"/>
  <c r="I162" i="1"/>
  <c r="I71" i="1"/>
  <c r="I129" i="1"/>
  <c r="I45" i="15"/>
  <c r="I79" i="16"/>
  <c r="G85" i="12"/>
  <c r="H85" i="12" s="1"/>
  <c r="L96" i="1"/>
  <c r="I96" i="1"/>
  <c r="L78" i="1"/>
  <c r="I78" i="1"/>
  <c r="L876" i="1"/>
  <c r="I656" i="1"/>
  <c r="L656" i="1"/>
  <c r="I876" i="1"/>
  <c r="H96" i="17"/>
  <c r="G118" i="17"/>
  <c r="H118" i="17" s="1"/>
  <c r="H100" i="17"/>
  <c r="G122" i="17"/>
  <c r="H122" i="17" s="1"/>
  <c r="H97" i="17"/>
  <c r="G119" i="17"/>
  <c r="H119" i="17" s="1"/>
  <c r="I884" i="1"/>
  <c r="J169" i="1"/>
  <c r="L188" i="1"/>
  <c r="L136" i="1"/>
  <c r="J23" i="1"/>
  <c r="I188" i="1"/>
  <c r="I136" i="1"/>
  <c r="I21" i="1"/>
  <c r="J21" i="1"/>
  <c r="I36" i="1"/>
  <c r="K36" i="1"/>
  <c r="L36" i="1" s="1"/>
  <c r="I22" i="1"/>
  <c r="J22" i="1"/>
  <c r="H49" i="11"/>
  <c r="H50" i="11" s="1"/>
  <c r="F32" i="27" s="1"/>
  <c r="L884" i="1"/>
  <c r="H37" i="10"/>
  <c r="G406" i="21" s="1"/>
  <c r="H406" i="21" s="1"/>
  <c r="I36" i="10"/>
  <c r="H37" i="1" s="1"/>
  <c r="H87" i="17"/>
  <c r="I87" i="17" s="1"/>
  <c r="G98" i="17"/>
  <c r="H62" i="11"/>
  <c r="H63" i="11" s="1"/>
  <c r="F33" i="27" s="1"/>
  <c r="G67" i="19"/>
  <c r="I51" i="20"/>
  <c r="I35" i="20"/>
  <c r="K1068" i="1"/>
  <c r="L1068" i="1" s="1"/>
  <c r="I1068" i="1"/>
  <c r="I247" i="12"/>
  <c r="I43" i="20"/>
  <c r="K624" i="1"/>
  <c r="I624" i="1"/>
  <c r="I43" i="13"/>
  <c r="I53" i="12"/>
  <c r="J42" i="24"/>
  <c r="I67" i="11"/>
  <c r="I58" i="17"/>
  <c r="K1024" i="1"/>
  <c r="L1024" i="1" s="1"/>
  <c r="I1024" i="1"/>
  <c r="I314" i="21"/>
  <c r="H786" i="1" s="1"/>
  <c r="I59" i="22"/>
  <c r="I102" i="9"/>
  <c r="H84" i="9"/>
  <c r="H85" i="9" s="1"/>
  <c r="F11" i="27" s="1"/>
  <c r="I83" i="9"/>
  <c r="H25" i="1" s="1"/>
  <c r="I48" i="11"/>
  <c r="I64" i="21"/>
  <c r="I78" i="9"/>
  <c r="H47" i="19"/>
  <c r="H48" i="19" s="1"/>
  <c r="F187" i="27" s="1"/>
  <c r="I46" i="19"/>
  <c r="H1284" i="1" s="1"/>
  <c r="J1215" i="1"/>
  <c r="J1222" i="1"/>
  <c r="J689" i="1"/>
  <c r="J1044" i="1"/>
  <c r="L1044" i="1" s="1"/>
  <c r="I1044" i="1"/>
  <c r="H57" i="12"/>
  <c r="I61" i="12" s="1"/>
  <c r="J1002" i="1"/>
  <c r="L1002" i="1" s="1"/>
  <c r="I1002" i="1"/>
  <c r="J1223" i="1"/>
  <c r="J645" i="1"/>
  <c r="J697" i="1"/>
  <c r="J696" i="1"/>
  <c r="J1000" i="1"/>
  <c r="J1045" i="1"/>
  <c r="L1045" i="1" s="1"/>
  <c r="I1045" i="1"/>
  <c r="J688" i="1"/>
  <c r="J1043" i="1"/>
  <c r="J1216" i="1"/>
  <c r="I19" i="13"/>
  <c r="J646" i="1"/>
  <c r="J655" i="1"/>
  <c r="I1001" i="1"/>
  <c r="J1001" i="1"/>
  <c r="L1001" i="1" s="1"/>
  <c r="J654" i="1"/>
  <c r="I51" i="16"/>
  <c r="J877" i="1"/>
  <c r="J885" i="1"/>
  <c r="G88" i="17"/>
  <c r="G77" i="17"/>
  <c r="H77" i="17" s="1"/>
  <c r="G90" i="17"/>
  <c r="H90" i="17" s="1"/>
  <c r="G79" i="17"/>
  <c r="H79" i="17" s="1"/>
  <c r="G91" i="17"/>
  <c r="G80" i="17"/>
  <c r="H80" i="17" s="1"/>
  <c r="G109" i="17"/>
  <c r="H109" i="17" s="1"/>
  <c r="I109" i="17" s="1"/>
  <c r="G84" i="12"/>
  <c r="G97" i="12" s="1"/>
  <c r="F303" i="27"/>
  <c r="H54" i="12"/>
  <c r="H55" i="12" s="1"/>
  <c r="F45" i="27" s="1"/>
  <c r="H151" i="15"/>
  <c r="I151" i="15" s="1"/>
  <c r="H248" i="12"/>
  <c r="H249" i="12" s="1"/>
  <c r="F63" i="27" s="1"/>
  <c r="H46" i="15"/>
  <c r="H47" i="15" s="1"/>
  <c r="F109" i="27" s="1"/>
  <c r="G63" i="15"/>
  <c r="H54" i="15"/>
  <c r="H64" i="16"/>
  <c r="H66" i="16" s="1"/>
  <c r="H67" i="16" s="1"/>
  <c r="F141" i="27" s="1"/>
  <c r="G122" i="20"/>
  <c r="H122" i="20" s="1"/>
  <c r="G114" i="20"/>
  <c r="H114" i="20" s="1"/>
  <c r="F214" i="27"/>
  <c r="I43" i="24"/>
  <c r="I44" i="24" s="1"/>
  <c r="H80" i="20"/>
  <c r="G104" i="20"/>
  <c r="H104" i="20" s="1"/>
  <c r="H81" i="20"/>
  <c r="G105" i="20"/>
  <c r="H105" i="20" s="1"/>
  <c r="H59" i="17"/>
  <c r="H60" i="17" s="1"/>
  <c r="F149" i="27" s="1"/>
  <c r="H66" i="17"/>
  <c r="G132" i="17"/>
  <c r="H68" i="17"/>
  <c r="G134" i="17"/>
  <c r="H272" i="12"/>
  <c r="G281" i="12"/>
  <c r="H274" i="12"/>
  <c r="G283" i="12"/>
  <c r="H264" i="12"/>
  <c r="G273" i="12"/>
  <c r="G83" i="12"/>
  <c r="H70" i="12"/>
  <c r="H262" i="12"/>
  <c r="G271" i="12"/>
  <c r="H88" i="9"/>
  <c r="G93" i="9"/>
  <c r="H93" i="9" s="1"/>
  <c r="H53" i="13"/>
  <c r="G62" i="13"/>
  <c r="G178" i="17"/>
  <c r="H141" i="17"/>
  <c r="H49" i="13"/>
  <c r="G77" i="13"/>
  <c r="G90" i="21"/>
  <c r="H90" i="21" s="1"/>
  <c r="G100" i="21"/>
  <c r="H86" i="21"/>
  <c r="H102" i="21"/>
  <c r="G110" i="21"/>
  <c r="H209" i="12"/>
  <c r="G218" i="12"/>
  <c r="H218" i="12" s="1"/>
  <c r="H68" i="11"/>
  <c r="H69" i="11" s="1"/>
  <c r="F34" i="27" s="1"/>
  <c r="H73" i="12"/>
  <c r="G86" i="12"/>
  <c r="H210" i="12"/>
  <c r="G219" i="12"/>
  <c r="H219" i="12" s="1"/>
  <c r="G99" i="22"/>
  <c r="G108" i="22"/>
  <c r="H108" i="22" s="1"/>
  <c r="H109" i="22" s="1"/>
  <c r="H110" i="22" s="1"/>
  <c r="F290" i="27" s="1"/>
  <c r="H68" i="22"/>
  <c r="H69" i="22" s="1"/>
  <c r="H70" i="22" s="1"/>
  <c r="F286" i="27" s="1"/>
  <c r="H41" i="10"/>
  <c r="G47" i="10"/>
  <c r="H58" i="24"/>
  <c r="I49" i="24"/>
  <c r="H72" i="20"/>
  <c r="G88" i="20"/>
  <c r="G66" i="19"/>
  <c r="H55" i="19"/>
  <c r="H87" i="21"/>
  <c r="G101" i="21"/>
  <c r="G69" i="15"/>
  <c r="H60" i="15"/>
  <c r="H98" i="22"/>
  <c r="G116" i="22"/>
  <c r="G89" i="19"/>
  <c r="G109" i="19" s="1"/>
  <c r="H79" i="19"/>
  <c r="H59" i="20"/>
  <c r="H60" i="20" s="1"/>
  <c r="H61" i="20" s="1"/>
  <c r="F216" i="27" s="1"/>
  <c r="G75" i="20"/>
  <c r="G99" i="20" s="1"/>
  <c r="H99" i="20" s="1"/>
  <c r="I99" i="20" s="1"/>
  <c r="G89" i="21"/>
  <c r="H76" i="21"/>
  <c r="H77" i="21" s="1"/>
  <c r="H78" i="21" s="1"/>
  <c r="F236" i="27" s="1"/>
  <c r="H97" i="22"/>
  <c r="G115" i="22"/>
  <c r="G60" i="13"/>
  <c r="H51" i="13"/>
  <c r="G366" i="21"/>
  <c r="G376" i="21" s="1"/>
  <c r="H348" i="21"/>
  <c r="H28" i="13"/>
  <c r="H34" i="13" s="1"/>
  <c r="H35" i="13" s="1"/>
  <c r="I52" i="24"/>
  <c r="H61" i="24"/>
  <c r="G70" i="13"/>
  <c r="H61" i="13"/>
  <c r="G89" i="20"/>
  <c r="H73" i="20"/>
  <c r="H131" i="17"/>
  <c r="I131" i="17" s="1"/>
  <c r="G142" i="17"/>
  <c r="H142" i="17" s="1"/>
  <c r="H69" i="17"/>
  <c r="G135" i="17"/>
  <c r="H337" i="21"/>
  <c r="H338" i="21"/>
  <c r="H90" i="20"/>
  <c r="G130" i="20"/>
  <c r="I96" i="24"/>
  <c r="H114" i="24"/>
  <c r="H188" i="21"/>
  <c r="F197" i="21"/>
  <c r="G83" i="20"/>
  <c r="H67" i="20"/>
  <c r="H68" i="20" s="1"/>
  <c r="H69" i="20" s="1"/>
  <c r="F217" i="27" s="1"/>
  <c r="N26" i="36" s="1"/>
  <c r="H48" i="10"/>
  <c r="G54" i="10"/>
  <c r="H54" i="10" s="1"/>
  <c r="H331" i="21"/>
  <c r="H333" i="21" s="1"/>
  <c r="H334" i="21" s="1"/>
  <c r="F262" i="27" s="1"/>
  <c r="G340" i="21"/>
  <c r="G463" i="21" s="1"/>
  <c r="H463" i="21" s="1"/>
  <c r="I464" i="21" s="1"/>
  <c r="G124" i="22"/>
  <c r="H114" i="22"/>
  <c r="I50" i="24"/>
  <c r="H59" i="24"/>
  <c r="H76" i="19"/>
  <c r="G86" i="19"/>
  <c r="G106" i="19" s="1"/>
  <c r="H50" i="13"/>
  <c r="G59" i="13"/>
  <c r="G88" i="12"/>
  <c r="G75" i="12"/>
  <c r="H75" i="12" s="1"/>
  <c r="H62" i="12"/>
  <c r="G79" i="15"/>
  <c r="H70" i="15"/>
  <c r="H89" i="12"/>
  <c r="G102" i="12"/>
  <c r="G96" i="21"/>
  <c r="H96" i="21" s="1"/>
  <c r="I99" i="21" s="1"/>
  <c r="H82" i="21"/>
  <c r="I85" i="21" s="1"/>
  <c r="G866" i="1" s="1"/>
  <c r="G184" i="21"/>
  <c r="H184" i="21" s="1"/>
  <c r="I179" i="21" s="1"/>
  <c r="H53" i="15"/>
  <c r="G62" i="15"/>
  <c r="G91" i="12"/>
  <c r="G78" i="12"/>
  <c r="H78" i="12" s="1"/>
  <c r="H65" i="12"/>
  <c r="G180" i="17"/>
  <c r="H144" i="17"/>
  <c r="G74" i="11"/>
  <c r="H74" i="11" s="1"/>
  <c r="H75" i="11" s="1"/>
  <c r="H76" i="11" s="1"/>
  <c r="F35" i="27" s="1"/>
  <c r="G87" i="22"/>
  <c r="H87" i="22" s="1"/>
  <c r="H88" i="22" s="1"/>
  <c r="H89" i="22" s="1"/>
  <c r="F288" i="27" s="1"/>
  <c r="H78" i="22"/>
  <c r="H79" i="22" s="1"/>
  <c r="H80" i="22" s="1"/>
  <c r="F287" i="27" s="1"/>
  <c r="A3" i="1"/>
  <c r="H175" i="1" l="1"/>
  <c r="H212" i="1"/>
  <c r="H228" i="1"/>
  <c r="H160" i="1"/>
  <c r="H161" i="1"/>
  <c r="H406" i="1"/>
  <c r="H127" i="1"/>
  <c r="H407" i="1"/>
  <c r="H357" i="1"/>
  <c r="H342" i="1"/>
  <c r="H275" i="1"/>
  <c r="H227" i="1"/>
  <c r="H391" i="1"/>
  <c r="H358" i="1"/>
  <c r="H306" i="1"/>
  <c r="H291" i="1"/>
  <c r="H239" i="1"/>
  <c r="H292" i="1"/>
  <c r="H465" i="21"/>
  <c r="H466" i="21" s="1"/>
  <c r="F277" i="27" s="1"/>
  <c r="G445" i="21"/>
  <c r="H445" i="21" s="1"/>
  <c r="I446" i="21" s="1"/>
  <c r="G454" i="21"/>
  <c r="H454" i="21" s="1"/>
  <c r="I455" i="21" s="1"/>
  <c r="H456" i="21"/>
  <c r="H457" i="21" s="1"/>
  <c r="F276" i="27" s="1"/>
  <c r="H447" i="21"/>
  <c r="H448" i="21" s="1"/>
  <c r="F275" i="27" s="1"/>
  <c r="J925" i="1"/>
  <c r="L925" i="1" s="1"/>
  <c r="I925" i="1"/>
  <c r="G711" i="1"/>
  <c r="J949" i="1"/>
  <c r="K790" i="1"/>
  <c r="L790" i="1" s="1"/>
  <c r="I1144" i="1"/>
  <c r="K62" i="1"/>
  <c r="L62" i="1" s="1"/>
  <c r="J955" i="1"/>
  <c r="I955" i="1"/>
  <c r="G956" i="1"/>
  <c r="J956" i="1" s="1"/>
  <c r="G767" i="1"/>
  <c r="J767" i="1" s="1"/>
  <c r="G845" i="1"/>
  <c r="J845" i="1" s="1"/>
  <c r="G394" i="1"/>
  <c r="J394" i="1" s="1"/>
  <c r="G400" i="1"/>
  <c r="J400" i="1" s="1"/>
  <c r="G284" i="1"/>
  <c r="J284" i="1" s="1"/>
  <c r="G278" i="1"/>
  <c r="J278" i="1" s="1"/>
  <c r="I901" i="1"/>
  <c r="I1130" i="1"/>
  <c r="K774" i="1"/>
  <c r="L774" i="1" s="1"/>
  <c r="G305" i="21"/>
  <c r="H305" i="21" s="1"/>
  <c r="K1187" i="1"/>
  <c r="L1187" i="1" s="1"/>
  <c r="I1187" i="1"/>
  <c r="I265" i="12"/>
  <c r="I773" i="1"/>
  <c r="L392" i="1"/>
  <c r="K1173" i="1"/>
  <c r="L1173" i="1" s="1"/>
  <c r="I1173" i="1"/>
  <c r="K909" i="1"/>
  <c r="I909" i="1"/>
  <c r="H903" i="1"/>
  <c r="K903" i="1" s="1"/>
  <c r="L903" i="1" s="1"/>
  <c r="H911" i="1"/>
  <c r="K911" i="1" s="1"/>
  <c r="K867" i="1"/>
  <c r="L867" i="1" s="1"/>
  <c r="I867" i="1"/>
  <c r="I409" i="1"/>
  <c r="K409" i="1"/>
  <c r="L409" i="1" s="1"/>
  <c r="K851" i="1"/>
  <c r="L851" i="1" s="1"/>
  <c r="I851" i="1"/>
  <c r="K852" i="1"/>
  <c r="L852" i="1" s="1"/>
  <c r="I852" i="1"/>
  <c r="K424" i="1"/>
  <c r="L424" i="1" s="1"/>
  <c r="I424" i="1"/>
  <c r="H1234" i="1"/>
  <c r="K1234" i="1" s="1"/>
  <c r="H1248" i="1"/>
  <c r="H453" i="1"/>
  <c r="K453" i="1" s="1"/>
  <c r="H465" i="1"/>
  <c r="K465" i="1" s="1"/>
  <c r="K469" i="1" s="1"/>
  <c r="H904" i="1"/>
  <c r="K904" i="1" s="1"/>
  <c r="L904" i="1" s="1"/>
  <c r="H912" i="1"/>
  <c r="H905" i="1"/>
  <c r="K905" i="1" s="1"/>
  <c r="L905" i="1" s="1"/>
  <c r="H913" i="1"/>
  <c r="K418" i="1"/>
  <c r="L418" i="1" s="1"/>
  <c r="I418" i="1"/>
  <c r="J906" i="1"/>
  <c r="J428" i="1"/>
  <c r="J866" i="1"/>
  <c r="J402" i="1"/>
  <c r="J1245" i="1"/>
  <c r="J911" i="1"/>
  <c r="I1056" i="1"/>
  <c r="J639" i="1"/>
  <c r="G827" i="1"/>
  <c r="J827" i="1" s="1"/>
  <c r="G789" i="1"/>
  <c r="J789" i="1" s="1"/>
  <c r="K1143" i="1"/>
  <c r="L1143" i="1" s="1"/>
  <c r="I1143" i="1"/>
  <c r="K324" i="1"/>
  <c r="L324" i="1" s="1"/>
  <c r="I324" i="1"/>
  <c r="K294" i="1"/>
  <c r="L294" i="1" s="1"/>
  <c r="I294" i="1"/>
  <c r="K312" i="1"/>
  <c r="L312" i="1" s="1"/>
  <c r="I312" i="1"/>
  <c r="K313" i="1"/>
  <c r="L313" i="1" s="1"/>
  <c r="I313" i="1"/>
  <c r="K786" i="1"/>
  <c r="L786" i="1" s="1"/>
  <c r="I786" i="1"/>
  <c r="K318" i="1"/>
  <c r="L318" i="1" s="1"/>
  <c r="I318" i="1"/>
  <c r="L900" i="1"/>
  <c r="L1130" i="1"/>
  <c r="K1013" i="1"/>
  <c r="L1013" i="1" s="1"/>
  <c r="I1100" i="1"/>
  <c r="K245" i="1"/>
  <c r="L245" i="1" s="1"/>
  <c r="I245" i="1"/>
  <c r="K246" i="1"/>
  <c r="L246" i="1" s="1"/>
  <c r="I246" i="1"/>
  <c r="I182" i="1"/>
  <c r="K182" i="1"/>
  <c r="L182" i="1" s="1"/>
  <c r="I181" i="1"/>
  <c r="K181" i="1"/>
  <c r="L181" i="1" s="1"/>
  <c r="G349" i="21"/>
  <c r="G358" i="21"/>
  <c r="H358" i="21" s="1"/>
  <c r="I359" i="21" s="1"/>
  <c r="K1284" i="1"/>
  <c r="L1284" i="1" s="1"/>
  <c r="I1284" i="1"/>
  <c r="H1280" i="1"/>
  <c r="H896" i="1"/>
  <c r="H880" i="1"/>
  <c r="K880" i="1" s="1"/>
  <c r="L880" i="1" s="1"/>
  <c r="H888" i="1"/>
  <c r="K888" i="1" s="1"/>
  <c r="L888" i="1" s="1"/>
  <c r="H897" i="1"/>
  <c r="H889" i="1"/>
  <c r="K893" i="1"/>
  <c r="I893" i="1"/>
  <c r="H1227" i="1"/>
  <c r="H1220" i="1"/>
  <c r="I1213" i="1"/>
  <c r="H1241" i="1"/>
  <c r="K1241" i="1" s="1"/>
  <c r="H459" i="1"/>
  <c r="H447" i="1"/>
  <c r="H441" i="1"/>
  <c r="K626" i="1"/>
  <c r="L626" i="1" s="1"/>
  <c r="G418" i="21"/>
  <c r="H23" i="1"/>
  <c r="K23" i="1" s="1"/>
  <c r="L23" i="1" s="1"/>
  <c r="K37" i="1"/>
  <c r="L37" i="1" s="1"/>
  <c r="I37" i="1"/>
  <c r="H895" i="1"/>
  <c r="K895" i="1" s="1"/>
  <c r="H887" i="1"/>
  <c r="K887" i="1" s="1"/>
  <c r="L887" i="1" s="1"/>
  <c r="H879" i="1"/>
  <c r="K879" i="1" s="1"/>
  <c r="L879" i="1" s="1"/>
  <c r="J379" i="1"/>
  <c r="J113" i="1"/>
  <c r="J197" i="1"/>
  <c r="J261" i="1"/>
  <c r="G937" i="1"/>
  <c r="J46" i="16"/>
  <c r="R61" i="1"/>
  <c r="R60" i="1"/>
  <c r="L735" i="1"/>
  <c r="L696" i="1"/>
  <c r="I696" i="1"/>
  <c r="L734" i="1"/>
  <c r="I735" i="1"/>
  <c r="H197" i="21"/>
  <c r="G202" i="21" s="1"/>
  <c r="H202" i="21" s="1"/>
  <c r="I197" i="21" s="1"/>
  <c r="I734" i="1"/>
  <c r="K812" i="1"/>
  <c r="L812" i="1" s="1"/>
  <c r="I812" i="1"/>
  <c r="K828" i="1"/>
  <c r="L828" i="1" s="1"/>
  <c r="I828" i="1"/>
  <c r="H747" i="1"/>
  <c r="H709" i="1"/>
  <c r="K751" i="1"/>
  <c r="L751" i="1" s="1"/>
  <c r="I751" i="1"/>
  <c r="K813" i="1"/>
  <c r="L813" i="1" s="1"/>
  <c r="I813" i="1"/>
  <c r="K1057" i="1"/>
  <c r="L1057" i="1" s="1"/>
  <c r="I1057" i="1"/>
  <c r="K1014" i="1"/>
  <c r="L1014" i="1" s="1"/>
  <c r="I1014" i="1"/>
  <c r="J485" i="1"/>
  <c r="K1101" i="1"/>
  <c r="L1101" i="1" s="1"/>
  <c r="I1101" i="1"/>
  <c r="K257" i="1"/>
  <c r="L257" i="1" s="1"/>
  <c r="I257" i="1"/>
  <c r="K213" i="1"/>
  <c r="L213" i="1" s="1"/>
  <c r="I213" i="1"/>
  <c r="K193" i="1"/>
  <c r="L193" i="1" s="1"/>
  <c r="I193" i="1"/>
  <c r="K251" i="1"/>
  <c r="L251" i="1" s="1"/>
  <c r="I251" i="1"/>
  <c r="K101" i="1"/>
  <c r="L101" i="1" s="1"/>
  <c r="I101" i="1"/>
  <c r="K360" i="1"/>
  <c r="L360" i="1" s="1"/>
  <c r="I360" i="1"/>
  <c r="K369" i="1"/>
  <c r="L369" i="1" s="1"/>
  <c r="I369" i="1"/>
  <c r="K146" i="1"/>
  <c r="L146" i="1" s="1"/>
  <c r="I146" i="1"/>
  <c r="K375" i="1"/>
  <c r="L375" i="1" s="1"/>
  <c r="I375" i="1"/>
  <c r="I1043" i="1"/>
  <c r="I1000" i="1"/>
  <c r="K1087" i="1"/>
  <c r="L1087" i="1" s="1"/>
  <c r="I1087" i="1"/>
  <c r="J353" i="1"/>
  <c r="G221" i="1"/>
  <c r="G351" i="1"/>
  <c r="G345" i="1"/>
  <c r="G215" i="1"/>
  <c r="J207" i="1"/>
  <c r="J337" i="1"/>
  <c r="G806" i="1"/>
  <c r="G728" i="1"/>
  <c r="G690" i="1"/>
  <c r="L1110" i="1"/>
  <c r="J1231" i="1"/>
  <c r="K163" i="1"/>
  <c r="L163" i="1" s="1"/>
  <c r="J105" i="1"/>
  <c r="J109" i="1"/>
  <c r="J895" i="1"/>
  <c r="J139" i="1"/>
  <c r="K70" i="1"/>
  <c r="L70" i="1" s="1"/>
  <c r="I70" i="1"/>
  <c r="K230" i="1"/>
  <c r="L230" i="1" s="1"/>
  <c r="I230" i="1"/>
  <c r="K128" i="1"/>
  <c r="L128" i="1" s="1"/>
  <c r="I128" i="1"/>
  <c r="J720" i="1"/>
  <c r="G137" i="1"/>
  <c r="J137" i="1" s="1"/>
  <c r="G130" i="1"/>
  <c r="J56" i="1"/>
  <c r="J223" i="1"/>
  <c r="J49" i="1"/>
  <c r="G750" i="1"/>
  <c r="J750" i="1" s="1"/>
  <c r="H8" i="34"/>
  <c r="H13" i="34"/>
  <c r="N25" i="36"/>
  <c r="N23" i="36"/>
  <c r="H38" i="10"/>
  <c r="F23" i="27" s="1"/>
  <c r="H281" i="12"/>
  <c r="H283" i="12"/>
  <c r="J1072" i="1"/>
  <c r="J30" i="1"/>
  <c r="L624" i="1"/>
  <c r="J890" i="1"/>
  <c r="J882" i="1"/>
  <c r="L1043" i="1"/>
  <c r="L1000" i="1"/>
  <c r="J1028" i="1"/>
  <c r="H106" i="19"/>
  <c r="H109" i="19"/>
  <c r="H67" i="19"/>
  <c r="F75" i="27"/>
  <c r="G296" i="21"/>
  <c r="G98" i="12"/>
  <c r="H98" i="12" s="1"/>
  <c r="K90" i="1"/>
  <c r="L90" i="1" s="1"/>
  <c r="I90" i="1"/>
  <c r="K77" i="1"/>
  <c r="L77" i="1" s="1"/>
  <c r="I77" i="1"/>
  <c r="K89" i="1"/>
  <c r="L89" i="1" s="1"/>
  <c r="I89" i="1"/>
  <c r="K95" i="1"/>
  <c r="L95" i="1" s="1"/>
  <c r="I95" i="1"/>
  <c r="J81" i="1"/>
  <c r="H98" i="17"/>
  <c r="I98" i="17" s="1"/>
  <c r="G120" i="17"/>
  <c r="H120" i="17" s="1"/>
  <c r="I120" i="17" s="1"/>
  <c r="K187" i="1"/>
  <c r="L187" i="1" s="1"/>
  <c r="I187" i="1"/>
  <c r="J122" i="1"/>
  <c r="I25" i="1"/>
  <c r="K25" i="1"/>
  <c r="L25" i="1" s="1"/>
  <c r="K135" i="1"/>
  <c r="L135" i="1" s="1"/>
  <c r="I135" i="1"/>
  <c r="H100" i="20"/>
  <c r="H101" i="20" s="1"/>
  <c r="F221" i="27" s="1"/>
  <c r="AP21" i="50" s="1"/>
  <c r="I654" i="1"/>
  <c r="I54" i="15"/>
  <c r="L654" i="1"/>
  <c r="G278" i="15"/>
  <c r="G277" i="15"/>
  <c r="H91" i="17"/>
  <c r="G102" i="17"/>
  <c r="H88" i="17"/>
  <c r="G99" i="17"/>
  <c r="G112" i="17"/>
  <c r="H112" i="17" s="1"/>
  <c r="G101" i="17"/>
  <c r="G78" i="19"/>
  <c r="G88" i="19" s="1"/>
  <c r="G108" i="19" s="1"/>
  <c r="H81" i="17"/>
  <c r="H82" i="17" s="1"/>
  <c r="F151" i="27" s="1"/>
  <c r="I697" i="1"/>
  <c r="I626" i="1"/>
  <c r="I59" i="20"/>
  <c r="L697" i="1"/>
  <c r="I74" i="11"/>
  <c r="H43" i="10"/>
  <c r="H44" i="10" s="1"/>
  <c r="F24" i="27" s="1"/>
  <c r="I42" i="10"/>
  <c r="I80" i="17"/>
  <c r="I332" i="21"/>
  <c r="K1205" i="1"/>
  <c r="L1205" i="1" s="1"/>
  <c r="I1205" i="1"/>
  <c r="I76" i="21"/>
  <c r="K670" i="1"/>
  <c r="L670" i="1" s="1"/>
  <c r="I670" i="1"/>
  <c r="I78" i="12"/>
  <c r="H89" i="9"/>
  <c r="H90" i="9" s="1"/>
  <c r="F12" i="27" s="1"/>
  <c r="I88" i="9"/>
  <c r="H26" i="1" s="1"/>
  <c r="J52" i="24"/>
  <c r="H1203" i="1" s="1"/>
  <c r="I69" i="17"/>
  <c r="G113" i="17"/>
  <c r="H113" i="17" s="1"/>
  <c r="I655" i="1"/>
  <c r="I67" i="20"/>
  <c r="K712" i="1"/>
  <c r="L712" i="1" s="1"/>
  <c r="I712" i="1"/>
  <c r="I65" i="12"/>
  <c r="I53" i="13"/>
  <c r="H94" i="9"/>
  <c r="H95" i="9" s="1"/>
  <c r="F13" i="27" s="1"/>
  <c r="I92" i="9"/>
  <c r="H27" i="1" s="1"/>
  <c r="L655" i="1"/>
  <c r="I78" i="22"/>
  <c r="L885" i="1"/>
  <c r="I142" i="17"/>
  <c r="I74" i="12"/>
  <c r="H58" i="19"/>
  <c r="H59" i="19" s="1"/>
  <c r="F188" i="27" s="1"/>
  <c r="I57" i="19"/>
  <c r="J682" i="1"/>
  <c r="I29" i="13"/>
  <c r="L877" i="1"/>
  <c r="I65" i="16"/>
  <c r="I877" i="1"/>
  <c r="I885" i="1"/>
  <c r="G110" i="17"/>
  <c r="H110" i="17" s="1"/>
  <c r="H84" i="12"/>
  <c r="F304" i="27"/>
  <c r="H55" i="15"/>
  <c r="H56" i="15" s="1"/>
  <c r="F110" i="27" s="1"/>
  <c r="H366" i="21"/>
  <c r="G72" i="15"/>
  <c r="H63" i="15"/>
  <c r="G121" i="20"/>
  <c r="H121" i="20" s="1"/>
  <c r="G113" i="20"/>
  <c r="H113" i="20" s="1"/>
  <c r="G120" i="20"/>
  <c r="H120" i="20" s="1"/>
  <c r="G112" i="20"/>
  <c r="H112" i="20" s="1"/>
  <c r="H70" i="17"/>
  <c r="H71" i="17" s="1"/>
  <c r="F150" i="27" s="1"/>
  <c r="H83" i="20"/>
  <c r="H84" i="20" s="1"/>
  <c r="H85" i="20" s="1"/>
  <c r="G107" i="20"/>
  <c r="H107" i="20" s="1"/>
  <c r="H108" i="20" s="1"/>
  <c r="H109" i="20" s="1"/>
  <c r="F222" i="27" s="1"/>
  <c r="H134" i="17"/>
  <c r="G145" i="17"/>
  <c r="H132" i="17"/>
  <c r="G143" i="17"/>
  <c r="H66" i="12"/>
  <c r="H67" i="12" s="1"/>
  <c r="F46" i="27" s="1"/>
  <c r="H79" i="12"/>
  <c r="H80" i="12" s="1"/>
  <c r="F47" i="27" s="1"/>
  <c r="H273" i="12"/>
  <c r="G282" i="12"/>
  <c r="H271" i="12"/>
  <c r="G280" i="12"/>
  <c r="H83" i="12"/>
  <c r="G96" i="12"/>
  <c r="H266" i="12"/>
  <c r="H267" i="12" s="1"/>
  <c r="F65" i="27" s="1"/>
  <c r="H86" i="19"/>
  <c r="G96" i="19"/>
  <c r="H38" i="13"/>
  <c r="G48" i="13"/>
  <c r="H48" i="13" s="1"/>
  <c r="H115" i="22"/>
  <c r="G125" i="22"/>
  <c r="H125" i="22" s="1"/>
  <c r="H69" i="15"/>
  <c r="G78" i="15"/>
  <c r="H75" i="20"/>
  <c r="H76" i="20" s="1"/>
  <c r="H77" i="20" s="1"/>
  <c r="F218" i="27" s="1"/>
  <c r="N29" i="36" s="1"/>
  <c r="G91" i="20"/>
  <c r="G189" i="17"/>
  <c r="H180" i="17"/>
  <c r="H77" i="24"/>
  <c r="I59" i="24"/>
  <c r="G138" i="20"/>
  <c r="H130" i="20"/>
  <c r="G364" i="21"/>
  <c r="H346" i="21"/>
  <c r="H89" i="20"/>
  <c r="G129" i="20"/>
  <c r="G109" i="21"/>
  <c r="H101" i="21"/>
  <c r="H76" i="24"/>
  <c r="I58" i="24"/>
  <c r="G88" i="13"/>
  <c r="H77" i="13"/>
  <c r="G101" i="12"/>
  <c r="H88" i="12"/>
  <c r="G110" i="12"/>
  <c r="H110" i="12" s="1"/>
  <c r="H97" i="12"/>
  <c r="H89" i="19"/>
  <c r="G99" i="19"/>
  <c r="H47" i="10"/>
  <c r="G53" i="10"/>
  <c r="H53" i="10" s="1"/>
  <c r="H86" i="12"/>
  <c r="G99" i="12"/>
  <c r="G119" i="21"/>
  <c r="G128" i="21" s="1"/>
  <c r="H128" i="21" s="1"/>
  <c r="H110" i="21"/>
  <c r="G104" i="12"/>
  <c r="H91" i="12"/>
  <c r="H59" i="13"/>
  <c r="G68" i="13"/>
  <c r="H9" i="23"/>
  <c r="H124" i="22"/>
  <c r="H135" i="17"/>
  <c r="G146" i="17"/>
  <c r="G155" i="17"/>
  <c r="G164" i="17" s="1"/>
  <c r="H70" i="13"/>
  <c r="G81" i="13"/>
  <c r="H116" i="22"/>
  <c r="G126" i="22"/>
  <c r="H126" i="22" s="1"/>
  <c r="H66" i="19"/>
  <c r="G77" i="19"/>
  <c r="H62" i="15"/>
  <c r="G71" i="15"/>
  <c r="H102" i="12"/>
  <c r="G116" i="12"/>
  <c r="H116" i="12" s="1"/>
  <c r="G193" i="21"/>
  <c r="H193" i="21" s="1"/>
  <c r="I188" i="21" s="1"/>
  <c r="H347" i="21"/>
  <c r="G365" i="21"/>
  <c r="G375" i="21" s="1"/>
  <c r="H79" i="24"/>
  <c r="I61" i="24"/>
  <c r="H60" i="13"/>
  <c r="G69" i="13"/>
  <c r="G103" i="21"/>
  <c r="H89" i="21"/>
  <c r="H91" i="21" s="1"/>
  <c r="H92" i="21" s="1"/>
  <c r="F237" i="27" s="1"/>
  <c r="G187" i="17"/>
  <c r="H178" i="17"/>
  <c r="I178" i="17" s="1"/>
  <c r="H340" i="21"/>
  <c r="H342" i="21" s="1"/>
  <c r="H343" i="21" s="1"/>
  <c r="F263" i="27" s="1"/>
  <c r="I114" i="24"/>
  <c r="H123" i="24"/>
  <c r="G128" i="20"/>
  <c r="H88" i="20"/>
  <c r="H62" i="13"/>
  <c r="G71" i="13"/>
  <c r="G117" i="22"/>
  <c r="H99" i="22"/>
  <c r="H100" i="22" s="1"/>
  <c r="H101" i="22" s="1"/>
  <c r="F289" i="27" s="1"/>
  <c r="H100" i="21"/>
  <c r="G108" i="21"/>
  <c r="H79" i="15"/>
  <c r="G91" i="15"/>
  <c r="I53" i="24"/>
  <c r="I54" i="24" s="1"/>
  <c r="H351" i="1" l="1"/>
  <c r="H284" i="1"/>
  <c r="H278" i="1"/>
  <c r="H400" i="1"/>
  <c r="H215" i="1"/>
  <c r="H394" i="1"/>
  <c r="H345" i="1"/>
  <c r="H130" i="1"/>
  <c r="H137" i="1"/>
  <c r="H221" i="1"/>
  <c r="K221" i="1" s="1"/>
  <c r="H371" i="1"/>
  <c r="H320" i="1"/>
  <c r="H420" i="1"/>
  <c r="H231" i="1"/>
  <c r="H189" i="1"/>
  <c r="H253" i="1"/>
  <c r="H295" i="1"/>
  <c r="H164" i="1"/>
  <c r="H410" i="1"/>
  <c r="H361" i="1"/>
  <c r="I99" i="22"/>
  <c r="K673" i="1"/>
  <c r="L673" i="1" s="1"/>
  <c r="I673" i="1"/>
  <c r="I927" i="1"/>
  <c r="J927" i="1"/>
  <c r="L927" i="1" s="1"/>
  <c r="H418" i="21"/>
  <c r="G427" i="21"/>
  <c r="I62" i="1"/>
  <c r="R59" i="1"/>
  <c r="G420" i="1"/>
  <c r="J420" i="1" s="1"/>
  <c r="G410" i="1"/>
  <c r="J410" i="1" s="1"/>
  <c r="G295" i="1"/>
  <c r="J295" i="1" s="1"/>
  <c r="G320" i="1"/>
  <c r="J320" i="1" s="1"/>
  <c r="G768" i="1"/>
  <c r="J768" i="1" s="1"/>
  <c r="G846" i="1"/>
  <c r="J846" i="1" s="1"/>
  <c r="G769" i="1"/>
  <c r="J769" i="1" s="1"/>
  <c r="G847" i="1"/>
  <c r="J847" i="1" s="1"/>
  <c r="J958" i="1"/>
  <c r="L955" i="1"/>
  <c r="BD52" i="50"/>
  <c r="BD47" i="50"/>
  <c r="BD41" i="50"/>
  <c r="BD38" i="50"/>
  <c r="BD40" i="50"/>
  <c r="BD53" i="50"/>
  <c r="BD46" i="50"/>
  <c r="BD45" i="50"/>
  <c r="BD30" i="50"/>
  <c r="BD34" i="50"/>
  <c r="BD57" i="50"/>
  <c r="BD55" i="50"/>
  <c r="BD48" i="50"/>
  <c r="BD49" i="50"/>
  <c r="BD42" i="50"/>
  <c r="BD36" i="50"/>
  <c r="BD37" i="50"/>
  <c r="BD33" i="50"/>
  <c r="BD39" i="50"/>
  <c r="BD32" i="50"/>
  <c r="BD35" i="50"/>
  <c r="BD44" i="50"/>
  <c r="BD29" i="50"/>
  <c r="BD31" i="50"/>
  <c r="BD54" i="50"/>
  <c r="BD43" i="50"/>
  <c r="BD51" i="50"/>
  <c r="BD56" i="50"/>
  <c r="BD50" i="50"/>
  <c r="H864" i="1"/>
  <c r="I864" i="1" s="1"/>
  <c r="H787" i="1"/>
  <c r="I903" i="1"/>
  <c r="I905" i="1"/>
  <c r="I911" i="1"/>
  <c r="I1234" i="1"/>
  <c r="L911" i="1"/>
  <c r="I904" i="1"/>
  <c r="H902" i="1"/>
  <c r="I902" i="1" s="1"/>
  <c r="H910" i="1"/>
  <c r="I306" i="1"/>
  <c r="K306" i="1"/>
  <c r="L306" i="1" s="1"/>
  <c r="H1235" i="1"/>
  <c r="K1235" i="1" s="1"/>
  <c r="L1235" i="1" s="1"/>
  <c r="H1249" i="1"/>
  <c r="K912" i="1"/>
  <c r="L912" i="1" s="1"/>
  <c r="I912" i="1"/>
  <c r="K1248" i="1"/>
  <c r="I1248" i="1"/>
  <c r="I407" i="1"/>
  <c r="K407" i="1"/>
  <c r="L407" i="1" s="1"/>
  <c r="I239" i="1"/>
  <c r="K239" i="1"/>
  <c r="L239" i="1" s="1"/>
  <c r="I391" i="1"/>
  <c r="K391" i="1"/>
  <c r="L391" i="1" s="1"/>
  <c r="L909" i="1"/>
  <c r="H830" i="1"/>
  <c r="H869" i="1"/>
  <c r="K913" i="1"/>
  <c r="L913" i="1" s="1"/>
  <c r="I913" i="1"/>
  <c r="I406" i="1"/>
  <c r="K406" i="1"/>
  <c r="L406" i="1" s="1"/>
  <c r="J914" i="1"/>
  <c r="K457" i="1"/>
  <c r="I275" i="1"/>
  <c r="K275" i="1"/>
  <c r="L275" i="1" s="1"/>
  <c r="I291" i="1"/>
  <c r="K291" i="1"/>
  <c r="L291" i="1" s="1"/>
  <c r="L1234" i="1"/>
  <c r="I292" i="1"/>
  <c r="K292" i="1"/>
  <c r="L292" i="1" s="1"/>
  <c r="H360" i="21"/>
  <c r="H361" i="21" s="1"/>
  <c r="F271" i="27" s="1"/>
  <c r="I887" i="1"/>
  <c r="I1241" i="1"/>
  <c r="I23" i="1"/>
  <c r="I895" i="1"/>
  <c r="I879" i="1"/>
  <c r="L895" i="1"/>
  <c r="L893" i="1"/>
  <c r="K627" i="1"/>
  <c r="L627" i="1" s="1"/>
  <c r="H894" i="1"/>
  <c r="H886" i="1"/>
  <c r="I886" i="1" s="1"/>
  <c r="K878" i="1"/>
  <c r="H1269" i="1"/>
  <c r="K1269" i="1" s="1"/>
  <c r="H1268" i="1"/>
  <c r="K1268" i="1" s="1"/>
  <c r="K1227" i="1"/>
  <c r="I1227" i="1"/>
  <c r="K896" i="1"/>
  <c r="L896" i="1" s="1"/>
  <c r="I896" i="1"/>
  <c r="H1228" i="1"/>
  <c r="H1242" i="1"/>
  <c r="K1242" i="1" s="1"/>
  <c r="L1242" i="1" s="1"/>
  <c r="H1221" i="1"/>
  <c r="K897" i="1"/>
  <c r="L897" i="1" s="1"/>
  <c r="I897" i="1"/>
  <c r="K1280" i="1"/>
  <c r="L1280" i="1" s="1"/>
  <c r="I1280" i="1"/>
  <c r="K342" i="1"/>
  <c r="L342" i="1" s="1"/>
  <c r="I342" i="1"/>
  <c r="K144" i="1"/>
  <c r="L144" i="1" s="1"/>
  <c r="I144" i="1"/>
  <c r="K143" i="1"/>
  <c r="L143" i="1" s="1"/>
  <c r="I143" i="1"/>
  <c r="J937" i="1"/>
  <c r="J939" i="1" s="1"/>
  <c r="J47" i="16"/>
  <c r="K47" i="16" s="1"/>
  <c r="C167" i="32" s="1"/>
  <c r="F167" i="32" s="1"/>
  <c r="K46" i="16"/>
  <c r="C156" i="32" s="1"/>
  <c r="F156" i="32" s="1"/>
  <c r="K747" i="1"/>
  <c r="L747" i="1" s="1"/>
  <c r="I747" i="1"/>
  <c r="K371" i="1"/>
  <c r="K361" i="1"/>
  <c r="K253" i="1"/>
  <c r="K147" i="1"/>
  <c r="K160" i="1"/>
  <c r="L160" i="1" s="1"/>
  <c r="I160" i="1"/>
  <c r="K127" i="1"/>
  <c r="L127" i="1" s="1"/>
  <c r="I127" i="1"/>
  <c r="K358" i="1"/>
  <c r="L358" i="1" s="1"/>
  <c r="I358" i="1"/>
  <c r="K227" i="1"/>
  <c r="L227" i="1" s="1"/>
  <c r="I227" i="1"/>
  <c r="K69" i="1"/>
  <c r="L69" i="1" s="1"/>
  <c r="I69" i="1"/>
  <c r="K345" i="1"/>
  <c r="K351" i="1"/>
  <c r="K215" i="1"/>
  <c r="K175" i="1"/>
  <c r="L175" i="1" s="1"/>
  <c r="I175" i="1"/>
  <c r="K212" i="1"/>
  <c r="L212" i="1" s="1"/>
  <c r="I212" i="1"/>
  <c r="K357" i="1"/>
  <c r="L357" i="1" s="1"/>
  <c r="I357" i="1"/>
  <c r="G361" i="1"/>
  <c r="G253" i="1"/>
  <c r="G371" i="1"/>
  <c r="J221" i="1"/>
  <c r="J351" i="1"/>
  <c r="J215" i="1"/>
  <c r="J345" i="1"/>
  <c r="J806" i="1"/>
  <c r="J690" i="1"/>
  <c r="G807" i="1"/>
  <c r="G729" i="1"/>
  <c r="G691" i="1"/>
  <c r="G808" i="1"/>
  <c r="G692" i="1"/>
  <c r="G730" i="1"/>
  <c r="J728" i="1"/>
  <c r="J647" i="1"/>
  <c r="J898" i="1"/>
  <c r="J929" i="1"/>
  <c r="H20" i="36"/>
  <c r="K231" i="1"/>
  <c r="K189" i="1"/>
  <c r="K164" i="1"/>
  <c r="K97" i="1"/>
  <c r="K228" i="1"/>
  <c r="L228" i="1" s="1"/>
  <c r="I228" i="1"/>
  <c r="K137" i="1"/>
  <c r="L137" i="1" s="1"/>
  <c r="K79" i="1"/>
  <c r="K130" i="1"/>
  <c r="K72" i="1"/>
  <c r="I161" i="1"/>
  <c r="K161" i="1"/>
  <c r="L161" i="1" s="1"/>
  <c r="G231" i="1"/>
  <c r="G164" i="1"/>
  <c r="J164" i="1" s="1"/>
  <c r="G189" i="1"/>
  <c r="F110" i="32"/>
  <c r="F112" i="32" s="1"/>
  <c r="F219" i="27"/>
  <c r="AP20" i="50" s="1"/>
  <c r="N35" i="36"/>
  <c r="L1241" i="1"/>
  <c r="N34" i="36"/>
  <c r="H280" i="12"/>
  <c r="H301" i="12"/>
  <c r="I301" i="12" s="1"/>
  <c r="H282" i="12"/>
  <c r="G111" i="12"/>
  <c r="H111" i="12" s="1"/>
  <c r="H364" i="21"/>
  <c r="G374" i="21"/>
  <c r="H108" i="19"/>
  <c r="J72" i="1"/>
  <c r="H296" i="21"/>
  <c r="G321" i="21"/>
  <c r="H321" i="21" s="1"/>
  <c r="G286" i="15"/>
  <c r="H286" i="15" s="1"/>
  <c r="H277" i="15"/>
  <c r="G287" i="15"/>
  <c r="H287" i="15" s="1"/>
  <c r="H278" i="15"/>
  <c r="K83" i="1"/>
  <c r="L83" i="1" s="1"/>
  <c r="I83" i="1"/>
  <c r="J79" i="1"/>
  <c r="H101" i="17"/>
  <c r="G123" i="17"/>
  <c r="H123" i="17" s="1"/>
  <c r="H102" i="17"/>
  <c r="G124" i="17"/>
  <c r="H124" i="17" s="1"/>
  <c r="H99" i="17"/>
  <c r="G121" i="17"/>
  <c r="H121" i="17" s="1"/>
  <c r="I888" i="1"/>
  <c r="I880" i="1"/>
  <c r="K27" i="1"/>
  <c r="I27" i="1"/>
  <c r="J130" i="1"/>
  <c r="I26" i="1"/>
  <c r="K26" i="1"/>
  <c r="L26" i="1" s="1"/>
  <c r="H92" i="17"/>
  <c r="H93" i="17" s="1"/>
  <c r="F152" i="27" s="1"/>
  <c r="I91" i="17"/>
  <c r="I63" i="15"/>
  <c r="I274" i="12"/>
  <c r="H78" i="19"/>
  <c r="I627" i="1"/>
  <c r="I83" i="20"/>
  <c r="I341" i="21"/>
  <c r="I62" i="13"/>
  <c r="H55" i="10"/>
  <c r="H56" i="10" s="1"/>
  <c r="F26" i="27" s="1"/>
  <c r="I54" i="10"/>
  <c r="H40" i="1" s="1"/>
  <c r="H81" i="16"/>
  <c r="F142" i="27" s="1"/>
  <c r="K881" i="1"/>
  <c r="L881" i="1" s="1"/>
  <c r="I881" i="1"/>
  <c r="I90" i="21"/>
  <c r="K709" i="1"/>
  <c r="L709" i="1" s="1"/>
  <c r="I709" i="1"/>
  <c r="H49" i="10"/>
  <c r="H50" i="10" s="1"/>
  <c r="F25" i="27" s="1"/>
  <c r="I48" i="10"/>
  <c r="H39" i="1" s="1"/>
  <c r="I135" i="17"/>
  <c r="I1220" i="1"/>
  <c r="I107" i="20"/>
  <c r="H1279" i="1" s="1"/>
  <c r="K1203" i="1"/>
  <c r="I1203" i="1"/>
  <c r="I91" i="12"/>
  <c r="J61" i="24"/>
  <c r="H114" i="17"/>
  <c r="H115" i="17" s="1"/>
  <c r="F154" i="27" s="1"/>
  <c r="I113" i="17"/>
  <c r="K889" i="1"/>
  <c r="L889" i="1" s="1"/>
  <c r="I889" i="1"/>
  <c r="I75" i="20"/>
  <c r="K667" i="1"/>
  <c r="L667" i="1" s="1"/>
  <c r="I667" i="1"/>
  <c r="H69" i="19"/>
  <c r="H70" i="19" s="1"/>
  <c r="F189" i="27" s="1"/>
  <c r="I68" i="19"/>
  <c r="H54" i="13"/>
  <c r="H55" i="13" s="1"/>
  <c r="F77" i="27" s="1"/>
  <c r="I49" i="13"/>
  <c r="G1268" i="1" s="1"/>
  <c r="H44" i="13"/>
  <c r="H45" i="13" s="1"/>
  <c r="F76" i="27" s="1"/>
  <c r="I39" i="13"/>
  <c r="J711" i="1"/>
  <c r="I87" i="12"/>
  <c r="J669" i="1"/>
  <c r="H64" i="15"/>
  <c r="H65" i="15" s="1"/>
  <c r="F111" i="27" s="1"/>
  <c r="F305" i="27"/>
  <c r="H275" i="12"/>
  <c r="H276" i="12" s="1"/>
  <c r="F66" i="27" s="1"/>
  <c r="H88" i="19"/>
  <c r="G98" i="19"/>
  <c r="H155" i="17"/>
  <c r="H365" i="21"/>
  <c r="H375" i="21"/>
  <c r="G384" i="21"/>
  <c r="H72" i="15"/>
  <c r="G81" i="15"/>
  <c r="G123" i="20"/>
  <c r="H123" i="20" s="1"/>
  <c r="H124" i="20" s="1"/>
  <c r="H125" i="20" s="1"/>
  <c r="G115" i="20"/>
  <c r="H115" i="20" s="1"/>
  <c r="H116" i="20" s="1"/>
  <c r="H117" i="20" s="1"/>
  <c r="F223" i="27" s="1"/>
  <c r="H136" i="17"/>
  <c r="H137" i="17" s="1"/>
  <c r="F156" i="27" s="1"/>
  <c r="H138" i="20"/>
  <c r="G146" i="20"/>
  <c r="H92" i="12"/>
  <c r="H93" i="12" s="1"/>
  <c r="F48" i="27" s="1"/>
  <c r="G179" i="17"/>
  <c r="H143" i="17"/>
  <c r="G152" i="17"/>
  <c r="H187" i="17"/>
  <c r="I187" i="17" s="1"/>
  <c r="G197" i="17"/>
  <c r="H197" i="17" s="1"/>
  <c r="I198" i="17" s="1"/>
  <c r="H189" i="17"/>
  <c r="G200" i="17"/>
  <c r="G181" i="17"/>
  <c r="H145" i="17"/>
  <c r="H96" i="12"/>
  <c r="G109" i="12"/>
  <c r="H109" i="12" s="1"/>
  <c r="G92" i="13"/>
  <c r="H81" i="13"/>
  <c r="H99" i="12"/>
  <c r="G112" i="12"/>
  <c r="H112" i="12" s="1"/>
  <c r="G82" i="13"/>
  <c r="H71" i="13"/>
  <c r="G79" i="13"/>
  <c r="H68" i="13"/>
  <c r="G131" i="20"/>
  <c r="H91" i="20"/>
  <c r="H92" i="20" s="1"/>
  <c r="H93" i="20" s="1"/>
  <c r="H71" i="15"/>
  <c r="G80" i="15"/>
  <c r="H63" i="13"/>
  <c r="H64" i="13" s="1"/>
  <c r="F78" i="27" s="1"/>
  <c r="I62" i="24"/>
  <c r="I63" i="24" s="1"/>
  <c r="H76" i="13"/>
  <c r="I78" i="13" s="1"/>
  <c r="G979" i="1" s="1"/>
  <c r="J979" i="1" s="1"/>
  <c r="J981" i="1" s="1"/>
  <c r="G87" i="13"/>
  <c r="G80" i="13"/>
  <c r="H69" i="13"/>
  <c r="I9" i="23"/>
  <c r="H17" i="23"/>
  <c r="G367" i="21"/>
  <c r="G377" i="21" s="1"/>
  <c r="H349" i="21"/>
  <c r="H351" i="21" s="1"/>
  <c r="H352" i="21" s="1"/>
  <c r="F264" i="27" s="1"/>
  <c r="I79" i="24"/>
  <c r="H88" i="24"/>
  <c r="H106" i="24" s="1"/>
  <c r="I106" i="24" s="1"/>
  <c r="G182" i="17"/>
  <c r="H146" i="17"/>
  <c r="I76" i="24"/>
  <c r="H85" i="24"/>
  <c r="H103" i="24" s="1"/>
  <c r="I103" i="24" s="1"/>
  <c r="G116" i="19"/>
  <c r="H96" i="19"/>
  <c r="H108" i="21"/>
  <c r="G117" i="21"/>
  <c r="G126" i="21" s="1"/>
  <c r="H126" i="21" s="1"/>
  <c r="H128" i="20"/>
  <c r="G136" i="20"/>
  <c r="G87" i="19"/>
  <c r="G107" i="19" s="1"/>
  <c r="H77" i="19"/>
  <c r="H104" i="12"/>
  <c r="G118" i="12"/>
  <c r="G115" i="12"/>
  <c r="H101" i="12"/>
  <c r="H78" i="15"/>
  <c r="G90" i="15"/>
  <c r="H86" i="24"/>
  <c r="H104" i="24" s="1"/>
  <c r="I104" i="24" s="1"/>
  <c r="I77" i="24"/>
  <c r="G118" i="21"/>
  <c r="G127" i="21" s="1"/>
  <c r="H127" i="21" s="1"/>
  <c r="H109" i="21"/>
  <c r="H99" i="19"/>
  <c r="G119" i="19"/>
  <c r="G99" i="13"/>
  <c r="H88" i="13"/>
  <c r="G137" i="20"/>
  <c r="H129" i="20"/>
  <c r="G127" i="22"/>
  <c r="H117" i="22"/>
  <c r="H118" i="22" s="1"/>
  <c r="H119" i="22" s="1"/>
  <c r="F291" i="27" s="1"/>
  <c r="G111" i="21"/>
  <c r="H103" i="21"/>
  <c r="H104" i="21" s="1"/>
  <c r="H105" i="21" s="1"/>
  <c r="F238" i="27" s="1"/>
  <c r="G137" i="21"/>
  <c r="H119" i="21"/>
  <c r="H91" i="15"/>
  <c r="G100" i="15"/>
  <c r="I123" i="24"/>
  <c r="H132" i="24"/>
  <c r="H314" i="1" l="1"/>
  <c r="H426" i="1"/>
  <c r="H377" i="1"/>
  <c r="H326" i="1"/>
  <c r="H264" i="1"/>
  <c r="H116" i="1"/>
  <c r="H195" i="1"/>
  <c r="H247" i="1"/>
  <c r="H259" i="1"/>
  <c r="H382" i="1"/>
  <c r="K382" i="1" s="1"/>
  <c r="H200" i="1"/>
  <c r="H431" i="1"/>
  <c r="H331" i="1"/>
  <c r="H183" i="1"/>
  <c r="H131" i="1"/>
  <c r="H297" i="1"/>
  <c r="H149" i="1"/>
  <c r="H202" i="1"/>
  <c r="H167" i="1"/>
  <c r="I167" i="1" s="1"/>
  <c r="H263" i="1"/>
  <c r="H388" i="1"/>
  <c r="H404" i="1"/>
  <c r="H225" i="1"/>
  <c r="H115" i="1"/>
  <c r="H339" i="1"/>
  <c r="H288" i="1"/>
  <c r="H430" i="1"/>
  <c r="H209" i="1"/>
  <c r="H381" i="1"/>
  <c r="H330" i="1"/>
  <c r="H355" i="1"/>
  <c r="H272" i="1"/>
  <c r="H124" i="1"/>
  <c r="H158" i="1"/>
  <c r="H199" i="1"/>
  <c r="K167" i="1"/>
  <c r="L167" i="1" s="1"/>
  <c r="H427" i="21"/>
  <c r="I428" i="21" s="1"/>
  <c r="G436" i="21"/>
  <c r="H436" i="21" s="1"/>
  <c r="J964" i="1"/>
  <c r="K902" i="1"/>
  <c r="K906" i="1" s="1"/>
  <c r="K864" i="1"/>
  <c r="L864" i="1" s="1"/>
  <c r="G426" i="1"/>
  <c r="J426" i="1" s="1"/>
  <c r="G326" i="1"/>
  <c r="J326" i="1" s="1"/>
  <c r="G314" i="1"/>
  <c r="J314" i="1" s="1"/>
  <c r="H956" i="1"/>
  <c r="K956" i="1" s="1"/>
  <c r="L956" i="1" s="1"/>
  <c r="BC47" i="50"/>
  <c r="BC48" i="50"/>
  <c r="BC45" i="50"/>
  <c r="BC38" i="50"/>
  <c r="BC35" i="50"/>
  <c r="BC34" i="50"/>
  <c r="BC37" i="50"/>
  <c r="BC50" i="50"/>
  <c r="BC33" i="50"/>
  <c r="BC55" i="50"/>
  <c r="BC44" i="50"/>
  <c r="BC42" i="50"/>
  <c r="BC36" i="50"/>
  <c r="BC31" i="50"/>
  <c r="BC57" i="50"/>
  <c r="BC41" i="50"/>
  <c r="BC46" i="50"/>
  <c r="BC52" i="50"/>
  <c r="BC49" i="50"/>
  <c r="BC39" i="50"/>
  <c r="BC32" i="50"/>
  <c r="BC56" i="50"/>
  <c r="BC53" i="50"/>
  <c r="BC40" i="50"/>
  <c r="BC43" i="50"/>
  <c r="BC30" i="50"/>
  <c r="BC51" i="50"/>
  <c r="BC54" i="50"/>
  <c r="BC29" i="50"/>
  <c r="I787" i="1"/>
  <c r="K787" i="1"/>
  <c r="L787" i="1" s="1"/>
  <c r="I1235" i="1"/>
  <c r="K869" i="1"/>
  <c r="L869" i="1" s="1"/>
  <c r="I869" i="1"/>
  <c r="K1249" i="1"/>
  <c r="L1249" i="1" s="1"/>
  <c r="I1249" i="1"/>
  <c r="I394" i="1"/>
  <c r="K394" i="1"/>
  <c r="L394" i="1" s="1"/>
  <c r="I410" i="1"/>
  <c r="K410" i="1"/>
  <c r="L410" i="1" s="1"/>
  <c r="K420" i="1"/>
  <c r="L420" i="1" s="1"/>
  <c r="I420" i="1"/>
  <c r="H781" i="1"/>
  <c r="K781" i="1" s="1"/>
  <c r="L781" i="1" s="1"/>
  <c r="H859" i="1"/>
  <c r="I400" i="1"/>
  <c r="K400" i="1"/>
  <c r="L400" i="1" s="1"/>
  <c r="K910" i="1"/>
  <c r="I910" i="1"/>
  <c r="H1244" i="1"/>
  <c r="H1243" i="1"/>
  <c r="F40" i="36"/>
  <c r="G40" i="36" s="1"/>
  <c r="F61" i="36"/>
  <c r="G61" i="36" s="1"/>
  <c r="F51" i="36"/>
  <c r="G51" i="36" s="1"/>
  <c r="F106" i="36"/>
  <c r="G106" i="36" s="1"/>
  <c r="F70" i="36"/>
  <c r="G70" i="36" s="1"/>
  <c r="F78" i="36"/>
  <c r="G78" i="36" s="1"/>
  <c r="F114" i="36"/>
  <c r="G114" i="36" s="1"/>
  <c r="L1248" i="1"/>
  <c r="H789" i="1"/>
  <c r="I789" i="1" s="1"/>
  <c r="H866" i="1"/>
  <c r="G453" i="1"/>
  <c r="I453" i="1" s="1"/>
  <c r="G465" i="1"/>
  <c r="J920" i="1"/>
  <c r="J931" i="1" s="1"/>
  <c r="G972" i="1"/>
  <c r="J972" i="1" s="1"/>
  <c r="J977" i="1"/>
  <c r="I295" i="1"/>
  <c r="K295" i="1"/>
  <c r="L295" i="1" s="1"/>
  <c r="L902" i="1"/>
  <c r="L906" i="1" s="1"/>
  <c r="I284" i="1"/>
  <c r="K284" i="1"/>
  <c r="L284" i="1" s="1"/>
  <c r="H1236" i="1"/>
  <c r="H1237" i="1"/>
  <c r="F87" i="36"/>
  <c r="G87" i="36" s="1"/>
  <c r="I320" i="1"/>
  <c r="K320" i="1"/>
  <c r="L320" i="1" s="1"/>
  <c r="I278" i="1"/>
  <c r="K278" i="1"/>
  <c r="L278" i="1" s="1"/>
  <c r="I283" i="12"/>
  <c r="K183" i="1"/>
  <c r="K247" i="1"/>
  <c r="R62" i="1"/>
  <c r="G247" i="1"/>
  <c r="G183" i="1"/>
  <c r="J183" i="1" s="1"/>
  <c r="I1242" i="1"/>
  <c r="K631" i="1"/>
  <c r="L631" i="1" s="1"/>
  <c r="I631" i="1"/>
  <c r="F193" i="36"/>
  <c r="G193" i="36" s="1"/>
  <c r="J193" i="36" s="1"/>
  <c r="F186" i="36"/>
  <c r="G186" i="36" s="1"/>
  <c r="J186" i="36" s="1"/>
  <c r="K1228" i="1"/>
  <c r="L1228" i="1" s="1"/>
  <c r="I1228" i="1"/>
  <c r="L1227" i="1"/>
  <c r="H1230" i="1"/>
  <c r="H1229" i="1"/>
  <c r="H1223" i="1"/>
  <c r="H1222" i="1"/>
  <c r="H1216" i="1"/>
  <c r="I1215" i="1"/>
  <c r="K894" i="1"/>
  <c r="I894" i="1"/>
  <c r="K1279" i="1"/>
  <c r="L1279" i="1" s="1"/>
  <c r="I1279" i="1"/>
  <c r="H937" i="1"/>
  <c r="K200" i="1"/>
  <c r="K116" i="1"/>
  <c r="K264" i="1"/>
  <c r="I474" i="1"/>
  <c r="J195" i="17"/>
  <c r="K195" i="17" s="1"/>
  <c r="G274" i="17" s="1"/>
  <c r="K474" i="1"/>
  <c r="L474" i="1" s="1"/>
  <c r="J186" i="17"/>
  <c r="J187" i="17" s="1"/>
  <c r="K187" i="17" s="1"/>
  <c r="G459" i="1"/>
  <c r="J459" i="1" s="1"/>
  <c r="J463" i="1" s="1"/>
  <c r="G441" i="1"/>
  <c r="G447" i="1"/>
  <c r="J447" i="1" s="1"/>
  <c r="J451" i="1" s="1"/>
  <c r="F228" i="36"/>
  <c r="G228" i="36" s="1"/>
  <c r="J228" i="36" s="1"/>
  <c r="F221" i="36"/>
  <c r="G221" i="36" s="1"/>
  <c r="J221" i="36" s="1"/>
  <c r="F207" i="36"/>
  <c r="G207" i="36" s="1"/>
  <c r="J207" i="36" s="1"/>
  <c r="F200" i="36"/>
  <c r="G200" i="36" s="1"/>
  <c r="J200" i="36" s="1"/>
  <c r="F178" i="36"/>
  <c r="G178" i="36" s="1"/>
  <c r="J178" i="36" s="1"/>
  <c r="F213" i="36"/>
  <c r="G213" i="36" s="1"/>
  <c r="J213" i="36" s="1"/>
  <c r="J199" i="36"/>
  <c r="G192" i="36"/>
  <c r="F235" i="36"/>
  <c r="G235" i="36" s="1"/>
  <c r="J1268" i="1"/>
  <c r="I1268" i="1"/>
  <c r="H820" i="1"/>
  <c r="H704" i="1"/>
  <c r="H742" i="1"/>
  <c r="H827" i="1"/>
  <c r="H750" i="1"/>
  <c r="I215" i="1"/>
  <c r="L351" i="1"/>
  <c r="I221" i="1"/>
  <c r="L221" i="1"/>
  <c r="L345" i="1"/>
  <c r="L215" i="1"/>
  <c r="I345" i="1"/>
  <c r="K377" i="1"/>
  <c r="K259" i="1"/>
  <c r="K108" i="1"/>
  <c r="H284" i="12"/>
  <c r="H285" i="12" s="1"/>
  <c r="F67" i="27" s="1"/>
  <c r="I351" i="1"/>
  <c r="J371" i="1"/>
  <c r="L371" i="1" s="1"/>
  <c r="I371" i="1"/>
  <c r="G377" i="1"/>
  <c r="G259" i="1"/>
  <c r="J253" i="1"/>
  <c r="L253" i="1" s="1"/>
  <c r="I253" i="1"/>
  <c r="I361" i="1"/>
  <c r="J361" i="1"/>
  <c r="K459" i="1"/>
  <c r="J729" i="1"/>
  <c r="J730" i="1"/>
  <c r="J648" i="1"/>
  <c r="J649" i="1"/>
  <c r="J691" i="1"/>
  <c r="J692" i="1"/>
  <c r="J808" i="1"/>
  <c r="J807" i="1"/>
  <c r="I147" i="1"/>
  <c r="J147" i="1"/>
  <c r="L147" i="1" s="1"/>
  <c r="J20" i="36"/>
  <c r="N36" i="36"/>
  <c r="N30" i="36"/>
  <c r="N31" i="36"/>
  <c r="K103" i="1"/>
  <c r="K195" i="1"/>
  <c r="K91" i="1"/>
  <c r="G968" i="1"/>
  <c r="G195" i="1"/>
  <c r="G121" i="13"/>
  <c r="G132" i="13" s="1"/>
  <c r="H132" i="13" s="1"/>
  <c r="G110" i="13"/>
  <c r="H110" i="13" s="1"/>
  <c r="I231" i="1"/>
  <c r="J231" i="1"/>
  <c r="L231" i="1" s="1"/>
  <c r="J961" i="1"/>
  <c r="I164" i="1"/>
  <c r="I102" i="17"/>
  <c r="L164" i="1"/>
  <c r="H302" i="12"/>
  <c r="H303" i="12" s="1"/>
  <c r="F69" i="27" s="1"/>
  <c r="L878" i="1"/>
  <c r="L882" i="1" s="1"/>
  <c r="J46" i="6" s="1"/>
  <c r="K882" i="1"/>
  <c r="L1203" i="1"/>
  <c r="I137" i="1"/>
  <c r="H103" i="17"/>
  <c r="H104" i="17" s="1"/>
  <c r="F153" i="27" s="1"/>
  <c r="H377" i="21"/>
  <c r="G386" i="21"/>
  <c r="L27" i="1"/>
  <c r="K30" i="1"/>
  <c r="L72" i="1"/>
  <c r="I72" i="1"/>
  <c r="H107" i="19"/>
  <c r="I109" i="19" s="1"/>
  <c r="L79" i="1"/>
  <c r="I79" i="1"/>
  <c r="I97" i="1"/>
  <c r="J97" i="1"/>
  <c r="L97" i="1" s="1"/>
  <c r="I878" i="1"/>
  <c r="I124" i="17"/>
  <c r="H125" i="17"/>
  <c r="H126" i="17" s="1"/>
  <c r="F155" i="27" s="1"/>
  <c r="H200" i="17"/>
  <c r="G210" i="17"/>
  <c r="H210" i="17" s="1"/>
  <c r="I104" i="12"/>
  <c r="J106" i="24"/>
  <c r="K40" i="1"/>
  <c r="L40" i="1" s="1"/>
  <c r="I40" i="1"/>
  <c r="I189" i="1"/>
  <c r="J189" i="1"/>
  <c r="L189" i="1" s="1"/>
  <c r="K39" i="1"/>
  <c r="L39" i="1" s="1"/>
  <c r="I39" i="1"/>
  <c r="L130" i="1"/>
  <c r="K38" i="1"/>
  <c r="I38" i="1"/>
  <c r="I130" i="1"/>
  <c r="K886" i="1"/>
  <c r="I71" i="13"/>
  <c r="I350" i="21"/>
  <c r="I72" i="15"/>
  <c r="I146" i="17"/>
  <c r="K1208" i="1"/>
  <c r="L1208" i="1" s="1"/>
  <c r="I1208" i="1"/>
  <c r="I123" i="20"/>
  <c r="I103" i="21"/>
  <c r="I1221" i="1"/>
  <c r="K917" i="1"/>
  <c r="I917" i="1"/>
  <c r="J79" i="24"/>
  <c r="I91" i="20"/>
  <c r="I1214" i="1"/>
  <c r="I115" i="20"/>
  <c r="H80" i="19"/>
  <c r="H81" i="19" s="1"/>
  <c r="F190" i="27" s="1"/>
  <c r="I79" i="19"/>
  <c r="I114" i="12"/>
  <c r="I100" i="12"/>
  <c r="I107" i="24"/>
  <c r="I108" i="24" s="1"/>
  <c r="F311" i="27" s="1"/>
  <c r="F306" i="27"/>
  <c r="H73" i="15"/>
  <c r="H74" i="15" s="1"/>
  <c r="F112" i="27" s="1"/>
  <c r="G173" i="17"/>
  <c r="H173" i="17" s="1"/>
  <c r="H164" i="17"/>
  <c r="H98" i="19"/>
  <c r="G118" i="19"/>
  <c r="H384" i="21"/>
  <c r="G393" i="21"/>
  <c r="H393" i="21" s="1"/>
  <c r="H374" i="21"/>
  <c r="G383" i="21"/>
  <c r="H367" i="21"/>
  <c r="H369" i="21" s="1"/>
  <c r="H370" i="21" s="1"/>
  <c r="F265" i="27" s="1"/>
  <c r="H81" i="15"/>
  <c r="G93" i="15"/>
  <c r="H147" i="17"/>
  <c r="H148" i="17" s="1"/>
  <c r="F157" i="27" s="1"/>
  <c r="F220" i="27"/>
  <c r="H152" i="17"/>
  <c r="G161" i="17"/>
  <c r="H136" i="20"/>
  <c r="G144" i="20"/>
  <c r="H146" i="20"/>
  <c r="G154" i="20"/>
  <c r="H154" i="20" s="1"/>
  <c r="H137" i="20"/>
  <c r="G145" i="20"/>
  <c r="G190" i="17"/>
  <c r="H181" i="17"/>
  <c r="G188" i="17"/>
  <c r="H179" i="17"/>
  <c r="H105" i="12"/>
  <c r="H106" i="12" s="1"/>
  <c r="F49" i="27" s="1"/>
  <c r="G109" i="15"/>
  <c r="G305" i="15" s="1"/>
  <c r="H305" i="15" s="1"/>
  <c r="H100" i="15"/>
  <c r="H118" i="21"/>
  <c r="G136" i="21"/>
  <c r="G93" i="13"/>
  <c r="H82" i="13"/>
  <c r="H137" i="21"/>
  <c r="G146" i="21"/>
  <c r="H95" i="24"/>
  <c r="I86" i="24"/>
  <c r="G125" i="19"/>
  <c r="H116" i="19"/>
  <c r="H99" i="13"/>
  <c r="G143" i="13"/>
  <c r="G305" i="13" s="1"/>
  <c r="H305" i="13" s="1"/>
  <c r="H87" i="19"/>
  <c r="G97" i="19"/>
  <c r="I85" i="24"/>
  <c r="H94" i="24"/>
  <c r="H80" i="13"/>
  <c r="G91" i="13"/>
  <c r="G139" i="20"/>
  <c r="H131" i="20"/>
  <c r="H132" i="20" s="1"/>
  <c r="H133" i="20" s="1"/>
  <c r="F224" i="27" s="1"/>
  <c r="I17" i="23"/>
  <c r="H25" i="23"/>
  <c r="H119" i="19"/>
  <c r="G128" i="19"/>
  <c r="G103" i="13"/>
  <c r="H92" i="13"/>
  <c r="H10" i="23"/>
  <c r="H127" i="22"/>
  <c r="H128" i="22" s="1"/>
  <c r="H129" i="22" s="1"/>
  <c r="F292" i="27" s="1"/>
  <c r="G149" i="12"/>
  <c r="G138" i="12" s="1"/>
  <c r="H138" i="12" s="1"/>
  <c r="H118" i="12"/>
  <c r="G127" i="12"/>
  <c r="H127" i="12" s="1"/>
  <c r="G92" i="15"/>
  <c r="H80" i="15"/>
  <c r="G99" i="15"/>
  <c r="H90" i="15"/>
  <c r="H159" i="24"/>
  <c r="I132" i="24"/>
  <c r="H111" i="21"/>
  <c r="H113" i="21" s="1"/>
  <c r="H114" i="21" s="1"/>
  <c r="F239" i="27" s="1"/>
  <c r="G120" i="21"/>
  <c r="G129" i="21" s="1"/>
  <c r="H129" i="21" s="1"/>
  <c r="H131" i="21" s="1"/>
  <c r="H132" i="21" s="1"/>
  <c r="F242" i="27" s="1"/>
  <c r="H72" i="13"/>
  <c r="H73" i="13" s="1"/>
  <c r="F79" i="27" s="1"/>
  <c r="I80" i="24"/>
  <c r="I81" i="24" s="1"/>
  <c r="F308" i="27" s="1"/>
  <c r="G98" i="13"/>
  <c r="H87" i="13"/>
  <c r="I89" i="13" s="1"/>
  <c r="G191" i="17"/>
  <c r="H182" i="17"/>
  <c r="G90" i="13"/>
  <c r="H79" i="13"/>
  <c r="G125" i="12"/>
  <c r="H125" i="12" s="1"/>
  <c r="G146" i="12"/>
  <c r="G135" i="12" s="1"/>
  <c r="H135" i="12" s="1"/>
  <c r="H115" i="12"/>
  <c r="G135" i="21"/>
  <c r="H117" i="21"/>
  <c r="I88" i="24"/>
  <c r="H97" i="24"/>
  <c r="H177" i="1" l="1"/>
  <c r="H308" i="1"/>
  <c r="H241" i="1"/>
  <c r="K674" i="1"/>
  <c r="L674" i="1" s="1"/>
  <c r="I674" i="1"/>
  <c r="H429" i="21"/>
  <c r="H430" i="21" s="1"/>
  <c r="F273" i="27" s="1"/>
  <c r="K149" i="1"/>
  <c r="L149" i="1" s="1"/>
  <c r="I149" i="1"/>
  <c r="K297" i="1"/>
  <c r="L297" i="1" s="1"/>
  <c r="I297" i="1"/>
  <c r="I437" i="21"/>
  <c r="H438" i="21"/>
  <c r="H439" i="21" s="1"/>
  <c r="F274" i="27" s="1"/>
  <c r="H711" i="1"/>
  <c r="K202" i="1"/>
  <c r="L202" i="1" s="1"/>
  <c r="I202" i="1"/>
  <c r="K131" i="1"/>
  <c r="L131" i="1" s="1"/>
  <c r="I131" i="1"/>
  <c r="I956" i="1"/>
  <c r="L1268" i="1"/>
  <c r="G241" i="1"/>
  <c r="J241" i="1" s="1"/>
  <c r="G308" i="1"/>
  <c r="J308" i="1" s="1"/>
  <c r="G431" i="1"/>
  <c r="J431" i="1" s="1"/>
  <c r="J432" i="1" s="1"/>
  <c r="G331" i="1"/>
  <c r="J331" i="1" s="1"/>
  <c r="BH56" i="50"/>
  <c r="D525" i="1" s="1"/>
  <c r="BH31" i="50"/>
  <c r="D500" i="1" s="1"/>
  <c r="BH55" i="50"/>
  <c r="D524" i="1" s="1"/>
  <c r="BH48" i="50"/>
  <c r="D517" i="1" s="1"/>
  <c r="BH43" i="50"/>
  <c r="D512" i="1" s="1"/>
  <c r="BH33" i="50"/>
  <c r="D502" i="1" s="1"/>
  <c r="BH35" i="50"/>
  <c r="D504" i="1" s="1"/>
  <c r="BH54" i="50"/>
  <c r="D523" i="1" s="1"/>
  <c r="BH40" i="50"/>
  <c r="D509" i="1" s="1"/>
  <c r="BH39" i="50"/>
  <c r="D508" i="1" s="1"/>
  <c r="BH41" i="50"/>
  <c r="D510" i="1" s="1"/>
  <c r="BH42" i="50"/>
  <c r="D511" i="1" s="1"/>
  <c r="BH50" i="50"/>
  <c r="D519" i="1" s="1"/>
  <c r="BH38" i="50"/>
  <c r="D507" i="1" s="1"/>
  <c r="BH32" i="50"/>
  <c r="D501" i="1" s="1"/>
  <c r="BH30" i="50"/>
  <c r="D499" i="1" s="1"/>
  <c r="BH52" i="50"/>
  <c r="D521" i="1" s="1"/>
  <c r="BH34" i="50"/>
  <c r="D503" i="1" s="1"/>
  <c r="BH29" i="50"/>
  <c r="D498" i="1" s="1"/>
  <c r="BH46" i="50"/>
  <c r="D515" i="1" s="1"/>
  <c r="BH51" i="50"/>
  <c r="D520" i="1" s="1"/>
  <c r="BH53" i="50"/>
  <c r="D522" i="1" s="1"/>
  <c r="BH49" i="50"/>
  <c r="D518" i="1" s="1"/>
  <c r="BH57" i="50"/>
  <c r="D526" i="1" s="1"/>
  <c r="BH44" i="50"/>
  <c r="D513" i="1" s="1"/>
  <c r="BH37" i="50"/>
  <c r="D506" i="1" s="1"/>
  <c r="BH45" i="50"/>
  <c r="D514" i="1" s="1"/>
  <c r="BH47" i="50"/>
  <c r="D516" i="1" s="1"/>
  <c r="BH36" i="50"/>
  <c r="D505" i="1" s="1"/>
  <c r="J453" i="1"/>
  <c r="J457" i="1" s="1"/>
  <c r="I781" i="1"/>
  <c r="K789" i="1"/>
  <c r="L789" i="1" s="1"/>
  <c r="K1250" i="1"/>
  <c r="L1250" i="1"/>
  <c r="J77" i="6" s="1"/>
  <c r="H1146" i="1"/>
  <c r="K1146" i="1" s="1"/>
  <c r="L1146" i="1" s="1"/>
  <c r="H1189" i="1"/>
  <c r="K1243" i="1"/>
  <c r="I1243" i="1"/>
  <c r="I404" i="1"/>
  <c r="K404" i="1"/>
  <c r="L404" i="1" s="1"/>
  <c r="L910" i="1"/>
  <c r="L914" i="1" s="1"/>
  <c r="K914" i="1"/>
  <c r="K430" i="1"/>
  <c r="L430" i="1" s="1"/>
  <c r="I430" i="1"/>
  <c r="H1145" i="1"/>
  <c r="I1145" i="1" s="1"/>
  <c r="H1188" i="1"/>
  <c r="K1244" i="1"/>
  <c r="L1244" i="1" s="1"/>
  <c r="I1244" i="1"/>
  <c r="K859" i="1"/>
  <c r="L859" i="1" s="1"/>
  <c r="I859" i="1"/>
  <c r="K426" i="1"/>
  <c r="L426" i="1" s="1"/>
  <c r="I426" i="1"/>
  <c r="H792" i="1"/>
  <c r="K792" i="1" s="1"/>
  <c r="L792" i="1" s="1"/>
  <c r="H753" i="1"/>
  <c r="F28" i="36"/>
  <c r="G28" i="36" s="1"/>
  <c r="F122" i="36"/>
  <c r="G122" i="36" s="1"/>
  <c r="K866" i="1"/>
  <c r="L866" i="1" s="1"/>
  <c r="I866" i="1"/>
  <c r="I388" i="1"/>
  <c r="K388" i="1"/>
  <c r="L388" i="1" s="1"/>
  <c r="I431" i="1"/>
  <c r="K431" i="1"/>
  <c r="L431" i="1" s="1"/>
  <c r="I465" i="1"/>
  <c r="J465" i="1"/>
  <c r="J49" i="6"/>
  <c r="J178" i="6"/>
  <c r="P178" i="6" s="1"/>
  <c r="I1237" i="1"/>
  <c r="K1237" i="1"/>
  <c r="L1237" i="1" s="1"/>
  <c r="K288" i="1"/>
  <c r="L288" i="1" s="1"/>
  <c r="I288" i="1"/>
  <c r="K314" i="1"/>
  <c r="L314" i="1" s="1"/>
  <c r="I314" i="1"/>
  <c r="F96" i="36"/>
  <c r="G96" i="36" s="1"/>
  <c r="J96" i="36" s="1"/>
  <c r="K1236" i="1"/>
  <c r="I1236" i="1"/>
  <c r="I272" i="1"/>
  <c r="K272" i="1"/>
  <c r="L272" i="1" s="1"/>
  <c r="K326" i="1"/>
  <c r="L326" i="1" s="1"/>
  <c r="I326" i="1"/>
  <c r="K330" i="1"/>
  <c r="L330" i="1" s="1"/>
  <c r="I330" i="1"/>
  <c r="K331" i="1"/>
  <c r="I247" i="1"/>
  <c r="J247" i="1"/>
  <c r="L247" i="1" s="1"/>
  <c r="L183" i="1"/>
  <c r="I183" i="1"/>
  <c r="F158" i="36"/>
  <c r="G158" i="36" s="1"/>
  <c r="F151" i="36"/>
  <c r="G151" i="36" s="1"/>
  <c r="F165" i="36"/>
  <c r="G165" i="36" s="1"/>
  <c r="J165" i="36" s="1"/>
  <c r="F171" i="36"/>
  <c r="G171" i="36" s="1"/>
  <c r="J171" i="36" s="1"/>
  <c r="F144" i="36"/>
  <c r="G144" i="36" s="1"/>
  <c r="J144" i="36" s="1"/>
  <c r="K929" i="1"/>
  <c r="L929" i="1" s="1"/>
  <c r="I929" i="1"/>
  <c r="K937" i="1"/>
  <c r="I937" i="1"/>
  <c r="L894" i="1"/>
  <c r="L898" i="1" s="1"/>
  <c r="K898" i="1"/>
  <c r="K1229" i="1"/>
  <c r="I1229" i="1"/>
  <c r="K1230" i="1"/>
  <c r="L1230" i="1" s="1"/>
  <c r="I1230" i="1"/>
  <c r="I459" i="1"/>
  <c r="G296" i="15"/>
  <c r="H296" i="15" s="1"/>
  <c r="G118" i="15"/>
  <c r="K475" i="1"/>
  <c r="L475" i="1" s="1"/>
  <c r="I475" i="1"/>
  <c r="K381" i="1"/>
  <c r="L381" i="1" s="1"/>
  <c r="I381" i="1"/>
  <c r="K199" i="1"/>
  <c r="L199" i="1" s="1"/>
  <c r="I199" i="1"/>
  <c r="K115" i="1"/>
  <c r="L115" i="1" s="1"/>
  <c r="I115" i="1"/>
  <c r="K263" i="1"/>
  <c r="L263" i="1" s="1"/>
  <c r="I263" i="1"/>
  <c r="K339" i="1"/>
  <c r="L339" i="1" s="1"/>
  <c r="I339" i="1"/>
  <c r="K141" i="1"/>
  <c r="L141" i="1" s="1"/>
  <c r="I141" i="1"/>
  <c r="J196" i="17"/>
  <c r="K196" i="17" s="1"/>
  <c r="K186" i="17"/>
  <c r="G273" i="17" s="1"/>
  <c r="G382" i="1"/>
  <c r="G264" i="1"/>
  <c r="G200" i="1"/>
  <c r="G116" i="1"/>
  <c r="J95" i="17"/>
  <c r="J117" i="17"/>
  <c r="J238" i="17"/>
  <c r="J177" i="17"/>
  <c r="J227" i="17"/>
  <c r="J128" i="17"/>
  <c r="J150" i="17"/>
  <c r="J29" i="17"/>
  <c r="J51" i="17"/>
  <c r="J139" i="17"/>
  <c r="J18" i="17"/>
  <c r="J57" i="13"/>
  <c r="J974" i="1"/>
  <c r="G181" i="36"/>
  <c r="G182" i="36" s="1"/>
  <c r="I263" i="36" s="1"/>
  <c r="G216" i="36"/>
  <c r="G217" i="36" s="1"/>
  <c r="I268" i="36" s="1"/>
  <c r="J220" i="36"/>
  <c r="G223" i="36"/>
  <c r="J227" i="36"/>
  <c r="G230" i="36"/>
  <c r="G202" i="36"/>
  <c r="G203" i="36" s="1"/>
  <c r="I266" i="36" s="1"/>
  <c r="J206" i="36"/>
  <c r="G209" i="36"/>
  <c r="J192" i="36"/>
  <c r="G195" i="36"/>
  <c r="J185" i="36"/>
  <c r="G188" i="36"/>
  <c r="J179" i="36"/>
  <c r="J172" i="36"/>
  <c r="J235" i="36"/>
  <c r="G237" i="36"/>
  <c r="I108" i="1"/>
  <c r="R63" i="1"/>
  <c r="H714" i="1"/>
  <c r="K714" i="1" s="1"/>
  <c r="L714" i="1" s="1"/>
  <c r="K672" i="1"/>
  <c r="L672" i="1" s="1"/>
  <c r="K820" i="1"/>
  <c r="L820" i="1" s="1"/>
  <c r="I820" i="1"/>
  <c r="K827" i="1"/>
  <c r="L827" i="1" s="1"/>
  <c r="I827" i="1"/>
  <c r="K750" i="1"/>
  <c r="L750" i="1" s="1"/>
  <c r="I750" i="1"/>
  <c r="K742" i="1"/>
  <c r="L742" i="1" s="1"/>
  <c r="I742" i="1"/>
  <c r="J137" i="36"/>
  <c r="K111" i="1"/>
  <c r="L111" i="1" s="1"/>
  <c r="I111" i="1"/>
  <c r="K58" i="1"/>
  <c r="L58" i="1" s="1"/>
  <c r="I58" i="1"/>
  <c r="K66" i="1"/>
  <c r="L66" i="1" s="1"/>
  <c r="I66" i="1"/>
  <c r="K209" i="1"/>
  <c r="L209" i="1" s="1"/>
  <c r="I209" i="1"/>
  <c r="K85" i="1"/>
  <c r="K177" i="1"/>
  <c r="K225" i="1"/>
  <c r="L225" i="1" s="1"/>
  <c r="I225" i="1"/>
  <c r="K355" i="1"/>
  <c r="L355" i="1" s="1"/>
  <c r="I355" i="1"/>
  <c r="G177" i="1"/>
  <c r="K124" i="1"/>
  <c r="L124" i="1" s="1"/>
  <c r="I124" i="1"/>
  <c r="K107" i="1"/>
  <c r="L107" i="1" s="1"/>
  <c r="I107" i="1"/>
  <c r="H1103" i="1"/>
  <c r="H1060" i="1"/>
  <c r="K1060" i="1" s="1"/>
  <c r="L1060" i="1" s="1"/>
  <c r="K1016" i="1"/>
  <c r="L1016" i="1" s="1"/>
  <c r="H1102" i="1"/>
  <c r="H1059" i="1"/>
  <c r="J259" i="1"/>
  <c r="I259" i="1"/>
  <c r="I377" i="1"/>
  <c r="J377" i="1"/>
  <c r="L361" i="1"/>
  <c r="G130" i="36"/>
  <c r="J130" i="36" s="1"/>
  <c r="K463" i="1"/>
  <c r="L459" i="1"/>
  <c r="G274" i="13"/>
  <c r="G153" i="13"/>
  <c r="J88" i="36"/>
  <c r="J114" i="36"/>
  <c r="K52" i="1"/>
  <c r="L52" i="1" s="1"/>
  <c r="I52" i="1"/>
  <c r="K51" i="1"/>
  <c r="L51" i="1" s="1"/>
  <c r="I51" i="1"/>
  <c r="N32" i="36"/>
  <c r="H121" i="13"/>
  <c r="I103" i="1"/>
  <c r="J103" i="1"/>
  <c r="L103" i="1" s="1"/>
  <c r="G98" i="36"/>
  <c r="J98" i="36" s="1"/>
  <c r="J195" i="1"/>
  <c r="L195" i="1" s="1"/>
  <c r="I195" i="1"/>
  <c r="K194" i="1" s="1"/>
  <c r="L194" i="1" s="1"/>
  <c r="K447" i="1"/>
  <c r="I447" i="1"/>
  <c r="G120" i="13"/>
  <c r="G131" i="13" s="1"/>
  <c r="H131" i="13" s="1"/>
  <c r="G109" i="13"/>
  <c r="H109" i="13" s="1"/>
  <c r="G125" i="13"/>
  <c r="G136" i="13" s="1"/>
  <c r="H136" i="13" s="1"/>
  <c r="G114" i="13"/>
  <c r="H114" i="13" s="1"/>
  <c r="I441" i="1"/>
  <c r="I435" i="1"/>
  <c r="H110" i="19"/>
  <c r="H111" i="19" s="1"/>
  <c r="F195" i="27" s="1"/>
  <c r="AP4" i="50" s="1"/>
  <c r="AX49" i="50" s="1"/>
  <c r="BB49" i="50" s="1"/>
  <c r="N38" i="36"/>
  <c r="N33" i="36"/>
  <c r="K126" i="1"/>
  <c r="L126" i="1" s="1"/>
  <c r="I126" i="1"/>
  <c r="K158" i="1"/>
  <c r="L158" i="1" s="1"/>
  <c r="I158" i="1"/>
  <c r="K68" i="1"/>
  <c r="L68" i="1" s="1"/>
  <c r="I68" i="1"/>
  <c r="L917" i="1"/>
  <c r="L38" i="1"/>
  <c r="K41" i="1"/>
  <c r="L886" i="1"/>
  <c r="K890" i="1"/>
  <c r="G395" i="21"/>
  <c r="H395" i="21" s="1"/>
  <c r="H386" i="21"/>
  <c r="I127" i="12"/>
  <c r="J91" i="1"/>
  <c r="I91" i="1"/>
  <c r="I81" i="15"/>
  <c r="I130" i="21"/>
  <c r="H156" i="17"/>
  <c r="H157" i="17" s="1"/>
  <c r="F158" i="27" s="1"/>
  <c r="I155" i="17"/>
  <c r="I182" i="17"/>
  <c r="K1216" i="1"/>
  <c r="L1216" i="1" s="1"/>
  <c r="I1216" i="1"/>
  <c r="I112" i="21"/>
  <c r="H119" i="12"/>
  <c r="H120" i="12" s="1"/>
  <c r="F50" i="27" s="1"/>
  <c r="I118" i="12"/>
  <c r="H139" i="12"/>
  <c r="I138" i="12"/>
  <c r="K1215" i="1"/>
  <c r="L1215" i="1" s="1"/>
  <c r="K1222" i="1"/>
  <c r="L1222" i="1" s="1"/>
  <c r="I1222" i="1"/>
  <c r="K704" i="1"/>
  <c r="L704" i="1" s="1"/>
  <c r="I704" i="1"/>
  <c r="I82" i="13"/>
  <c r="J88" i="24"/>
  <c r="I131" i="20"/>
  <c r="K1223" i="1"/>
  <c r="L1223" i="1" s="1"/>
  <c r="I1223" i="1"/>
  <c r="K662" i="1"/>
  <c r="L662" i="1" s="1"/>
  <c r="I662" i="1"/>
  <c r="I368" i="21"/>
  <c r="H90" i="19"/>
  <c r="H91" i="19" s="1"/>
  <c r="F191" i="27" s="1"/>
  <c r="AP2" i="50" s="1"/>
  <c r="I89" i="19"/>
  <c r="H128" i="12"/>
  <c r="H129" i="12" s="1"/>
  <c r="F51" i="27" s="1"/>
  <c r="H83" i="13"/>
  <c r="H84" i="13" s="1"/>
  <c r="F81" i="27" s="1"/>
  <c r="H82" i="15"/>
  <c r="H83" i="15" s="1"/>
  <c r="F113" i="27" s="1"/>
  <c r="H118" i="19"/>
  <c r="G127" i="19"/>
  <c r="H383" i="21"/>
  <c r="G392" i="21"/>
  <c r="H392" i="21" s="1"/>
  <c r="H376" i="21"/>
  <c r="H378" i="21" s="1"/>
  <c r="H379" i="21" s="1"/>
  <c r="F266" i="27" s="1"/>
  <c r="G385" i="21"/>
  <c r="H93" i="15"/>
  <c r="G102" i="15"/>
  <c r="H161" i="17"/>
  <c r="G170" i="17"/>
  <c r="H170" i="17" s="1"/>
  <c r="H145" i="20"/>
  <c r="G153" i="20"/>
  <c r="H153" i="20" s="1"/>
  <c r="H144" i="20"/>
  <c r="G152" i="20"/>
  <c r="H152" i="20" s="1"/>
  <c r="H139" i="20"/>
  <c r="H140" i="20" s="1"/>
  <c r="H141" i="20" s="1"/>
  <c r="F225" i="27" s="1"/>
  <c r="G147" i="20"/>
  <c r="H188" i="17"/>
  <c r="G199" i="17"/>
  <c r="H190" i="17"/>
  <c r="G201" i="17"/>
  <c r="H183" i="17"/>
  <c r="H184" i="17" s="1"/>
  <c r="F161" i="27" s="1"/>
  <c r="H191" i="17"/>
  <c r="G202" i="17"/>
  <c r="H18" i="23"/>
  <c r="I10" i="23"/>
  <c r="I11" i="23" s="1"/>
  <c r="I12" i="23" s="1"/>
  <c r="F295" i="27" s="1"/>
  <c r="G138" i="21"/>
  <c r="H120" i="21"/>
  <c r="H122" i="21" s="1"/>
  <c r="H123" i="21" s="1"/>
  <c r="F240" i="27" s="1"/>
  <c r="G146" i="13"/>
  <c r="G308" i="13" s="1"/>
  <c r="H308" i="13" s="1"/>
  <c r="H103" i="13"/>
  <c r="H135" i="21"/>
  <c r="G144" i="21"/>
  <c r="G142" i="13"/>
  <c r="G304" i="13" s="1"/>
  <c r="H304" i="13" s="1"/>
  <c r="H98" i="13"/>
  <c r="I100" i="13" s="1"/>
  <c r="G1271" i="1" s="1"/>
  <c r="G101" i="15"/>
  <c r="H92" i="15"/>
  <c r="G136" i="19"/>
  <c r="H128" i="19"/>
  <c r="I94" i="24"/>
  <c r="H112" i="24"/>
  <c r="G104" i="13"/>
  <c r="H93" i="13"/>
  <c r="G102" i="13"/>
  <c r="H91" i="13"/>
  <c r="H90" i="13"/>
  <c r="G101" i="13"/>
  <c r="I89" i="24"/>
  <c r="I90" i="24" s="1"/>
  <c r="F309" i="27" s="1"/>
  <c r="H125" i="19"/>
  <c r="G133" i="19"/>
  <c r="H136" i="21"/>
  <c r="G145" i="21"/>
  <c r="I159" i="24"/>
  <c r="H168" i="24"/>
  <c r="H177" i="24" s="1"/>
  <c r="H32" i="23"/>
  <c r="I32" i="23" s="1"/>
  <c r="I25" i="23"/>
  <c r="H97" i="19"/>
  <c r="G117" i="19"/>
  <c r="G168" i="12"/>
  <c r="H168" i="12" s="1"/>
  <c r="G157" i="12"/>
  <c r="H146" i="12"/>
  <c r="H99" i="15"/>
  <c r="G108" i="15"/>
  <c r="G304" i="15" s="1"/>
  <c r="H304" i="15" s="1"/>
  <c r="H115" i="24"/>
  <c r="I97" i="24"/>
  <c r="G171" i="12"/>
  <c r="H171" i="12" s="1"/>
  <c r="G160" i="12"/>
  <c r="H149" i="12"/>
  <c r="I95" i="24"/>
  <c r="H113" i="24"/>
  <c r="H143" i="13"/>
  <c r="H146" i="21"/>
  <c r="G155" i="21"/>
  <c r="G164" i="21" s="1"/>
  <c r="H164" i="21" s="1"/>
  <c r="H109" i="15"/>
  <c r="H930" i="1" l="1"/>
  <c r="H367" i="1"/>
  <c r="H217" i="1"/>
  <c r="H373" i="1"/>
  <c r="H185" i="1"/>
  <c r="H255" i="1"/>
  <c r="H133" i="1"/>
  <c r="H316" i="1"/>
  <c r="H416" i="1"/>
  <c r="H179" i="1"/>
  <c r="H249" i="1"/>
  <c r="H396" i="1"/>
  <c r="H347" i="1"/>
  <c r="H191" i="1"/>
  <c r="H243" i="1"/>
  <c r="H280" i="1"/>
  <c r="H422" i="1"/>
  <c r="H322" i="1"/>
  <c r="H310" i="1"/>
  <c r="G412" i="21"/>
  <c r="H412" i="21" s="1"/>
  <c r="G402" i="21"/>
  <c r="H235" i="1"/>
  <c r="H171" i="1"/>
  <c r="I171" i="1" s="1"/>
  <c r="H365" i="1"/>
  <c r="H302" i="1"/>
  <c r="H154" i="1"/>
  <c r="H414" i="1"/>
  <c r="I93" i="15"/>
  <c r="AX53" i="50"/>
  <c r="BB53" i="50" s="1"/>
  <c r="AX48" i="50"/>
  <c r="BB48" i="50" s="1"/>
  <c r="AX33" i="50"/>
  <c r="BB33" i="50" s="1"/>
  <c r="AX47" i="50"/>
  <c r="BB47" i="50" s="1"/>
  <c r="AX46" i="50"/>
  <c r="BB46" i="50" s="1"/>
  <c r="AX45" i="50"/>
  <c r="BB45" i="50" s="1"/>
  <c r="AV36" i="50"/>
  <c r="AZ36" i="50" s="1"/>
  <c r="AV54" i="50"/>
  <c r="AZ54" i="50" s="1"/>
  <c r="AV50" i="50"/>
  <c r="AZ50" i="50" s="1"/>
  <c r="AV57" i="50"/>
  <c r="AZ57" i="50" s="1"/>
  <c r="AV53" i="50"/>
  <c r="AZ53" i="50" s="1"/>
  <c r="AV56" i="50"/>
  <c r="AZ56" i="50" s="1"/>
  <c r="AV52" i="50"/>
  <c r="AZ52" i="50" s="1"/>
  <c r="AV55" i="50"/>
  <c r="AZ55" i="50" s="1"/>
  <c r="AV51" i="50"/>
  <c r="AZ51" i="50" s="1"/>
  <c r="AV49" i="50"/>
  <c r="AZ49" i="50" s="1"/>
  <c r="AV48" i="50"/>
  <c r="AZ48" i="50" s="1"/>
  <c r="AV47" i="50"/>
  <c r="AZ47" i="50" s="1"/>
  <c r="K675" i="1"/>
  <c r="L675" i="1" s="1"/>
  <c r="I675" i="1"/>
  <c r="K676" i="1"/>
  <c r="L676" i="1" s="1"/>
  <c r="I676" i="1"/>
  <c r="I305" i="13"/>
  <c r="G1274" i="1" s="1"/>
  <c r="AX34" i="50"/>
  <c r="BB34" i="50" s="1"/>
  <c r="AX31" i="50"/>
  <c r="BB31" i="50" s="1"/>
  <c r="AX40" i="50"/>
  <c r="BB40" i="50" s="1"/>
  <c r="AX43" i="50"/>
  <c r="BB43" i="50" s="1"/>
  <c r="AX38" i="50"/>
  <c r="BB38" i="50" s="1"/>
  <c r="K964" i="1"/>
  <c r="L964" i="1" s="1"/>
  <c r="I964" i="1"/>
  <c r="AV46" i="50"/>
  <c r="AZ46" i="50" s="1"/>
  <c r="AV43" i="50"/>
  <c r="AZ43" i="50" s="1"/>
  <c r="AV39" i="50"/>
  <c r="AZ39" i="50" s="1"/>
  <c r="AV37" i="50"/>
  <c r="AZ37" i="50" s="1"/>
  <c r="AV35" i="50"/>
  <c r="AZ35" i="50" s="1"/>
  <c r="AV45" i="50"/>
  <c r="AZ45" i="50" s="1"/>
  <c r="AV42" i="50"/>
  <c r="AZ42" i="50" s="1"/>
  <c r="AV41" i="50"/>
  <c r="AZ41" i="50" s="1"/>
  <c r="AV32" i="50"/>
  <c r="AZ32" i="50" s="1"/>
  <c r="AV30" i="50"/>
  <c r="AZ30" i="50" s="1"/>
  <c r="AV40" i="50"/>
  <c r="AZ40" i="50" s="1"/>
  <c r="AV34" i="50"/>
  <c r="AZ34" i="50" s="1"/>
  <c r="AV31" i="50"/>
  <c r="AZ31" i="50" s="1"/>
  <c r="AV44" i="50"/>
  <c r="AZ44" i="50" s="1"/>
  <c r="AV38" i="50"/>
  <c r="AZ38" i="50" s="1"/>
  <c r="AV33" i="50"/>
  <c r="AZ33" i="50" s="1"/>
  <c r="AV29" i="50"/>
  <c r="AZ29" i="50" s="1"/>
  <c r="AX37" i="50"/>
  <c r="BB37" i="50" s="1"/>
  <c r="AX32" i="50"/>
  <c r="BB32" i="50" s="1"/>
  <c r="AX42" i="50"/>
  <c r="BB42" i="50" s="1"/>
  <c r="AX39" i="50"/>
  <c r="BB39" i="50" s="1"/>
  <c r="AX41" i="50"/>
  <c r="BB41" i="50" s="1"/>
  <c r="AX44" i="50"/>
  <c r="BB44" i="50" s="1"/>
  <c r="K930" i="1"/>
  <c r="L930" i="1" s="1"/>
  <c r="I930" i="1"/>
  <c r="I331" i="1"/>
  <c r="L331" i="1"/>
  <c r="L453" i="1"/>
  <c r="L457" i="1" s="1"/>
  <c r="J28" i="6" s="1"/>
  <c r="D534" i="1"/>
  <c r="D596" i="1" s="1"/>
  <c r="D565" i="1"/>
  <c r="D533" i="1"/>
  <c r="D595" i="1" s="1"/>
  <c r="D564" i="1"/>
  <c r="D555" i="1"/>
  <c r="D617" i="1" s="1"/>
  <c r="D586" i="1"/>
  <c r="D549" i="1"/>
  <c r="D611" i="1" s="1"/>
  <c r="D580" i="1"/>
  <c r="D550" i="1"/>
  <c r="D612" i="1" s="1"/>
  <c r="D581" i="1"/>
  <c r="D540" i="1"/>
  <c r="D602" i="1" s="1"/>
  <c r="D571" i="1"/>
  <c r="D535" i="1"/>
  <c r="D597" i="1" s="1"/>
  <c r="D566" i="1"/>
  <c r="D557" i="1"/>
  <c r="D619" i="1" s="1"/>
  <c r="D588" i="1"/>
  <c r="D531" i="1"/>
  <c r="D593" i="1" s="1"/>
  <c r="D562" i="1"/>
  <c r="D547" i="1"/>
  <c r="D609" i="1" s="1"/>
  <c r="D578" i="1"/>
  <c r="D546" i="1"/>
  <c r="D608" i="1" s="1"/>
  <c r="D577" i="1"/>
  <c r="D530" i="1"/>
  <c r="D592" i="1" s="1"/>
  <c r="D561" i="1"/>
  <c r="D538" i="1"/>
  <c r="D600" i="1" s="1"/>
  <c r="D569" i="1"/>
  <c r="D539" i="1"/>
  <c r="D601" i="1" s="1"/>
  <c r="D570" i="1"/>
  <c r="D554" i="1"/>
  <c r="D616" i="1" s="1"/>
  <c r="D585" i="1"/>
  <c r="D548" i="1"/>
  <c r="D610" i="1" s="1"/>
  <c r="D579" i="1"/>
  <c r="D537" i="1"/>
  <c r="D599" i="1" s="1"/>
  <c r="D568" i="1"/>
  <c r="D542" i="1"/>
  <c r="D604" i="1" s="1"/>
  <c r="D573" i="1"/>
  <c r="D536" i="1"/>
  <c r="D598" i="1" s="1"/>
  <c r="D567" i="1"/>
  <c r="D551" i="1"/>
  <c r="D613" i="1" s="1"/>
  <c r="D582" i="1"/>
  <c r="H979" i="1"/>
  <c r="K979" i="1" s="1"/>
  <c r="L979" i="1" s="1"/>
  <c r="D545" i="1"/>
  <c r="D607" i="1" s="1"/>
  <c r="D576" i="1"/>
  <c r="D544" i="1"/>
  <c r="D606" i="1" s="1"/>
  <c r="D575" i="1"/>
  <c r="D553" i="1"/>
  <c r="D615" i="1" s="1"/>
  <c r="D584" i="1"/>
  <c r="D529" i="1"/>
  <c r="D591" i="1" s="1"/>
  <c r="D560" i="1"/>
  <c r="D552" i="1"/>
  <c r="D614" i="1" s="1"/>
  <c r="D583" i="1"/>
  <c r="D532" i="1"/>
  <c r="D594" i="1" s="1"/>
  <c r="D563" i="1"/>
  <c r="D541" i="1"/>
  <c r="D603" i="1" s="1"/>
  <c r="D572" i="1"/>
  <c r="D543" i="1"/>
  <c r="D605" i="1" s="1"/>
  <c r="D574" i="1"/>
  <c r="D556" i="1"/>
  <c r="D618" i="1" s="1"/>
  <c r="D587" i="1"/>
  <c r="K920" i="1"/>
  <c r="L920" i="1" s="1"/>
  <c r="I920" i="1"/>
  <c r="J229" i="6"/>
  <c r="P229" i="6" s="1"/>
  <c r="I1146" i="1"/>
  <c r="I792" i="1"/>
  <c r="K1145" i="1"/>
  <c r="L1145" i="1" s="1"/>
  <c r="H791" i="1"/>
  <c r="I791" i="1" s="1"/>
  <c r="H868" i="1"/>
  <c r="I302" i="1"/>
  <c r="K753" i="1"/>
  <c r="L753" i="1" s="1"/>
  <c r="I753" i="1"/>
  <c r="I241" i="1"/>
  <c r="K241" i="1"/>
  <c r="L241" i="1" s="1"/>
  <c r="L1243" i="1"/>
  <c r="L1245" i="1" s="1"/>
  <c r="K1245" i="1"/>
  <c r="K1188" i="1"/>
  <c r="L1188" i="1" s="1"/>
  <c r="I1188" i="1"/>
  <c r="J180" i="6"/>
  <c r="P180" i="6" s="1"/>
  <c r="J50" i="6"/>
  <c r="H1147" i="1"/>
  <c r="I1147" i="1" s="1"/>
  <c r="H1190" i="1"/>
  <c r="H758" i="1"/>
  <c r="K758" i="1" s="1"/>
  <c r="H836" i="1"/>
  <c r="I308" i="1"/>
  <c r="K308" i="1"/>
  <c r="L308" i="1" s="1"/>
  <c r="K1189" i="1"/>
  <c r="L1189" i="1" s="1"/>
  <c r="I1189" i="1"/>
  <c r="L465" i="1"/>
  <c r="L469" i="1" s="1"/>
  <c r="J469" i="1"/>
  <c r="J48" i="6"/>
  <c r="J176" i="6"/>
  <c r="P176" i="6" s="1"/>
  <c r="H972" i="1"/>
  <c r="K972" i="1" s="1"/>
  <c r="L972" i="1" s="1"/>
  <c r="L1236" i="1"/>
  <c r="L1238" i="1" s="1"/>
  <c r="K1238" i="1"/>
  <c r="K179" i="1"/>
  <c r="L179" i="1" s="1"/>
  <c r="H125" i="13"/>
  <c r="L937" i="1"/>
  <c r="K633" i="1"/>
  <c r="L633" i="1" s="1"/>
  <c r="I633" i="1"/>
  <c r="L1229" i="1"/>
  <c r="L1231" i="1" s="1"/>
  <c r="K1231" i="1"/>
  <c r="J197" i="17"/>
  <c r="K197" i="17" s="1"/>
  <c r="J181" i="36"/>
  <c r="H181" i="36" s="1"/>
  <c r="G295" i="15"/>
  <c r="H295" i="15" s="1"/>
  <c r="G117" i="15"/>
  <c r="K139" i="17"/>
  <c r="G268" i="17" s="1"/>
  <c r="J140" i="17"/>
  <c r="J151" i="17"/>
  <c r="K151" i="17" s="1"/>
  <c r="K150" i="17"/>
  <c r="G269" i="17" s="1"/>
  <c r="K95" i="17"/>
  <c r="G264" i="17" s="1"/>
  <c r="J96" i="17"/>
  <c r="J382" i="1"/>
  <c r="L382" i="1" s="1"/>
  <c r="I382" i="1"/>
  <c r="L463" i="1"/>
  <c r="J129" i="17"/>
  <c r="K128" i="17"/>
  <c r="G267" i="17" s="1"/>
  <c r="J178" i="17"/>
  <c r="K178" i="17" s="1"/>
  <c r="K177" i="17"/>
  <c r="G272" i="17" s="1"/>
  <c r="J116" i="1"/>
  <c r="L116" i="1" s="1"/>
  <c r="I116" i="1"/>
  <c r="J52" i="17"/>
  <c r="K51" i="17"/>
  <c r="G260" i="17" s="1"/>
  <c r="K227" i="17"/>
  <c r="G277" i="17" s="1"/>
  <c r="J228" i="17"/>
  <c r="J239" i="17"/>
  <c r="K238" i="17"/>
  <c r="G278" i="17" s="1"/>
  <c r="J200" i="1"/>
  <c r="L200" i="1" s="1"/>
  <c r="I200" i="1"/>
  <c r="K57" i="13"/>
  <c r="C13" i="32" s="1"/>
  <c r="F13" i="32" s="1"/>
  <c r="J58" i="13"/>
  <c r="J19" i="17"/>
  <c r="K18" i="17"/>
  <c r="G257" i="17" s="1"/>
  <c r="K29" i="17"/>
  <c r="G258" i="17" s="1"/>
  <c r="J30" i="17"/>
  <c r="J118" i="17"/>
  <c r="K117" i="17"/>
  <c r="G266" i="17" s="1"/>
  <c r="J264" i="1"/>
  <c r="L264" i="1" s="1"/>
  <c r="I264" i="1"/>
  <c r="I226" i="36"/>
  <c r="H226" i="36" s="1"/>
  <c r="I212" i="36"/>
  <c r="H212" i="36" s="1"/>
  <c r="I200" i="36"/>
  <c r="H200" i="36" s="1"/>
  <c r="I228" i="36"/>
  <c r="H228" i="36" s="1"/>
  <c r="I213" i="36"/>
  <c r="H213" i="36" s="1"/>
  <c r="I192" i="36"/>
  <c r="H192" i="36" s="1"/>
  <c r="I227" i="36"/>
  <c r="H227" i="36" s="1"/>
  <c r="I221" i="36"/>
  <c r="H221" i="36" s="1"/>
  <c r="I206" i="36"/>
  <c r="H206" i="36" s="1"/>
  <c r="I198" i="36"/>
  <c r="H198" i="36" s="1"/>
  <c r="I191" i="36"/>
  <c r="H191" i="36" s="1"/>
  <c r="I214" i="36"/>
  <c r="H214" i="36" s="1"/>
  <c r="I205" i="36"/>
  <c r="H205" i="36" s="1"/>
  <c r="I199" i="36"/>
  <c r="H199" i="36" s="1"/>
  <c r="I193" i="36"/>
  <c r="H193" i="36" s="1"/>
  <c r="I220" i="36"/>
  <c r="H220" i="36" s="1"/>
  <c r="I219" i="36"/>
  <c r="H219" i="36" s="1"/>
  <c r="I207" i="36"/>
  <c r="H207" i="36" s="1"/>
  <c r="I185" i="36"/>
  <c r="H185" i="36" s="1"/>
  <c r="I234" i="36"/>
  <c r="H234" i="36" s="1"/>
  <c r="I233" i="36"/>
  <c r="H233" i="36" s="1"/>
  <c r="I184" i="36"/>
  <c r="H184" i="36" s="1"/>
  <c r="I186" i="36"/>
  <c r="H186" i="36" s="1"/>
  <c r="I235" i="36"/>
  <c r="H235" i="36" s="1"/>
  <c r="J216" i="36"/>
  <c r="H216" i="36" s="1"/>
  <c r="J268" i="36"/>
  <c r="J266" i="36"/>
  <c r="J202" i="36"/>
  <c r="H202" i="36" s="1"/>
  <c r="G231" i="36"/>
  <c r="I270" i="36" s="1"/>
  <c r="J230" i="36"/>
  <c r="H230" i="36" s="1"/>
  <c r="J223" i="36"/>
  <c r="H223" i="36" s="1"/>
  <c r="G224" i="36"/>
  <c r="I269" i="36" s="1"/>
  <c r="G210" i="36"/>
  <c r="I267" i="36" s="1"/>
  <c r="J209" i="36"/>
  <c r="H209" i="36" s="1"/>
  <c r="G196" i="36"/>
  <c r="I265" i="36" s="1"/>
  <c r="J195" i="36"/>
  <c r="H195" i="36" s="1"/>
  <c r="J237" i="36"/>
  <c r="G238" i="36"/>
  <c r="I271" i="36" s="1"/>
  <c r="G189" i="36"/>
  <c r="J188" i="36"/>
  <c r="J1271" i="1"/>
  <c r="I96" i="36"/>
  <c r="H96" i="36" s="1"/>
  <c r="I165" i="36"/>
  <c r="H165" i="36" s="1"/>
  <c r="I170" i="36"/>
  <c r="I172" i="36"/>
  <c r="H172" i="36" s="1"/>
  <c r="I179" i="36"/>
  <c r="H179" i="36" s="1"/>
  <c r="I171" i="36"/>
  <c r="H171" i="36" s="1"/>
  <c r="I178" i="36"/>
  <c r="H178" i="36" s="1"/>
  <c r="I164" i="36"/>
  <c r="I177" i="36"/>
  <c r="H177" i="36" s="1"/>
  <c r="I163" i="36"/>
  <c r="I156" i="36"/>
  <c r="I149" i="36"/>
  <c r="I150" i="36"/>
  <c r="I157" i="36"/>
  <c r="I158" i="36"/>
  <c r="I151" i="36"/>
  <c r="J263" i="36"/>
  <c r="H419" i="21"/>
  <c r="H420" i="21" s="1"/>
  <c r="F270" i="27" s="1"/>
  <c r="I418" i="21"/>
  <c r="J108" i="1"/>
  <c r="L108" i="1" s="1"/>
  <c r="H797" i="1"/>
  <c r="H719" i="1"/>
  <c r="H681" i="1"/>
  <c r="H829" i="1"/>
  <c r="H752" i="1"/>
  <c r="H713" i="1"/>
  <c r="K830" i="1"/>
  <c r="L830" i="1" s="1"/>
  <c r="I830" i="1"/>
  <c r="J151" i="36"/>
  <c r="J158" i="36"/>
  <c r="L377" i="1"/>
  <c r="L259" i="1"/>
  <c r="J177" i="1"/>
  <c r="L177" i="1" s="1"/>
  <c r="I177" i="1"/>
  <c r="K1102" i="1"/>
  <c r="L1102" i="1" s="1"/>
  <c r="I1102" i="1"/>
  <c r="H1104" i="1"/>
  <c r="H1061" i="1"/>
  <c r="K1103" i="1"/>
  <c r="L1103" i="1" s="1"/>
  <c r="I1103" i="1"/>
  <c r="G277" i="13"/>
  <c r="G287" i="13" s="1"/>
  <c r="H298" i="13" s="1"/>
  <c r="G156" i="13"/>
  <c r="G166" i="13" s="1"/>
  <c r="H166" i="13" s="1"/>
  <c r="H274" i="13"/>
  <c r="G284" i="13"/>
  <c r="H284" i="13" s="1"/>
  <c r="G273" i="13"/>
  <c r="G152" i="13"/>
  <c r="I143" i="36"/>
  <c r="I142" i="36"/>
  <c r="I144" i="36"/>
  <c r="H144" i="36" s="1"/>
  <c r="I130" i="36"/>
  <c r="H130" i="36" s="1"/>
  <c r="I88" i="36"/>
  <c r="H88" i="36" s="1"/>
  <c r="I136" i="36"/>
  <c r="I94" i="36"/>
  <c r="I127" i="36"/>
  <c r="I112" i="36"/>
  <c r="I104" i="36"/>
  <c r="I85" i="36"/>
  <c r="I119" i="36"/>
  <c r="I103" i="36"/>
  <c r="I84" i="36"/>
  <c r="I111" i="36"/>
  <c r="I137" i="36"/>
  <c r="H137" i="36" s="1"/>
  <c r="I98" i="36"/>
  <c r="H98" i="36" s="1"/>
  <c r="I129" i="36"/>
  <c r="I135" i="36"/>
  <c r="I114" i="36"/>
  <c r="H114" i="36" s="1"/>
  <c r="I120" i="36"/>
  <c r="I93" i="36"/>
  <c r="I20" i="36"/>
  <c r="I25" i="36"/>
  <c r="I19" i="36"/>
  <c r="I9" i="36"/>
  <c r="I16" i="36"/>
  <c r="I17" i="36"/>
  <c r="I8" i="36"/>
  <c r="I10" i="36"/>
  <c r="I7" i="36"/>
  <c r="J7" i="36" s="1"/>
  <c r="J129" i="36"/>
  <c r="N45" i="36"/>
  <c r="J19" i="36"/>
  <c r="I44" i="1"/>
  <c r="H968" i="1"/>
  <c r="H120" i="13"/>
  <c r="I122" i="13" s="1"/>
  <c r="I1060" i="1"/>
  <c r="G126" i="13"/>
  <c r="H126" i="13" s="1"/>
  <c r="G115" i="13"/>
  <c r="H115" i="13" s="1"/>
  <c r="I111" i="13"/>
  <c r="G123" i="13"/>
  <c r="H123" i="13" s="1"/>
  <c r="G112" i="13"/>
  <c r="H112" i="13" s="1"/>
  <c r="G124" i="13"/>
  <c r="H124" i="13" s="1"/>
  <c r="G113" i="13"/>
  <c r="H113" i="13" s="1"/>
  <c r="K451" i="1"/>
  <c r="L447" i="1"/>
  <c r="L451" i="1" s="1"/>
  <c r="H12" i="34"/>
  <c r="J9" i="36"/>
  <c r="J10" i="36"/>
  <c r="I714" i="1"/>
  <c r="N41" i="36"/>
  <c r="N4" i="36"/>
  <c r="I1016" i="1"/>
  <c r="L91" i="1"/>
  <c r="H140" i="12"/>
  <c r="F52" i="27" s="1"/>
  <c r="G295" i="21"/>
  <c r="H402" i="21"/>
  <c r="I171" i="12"/>
  <c r="I85" i="1"/>
  <c r="J85" i="1"/>
  <c r="I672" i="1"/>
  <c r="H202" i="17"/>
  <c r="G212" i="17"/>
  <c r="H212" i="17" s="1"/>
  <c r="H199" i="17"/>
  <c r="G209" i="17"/>
  <c r="H209" i="17" s="1"/>
  <c r="H201" i="17"/>
  <c r="G211" i="17"/>
  <c r="H211" i="17" s="1"/>
  <c r="I149" i="12"/>
  <c r="I133" i="13"/>
  <c r="I121" i="21"/>
  <c r="J97" i="24"/>
  <c r="K669" i="1"/>
  <c r="L669" i="1" s="1"/>
  <c r="I669" i="1"/>
  <c r="K1059" i="1"/>
  <c r="L1059" i="1" s="1"/>
  <c r="I1059" i="1"/>
  <c r="I191" i="17"/>
  <c r="H174" i="17"/>
  <c r="H175" i="17" s="1"/>
  <c r="F160" i="27" s="1"/>
  <c r="I173" i="17"/>
  <c r="K711" i="1"/>
  <c r="L711" i="1" s="1"/>
  <c r="I711" i="1"/>
  <c r="K629" i="1"/>
  <c r="L629" i="1" s="1"/>
  <c r="I629" i="1"/>
  <c r="K1015" i="1"/>
  <c r="L1015" i="1" s="1"/>
  <c r="I1015" i="1"/>
  <c r="I377" i="21"/>
  <c r="I93" i="13"/>
  <c r="H165" i="17"/>
  <c r="H166" i="17" s="1"/>
  <c r="F159" i="27" s="1"/>
  <c r="I164" i="17"/>
  <c r="I139" i="20"/>
  <c r="H100" i="19"/>
  <c r="H101" i="19" s="1"/>
  <c r="F192" i="27" s="1"/>
  <c r="N5" i="36" s="1"/>
  <c r="I99" i="19"/>
  <c r="H172" i="12"/>
  <c r="H173" i="12" s="1"/>
  <c r="F55" i="27" s="1"/>
  <c r="G135" i="19"/>
  <c r="H127" i="19"/>
  <c r="H94" i="15"/>
  <c r="H95" i="15" s="1"/>
  <c r="F114" i="27" s="1"/>
  <c r="H385" i="21"/>
  <c r="H387" i="21" s="1"/>
  <c r="H388" i="21" s="1"/>
  <c r="F267" i="27" s="1"/>
  <c r="G394" i="21"/>
  <c r="H394" i="21" s="1"/>
  <c r="H396" i="21" s="1"/>
  <c r="H397" i="21" s="1"/>
  <c r="F268" i="27" s="1"/>
  <c r="G111" i="15"/>
  <c r="G307" i="15" s="1"/>
  <c r="H307" i="15" s="1"/>
  <c r="H102" i="15"/>
  <c r="H153" i="13"/>
  <c r="G163" i="13"/>
  <c r="G173" i="13" s="1"/>
  <c r="H94" i="13"/>
  <c r="H95" i="13" s="1"/>
  <c r="F82" i="27" s="1"/>
  <c r="I177" i="24"/>
  <c r="H186" i="24"/>
  <c r="I186" i="24" s="1"/>
  <c r="H147" i="20"/>
  <c r="H148" i="20" s="1"/>
  <c r="H149" i="20" s="1"/>
  <c r="F226" i="27" s="1"/>
  <c r="G155" i="20"/>
  <c r="H155" i="20" s="1"/>
  <c r="H156" i="20" s="1"/>
  <c r="H157" i="20" s="1"/>
  <c r="H192" i="17"/>
  <c r="H193" i="17" s="1"/>
  <c r="F162" i="27" s="1"/>
  <c r="H160" i="12"/>
  <c r="G182" i="12"/>
  <c r="H157" i="12"/>
  <c r="G179" i="12"/>
  <c r="H146" i="13"/>
  <c r="G126" i="19"/>
  <c r="H117" i="19"/>
  <c r="H145" i="21"/>
  <c r="G154" i="21"/>
  <c r="G163" i="21" s="1"/>
  <c r="H163" i="21" s="1"/>
  <c r="G145" i="13"/>
  <c r="G307" i="13" s="1"/>
  <c r="H307" i="13" s="1"/>
  <c r="H102" i="13"/>
  <c r="H101" i="15"/>
  <c r="G110" i="15"/>
  <c r="G306" i="15" s="1"/>
  <c r="H306" i="15" s="1"/>
  <c r="G147" i="21"/>
  <c r="H138" i="21"/>
  <c r="H140" i="21" s="1"/>
  <c r="H141" i="21" s="1"/>
  <c r="F241" i="27" s="1"/>
  <c r="G144" i="19"/>
  <c r="H144" i="19" s="1"/>
  <c r="H136" i="19"/>
  <c r="I113" i="24"/>
  <c r="H122" i="24"/>
  <c r="H124" i="24"/>
  <c r="I115" i="24"/>
  <c r="H133" i="19"/>
  <c r="G141" i="19"/>
  <c r="H141" i="19" s="1"/>
  <c r="H104" i="13"/>
  <c r="G147" i="13"/>
  <c r="G309" i="13" s="1"/>
  <c r="H309" i="13" s="1"/>
  <c r="H142" i="13"/>
  <c r="I143" i="13" s="1"/>
  <c r="G1272" i="1" s="1"/>
  <c r="G127" i="15"/>
  <c r="G135" i="15" s="1"/>
  <c r="H118" i="15"/>
  <c r="H155" i="21"/>
  <c r="G173" i="21"/>
  <c r="I168" i="24"/>
  <c r="H195" i="24"/>
  <c r="H121" i="24"/>
  <c r="I112" i="24"/>
  <c r="G153" i="21"/>
  <c r="G162" i="21" s="1"/>
  <c r="H162" i="21" s="1"/>
  <c r="H144" i="21"/>
  <c r="I18" i="23"/>
  <c r="I19" i="23" s="1"/>
  <c r="I20" i="23" s="1"/>
  <c r="F296" i="27" s="1"/>
  <c r="H26" i="23"/>
  <c r="H108" i="15"/>
  <c r="H150" i="12"/>
  <c r="H151" i="12" s="1"/>
  <c r="F53" i="27" s="1"/>
  <c r="G144" i="13"/>
  <c r="G306" i="13" s="1"/>
  <c r="H306" i="13" s="1"/>
  <c r="H101" i="13"/>
  <c r="I98" i="24"/>
  <c r="I99" i="24" s="1"/>
  <c r="F310" i="27" s="1"/>
  <c r="BF47" i="50" l="1"/>
  <c r="F367" i="27" s="1"/>
  <c r="BE47" i="50"/>
  <c r="BF55" i="50"/>
  <c r="F375" i="27" s="1"/>
  <c r="F93" i="32" s="1"/>
  <c r="BE55" i="50"/>
  <c r="G524" i="1" s="1"/>
  <c r="BF57" i="50"/>
  <c r="F377" i="27" s="1"/>
  <c r="BE57" i="50"/>
  <c r="G526" i="1" s="1"/>
  <c r="F95" i="32"/>
  <c r="BE48" i="50"/>
  <c r="BF48" i="50"/>
  <c r="F368" i="27" s="1"/>
  <c r="BF52" i="50"/>
  <c r="F372" i="27" s="1"/>
  <c r="F90" i="32" s="1"/>
  <c r="BE52" i="50"/>
  <c r="G521" i="1" s="1"/>
  <c r="I521" i="1" s="1"/>
  <c r="BE50" i="50"/>
  <c r="G519" i="1" s="1"/>
  <c r="BF50" i="50"/>
  <c r="F370" i="27" s="1"/>
  <c r="BE49" i="50"/>
  <c r="BF49" i="50"/>
  <c r="F369" i="27" s="1"/>
  <c r="F87" i="32" s="1"/>
  <c r="BE56" i="50"/>
  <c r="G525" i="1" s="1"/>
  <c r="BF56" i="50"/>
  <c r="F376" i="27" s="1"/>
  <c r="F94" i="32" s="1"/>
  <c r="BF54" i="50"/>
  <c r="F374" i="27" s="1"/>
  <c r="F92" i="32" s="1"/>
  <c r="BE54" i="50"/>
  <c r="G523" i="1" s="1"/>
  <c r="I523" i="1" s="1"/>
  <c r="BF51" i="50"/>
  <c r="F371" i="27" s="1"/>
  <c r="F89" i="32" s="1"/>
  <c r="BE51" i="50"/>
  <c r="G520" i="1" s="1"/>
  <c r="BE53" i="50"/>
  <c r="G522" i="1" s="1"/>
  <c r="BF53" i="50"/>
  <c r="F373" i="27" s="1"/>
  <c r="F91" i="32" s="1"/>
  <c r="I309" i="13"/>
  <c r="H310" i="13"/>
  <c r="H311" i="13" s="1"/>
  <c r="F96" i="27" s="1"/>
  <c r="BF42" i="50"/>
  <c r="F362" i="27" s="1"/>
  <c r="BE42" i="50"/>
  <c r="BE44" i="50"/>
  <c r="BF44" i="50"/>
  <c r="F364" i="27" s="1"/>
  <c r="BF45" i="50"/>
  <c r="F365" i="27" s="1"/>
  <c r="BE45" i="50"/>
  <c r="BF43" i="50"/>
  <c r="F363" i="27" s="1"/>
  <c r="BE43" i="50"/>
  <c r="BE35" i="50"/>
  <c r="BF35" i="50"/>
  <c r="F355" i="27" s="1"/>
  <c r="BE46" i="50"/>
  <c r="BF46" i="50"/>
  <c r="F366" i="27" s="1"/>
  <c r="I979" i="1"/>
  <c r="J141" i="6"/>
  <c r="P141" i="6" s="1"/>
  <c r="I179" i="1"/>
  <c r="K302" i="1"/>
  <c r="L302" i="1" s="1"/>
  <c r="I307" i="15"/>
  <c r="K1147" i="1"/>
  <c r="L1147" i="1" s="1"/>
  <c r="I758" i="1"/>
  <c r="K791" i="1"/>
  <c r="L791" i="1" s="1"/>
  <c r="H838" i="1"/>
  <c r="H840" i="1"/>
  <c r="H839" i="1"/>
  <c r="K836" i="1"/>
  <c r="I836" i="1"/>
  <c r="K416" i="1"/>
  <c r="L416" i="1" s="1"/>
  <c r="I416" i="1"/>
  <c r="J227" i="6"/>
  <c r="P227" i="6" s="1"/>
  <c r="J76" i="6"/>
  <c r="K868" i="1"/>
  <c r="L868" i="1" s="1"/>
  <c r="I868" i="1"/>
  <c r="H778" i="1"/>
  <c r="K778" i="1" s="1"/>
  <c r="L778" i="1" s="1"/>
  <c r="H856" i="1"/>
  <c r="I1190" i="1"/>
  <c r="K1190" i="1"/>
  <c r="F25" i="36"/>
  <c r="G25" i="36" s="1"/>
  <c r="J25" i="36" s="1"/>
  <c r="H25" i="36" s="1"/>
  <c r="F58" i="36"/>
  <c r="G58" i="36" s="1"/>
  <c r="F48" i="36"/>
  <c r="G48" i="36" s="1"/>
  <c r="F16" i="36"/>
  <c r="G16" i="36" s="1"/>
  <c r="J16" i="36" s="1"/>
  <c r="H16" i="36" s="1"/>
  <c r="F84" i="36"/>
  <c r="G84" i="36" s="1"/>
  <c r="F119" i="36"/>
  <c r="G119" i="36" s="1"/>
  <c r="J119" i="36" s="1"/>
  <c r="H119" i="36" s="1"/>
  <c r="F50" i="36"/>
  <c r="G50" i="36" s="1"/>
  <c r="F39" i="36"/>
  <c r="G39" i="36" s="1"/>
  <c r="F60" i="36"/>
  <c r="G60" i="36" s="1"/>
  <c r="F69" i="36"/>
  <c r="G69" i="36" s="1"/>
  <c r="F121" i="36"/>
  <c r="G121" i="36" s="1"/>
  <c r="F113" i="36"/>
  <c r="G113" i="36" s="1"/>
  <c r="F95" i="36"/>
  <c r="G95" i="36" s="1"/>
  <c r="F86" i="36"/>
  <c r="G86" i="36" s="1"/>
  <c r="K422" i="1"/>
  <c r="L422" i="1" s="1"/>
  <c r="I422" i="1"/>
  <c r="I414" i="1"/>
  <c r="K414" i="1"/>
  <c r="L414" i="1" s="1"/>
  <c r="K396" i="1"/>
  <c r="L396" i="1" s="1"/>
  <c r="I396" i="1"/>
  <c r="I972" i="1"/>
  <c r="J30" i="6"/>
  <c r="J145" i="6"/>
  <c r="P145" i="6" s="1"/>
  <c r="J27" i="6"/>
  <c r="J139" i="6"/>
  <c r="P139" i="6" s="1"/>
  <c r="J29" i="6"/>
  <c r="J143" i="6"/>
  <c r="P143" i="6" s="1"/>
  <c r="J74" i="6"/>
  <c r="J223" i="6"/>
  <c r="P223" i="6" s="1"/>
  <c r="J75" i="6"/>
  <c r="J225" i="6"/>
  <c r="P225" i="6" s="1"/>
  <c r="J198" i="17"/>
  <c r="K198" i="17" s="1"/>
  <c r="H760" i="1"/>
  <c r="H761" i="1"/>
  <c r="H762" i="1"/>
  <c r="I316" i="1"/>
  <c r="K316" i="1"/>
  <c r="L316" i="1" s="1"/>
  <c r="L758" i="1"/>
  <c r="I322" i="1"/>
  <c r="K322" i="1"/>
  <c r="L322" i="1" s="1"/>
  <c r="K310" i="1"/>
  <c r="L310" i="1" s="1"/>
  <c r="I310" i="1"/>
  <c r="I280" i="1"/>
  <c r="K280" i="1"/>
  <c r="L280" i="1" s="1"/>
  <c r="K243" i="1"/>
  <c r="L243" i="1" s="1"/>
  <c r="I243" i="1"/>
  <c r="I212" i="17"/>
  <c r="F67" i="36"/>
  <c r="G67" i="36" s="1"/>
  <c r="F75" i="36"/>
  <c r="G75" i="36" s="1"/>
  <c r="F156" i="36"/>
  <c r="G156" i="36" s="1"/>
  <c r="F149" i="36"/>
  <c r="G149" i="36" s="1"/>
  <c r="F170" i="36"/>
  <c r="G170" i="36" s="1"/>
  <c r="F163" i="36"/>
  <c r="G163" i="36" s="1"/>
  <c r="F164" i="36"/>
  <c r="G164" i="36" s="1"/>
  <c r="J164" i="36" s="1"/>
  <c r="H164" i="36" s="1"/>
  <c r="F150" i="36"/>
  <c r="G150" i="36" s="1"/>
  <c r="J150" i="36" s="1"/>
  <c r="H150" i="36" s="1"/>
  <c r="F157" i="36"/>
  <c r="G157" i="36" s="1"/>
  <c r="J157" i="36" s="1"/>
  <c r="H157" i="36" s="1"/>
  <c r="G1276" i="1"/>
  <c r="F143" i="36"/>
  <c r="G143" i="36" s="1"/>
  <c r="J143" i="36" s="1"/>
  <c r="H143" i="36" s="1"/>
  <c r="J120" i="36"/>
  <c r="H120" i="36" s="1"/>
  <c r="J136" i="36"/>
  <c r="H136" i="36" s="1"/>
  <c r="J94" i="36"/>
  <c r="H94" i="36" s="1"/>
  <c r="J112" i="36"/>
  <c r="J104" i="36"/>
  <c r="H104" i="36" s="1"/>
  <c r="F142" i="36"/>
  <c r="G142" i="36" s="1"/>
  <c r="J142" i="36" s="1"/>
  <c r="H142" i="36" s="1"/>
  <c r="J135" i="36"/>
  <c r="H135" i="36" s="1"/>
  <c r="H308" i="15"/>
  <c r="H309" i="15" s="1"/>
  <c r="K634" i="1"/>
  <c r="L634" i="1" s="1"/>
  <c r="I634" i="1"/>
  <c r="H151" i="36"/>
  <c r="J85" i="36"/>
  <c r="H85" i="36" s="1"/>
  <c r="F37" i="36"/>
  <c r="G37" i="36" s="1"/>
  <c r="F111" i="36"/>
  <c r="G111" i="36" s="1"/>
  <c r="J111" i="36" s="1"/>
  <c r="H111" i="36" s="1"/>
  <c r="F103" i="36"/>
  <c r="G103" i="36" s="1"/>
  <c r="J103" i="36" s="1"/>
  <c r="H103" i="36" s="1"/>
  <c r="F93" i="36"/>
  <c r="G93" i="36" s="1"/>
  <c r="G297" i="15"/>
  <c r="H297" i="15" s="1"/>
  <c r="G119" i="15"/>
  <c r="G298" i="15"/>
  <c r="H298" i="15" s="1"/>
  <c r="G120" i="15"/>
  <c r="K96" i="17"/>
  <c r="J97" i="17"/>
  <c r="K19" i="17"/>
  <c r="J20" i="17"/>
  <c r="J240" i="17"/>
  <c r="K239" i="17"/>
  <c r="K52" i="17"/>
  <c r="J53" i="17"/>
  <c r="K30" i="17"/>
  <c r="J31" i="17"/>
  <c r="J229" i="17"/>
  <c r="K228" i="17"/>
  <c r="K140" i="17"/>
  <c r="J141" i="17"/>
  <c r="K118" i="17"/>
  <c r="J119" i="17"/>
  <c r="J130" i="17"/>
  <c r="K129" i="17"/>
  <c r="J521" i="1"/>
  <c r="L521" i="1" s="1"/>
  <c r="G554" i="1"/>
  <c r="G616" i="1" s="1"/>
  <c r="G549" i="1"/>
  <c r="G580" i="1"/>
  <c r="J265" i="36"/>
  <c r="J271" i="36"/>
  <c r="J267" i="36"/>
  <c r="J270" i="36"/>
  <c r="J269" i="36"/>
  <c r="H158" i="36"/>
  <c r="J1272" i="1"/>
  <c r="H188" i="36"/>
  <c r="I264" i="36"/>
  <c r="H237" i="36"/>
  <c r="I518" i="1"/>
  <c r="J518" i="1"/>
  <c r="L518" i="1" s="1"/>
  <c r="J653" i="1"/>
  <c r="L653" i="1" s="1"/>
  <c r="I653" i="1"/>
  <c r="K752" i="1"/>
  <c r="L752" i="1" s="1"/>
  <c r="I752" i="1"/>
  <c r="K719" i="1"/>
  <c r="I719" i="1"/>
  <c r="H817" i="1"/>
  <c r="H739" i="1"/>
  <c r="H701" i="1"/>
  <c r="K829" i="1"/>
  <c r="L829" i="1" s="1"/>
  <c r="I829" i="1"/>
  <c r="H799" i="1"/>
  <c r="H801" i="1"/>
  <c r="H800" i="1"/>
  <c r="H684" i="1"/>
  <c r="H722" i="1"/>
  <c r="H683" i="1"/>
  <c r="H721" i="1"/>
  <c r="H685" i="1"/>
  <c r="H723" i="1"/>
  <c r="K797" i="1"/>
  <c r="I797" i="1"/>
  <c r="K217" i="1"/>
  <c r="L217" i="1" s="1"/>
  <c r="I217" i="1"/>
  <c r="K367" i="1"/>
  <c r="L367" i="1" s="1"/>
  <c r="I367" i="1"/>
  <c r="K154" i="1"/>
  <c r="L154" i="1" s="1"/>
  <c r="I154" i="1"/>
  <c r="K373" i="1"/>
  <c r="L373" i="1" s="1"/>
  <c r="I373" i="1"/>
  <c r="K365" i="1"/>
  <c r="L365" i="1" s="1"/>
  <c r="I365" i="1"/>
  <c r="K249" i="1"/>
  <c r="L249" i="1" s="1"/>
  <c r="I249" i="1"/>
  <c r="K255" i="1"/>
  <c r="L255" i="1" s="1"/>
  <c r="I255" i="1"/>
  <c r="K347" i="1"/>
  <c r="L347" i="1" s="1"/>
  <c r="I347" i="1"/>
  <c r="I1017" i="1"/>
  <c r="K1017" i="1"/>
  <c r="L1017" i="1" s="1"/>
  <c r="K1104" i="1"/>
  <c r="L1104" i="1" s="1"/>
  <c r="I1104" i="1"/>
  <c r="K1061" i="1"/>
  <c r="L1061" i="1" s="1"/>
  <c r="I1061" i="1"/>
  <c r="H19" i="36"/>
  <c r="H287" i="13"/>
  <c r="G339" i="13"/>
  <c r="H339" i="13" s="1"/>
  <c r="G275" i="13"/>
  <c r="G285" i="13" s="1"/>
  <c r="H296" i="13" s="1"/>
  <c r="G154" i="13"/>
  <c r="G164" i="13" s="1"/>
  <c r="H164" i="13" s="1"/>
  <c r="G276" i="13"/>
  <c r="G286" i="13" s="1"/>
  <c r="H297" i="13" s="1"/>
  <c r="G155" i="13"/>
  <c r="G165" i="13" s="1"/>
  <c r="H165" i="13" s="1"/>
  <c r="G278" i="13"/>
  <c r="G288" i="13" s="1"/>
  <c r="H299" i="13" s="1"/>
  <c r="G157" i="13"/>
  <c r="G167" i="13" s="1"/>
  <c r="H167" i="13" s="1"/>
  <c r="H273" i="13"/>
  <c r="I274" i="13" s="1"/>
  <c r="G283" i="13"/>
  <c r="H283" i="13" s="1"/>
  <c r="H10" i="36"/>
  <c r="H112" i="36"/>
  <c r="H9" i="36"/>
  <c r="H129" i="36"/>
  <c r="G137" i="13"/>
  <c r="H137" i="13" s="1"/>
  <c r="K171" i="1"/>
  <c r="L171" i="1" s="1"/>
  <c r="K235" i="1"/>
  <c r="L235" i="1" s="1"/>
  <c r="I235" i="1"/>
  <c r="K99" i="1"/>
  <c r="L99" i="1" s="1"/>
  <c r="I99" i="1"/>
  <c r="K191" i="1"/>
  <c r="L191" i="1" s="1"/>
  <c r="I191" i="1"/>
  <c r="G132" i="36"/>
  <c r="J127" i="36"/>
  <c r="H127" i="36" s="1"/>
  <c r="G139" i="36"/>
  <c r="I115" i="13"/>
  <c r="G135" i="13"/>
  <c r="H135" i="13" s="1"/>
  <c r="H116" i="13"/>
  <c r="H117" i="13" s="1"/>
  <c r="F80" i="27" s="1"/>
  <c r="G134" i="13"/>
  <c r="H134" i="13" s="1"/>
  <c r="N42" i="36"/>
  <c r="H14" i="34"/>
  <c r="L85" i="1"/>
  <c r="G320" i="21"/>
  <c r="H320" i="21" s="1"/>
  <c r="H295" i="21"/>
  <c r="I202" i="17"/>
  <c r="K75" i="1"/>
  <c r="L75" i="1" s="1"/>
  <c r="I75" i="1"/>
  <c r="K87" i="1"/>
  <c r="L87" i="1" s="1"/>
  <c r="I87" i="1"/>
  <c r="K93" i="1"/>
  <c r="L93" i="1" s="1"/>
  <c r="I93" i="1"/>
  <c r="J963" i="1"/>
  <c r="J968" i="1"/>
  <c r="H203" i="17"/>
  <c r="H204" i="17" s="1"/>
  <c r="F163" i="27" s="1"/>
  <c r="H213" i="17"/>
  <c r="H214" i="17" s="1"/>
  <c r="F164" i="27" s="1"/>
  <c r="K133" i="1"/>
  <c r="L133" i="1" s="1"/>
  <c r="I133" i="1"/>
  <c r="K185" i="1"/>
  <c r="L185" i="1" s="1"/>
  <c r="I185" i="1"/>
  <c r="H127" i="13"/>
  <c r="H128" i="13" s="1"/>
  <c r="F84" i="27" s="1"/>
  <c r="I160" i="12"/>
  <c r="I102" i="15"/>
  <c r="I126" i="13"/>
  <c r="H1278" i="1" s="1"/>
  <c r="I104" i="13"/>
  <c r="H1271" i="1" s="1"/>
  <c r="K638" i="1"/>
  <c r="I638" i="1"/>
  <c r="I147" i="20"/>
  <c r="K713" i="1"/>
  <c r="L713" i="1" s="1"/>
  <c r="I713" i="1"/>
  <c r="I139" i="21"/>
  <c r="I386" i="21"/>
  <c r="K671" i="1"/>
  <c r="L671" i="1" s="1"/>
  <c r="I671" i="1"/>
  <c r="I155" i="20"/>
  <c r="K44" i="1"/>
  <c r="K630" i="1"/>
  <c r="I630" i="1"/>
  <c r="J115" i="24"/>
  <c r="K681" i="1"/>
  <c r="I681" i="1"/>
  <c r="I395" i="21"/>
  <c r="K918" i="1"/>
  <c r="I918" i="1"/>
  <c r="H120" i="19"/>
  <c r="H121" i="19" s="1"/>
  <c r="I119" i="19"/>
  <c r="H135" i="19"/>
  <c r="G143" i="19"/>
  <c r="H143" i="19" s="1"/>
  <c r="H103" i="15"/>
  <c r="H104" i="15" s="1"/>
  <c r="F115" i="27" s="1"/>
  <c r="H111" i="15"/>
  <c r="H163" i="13"/>
  <c r="G162" i="13"/>
  <c r="H105" i="13"/>
  <c r="H106" i="13" s="1"/>
  <c r="F83" i="27" s="1"/>
  <c r="F227" i="27"/>
  <c r="I116" i="24"/>
  <c r="I117" i="24" s="1"/>
  <c r="F312" i="27" s="1"/>
  <c r="H117" i="15"/>
  <c r="G126" i="15"/>
  <c r="G134" i="15" s="1"/>
  <c r="H110" i="15"/>
  <c r="G182" i="21"/>
  <c r="H173" i="21"/>
  <c r="G227" i="21"/>
  <c r="H131" i="24"/>
  <c r="I122" i="24"/>
  <c r="H33" i="23"/>
  <c r="I33" i="23" s="1"/>
  <c r="I34" i="23" s="1"/>
  <c r="I35" i="23" s="1"/>
  <c r="F298" i="27" s="1"/>
  <c r="I26" i="23"/>
  <c r="I27" i="23" s="1"/>
  <c r="I28" i="23" s="1"/>
  <c r="F297" i="27" s="1"/>
  <c r="H147" i="13"/>
  <c r="H145" i="13"/>
  <c r="G176" i="13"/>
  <c r="H156" i="13"/>
  <c r="G171" i="21"/>
  <c r="H153" i="21"/>
  <c r="H154" i="21"/>
  <c r="G172" i="21"/>
  <c r="G190" i="12"/>
  <c r="H179" i="12"/>
  <c r="H144" i="13"/>
  <c r="H127" i="15"/>
  <c r="H161" i="12"/>
  <c r="H162" i="12" s="1"/>
  <c r="G297" i="21" s="1"/>
  <c r="I124" i="24"/>
  <c r="H133" i="24"/>
  <c r="I121" i="24"/>
  <c r="H130" i="24"/>
  <c r="H152" i="13"/>
  <c r="I153" i="13" s="1"/>
  <c r="H173" i="13"/>
  <c r="G193" i="12"/>
  <c r="H182" i="12"/>
  <c r="I195" i="24"/>
  <c r="H204" i="24"/>
  <c r="H213" i="24" s="1"/>
  <c r="H147" i="21"/>
  <c r="H149" i="21" s="1"/>
  <c r="H150" i="21" s="1"/>
  <c r="F243" i="27" s="1"/>
  <c r="G156" i="21"/>
  <c r="G165" i="21" s="1"/>
  <c r="H165" i="21" s="1"/>
  <c r="H167" i="21" s="1"/>
  <c r="H168" i="21" s="1"/>
  <c r="F244" i="27" s="1"/>
  <c r="H126" i="19"/>
  <c r="G134" i="19"/>
  <c r="G583" i="1" l="1"/>
  <c r="I583" i="1" s="1"/>
  <c r="J523" i="1"/>
  <c r="L523" i="1" s="1"/>
  <c r="K1278" i="1"/>
  <c r="L1278" i="1" s="1"/>
  <c r="I1278" i="1"/>
  <c r="G585" i="1"/>
  <c r="I585" i="1" s="1"/>
  <c r="G552" i="1"/>
  <c r="G614" i="1" s="1"/>
  <c r="I614" i="1" s="1"/>
  <c r="H1276" i="1"/>
  <c r="K1276" i="1" s="1"/>
  <c r="H1277" i="1"/>
  <c r="G1273" i="1"/>
  <c r="G64" i="36"/>
  <c r="G65" i="36" s="1"/>
  <c r="G90" i="36"/>
  <c r="G91" i="36" s="1"/>
  <c r="I778" i="1"/>
  <c r="H780" i="1"/>
  <c r="I780" i="1" s="1"/>
  <c r="H858" i="1"/>
  <c r="L836" i="1"/>
  <c r="L1190" i="1"/>
  <c r="K839" i="1"/>
  <c r="L839" i="1" s="1"/>
  <c r="I839" i="1"/>
  <c r="H782" i="1"/>
  <c r="K782" i="1" s="1"/>
  <c r="L782" i="1" s="1"/>
  <c r="H860" i="1"/>
  <c r="K840" i="1"/>
  <c r="L840" i="1" s="1"/>
  <c r="I840" i="1"/>
  <c r="H1148" i="1"/>
  <c r="K1148" i="1" s="1"/>
  <c r="L1148" i="1" s="1"/>
  <c r="H1191" i="1"/>
  <c r="H764" i="1"/>
  <c r="K764" i="1" s="1"/>
  <c r="L764" i="1" s="1"/>
  <c r="H842" i="1"/>
  <c r="K856" i="1"/>
  <c r="L856" i="1" s="1"/>
  <c r="I856" i="1"/>
  <c r="K838" i="1"/>
  <c r="L838" i="1" s="1"/>
  <c r="I838" i="1"/>
  <c r="K762" i="1"/>
  <c r="L762" i="1" s="1"/>
  <c r="I762" i="1"/>
  <c r="K761" i="1"/>
  <c r="L761" i="1" s="1"/>
  <c r="I761" i="1"/>
  <c r="K760" i="1"/>
  <c r="L760" i="1" s="1"/>
  <c r="I760" i="1"/>
  <c r="J549" i="1"/>
  <c r="L549" i="1" s="1"/>
  <c r="G611" i="1"/>
  <c r="I616" i="1"/>
  <c r="J616" i="1"/>
  <c r="L616" i="1" s="1"/>
  <c r="G116" i="36"/>
  <c r="G117" i="36" s="1"/>
  <c r="J1276" i="1"/>
  <c r="J156" i="36"/>
  <c r="H156" i="36" s="1"/>
  <c r="G160" i="36"/>
  <c r="J163" i="36"/>
  <c r="H163" i="36" s="1"/>
  <c r="G167" i="36"/>
  <c r="J170" i="36"/>
  <c r="H170" i="36" s="1"/>
  <c r="G174" i="36"/>
  <c r="J149" i="36"/>
  <c r="H149" i="36" s="1"/>
  <c r="G153" i="36"/>
  <c r="G100" i="36"/>
  <c r="G101" i="36" s="1"/>
  <c r="G146" i="36"/>
  <c r="G147" i="36" s="1"/>
  <c r="J84" i="36"/>
  <c r="H84" i="36" s="1"/>
  <c r="I298" i="15"/>
  <c r="K483" i="1" s="1"/>
  <c r="L483" i="1" s="1"/>
  <c r="K632" i="1"/>
  <c r="L632" i="1" s="1"/>
  <c r="I632" i="1"/>
  <c r="K625" i="1"/>
  <c r="L625" i="1" s="1"/>
  <c r="I625" i="1"/>
  <c r="K1271" i="1"/>
  <c r="L1271" i="1" s="1"/>
  <c r="I1271" i="1"/>
  <c r="G124" i="36"/>
  <c r="G125" i="36" s="1"/>
  <c r="G108" i="36"/>
  <c r="J108" i="36" s="1"/>
  <c r="H108" i="36" s="1"/>
  <c r="J93" i="36"/>
  <c r="H93" i="36" s="1"/>
  <c r="H299" i="15"/>
  <c r="H300" i="15" s="1"/>
  <c r="F134" i="27" s="1"/>
  <c r="I549" i="1"/>
  <c r="J142" i="17"/>
  <c r="K142" i="17" s="1"/>
  <c r="K141" i="17"/>
  <c r="J32" i="17"/>
  <c r="K32" i="17" s="1"/>
  <c r="K31" i="17"/>
  <c r="J54" i="17"/>
  <c r="K54" i="17" s="1"/>
  <c r="K53" i="17"/>
  <c r="J21" i="17"/>
  <c r="K21" i="17" s="1"/>
  <c r="K20" i="17"/>
  <c r="J230" i="17"/>
  <c r="K230" i="17" s="1"/>
  <c r="K229" i="17"/>
  <c r="J120" i="17"/>
  <c r="K120" i="17" s="1"/>
  <c r="K119" i="17"/>
  <c r="J98" i="17"/>
  <c r="K98" i="17" s="1"/>
  <c r="K97" i="17"/>
  <c r="J131" i="17"/>
  <c r="K131" i="17" s="1"/>
  <c r="K130" i="17"/>
  <c r="J241" i="17"/>
  <c r="K241" i="17" s="1"/>
  <c r="K240" i="17"/>
  <c r="G582" i="1"/>
  <c r="I582" i="1" s="1"/>
  <c r="G586" i="1"/>
  <c r="I524" i="1"/>
  <c r="G555" i="1"/>
  <c r="G617" i="1" s="1"/>
  <c r="J524" i="1"/>
  <c r="L524" i="1" s="1"/>
  <c r="G556" i="1"/>
  <c r="G618" i="1" s="1"/>
  <c r="I525" i="1"/>
  <c r="G587" i="1"/>
  <c r="J525" i="1"/>
  <c r="L525" i="1" s="1"/>
  <c r="G553" i="1"/>
  <c r="G615" i="1" s="1"/>
  <c r="G584" i="1"/>
  <c r="I522" i="1"/>
  <c r="J522" i="1"/>
  <c r="L522" i="1" s="1"/>
  <c r="I554" i="1"/>
  <c r="J554" i="1"/>
  <c r="L554" i="1" s="1"/>
  <c r="J583" i="1"/>
  <c r="L583" i="1" s="1"/>
  <c r="G557" i="1"/>
  <c r="G619" i="1" s="1"/>
  <c r="I526" i="1"/>
  <c r="J526" i="1"/>
  <c r="L526" i="1" s="1"/>
  <c r="G588" i="1"/>
  <c r="I580" i="1"/>
  <c r="J580" i="1"/>
  <c r="L580" i="1" s="1"/>
  <c r="J1273" i="1"/>
  <c r="F88" i="32"/>
  <c r="J264" i="36"/>
  <c r="G581" i="1" s="1"/>
  <c r="I299" i="13"/>
  <c r="K722" i="1"/>
  <c r="L722" i="1" s="1"/>
  <c r="I722" i="1"/>
  <c r="H819" i="1"/>
  <c r="H741" i="1"/>
  <c r="H703" i="1"/>
  <c r="K641" i="1"/>
  <c r="L641" i="1" s="1"/>
  <c r="I641" i="1"/>
  <c r="K739" i="1"/>
  <c r="L739" i="1" s="1"/>
  <c r="I739" i="1"/>
  <c r="H821" i="1"/>
  <c r="H743" i="1"/>
  <c r="H705" i="1"/>
  <c r="K801" i="1"/>
  <c r="L801" i="1" s="1"/>
  <c r="I801" i="1"/>
  <c r="H803" i="1"/>
  <c r="H725" i="1"/>
  <c r="H687" i="1"/>
  <c r="L797" i="1"/>
  <c r="K721" i="1"/>
  <c r="L721" i="1" s="1"/>
  <c r="I721" i="1"/>
  <c r="K684" i="1"/>
  <c r="L684" i="1" s="1"/>
  <c r="I684" i="1"/>
  <c r="K799" i="1"/>
  <c r="L799" i="1" s="1"/>
  <c r="I799" i="1"/>
  <c r="L719" i="1"/>
  <c r="K723" i="1"/>
  <c r="L723" i="1" s="1"/>
  <c r="I723" i="1"/>
  <c r="K800" i="1"/>
  <c r="L800" i="1" s="1"/>
  <c r="I800" i="1"/>
  <c r="K817" i="1"/>
  <c r="L817" i="1" s="1"/>
  <c r="I817" i="1"/>
  <c r="H1105" i="1"/>
  <c r="H1062" i="1"/>
  <c r="H286" i="13"/>
  <c r="G338" i="13"/>
  <c r="H338" i="13" s="1"/>
  <c r="H288" i="13"/>
  <c r="G340" i="13"/>
  <c r="H340" i="13" s="1"/>
  <c r="H285" i="13"/>
  <c r="G337" i="13"/>
  <c r="H337" i="13" s="1"/>
  <c r="H138" i="13"/>
  <c r="H139" i="13" s="1"/>
  <c r="I284" i="13"/>
  <c r="I137" i="13"/>
  <c r="G140" i="36"/>
  <c r="I257" i="36" s="1"/>
  <c r="J139" i="36"/>
  <c r="H139" i="36" s="1"/>
  <c r="J132" i="36"/>
  <c r="H132" i="36" s="1"/>
  <c r="G133" i="36"/>
  <c r="J90" i="36"/>
  <c r="H90" i="36" s="1"/>
  <c r="L630" i="1"/>
  <c r="K500" i="1"/>
  <c r="H11" i="34"/>
  <c r="N44" i="36"/>
  <c r="L44" i="1"/>
  <c r="L918" i="1"/>
  <c r="L638" i="1"/>
  <c r="L681" i="1"/>
  <c r="H162" i="13"/>
  <c r="I163" i="13" s="1"/>
  <c r="G1275" i="1" s="1"/>
  <c r="J1275" i="1" s="1"/>
  <c r="G172" i="13"/>
  <c r="H172" i="13" s="1"/>
  <c r="I173" i="13" s="1"/>
  <c r="G1270" i="1" s="1"/>
  <c r="I147" i="13"/>
  <c r="H1272" i="1" s="1"/>
  <c r="H112" i="15"/>
  <c r="H113" i="15" s="1"/>
  <c r="F116" i="27" s="1"/>
  <c r="J124" i="24"/>
  <c r="I182" i="12"/>
  <c r="K640" i="1"/>
  <c r="L640" i="1" s="1"/>
  <c r="I640" i="1"/>
  <c r="I148" i="21"/>
  <c r="K685" i="1"/>
  <c r="L685" i="1" s="1"/>
  <c r="I685" i="1"/>
  <c r="I111" i="15"/>
  <c r="I701" i="1"/>
  <c r="K701" i="1"/>
  <c r="L701" i="1" s="1"/>
  <c r="K683" i="1"/>
  <c r="L683" i="1" s="1"/>
  <c r="I683" i="1"/>
  <c r="K628" i="1"/>
  <c r="L628" i="1" s="1"/>
  <c r="I628" i="1"/>
  <c r="I659" i="1"/>
  <c r="K659" i="1"/>
  <c r="L659" i="1" s="1"/>
  <c r="I167" i="13"/>
  <c r="I166" i="21"/>
  <c r="K642" i="1"/>
  <c r="L642" i="1" s="1"/>
  <c r="I642" i="1"/>
  <c r="H129" i="19"/>
  <c r="H130" i="19" s="1"/>
  <c r="F197" i="27" s="1"/>
  <c r="I128" i="19"/>
  <c r="G404" i="21"/>
  <c r="H404" i="21" s="1"/>
  <c r="I213" i="24"/>
  <c r="H222" i="24"/>
  <c r="I222" i="24" s="1"/>
  <c r="H120" i="15"/>
  <c r="G129" i="15"/>
  <c r="G137" i="15" s="1"/>
  <c r="F196" i="27"/>
  <c r="AP3" i="50" s="1"/>
  <c r="H148" i="13"/>
  <c r="H149" i="13" s="1"/>
  <c r="F85" i="27" s="1"/>
  <c r="G175" i="13"/>
  <c r="H155" i="13"/>
  <c r="H227" i="21"/>
  <c r="G236" i="21"/>
  <c r="H156" i="21"/>
  <c r="H158" i="21" s="1"/>
  <c r="H159" i="21" s="1"/>
  <c r="G299" i="21" s="1"/>
  <c r="F270" i="32" s="1"/>
  <c r="G174" i="21"/>
  <c r="F54" i="27"/>
  <c r="G181" i="21"/>
  <c r="G226" i="21"/>
  <c r="H172" i="21"/>
  <c r="H157" i="13"/>
  <c r="G177" i="13"/>
  <c r="H182" i="21"/>
  <c r="G191" i="21"/>
  <c r="H193" i="12"/>
  <c r="G202" i="12"/>
  <c r="H231" i="24"/>
  <c r="I204" i="24"/>
  <c r="H135" i="15"/>
  <c r="G144" i="15"/>
  <c r="G225" i="21"/>
  <c r="H171" i="21"/>
  <c r="G180" i="21"/>
  <c r="H119" i="15"/>
  <c r="G128" i="15"/>
  <c r="G136" i="15" s="1"/>
  <c r="H190" i="12"/>
  <c r="G199" i="12"/>
  <c r="H126" i="15"/>
  <c r="I125" i="24"/>
  <c r="I126" i="24" s="1"/>
  <c r="F313" i="27" s="1"/>
  <c r="G185" i="13"/>
  <c r="H176" i="13"/>
  <c r="I130" i="24"/>
  <c r="H157" i="24"/>
  <c r="G174" i="13"/>
  <c r="H154" i="13"/>
  <c r="H134" i="19"/>
  <c r="G142" i="19"/>
  <c r="H142" i="19" s="1"/>
  <c r="I133" i="24"/>
  <c r="H160" i="24"/>
  <c r="H183" i="12"/>
  <c r="H184" i="12" s="1"/>
  <c r="F56" i="27" s="1"/>
  <c r="H158" i="24"/>
  <c r="I131" i="24"/>
  <c r="I1276" i="1" l="1"/>
  <c r="J64" i="36"/>
  <c r="H64" i="36" s="1"/>
  <c r="J585" i="1"/>
  <c r="L585" i="1" s="1"/>
  <c r="J552" i="1"/>
  <c r="L552" i="1" s="1"/>
  <c r="J614" i="1"/>
  <c r="L614" i="1" s="1"/>
  <c r="I552" i="1"/>
  <c r="L1276" i="1"/>
  <c r="AW37" i="50"/>
  <c r="BA37" i="50" s="1"/>
  <c r="AW32" i="50"/>
  <c r="BA32" i="50" s="1"/>
  <c r="AW36" i="50"/>
  <c r="BA36" i="50" s="1"/>
  <c r="AW34" i="50"/>
  <c r="BA34" i="50" s="1"/>
  <c r="AW29" i="50"/>
  <c r="BA29" i="50" s="1"/>
  <c r="AW33" i="50"/>
  <c r="BA33" i="50" s="1"/>
  <c r="K1277" i="1"/>
  <c r="L1277" i="1" s="1"/>
  <c r="I1277" i="1"/>
  <c r="J1274" i="1"/>
  <c r="AW41" i="50"/>
  <c r="BA41" i="50" s="1"/>
  <c r="AW40" i="50"/>
  <c r="BA40" i="50" s="1"/>
  <c r="AW38" i="50"/>
  <c r="BA38" i="50" s="1"/>
  <c r="AW39" i="50"/>
  <c r="BA39" i="50" s="1"/>
  <c r="AW30" i="50"/>
  <c r="BA30" i="50" s="1"/>
  <c r="AW31" i="50"/>
  <c r="BA31" i="50" s="1"/>
  <c r="K780" i="1"/>
  <c r="L780" i="1" s="1"/>
  <c r="J116" i="36"/>
  <c r="H116" i="36" s="1"/>
  <c r="I764" i="1"/>
  <c r="I1148" i="1"/>
  <c r="I782" i="1"/>
  <c r="H766" i="1"/>
  <c r="I766" i="1" s="1"/>
  <c r="H844" i="1"/>
  <c r="K842" i="1"/>
  <c r="L842" i="1" s="1"/>
  <c r="I842" i="1"/>
  <c r="H1149" i="1"/>
  <c r="K1149" i="1" s="1"/>
  <c r="L1149" i="1" s="1"/>
  <c r="H1192" i="1"/>
  <c r="K1191" i="1"/>
  <c r="L1191" i="1" s="1"/>
  <c r="I1191" i="1"/>
  <c r="K860" i="1"/>
  <c r="L860" i="1" s="1"/>
  <c r="I860" i="1"/>
  <c r="K858" i="1"/>
  <c r="L858" i="1" s="1"/>
  <c r="I858" i="1"/>
  <c r="I619" i="1"/>
  <c r="J619" i="1"/>
  <c r="L619" i="1" s="1"/>
  <c r="I615" i="1"/>
  <c r="J615" i="1"/>
  <c r="L615" i="1" s="1"/>
  <c r="I618" i="1"/>
  <c r="J618" i="1"/>
  <c r="L618" i="1" s="1"/>
  <c r="I611" i="1"/>
  <c r="J611" i="1"/>
  <c r="L611" i="1" s="1"/>
  <c r="I617" i="1"/>
  <c r="J617" i="1"/>
  <c r="L617" i="1" s="1"/>
  <c r="J100" i="36"/>
  <c r="H100" i="36" s="1"/>
  <c r="I288" i="13"/>
  <c r="J146" i="36"/>
  <c r="H146" i="36" s="1"/>
  <c r="G109" i="36"/>
  <c r="I253" i="36" s="1"/>
  <c r="J153" i="36"/>
  <c r="H153" i="36" s="1"/>
  <c r="G154" i="36"/>
  <c r="I259" i="36" s="1"/>
  <c r="J259" i="36" s="1"/>
  <c r="G168" i="36"/>
  <c r="I261" i="36" s="1"/>
  <c r="J167" i="36"/>
  <c r="H167" i="36" s="1"/>
  <c r="J174" i="36"/>
  <c r="H174" i="36" s="1"/>
  <c r="G175" i="36"/>
  <c r="I262" i="36" s="1"/>
  <c r="J160" i="36"/>
  <c r="H160" i="36" s="1"/>
  <c r="G161" i="36"/>
  <c r="I260" i="36" s="1"/>
  <c r="J260" i="36" s="1"/>
  <c r="I483" i="1"/>
  <c r="J124" i="36"/>
  <c r="H124" i="36" s="1"/>
  <c r="K1272" i="1"/>
  <c r="L1272" i="1" s="1"/>
  <c r="I1272" i="1"/>
  <c r="H289" i="13"/>
  <c r="H290" i="13" s="1"/>
  <c r="G551" i="1"/>
  <c r="I520" i="1"/>
  <c r="J582" i="1"/>
  <c r="L582" i="1" s="1"/>
  <c r="J520" i="1"/>
  <c r="L520" i="1" s="1"/>
  <c r="I588" i="1"/>
  <c r="J588" i="1"/>
  <c r="L588" i="1" s="1"/>
  <c r="I587" i="1"/>
  <c r="J587" i="1"/>
  <c r="L587" i="1" s="1"/>
  <c r="I555" i="1"/>
  <c r="J555" i="1"/>
  <c r="L555" i="1" s="1"/>
  <c r="I584" i="1"/>
  <c r="J584" i="1"/>
  <c r="L584" i="1" s="1"/>
  <c r="I557" i="1"/>
  <c r="J557" i="1"/>
  <c r="L557" i="1" s="1"/>
  <c r="J553" i="1"/>
  <c r="L553" i="1" s="1"/>
  <c r="I553" i="1"/>
  <c r="I556" i="1"/>
  <c r="J556" i="1"/>
  <c r="L556" i="1" s="1"/>
  <c r="I586" i="1"/>
  <c r="J586" i="1"/>
  <c r="L586" i="1" s="1"/>
  <c r="I581" i="1"/>
  <c r="J581" i="1"/>
  <c r="L581" i="1" s="1"/>
  <c r="G550" i="1"/>
  <c r="G612" i="1" s="1"/>
  <c r="J519" i="1"/>
  <c r="L519" i="1" s="1"/>
  <c r="I519" i="1"/>
  <c r="J1270" i="1"/>
  <c r="J257" i="36"/>
  <c r="I248" i="36"/>
  <c r="I254" i="36"/>
  <c r="I251" i="36"/>
  <c r="I256" i="36"/>
  <c r="I258" i="36"/>
  <c r="I252" i="36"/>
  <c r="I255" i="36"/>
  <c r="K821" i="1"/>
  <c r="L821" i="1" s="1"/>
  <c r="I821" i="1"/>
  <c r="K819" i="1"/>
  <c r="L819" i="1" s="1"/>
  <c r="I819" i="1"/>
  <c r="K725" i="1"/>
  <c r="L725" i="1" s="1"/>
  <c r="I725" i="1"/>
  <c r="K743" i="1"/>
  <c r="L743" i="1" s="1"/>
  <c r="I743" i="1"/>
  <c r="K741" i="1"/>
  <c r="L741" i="1" s="1"/>
  <c r="I741" i="1"/>
  <c r="H805" i="1"/>
  <c r="H727" i="1"/>
  <c r="H689" i="1"/>
  <c r="K803" i="1"/>
  <c r="L803" i="1" s="1"/>
  <c r="I803" i="1"/>
  <c r="H1106" i="1"/>
  <c r="H1063" i="1"/>
  <c r="K1063" i="1" s="1"/>
  <c r="L1063" i="1" s="1"/>
  <c r="K1019" i="1"/>
  <c r="L1019" i="1" s="1"/>
  <c r="K1105" i="1"/>
  <c r="L1105" i="1" s="1"/>
  <c r="I1105" i="1"/>
  <c r="I340" i="13"/>
  <c r="H341" i="13"/>
  <c r="H342" i="13" s="1"/>
  <c r="F95" i="27" s="1"/>
  <c r="N46" i="36"/>
  <c r="H20" i="34"/>
  <c r="H21" i="34" s="1"/>
  <c r="K635" i="1"/>
  <c r="L635" i="1"/>
  <c r="K499" i="1"/>
  <c r="K501" i="1"/>
  <c r="G72" i="36"/>
  <c r="G231" i="13"/>
  <c r="H231" i="13" s="1"/>
  <c r="I232" i="13" s="1"/>
  <c r="G1269" i="1" s="1"/>
  <c r="H168" i="13"/>
  <c r="H169" i="13" s="1"/>
  <c r="F87" i="27" s="1"/>
  <c r="I120" i="15"/>
  <c r="I193" i="12"/>
  <c r="K963" i="1"/>
  <c r="I963" i="1"/>
  <c r="K968" i="1"/>
  <c r="I968" i="1"/>
  <c r="I157" i="13"/>
  <c r="H1274" i="1" s="1"/>
  <c r="K1274" i="1" s="1"/>
  <c r="K644" i="1"/>
  <c r="L644" i="1" s="1"/>
  <c r="I644" i="1"/>
  <c r="K705" i="1"/>
  <c r="L705" i="1" s="1"/>
  <c r="I705" i="1"/>
  <c r="I157" i="21"/>
  <c r="K703" i="1"/>
  <c r="L703" i="1" s="1"/>
  <c r="I703" i="1"/>
  <c r="K687" i="1"/>
  <c r="L687" i="1" s="1"/>
  <c r="I687" i="1"/>
  <c r="K663" i="1"/>
  <c r="L663" i="1" s="1"/>
  <c r="I663" i="1"/>
  <c r="K1018" i="1"/>
  <c r="L1018" i="1" s="1"/>
  <c r="I1018" i="1"/>
  <c r="K661" i="1"/>
  <c r="L661" i="1" s="1"/>
  <c r="I661" i="1"/>
  <c r="J133" i="24"/>
  <c r="K1062" i="1"/>
  <c r="L1062" i="1" s="1"/>
  <c r="I1062" i="1"/>
  <c r="H145" i="19"/>
  <c r="H146" i="19" s="1"/>
  <c r="F199" i="27" s="1"/>
  <c r="I144" i="19"/>
  <c r="H137" i="19"/>
  <c r="H138" i="19" s="1"/>
  <c r="F198" i="27" s="1"/>
  <c r="I136" i="19"/>
  <c r="H407" i="21"/>
  <c r="H408" i="21" s="1"/>
  <c r="F269" i="27" s="1"/>
  <c r="I406" i="21"/>
  <c r="H121" i="15"/>
  <c r="H122" i="15" s="1"/>
  <c r="F117" i="27" s="1"/>
  <c r="H194" i="12"/>
  <c r="H195" i="12" s="1"/>
  <c r="F57" i="27" s="1"/>
  <c r="H297" i="21"/>
  <c r="G322" i="21"/>
  <c r="H322" i="21" s="1"/>
  <c r="H129" i="15"/>
  <c r="H158" i="13"/>
  <c r="H159" i="13" s="1"/>
  <c r="F86" i="27" s="1"/>
  <c r="F245" i="27"/>
  <c r="G190" i="21"/>
  <c r="H181" i="21"/>
  <c r="H175" i="13"/>
  <c r="G184" i="13"/>
  <c r="I158" i="24"/>
  <c r="H167" i="24"/>
  <c r="H176" i="24" s="1"/>
  <c r="I157" i="24"/>
  <c r="H166" i="24"/>
  <c r="H175" i="24" s="1"/>
  <c r="H199" i="12"/>
  <c r="G208" i="12"/>
  <c r="H128" i="15"/>
  <c r="G228" i="21"/>
  <c r="H174" i="21"/>
  <c r="H176" i="21" s="1"/>
  <c r="H177" i="21" s="1"/>
  <c r="F246" i="27" s="1"/>
  <c r="G183" i="21"/>
  <c r="G143" i="15"/>
  <c r="H134" i="15"/>
  <c r="I134" i="24"/>
  <c r="I135" i="24" s="1"/>
  <c r="F314" i="27" s="1"/>
  <c r="H169" i="24"/>
  <c r="H178" i="24" s="1"/>
  <c r="I160" i="24"/>
  <c r="H177" i="13"/>
  <c r="G186" i="13"/>
  <c r="G200" i="21"/>
  <c r="H191" i="21"/>
  <c r="G235" i="13"/>
  <c r="H185" i="13"/>
  <c r="H240" i="24"/>
  <c r="I231" i="24"/>
  <c r="G245" i="21"/>
  <c r="H245" i="21" s="1"/>
  <c r="H236" i="21"/>
  <c r="G253" i="21"/>
  <c r="G211" i="12"/>
  <c r="H202" i="12"/>
  <c r="G183" i="13"/>
  <c r="H174" i="13"/>
  <c r="G153" i="15"/>
  <c r="H144" i="15"/>
  <c r="H180" i="21"/>
  <c r="G189" i="21"/>
  <c r="G234" i="21"/>
  <c r="H225" i="21"/>
  <c r="G235" i="21"/>
  <c r="H226" i="21"/>
  <c r="H113" i="1" l="1"/>
  <c r="H286" i="1"/>
  <c r="H122" i="1"/>
  <c r="H304" i="1"/>
  <c r="H428" i="1"/>
  <c r="H223" i="1"/>
  <c r="H328" i="1"/>
  <c r="H337" i="1"/>
  <c r="H353" i="1"/>
  <c r="H156" i="1"/>
  <c r="H197" i="1"/>
  <c r="H237" i="1"/>
  <c r="H379" i="1"/>
  <c r="H173" i="1"/>
  <c r="H261" i="1"/>
  <c r="H386" i="1"/>
  <c r="H402" i="1"/>
  <c r="H270" i="1"/>
  <c r="H207" i="1"/>
  <c r="G850" i="1"/>
  <c r="I850" i="1" s="1"/>
  <c r="BE34" i="50"/>
  <c r="BF34" i="50"/>
  <c r="F354" i="27" s="1"/>
  <c r="BE36" i="50"/>
  <c r="BF36" i="50"/>
  <c r="F356" i="27" s="1"/>
  <c r="BF33" i="50"/>
  <c r="F353" i="27" s="1"/>
  <c r="BE33" i="50"/>
  <c r="BE32" i="50"/>
  <c r="BF32" i="50"/>
  <c r="F352" i="27" s="1"/>
  <c r="BF29" i="50"/>
  <c r="F349" i="27" s="1"/>
  <c r="BE29" i="50"/>
  <c r="BE37" i="50"/>
  <c r="BF37" i="50"/>
  <c r="F357" i="27" s="1"/>
  <c r="F75" i="32" s="1"/>
  <c r="I1274" i="1"/>
  <c r="L1274" i="1"/>
  <c r="BF39" i="50"/>
  <c r="F359" i="27" s="1"/>
  <c r="BE39" i="50"/>
  <c r="BE38" i="50"/>
  <c r="BF38" i="50"/>
  <c r="F358" i="27" s="1"/>
  <c r="F76" i="32" s="1"/>
  <c r="BE40" i="50"/>
  <c r="BF40" i="50"/>
  <c r="F360" i="27" s="1"/>
  <c r="F78" i="32" s="1"/>
  <c r="BF41" i="50"/>
  <c r="F361" i="27" s="1"/>
  <c r="F79" i="32" s="1"/>
  <c r="BE41" i="50"/>
  <c r="K766" i="1"/>
  <c r="L766" i="1" s="1"/>
  <c r="BE31" i="50"/>
  <c r="BF31" i="50"/>
  <c r="F351" i="27" s="1"/>
  <c r="BF30" i="50"/>
  <c r="F350" i="27" s="1"/>
  <c r="BE30" i="50"/>
  <c r="I1149" i="1"/>
  <c r="H765" i="1"/>
  <c r="K765" i="1" s="1"/>
  <c r="L765" i="1" s="1"/>
  <c r="H843" i="1"/>
  <c r="K1192" i="1"/>
  <c r="L1192" i="1" s="1"/>
  <c r="I1192" i="1"/>
  <c r="K844" i="1"/>
  <c r="L844" i="1" s="1"/>
  <c r="I844" i="1"/>
  <c r="H1150" i="1"/>
  <c r="K1150" i="1" s="1"/>
  <c r="L1150" i="1" s="1"/>
  <c r="H1193" i="1"/>
  <c r="H1273" i="1"/>
  <c r="K1273" i="1" s="1"/>
  <c r="L1273" i="1" s="1"/>
  <c r="H1275" i="1"/>
  <c r="K527" i="1"/>
  <c r="J850" i="1"/>
  <c r="L850" i="1" s="1"/>
  <c r="J37" i="6"/>
  <c r="M37" i="6" s="1"/>
  <c r="J158" i="6"/>
  <c r="P158" i="6" s="1"/>
  <c r="G811" i="1"/>
  <c r="J811" i="1" s="1"/>
  <c r="L811" i="1" s="1"/>
  <c r="G772" i="1"/>
  <c r="F83" i="32"/>
  <c r="I612" i="1"/>
  <c r="J612" i="1"/>
  <c r="L612" i="1" s="1"/>
  <c r="I551" i="1"/>
  <c r="G613" i="1"/>
  <c r="F84" i="32"/>
  <c r="J551" i="1"/>
  <c r="L551" i="1" s="1"/>
  <c r="G55" i="36"/>
  <c r="G56" i="36" s="1"/>
  <c r="G81" i="36"/>
  <c r="J8" i="36"/>
  <c r="H8" i="36" s="1"/>
  <c r="J261" i="36"/>
  <c r="F85" i="32"/>
  <c r="J262" i="36"/>
  <c r="F86" i="32"/>
  <c r="G34" i="36"/>
  <c r="G22" i="36"/>
  <c r="G546" i="1"/>
  <c r="G577" i="1"/>
  <c r="I577" i="1" s="1"/>
  <c r="G545" i="1"/>
  <c r="G576" i="1"/>
  <c r="I576" i="1" s="1"/>
  <c r="G543" i="1"/>
  <c r="G574" i="1"/>
  <c r="I574" i="1" s="1"/>
  <c r="H6" i="34"/>
  <c r="H488" i="34" s="1"/>
  <c r="I550" i="1"/>
  <c r="J550" i="1"/>
  <c r="L550" i="1" s="1"/>
  <c r="I1269" i="1"/>
  <c r="J1269" i="1"/>
  <c r="J258" i="36"/>
  <c r="F82" i="32"/>
  <c r="J254" i="36"/>
  <c r="J256" i="36"/>
  <c r="F80" i="32"/>
  <c r="J248" i="36"/>
  <c r="J255" i="36"/>
  <c r="J253" i="36"/>
  <c r="F77" i="32"/>
  <c r="J252" i="36"/>
  <c r="J251" i="36"/>
  <c r="H804" i="1"/>
  <c r="H688" i="1"/>
  <c r="H726" i="1"/>
  <c r="K727" i="1"/>
  <c r="L727" i="1" s="1"/>
  <c r="I727" i="1"/>
  <c r="K805" i="1"/>
  <c r="L805" i="1" s="1"/>
  <c r="I805" i="1"/>
  <c r="J515" i="1"/>
  <c r="L515" i="1" s="1"/>
  <c r="I515" i="1"/>
  <c r="I514" i="1"/>
  <c r="J514" i="1"/>
  <c r="L514" i="1" s="1"/>
  <c r="H1107" i="1"/>
  <c r="H1064" i="1"/>
  <c r="K1106" i="1"/>
  <c r="L1106" i="1" s="1"/>
  <c r="I1106" i="1"/>
  <c r="I512" i="1"/>
  <c r="J512" i="1"/>
  <c r="L512" i="1" s="1"/>
  <c r="F81" i="32"/>
  <c r="K81" i="1"/>
  <c r="K122" i="1"/>
  <c r="G733" i="1"/>
  <c r="G695" i="1"/>
  <c r="G73" i="36"/>
  <c r="J72" i="36"/>
  <c r="H72" i="36" s="1"/>
  <c r="G45" i="36"/>
  <c r="L963" i="1"/>
  <c r="L968" i="1"/>
  <c r="I129" i="15"/>
  <c r="I1063" i="1"/>
  <c r="H235" i="13"/>
  <c r="G246" i="13"/>
  <c r="I1019" i="1"/>
  <c r="I175" i="21"/>
  <c r="K689" i="1"/>
  <c r="L689" i="1" s="1"/>
  <c r="I689" i="1"/>
  <c r="I177" i="13"/>
  <c r="H1270" i="1" s="1"/>
  <c r="J160" i="24"/>
  <c r="I202" i="12"/>
  <c r="K646" i="1"/>
  <c r="L646" i="1" s="1"/>
  <c r="I646" i="1"/>
  <c r="H324" i="21"/>
  <c r="H325" i="21" s="1"/>
  <c r="F261" i="27" s="1"/>
  <c r="I323" i="21"/>
  <c r="H299" i="21"/>
  <c r="H130" i="15"/>
  <c r="H131" i="15" s="1"/>
  <c r="F118" i="27" s="1"/>
  <c r="G146" i="15"/>
  <c r="H137" i="15"/>
  <c r="H178" i="13"/>
  <c r="H179" i="13" s="1"/>
  <c r="F88" i="27" s="1"/>
  <c r="I176" i="24"/>
  <c r="H185" i="24"/>
  <c r="I185" i="24" s="1"/>
  <c r="I178" i="24"/>
  <c r="H187" i="24"/>
  <c r="I187" i="24" s="1"/>
  <c r="I175" i="24"/>
  <c r="H184" i="24"/>
  <c r="I184" i="24" s="1"/>
  <c r="I240" i="24"/>
  <c r="H141" i="24"/>
  <c r="I167" i="24"/>
  <c r="H194" i="24"/>
  <c r="H143" i="15"/>
  <c r="G152" i="15"/>
  <c r="G217" i="12"/>
  <c r="H217" i="12" s="1"/>
  <c r="H208" i="12"/>
  <c r="G251" i="21"/>
  <c r="H234" i="21"/>
  <c r="G243" i="21"/>
  <c r="H243" i="21" s="1"/>
  <c r="H211" i="12"/>
  <c r="G220" i="12"/>
  <c r="H220" i="12" s="1"/>
  <c r="H196" i="24"/>
  <c r="I169" i="24"/>
  <c r="H153" i="15"/>
  <c r="G162" i="15"/>
  <c r="G261" i="21"/>
  <c r="H253" i="21"/>
  <c r="G209" i="21"/>
  <c r="H200" i="21"/>
  <c r="H183" i="21"/>
  <c r="H185" i="21" s="1"/>
  <c r="H186" i="21" s="1"/>
  <c r="F247" i="27" s="1"/>
  <c r="G192" i="21"/>
  <c r="H203" i="12"/>
  <c r="H204" i="12" s="1"/>
  <c r="F58" i="27" s="1"/>
  <c r="H190" i="21"/>
  <c r="G199" i="21"/>
  <c r="H189" i="21"/>
  <c r="G198" i="21"/>
  <c r="G234" i="13"/>
  <c r="H184" i="13"/>
  <c r="G244" i="21"/>
  <c r="H244" i="21" s="1"/>
  <c r="G252" i="21"/>
  <c r="H235" i="21"/>
  <c r="G200" i="13"/>
  <c r="G236" i="13"/>
  <c r="H186" i="13"/>
  <c r="H193" i="24"/>
  <c r="I166" i="24"/>
  <c r="G145" i="15"/>
  <c r="H136" i="15"/>
  <c r="H183" i="13"/>
  <c r="G233" i="13"/>
  <c r="G197" i="13"/>
  <c r="H228" i="21"/>
  <c r="H229" i="21" s="1"/>
  <c r="H230" i="21" s="1"/>
  <c r="F252" i="27" s="1"/>
  <c r="G237" i="21"/>
  <c r="I161" i="24"/>
  <c r="I162" i="24" s="1"/>
  <c r="L1269" i="1" l="1"/>
  <c r="I1273" i="1"/>
  <c r="I765" i="1"/>
  <c r="I1150" i="1"/>
  <c r="K428" i="1"/>
  <c r="L428" i="1" s="1"/>
  <c r="I428" i="1"/>
  <c r="K1275" i="1"/>
  <c r="L1275" i="1" s="1"/>
  <c r="I1275" i="1"/>
  <c r="K843" i="1"/>
  <c r="L843" i="1" s="1"/>
  <c r="I843" i="1"/>
  <c r="K386" i="1"/>
  <c r="I386" i="1"/>
  <c r="H759" i="1"/>
  <c r="K759" i="1" s="1"/>
  <c r="H837" i="1"/>
  <c r="K304" i="1"/>
  <c r="L304" i="1" s="1"/>
  <c r="I304" i="1"/>
  <c r="K1193" i="1"/>
  <c r="L1193" i="1" s="1"/>
  <c r="I1193" i="1"/>
  <c r="K402" i="1"/>
  <c r="L402" i="1" s="1"/>
  <c r="I402" i="1"/>
  <c r="K237" i="1"/>
  <c r="L237" i="1" s="1"/>
  <c r="I237" i="1"/>
  <c r="I811" i="1"/>
  <c r="I772" i="1"/>
  <c r="J772" i="1"/>
  <c r="L772" i="1" s="1"/>
  <c r="I270" i="1"/>
  <c r="K270" i="1"/>
  <c r="I286" i="1"/>
  <c r="K286" i="1"/>
  <c r="L286" i="1" s="1"/>
  <c r="I328" i="1"/>
  <c r="K328" i="1"/>
  <c r="L328" i="1" s="1"/>
  <c r="J543" i="1"/>
  <c r="L543" i="1" s="1"/>
  <c r="G605" i="1"/>
  <c r="I546" i="1"/>
  <c r="G608" i="1"/>
  <c r="I613" i="1"/>
  <c r="J613" i="1"/>
  <c r="L613" i="1" s="1"/>
  <c r="I545" i="1"/>
  <c r="G607" i="1"/>
  <c r="J55" i="36"/>
  <c r="H55" i="36" s="1"/>
  <c r="G13" i="36"/>
  <c r="G14" i="36" s="1"/>
  <c r="I243" i="36" s="1"/>
  <c r="J17" i="36"/>
  <c r="H17" i="36" s="1"/>
  <c r="I516" i="1"/>
  <c r="G547" i="1"/>
  <c r="G609" i="1" s="1"/>
  <c r="G578" i="1"/>
  <c r="J516" i="1"/>
  <c r="L516" i="1" s="1"/>
  <c r="J517" i="1"/>
  <c r="L517" i="1" s="1"/>
  <c r="I517" i="1"/>
  <c r="G579" i="1"/>
  <c r="G548" i="1"/>
  <c r="G610" i="1" s="1"/>
  <c r="I543" i="1"/>
  <c r="J546" i="1"/>
  <c r="L546" i="1" s="1"/>
  <c r="J574" i="1"/>
  <c r="L574" i="1" s="1"/>
  <c r="K1270" i="1"/>
  <c r="I1270" i="1"/>
  <c r="G82" i="36"/>
  <c r="I250" i="36" s="1"/>
  <c r="J81" i="36"/>
  <c r="H81" i="36" s="1"/>
  <c r="J577" i="1"/>
  <c r="L577" i="1" s="1"/>
  <c r="H138" i="15"/>
  <c r="H139" i="15" s="1"/>
  <c r="F119" i="27" s="1"/>
  <c r="K113" i="1"/>
  <c r="L113" i="1" s="1"/>
  <c r="I113" i="1"/>
  <c r="K197" i="1"/>
  <c r="L197" i="1" s="1"/>
  <c r="I197" i="1"/>
  <c r="K379" i="1"/>
  <c r="L379" i="1" s="1"/>
  <c r="I379" i="1"/>
  <c r="K261" i="1"/>
  <c r="L261" i="1" s="1"/>
  <c r="I261" i="1"/>
  <c r="J545" i="1"/>
  <c r="L545" i="1" s="1"/>
  <c r="J576" i="1"/>
  <c r="L576" i="1" s="1"/>
  <c r="G538" i="1"/>
  <c r="G569" i="1"/>
  <c r="G541" i="1"/>
  <c r="G603" i="1" s="1"/>
  <c r="G572" i="1"/>
  <c r="G542" i="1"/>
  <c r="G573" i="1"/>
  <c r="G540" i="1"/>
  <c r="G571" i="1"/>
  <c r="G537" i="1"/>
  <c r="G568" i="1"/>
  <c r="G539" i="1"/>
  <c r="G601" i="1" s="1"/>
  <c r="G570" i="1"/>
  <c r="G534" i="1"/>
  <c r="G565" i="1"/>
  <c r="G544" i="1"/>
  <c r="G575" i="1"/>
  <c r="I506" i="1"/>
  <c r="I513" i="1"/>
  <c r="I503" i="1"/>
  <c r="J506" i="1"/>
  <c r="L506" i="1" s="1"/>
  <c r="J503" i="1"/>
  <c r="L503" i="1" s="1"/>
  <c r="J513" i="1"/>
  <c r="L513" i="1" s="1"/>
  <c r="I511" i="1"/>
  <c r="J511" i="1"/>
  <c r="L511" i="1" s="1"/>
  <c r="I507" i="1"/>
  <c r="J733" i="1"/>
  <c r="L733" i="1" s="1"/>
  <c r="J507" i="1"/>
  <c r="L507" i="1" s="1"/>
  <c r="J509" i="1"/>
  <c r="L509" i="1" s="1"/>
  <c r="I509" i="1"/>
  <c r="I247" i="36"/>
  <c r="I249" i="36"/>
  <c r="H798" i="1"/>
  <c r="H720" i="1"/>
  <c r="K639" i="1"/>
  <c r="L639" i="1" s="1"/>
  <c r="H682" i="1"/>
  <c r="K726" i="1"/>
  <c r="L726" i="1" s="1"/>
  <c r="I726" i="1"/>
  <c r="K804" i="1"/>
  <c r="L804" i="1" s="1"/>
  <c r="I804" i="1"/>
  <c r="K207" i="1"/>
  <c r="I207" i="1"/>
  <c r="K139" i="1"/>
  <c r="L139" i="1" s="1"/>
  <c r="I139" i="1"/>
  <c r="K353" i="1"/>
  <c r="I353" i="1"/>
  <c r="K105" i="1"/>
  <c r="L105" i="1" s="1"/>
  <c r="I105" i="1"/>
  <c r="K337" i="1"/>
  <c r="I337" i="1"/>
  <c r="K109" i="1"/>
  <c r="L109" i="1" s="1"/>
  <c r="I109" i="1"/>
  <c r="K173" i="1"/>
  <c r="L173" i="1" s="1"/>
  <c r="I173" i="1"/>
  <c r="K1107" i="1"/>
  <c r="L1107" i="1" s="1"/>
  <c r="I1107" i="1"/>
  <c r="K223" i="1"/>
  <c r="I223" i="1"/>
  <c r="K49" i="1"/>
  <c r="I49" i="1"/>
  <c r="I81" i="1"/>
  <c r="I64" i="1"/>
  <c r="K64" i="1"/>
  <c r="L64" i="1" s="1"/>
  <c r="K156" i="1"/>
  <c r="L156" i="1" s="1"/>
  <c r="I156" i="1"/>
  <c r="K56" i="1"/>
  <c r="L56" i="1" s="1"/>
  <c r="I56" i="1"/>
  <c r="I733" i="1"/>
  <c r="G35" i="36"/>
  <c r="J34" i="36"/>
  <c r="H34" i="36" s="1"/>
  <c r="G46" i="36"/>
  <c r="J45" i="36"/>
  <c r="H45" i="36" s="1"/>
  <c r="G23" i="36"/>
  <c r="J22" i="36"/>
  <c r="H22" i="36" s="1"/>
  <c r="L81" i="1"/>
  <c r="K919" i="1"/>
  <c r="K931" i="1" s="1"/>
  <c r="L122" i="1"/>
  <c r="H234" i="13"/>
  <c r="G245" i="13"/>
  <c r="H233" i="13"/>
  <c r="G244" i="13"/>
  <c r="G257" i="13"/>
  <c r="H277" i="13" s="1"/>
  <c r="H246" i="13"/>
  <c r="H236" i="13"/>
  <c r="G247" i="13"/>
  <c r="I122" i="1"/>
  <c r="J187" i="24"/>
  <c r="I184" i="21"/>
  <c r="I186" i="13"/>
  <c r="K645" i="1"/>
  <c r="L645" i="1" s="1"/>
  <c r="I645" i="1"/>
  <c r="I211" i="12"/>
  <c r="K688" i="1"/>
  <c r="L688" i="1" s="1"/>
  <c r="I688" i="1"/>
  <c r="K1020" i="1"/>
  <c r="L1020" i="1" s="1"/>
  <c r="I1020" i="1"/>
  <c r="I220" i="12"/>
  <c r="J178" i="24"/>
  <c r="I228" i="21"/>
  <c r="J169" i="24"/>
  <c r="K1064" i="1"/>
  <c r="L1064" i="1" s="1"/>
  <c r="I1064" i="1"/>
  <c r="I137" i="15"/>
  <c r="J652" i="1"/>
  <c r="I652" i="1"/>
  <c r="J695" i="1"/>
  <c r="I695" i="1"/>
  <c r="H209" i="21"/>
  <c r="G218" i="21"/>
  <c r="H218" i="21" s="1"/>
  <c r="F317" i="27"/>
  <c r="I179" i="24"/>
  <c r="I180" i="24" s="1"/>
  <c r="F319" i="27" s="1"/>
  <c r="H146" i="15"/>
  <c r="G155" i="15"/>
  <c r="I170" i="24"/>
  <c r="I171" i="24" s="1"/>
  <c r="F318" i="27" s="1"/>
  <c r="I188" i="24"/>
  <c r="I189" i="24" s="1"/>
  <c r="F320" i="27" s="1"/>
  <c r="I141" i="24"/>
  <c r="H249" i="24"/>
  <c r="I249" i="24" s="1"/>
  <c r="H221" i="12"/>
  <c r="H222" i="12" s="1"/>
  <c r="F60" i="27" s="1"/>
  <c r="G254" i="21"/>
  <c r="H237" i="21"/>
  <c r="H238" i="21" s="1"/>
  <c r="H239" i="21" s="1"/>
  <c r="F253" i="27" s="1"/>
  <c r="G246" i="21"/>
  <c r="H246" i="21" s="1"/>
  <c r="H247" i="21" s="1"/>
  <c r="H248" i="21" s="1"/>
  <c r="F254" i="27" s="1"/>
  <c r="H202" i="24"/>
  <c r="H211" i="24" s="1"/>
  <c r="I193" i="24"/>
  <c r="G214" i="13"/>
  <c r="H214" i="13" s="1"/>
  <c r="G226" i="13"/>
  <c r="H226" i="13" s="1"/>
  <c r="H200" i="13"/>
  <c r="H199" i="21"/>
  <c r="G208" i="21"/>
  <c r="G270" i="21"/>
  <c r="H270" i="21" s="1"/>
  <c r="H261" i="21"/>
  <c r="G161" i="15"/>
  <c r="H152" i="15"/>
  <c r="H198" i="21"/>
  <c r="G207" i="21"/>
  <c r="H187" i="13"/>
  <c r="H188" i="13" s="1"/>
  <c r="F89" i="27" s="1"/>
  <c r="G171" i="15"/>
  <c r="H162" i="15"/>
  <c r="I196" i="24"/>
  <c r="H205" i="24"/>
  <c r="H214" i="24" s="1"/>
  <c r="H197" i="13"/>
  <c r="G223" i="13"/>
  <c r="H223" i="13" s="1"/>
  <c r="I226" i="13" s="1"/>
  <c r="G211" i="13"/>
  <c r="H211" i="13" s="1"/>
  <c r="G260" i="21"/>
  <c r="H252" i="21"/>
  <c r="G259" i="21"/>
  <c r="H251" i="21"/>
  <c r="H203" i="24"/>
  <c r="H212" i="24" s="1"/>
  <c r="I194" i="24"/>
  <c r="H145" i="15"/>
  <c r="G154" i="15"/>
  <c r="H192" i="21"/>
  <c r="H194" i="21" s="1"/>
  <c r="H195" i="21" s="1"/>
  <c r="F248" i="27" s="1"/>
  <c r="G201" i="21"/>
  <c r="H212" i="12"/>
  <c r="H213" i="12" s="1"/>
  <c r="F59" i="27" s="1"/>
  <c r="H152" i="1" l="1"/>
  <c r="H300" i="1"/>
  <c r="H233" i="1"/>
  <c r="H412" i="1"/>
  <c r="H169" i="1"/>
  <c r="H363" i="1"/>
  <c r="K1289" i="1"/>
  <c r="I759" i="1"/>
  <c r="H1135" i="1"/>
  <c r="I1135" i="1" s="1"/>
  <c r="H1178" i="1"/>
  <c r="K300" i="1"/>
  <c r="L300" i="1" s="1"/>
  <c r="L386" i="1"/>
  <c r="H1134" i="1"/>
  <c r="I1134" i="1" s="1"/>
  <c r="H1177" i="1"/>
  <c r="H847" i="1"/>
  <c r="H845" i="1"/>
  <c r="K837" i="1"/>
  <c r="I837" i="1"/>
  <c r="H783" i="1"/>
  <c r="K783" i="1" s="1"/>
  <c r="L783" i="1" s="1"/>
  <c r="H861" i="1"/>
  <c r="H1133" i="1"/>
  <c r="I1133" i="1" s="1"/>
  <c r="H1176" i="1"/>
  <c r="L270" i="1"/>
  <c r="J13" i="36"/>
  <c r="H13" i="36" s="1"/>
  <c r="H769" i="1"/>
  <c r="H767" i="1"/>
  <c r="L759" i="1"/>
  <c r="I607" i="1"/>
  <c r="J607" i="1"/>
  <c r="L607" i="1" s="1"/>
  <c r="I608" i="1"/>
  <c r="J608" i="1"/>
  <c r="L608" i="1" s="1"/>
  <c r="I534" i="1"/>
  <c r="G596" i="1"/>
  <c r="J537" i="1"/>
  <c r="L537" i="1" s="1"/>
  <c r="G599" i="1"/>
  <c r="I542" i="1"/>
  <c r="G604" i="1"/>
  <c r="J538" i="1"/>
  <c r="L538" i="1" s="1"/>
  <c r="G600" i="1"/>
  <c r="I610" i="1"/>
  <c r="J610" i="1"/>
  <c r="L610" i="1" s="1"/>
  <c r="I605" i="1"/>
  <c r="J605" i="1"/>
  <c r="L605" i="1" s="1"/>
  <c r="I544" i="1"/>
  <c r="G606" i="1"/>
  <c r="I601" i="1"/>
  <c r="J601" i="1"/>
  <c r="L601" i="1" s="1"/>
  <c r="I540" i="1"/>
  <c r="G602" i="1"/>
  <c r="I603" i="1"/>
  <c r="J603" i="1"/>
  <c r="L603" i="1" s="1"/>
  <c r="I609" i="1"/>
  <c r="J609" i="1"/>
  <c r="L609" i="1" s="1"/>
  <c r="J548" i="1"/>
  <c r="L548" i="1" s="1"/>
  <c r="I548" i="1"/>
  <c r="I579" i="1"/>
  <c r="J579" i="1"/>
  <c r="L579" i="1" s="1"/>
  <c r="I578" i="1"/>
  <c r="J578" i="1"/>
  <c r="L578" i="1" s="1"/>
  <c r="I547" i="1"/>
  <c r="J547" i="1"/>
  <c r="L547" i="1" s="1"/>
  <c r="L1270" i="1"/>
  <c r="I537" i="1"/>
  <c r="I538" i="1"/>
  <c r="F74" i="32"/>
  <c r="J250" i="36"/>
  <c r="K477" i="1"/>
  <c r="L477" i="1" s="1"/>
  <c r="I477" i="1"/>
  <c r="J542" i="1"/>
  <c r="L542" i="1" s="1"/>
  <c r="J540" i="1"/>
  <c r="L540" i="1" s="1"/>
  <c r="J544" i="1"/>
  <c r="L544" i="1" s="1"/>
  <c r="J534" i="1"/>
  <c r="L534" i="1" s="1"/>
  <c r="J571" i="1"/>
  <c r="L571" i="1" s="1"/>
  <c r="I571" i="1"/>
  <c r="I575" i="1"/>
  <c r="J575" i="1"/>
  <c r="L575" i="1" s="1"/>
  <c r="I565" i="1"/>
  <c r="J565" i="1"/>
  <c r="L565" i="1" s="1"/>
  <c r="I568" i="1"/>
  <c r="J568" i="1"/>
  <c r="L568" i="1" s="1"/>
  <c r="I573" i="1"/>
  <c r="J573" i="1"/>
  <c r="L573" i="1" s="1"/>
  <c r="I569" i="1"/>
  <c r="J569" i="1"/>
  <c r="L569" i="1" s="1"/>
  <c r="J249" i="36"/>
  <c r="J504" i="1" s="1"/>
  <c r="L504" i="1" s="1"/>
  <c r="F73" i="32"/>
  <c r="F67" i="32"/>
  <c r="J243" i="36"/>
  <c r="J247" i="36"/>
  <c r="F71" i="32"/>
  <c r="I245" i="36"/>
  <c r="I246" i="36"/>
  <c r="I244" i="36"/>
  <c r="H806" i="1"/>
  <c r="H690" i="1"/>
  <c r="H730" i="1"/>
  <c r="H692" i="1"/>
  <c r="H728" i="1"/>
  <c r="H808" i="1"/>
  <c r="K720" i="1"/>
  <c r="I720" i="1"/>
  <c r="H822" i="1"/>
  <c r="H706" i="1"/>
  <c r="H744" i="1"/>
  <c r="K798" i="1"/>
  <c r="I798" i="1"/>
  <c r="L337" i="1"/>
  <c r="L207" i="1"/>
  <c r="L353" i="1"/>
  <c r="H1092" i="1"/>
  <c r="H1048" i="1"/>
  <c r="H1091" i="1"/>
  <c r="H1047" i="1"/>
  <c r="H1090" i="1"/>
  <c r="K1003" i="1"/>
  <c r="L1003" i="1" s="1"/>
  <c r="H1046" i="1"/>
  <c r="K1046" i="1" s="1"/>
  <c r="L1046" i="1" s="1"/>
  <c r="J572" i="1"/>
  <c r="L572" i="1" s="1"/>
  <c r="I572" i="1"/>
  <c r="I570" i="1"/>
  <c r="J570" i="1"/>
  <c r="L570" i="1" s="1"/>
  <c r="I508" i="1"/>
  <c r="J508" i="1"/>
  <c r="L508" i="1" s="1"/>
  <c r="I539" i="1"/>
  <c r="J539" i="1"/>
  <c r="L539" i="1" s="1"/>
  <c r="I510" i="1"/>
  <c r="J510" i="1"/>
  <c r="L510" i="1" s="1"/>
  <c r="I541" i="1"/>
  <c r="J541" i="1"/>
  <c r="L541" i="1" s="1"/>
  <c r="L49" i="1"/>
  <c r="H237" i="13"/>
  <c r="H238" i="13" s="1"/>
  <c r="F93" i="27" s="1"/>
  <c r="L223" i="1"/>
  <c r="F72" i="32"/>
  <c r="I919" i="1"/>
  <c r="H257" i="13"/>
  <c r="G267" i="13"/>
  <c r="H267" i="13" s="1"/>
  <c r="L652" i="1"/>
  <c r="L695" i="1"/>
  <c r="L919" i="1"/>
  <c r="L931" i="1" s="1"/>
  <c r="I236" i="13"/>
  <c r="H245" i="13"/>
  <c r="G256" i="13"/>
  <c r="H276" i="13" s="1"/>
  <c r="H247" i="13"/>
  <c r="G258" i="13"/>
  <c r="H278" i="13" s="1"/>
  <c r="G255" i="13"/>
  <c r="H244" i="13"/>
  <c r="I214" i="13"/>
  <c r="I146" i="15"/>
  <c r="J196" i="24"/>
  <c r="I639" i="1"/>
  <c r="I193" i="21"/>
  <c r="K682" i="1"/>
  <c r="I682" i="1"/>
  <c r="I237" i="21"/>
  <c r="I200" i="13"/>
  <c r="I246" i="21"/>
  <c r="H208" i="21"/>
  <c r="G217" i="21"/>
  <c r="H217" i="21" s="1"/>
  <c r="H207" i="21"/>
  <c r="G216" i="21"/>
  <c r="H216" i="21" s="1"/>
  <c r="H147" i="15"/>
  <c r="H148" i="15" s="1"/>
  <c r="F120" i="27" s="1"/>
  <c r="I211" i="24"/>
  <c r="H220" i="24"/>
  <c r="I220" i="24" s="1"/>
  <c r="I212" i="24"/>
  <c r="H221" i="24"/>
  <c r="I221" i="24" s="1"/>
  <c r="I214" i="24"/>
  <c r="H223" i="24"/>
  <c r="I223" i="24" s="1"/>
  <c r="G164" i="15"/>
  <c r="H155" i="15"/>
  <c r="H227" i="13"/>
  <c r="H228" i="13" s="1"/>
  <c r="F92" i="27" s="1"/>
  <c r="H201" i="13"/>
  <c r="H202" i="13" s="1"/>
  <c r="F90" i="27" s="1"/>
  <c r="H215" i="13"/>
  <c r="H216" i="13" s="1"/>
  <c r="F91" i="27" s="1"/>
  <c r="G181" i="15"/>
  <c r="H171" i="15"/>
  <c r="I202" i="24"/>
  <c r="H229" i="24"/>
  <c r="I197" i="24"/>
  <c r="I198" i="24" s="1"/>
  <c r="F321" i="27" s="1"/>
  <c r="H232" i="24"/>
  <c r="I205" i="24"/>
  <c r="H259" i="21"/>
  <c r="G268" i="21"/>
  <c r="H268" i="21" s="1"/>
  <c r="H161" i="15"/>
  <c r="G170" i="15"/>
  <c r="H230" i="24"/>
  <c r="I203" i="24"/>
  <c r="H254" i="21"/>
  <c r="H255" i="21" s="1"/>
  <c r="H256" i="21" s="1"/>
  <c r="F255" i="27" s="1"/>
  <c r="G262" i="21"/>
  <c r="G163" i="15"/>
  <c r="H211" i="15" s="1"/>
  <c r="I211" i="15" s="1"/>
  <c r="H154" i="15"/>
  <c r="G210" i="21"/>
  <c r="H201" i="21"/>
  <c r="H203" i="21" s="1"/>
  <c r="H204" i="21" s="1"/>
  <c r="F249" i="27" s="1"/>
  <c r="H260" i="21"/>
  <c r="G269" i="21"/>
  <c r="H269" i="21" s="1"/>
  <c r="K1135" i="1" l="1"/>
  <c r="L1135" i="1" s="1"/>
  <c r="K1134" i="1"/>
  <c r="L1134" i="1" s="1"/>
  <c r="K1133" i="1"/>
  <c r="I300" i="1"/>
  <c r="I783" i="1"/>
  <c r="H779" i="1"/>
  <c r="K779" i="1" s="1"/>
  <c r="L779" i="1" s="1"/>
  <c r="H857" i="1"/>
  <c r="L837" i="1"/>
  <c r="I412" i="1"/>
  <c r="K412" i="1"/>
  <c r="H1183" i="1"/>
  <c r="H1184" i="1"/>
  <c r="H1182" i="1"/>
  <c r="H1180" i="1"/>
  <c r="H1181" i="1"/>
  <c r="K861" i="1"/>
  <c r="L861" i="1" s="1"/>
  <c r="I861" i="1"/>
  <c r="K845" i="1"/>
  <c r="L845" i="1" s="1"/>
  <c r="I845" i="1"/>
  <c r="H777" i="1"/>
  <c r="K777" i="1" s="1"/>
  <c r="L777" i="1" s="1"/>
  <c r="H855" i="1"/>
  <c r="K479" i="1"/>
  <c r="K847" i="1"/>
  <c r="L847" i="1" s="1"/>
  <c r="I847" i="1"/>
  <c r="K1178" i="1"/>
  <c r="L1178" i="1" s="1"/>
  <c r="I1178" i="1"/>
  <c r="H768" i="1"/>
  <c r="K768" i="1" s="1"/>
  <c r="L768" i="1" s="1"/>
  <c r="H846" i="1"/>
  <c r="K1176" i="1"/>
  <c r="I1176" i="1"/>
  <c r="K1177" i="1"/>
  <c r="L1177" i="1" s="1"/>
  <c r="I1177" i="1"/>
  <c r="J52" i="6"/>
  <c r="J183" i="6"/>
  <c r="P183" i="6" s="1"/>
  <c r="H1140" i="1"/>
  <c r="H1138" i="1"/>
  <c r="H1141" i="1"/>
  <c r="H1137" i="1"/>
  <c r="H1139" i="1"/>
  <c r="K767" i="1"/>
  <c r="L767" i="1" s="1"/>
  <c r="I767" i="1"/>
  <c r="L1133" i="1"/>
  <c r="K769" i="1"/>
  <c r="L769" i="1" s="1"/>
  <c r="I769" i="1"/>
  <c r="I602" i="1"/>
  <c r="J602" i="1"/>
  <c r="L602" i="1" s="1"/>
  <c r="I606" i="1"/>
  <c r="J606" i="1"/>
  <c r="L606" i="1" s="1"/>
  <c r="I604" i="1"/>
  <c r="J604" i="1"/>
  <c r="L604" i="1" s="1"/>
  <c r="I596" i="1"/>
  <c r="J596" i="1"/>
  <c r="L596" i="1" s="1"/>
  <c r="I600" i="1"/>
  <c r="J600" i="1"/>
  <c r="L600" i="1" s="1"/>
  <c r="I599" i="1"/>
  <c r="J599" i="1"/>
  <c r="L599" i="1" s="1"/>
  <c r="J480" i="1"/>
  <c r="J481" i="1"/>
  <c r="G536" i="1"/>
  <c r="G598" i="1" s="1"/>
  <c r="G567" i="1"/>
  <c r="J505" i="1"/>
  <c r="L505" i="1" s="1"/>
  <c r="I505" i="1"/>
  <c r="I504" i="1"/>
  <c r="G529" i="1"/>
  <c r="G560" i="1"/>
  <c r="G533" i="1"/>
  <c r="G595" i="1" s="1"/>
  <c r="G564" i="1"/>
  <c r="G535" i="1"/>
  <c r="G597" i="1" s="1"/>
  <c r="G566" i="1"/>
  <c r="J502" i="1"/>
  <c r="L502" i="1" s="1"/>
  <c r="I502" i="1"/>
  <c r="J246" i="36"/>
  <c r="G563" i="1" s="1"/>
  <c r="F70" i="32"/>
  <c r="J245" i="36"/>
  <c r="F69" i="32"/>
  <c r="J244" i="36"/>
  <c r="F68" i="32"/>
  <c r="H275" i="13"/>
  <c r="H279" i="13" s="1"/>
  <c r="H280" i="13" s="1"/>
  <c r="F94" i="27" s="1"/>
  <c r="H293" i="13"/>
  <c r="L798" i="1"/>
  <c r="K730" i="1"/>
  <c r="L730" i="1" s="1"/>
  <c r="I730" i="1"/>
  <c r="K647" i="1"/>
  <c r="L647" i="1" s="1"/>
  <c r="I647" i="1"/>
  <c r="K690" i="1"/>
  <c r="L690" i="1" s="1"/>
  <c r="I690" i="1"/>
  <c r="H729" i="1"/>
  <c r="H807" i="1"/>
  <c r="H691" i="1"/>
  <c r="K808" i="1"/>
  <c r="L808" i="1" s="1"/>
  <c r="I808" i="1"/>
  <c r="K692" i="1"/>
  <c r="L692" i="1" s="1"/>
  <c r="I692" i="1"/>
  <c r="H818" i="1"/>
  <c r="H702" i="1"/>
  <c r="H740" i="1"/>
  <c r="K822" i="1"/>
  <c r="L822" i="1" s="1"/>
  <c r="I822" i="1"/>
  <c r="K649" i="1"/>
  <c r="L649" i="1" s="1"/>
  <c r="I649" i="1"/>
  <c r="H816" i="1"/>
  <c r="H738" i="1"/>
  <c r="H700" i="1"/>
  <c r="K744" i="1"/>
  <c r="L744" i="1" s="1"/>
  <c r="I744" i="1"/>
  <c r="L720" i="1"/>
  <c r="K728" i="1"/>
  <c r="L728" i="1" s="1"/>
  <c r="I728" i="1"/>
  <c r="K806" i="1"/>
  <c r="L806" i="1" s="1"/>
  <c r="I806" i="1"/>
  <c r="K152" i="1"/>
  <c r="L152" i="1" s="1"/>
  <c r="I152" i="1"/>
  <c r="K363" i="1"/>
  <c r="I363" i="1"/>
  <c r="K1091" i="1"/>
  <c r="L1091" i="1" s="1"/>
  <c r="I1091" i="1"/>
  <c r="H1095" i="1"/>
  <c r="H1098" i="1"/>
  <c r="H1094" i="1"/>
  <c r="H1097" i="1"/>
  <c r="H1096" i="1"/>
  <c r="H1054" i="1"/>
  <c r="H1050" i="1"/>
  <c r="H1052" i="1"/>
  <c r="H1051" i="1"/>
  <c r="H1053" i="1"/>
  <c r="K1090" i="1"/>
  <c r="I1090" i="1"/>
  <c r="K1092" i="1"/>
  <c r="L1092" i="1" s="1"/>
  <c r="I1092" i="1"/>
  <c r="K233" i="1"/>
  <c r="I233" i="1"/>
  <c r="J479" i="1"/>
  <c r="I1046" i="1"/>
  <c r="I1003" i="1"/>
  <c r="H255" i="13"/>
  <c r="G265" i="13"/>
  <c r="H265" i="13" s="1"/>
  <c r="H256" i="13"/>
  <c r="G266" i="13"/>
  <c r="H258" i="13"/>
  <c r="G268" i="13"/>
  <c r="H268" i="13" s="1"/>
  <c r="L682" i="1"/>
  <c r="I247" i="13"/>
  <c r="H248" i="13"/>
  <c r="H249" i="13" s="1"/>
  <c r="K169" i="1"/>
  <c r="I169" i="1"/>
  <c r="I202" i="21"/>
  <c r="I155" i="15"/>
  <c r="K706" i="1"/>
  <c r="L706" i="1" s="1"/>
  <c r="I706" i="1"/>
  <c r="K1004" i="1"/>
  <c r="L1004" i="1" s="1"/>
  <c r="I1004" i="1"/>
  <c r="K1048" i="1"/>
  <c r="L1048" i="1" s="1"/>
  <c r="I1048" i="1"/>
  <c r="K664" i="1"/>
  <c r="L664" i="1" s="1"/>
  <c r="I664" i="1"/>
  <c r="J223" i="24"/>
  <c r="K1047" i="1"/>
  <c r="L1047" i="1" s="1"/>
  <c r="I1047" i="1"/>
  <c r="I254" i="21"/>
  <c r="J205" i="24"/>
  <c r="J214" i="24"/>
  <c r="K1005" i="1"/>
  <c r="L1005" i="1" s="1"/>
  <c r="I1005" i="1"/>
  <c r="H210" i="21"/>
  <c r="H212" i="21" s="1"/>
  <c r="H213" i="21" s="1"/>
  <c r="G300" i="21" s="1"/>
  <c r="F271" i="32" s="1"/>
  <c r="G219" i="21"/>
  <c r="H219" i="21" s="1"/>
  <c r="H221" i="21" s="1"/>
  <c r="H222" i="21" s="1"/>
  <c r="F251" i="27" s="1"/>
  <c r="I215" i="24"/>
  <c r="I216" i="24" s="1"/>
  <c r="F322" i="27" s="1"/>
  <c r="I224" i="24"/>
  <c r="I225" i="24" s="1"/>
  <c r="F324" i="27" s="1"/>
  <c r="H156" i="15"/>
  <c r="H157" i="15" s="1"/>
  <c r="F121" i="27" s="1"/>
  <c r="G173" i="15"/>
  <c r="H164" i="15"/>
  <c r="I206" i="24"/>
  <c r="I207" i="24" s="1"/>
  <c r="H241" i="24"/>
  <c r="I232" i="24"/>
  <c r="H181" i="15"/>
  <c r="G189" i="15"/>
  <c r="H239" i="24"/>
  <c r="I230" i="24"/>
  <c r="H163" i="15"/>
  <c r="G172" i="15"/>
  <c r="H170" i="15"/>
  <c r="G180" i="15"/>
  <c r="G271" i="21"/>
  <c r="H271" i="21" s="1"/>
  <c r="H272" i="21" s="1"/>
  <c r="H273" i="21" s="1"/>
  <c r="F257" i="27" s="1"/>
  <c r="H262" i="21"/>
  <c r="H263" i="21" s="1"/>
  <c r="H264" i="21" s="1"/>
  <c r="F256" i="27" s="1"/>
  <c r="I229" i="24"/>
  <c r="H238" i="24"/>
  <c r="I278" i="13" l="1"/>
  <c r="I479" i="1"/>
  <c r="I779" i="1"/>
  <c r="I768" i="1"/>
  <c r="I777" i="1"/>
  <c r="K478" i="1"/>
  <c r="L478" i="1" s="1"/>
  <c r="I478" i="1"/>
  <c r="K1181" i="1"/>
  <c r="L1181" i="1" s="1"/>
  <c r="I1181" i="1"/>
  <c r="K1183" i="1"/>
  <c r="L1183" i="1" s="1"/>
  <c r="I1183" i="1"/>
  <c r="H784" i="1"/>
  <c r="I784" i="1" s="1"/>
  <c r="H862" i="1"/>
  <c r="L1176" i="1"/>
  <c r="K1180" i="1"/>
  <c r="L1180" i="1" s="1"/>
  <c r="I1180" i="1"/>
  <c r="L412" i="1"/>
  <c r="L432" i="1" s="1"/>
  <c r="K432" i="1"/>
  <c r="K857" i="1"/>
  <c r="L857" i="1" s="1"/>
  <c r="I857" i="1"/>
  <c r="K846" i="1"/>
  <c r="L846" i="1" s="1"/>
  <c r="I846" i="1"/>
  <c r="K855" i="1"/>
  <c r="L855" i="1" s="1"/>
  <c r="I855" i="1"/>
  <c r="K1182" i="1"/>
  <c r="L1182" i="1" s="1"/>
  <c r="I1182" i="1"/>
  <c r="H1136" i="1"/>
  <c r="K1136" i="1" s="1"/>
  <c r="H1179" i="1"/>
  <c r="K1184" i="1"/>
  <c r="L1184" i="1" s="1"/>
  <c r="I1184" i="1"/>
  <c r="K1137" i="1"/>
  <c r="L1137" i="1" s="1"/>
  <c r="I1137" i="1"/>
  <c r="K1141" i="1"/>
  <c r="L1141" i="1" s="1"/>
  <c r="I1141" i="1"/>
  <c r="K1138" i="1"/>
  <c r="L1138" i="1" s="1"/>
  <c r="I1138" i="1"/>
  <c r="K1139" i="1"/>
  <c r="L1139" i="1" s="1"/>
  <c r="I1139" i="1"/>
  <c r="K1140" i="1"/>
  <c r="L1140" i="1" s="1"/>
  <c r="I1140" i="1"/>
  <c r="I598" i="1"/>
  <c r="J598" i="1"/>
  <c r="L598" i="1" s="1"/>
  <c r="I597" i="1"/>
  <c r="J597" i="1"/>
  <c r="L597" i="1" s="1"/>
  <c r="I529" i="1"/>
  <c r="G591" i="1"/>
  <c r="I595" i="1"/>
  <c r="J595" i="1"/>
  <c r="L595" i="1" s="1"/>
  <c r="J529" i="1"/>
  <c r="L529" i="1" s="1"/>
  <c r="I567" i="1"/>
  <c r="J567" i="1"/>
  <c r="L567" i="1" s="1"/>
  <c r="I536" i="1"/>
  <c r="J536" i="1"/>
  <c r="L536" i="1" s="1"/>
  <c r="K485" i="1"/>
  <c r="L485" i="1" s="1"/>
  <c r="I485" i="1"/>
  <c r="J501" i="1"/>
  <c r="F96" i="32"/>
  <c r="I564" i="1"/>
  <c r="J564" i="1"/>
  <c r="L564" i="1" s="1"/>
  <c r="J500" i="1"/>
  <c r="L500" i="1" s="1"/>
  <c r="G562" i="1"/>
  <c r="I533" i="1"/>
  <c r="J533" i="1"/>
  <c r="L533" i="1" s="1"/>
  <c r="I566" i="1"/>
  <c r="J566" i="1"/>
  <c r="L566" i="1" s="1"/>
  <c r="J560" i="1"/>
  <c r="I560" i="1"/>
  <c r="I499" i="1"/>
  <c r="G561" i="1"/>
  <c r="J563" i="1"/>
  <c r="I563" i="1"/>
  <c r="I535" i="1"/>
  <c r="J535" i="1"/>
  <c r="L535" i="1" s="1"/>
  <c r="G531" i="1"/>
  <c r="G593" i="1" s="1"/>
  <c r="I500" i="1"/>
  <c r="G530" i="1"/>
  <c r="J499" i="1"/>
  <c r="L499" i="1" s="1"/>
  <c r="G532" i="1"/>
  <c r="G594" i="1" s="1"/>
  <c r="I501" i="1"/>
  <c r="H266" i="13"/>
  <c r="I268" i="13" s="1"/>
  <c r="H294" i="13"/>
  <c r="H300" i="13" s="1"/>
  <c r="H301" i="13" s="1"/>
  <c r="K691" i="1"/>
  <c r="L691" i="1" s="1"/>
  <c r="I691" i="1"/>
  <c r="K807" i="1"/>
  <c r="L807" i="1" s="1"/>
  <c r="I807" i="1"/>
  <c r="H823" i="1"/>
  <c r="H745" i="1"/>
  <c r="H707" i="1"/>
  <c r="K738" i="1"/>
  <c r="L738" i="1" s="1"/>
  <c r="I738" i="1"/>
  <c r="K648" i="1"/>
  <c r="L648" i="1" s="1"/>
  <c r="I648" i="1"/>
  <c r="K740" i="1"/>
  <c r="L740" i="1" s="1"/>
  <c r="I740" i="1"/>
  <c r="K816" i="1"/>
  <c r="L816" i="1" s="1"/>
  <c r="I816" i="1"/>
  <c r="K818" i="1"/>
  <c r="L818" i="1" s="1"/>
  <c r="I818" i="1"/>
  <c r="K729" i="1"/>
  <c r="L729" i="1" s="1"/>
  <c r="I729" i="1"/>
  <c r="L363" i="1"/>
  <c r="H1093" i="1"/>
  <c r="H1049" i="1"/>
  <c r="K1054" i="1"/>
  <c r="L1054" i="1" s="1"/>
  <c r="I1054" i="1"/>
  <c r="K1098" i="1"/>
  <c r="L1098" i="1" s="1"/>
  <c r="I1098" i="1"/>
  <c r="K1011" i="1"/>
  <c r="L1011" i="1" s="1"/>
  <c r="I1011" i="1"/>
  <c r="K1096" i="1"/>
  <c r="L1096" i="1" s="1"/>
  <c r="I1096" i="1"/>
  <c r="K1095" i="1"/>
  <c r="L1095" i="1" s="1"/>
  <c r="I1095" i="1"/>
  <c r="L1090" i="1"/>
  <c r="K1097" i="1"/>
  <c r="L1097" i="1" s="1"/>
  <c r="I1097" i="1"/>
  <c r="K1094" i="1"/>
  <c r="L1094" i="1" s="1"/>
  <c r="I1094" i="1"/>
  <c r="I258" i="13"/>
  <c r="L233" i="1"/>
  <c r="L479" i="1"/>
  <c r="F323" i="27"/>
  <c r="H259" i="13"/>
  <c r="H260" i="13" s="1"/>
  <c r="L169" i="1"/>
  <c r="I271" i="21"/>
  <c r="J232" i="24"/>
  <c r="I164" i="15"/>
  <c r="F250" i="27"/>
  <c r="I220" i="21"/>
  <c r="K660" i="1"/>
  <c r="L660" i="1" s="1"/>
  <c r="I660" i="1"/>
  <c r="I262" i="21"/>
  <c r="K1007" i="1"/>
  <c r="L1007" i="1" s="1"/>
  <c r="I1007" i="1"/>
  <c r="K658" i="1"/>
  <c r="L658" i="1" s="1"/>
  <c r="I658" i="1"/>
  <c r="I211" i="21"/>
  <c r="K1050" i="1"/>
  <c r="L1050" i="1" s="1"/>
  <c r="I1050" i="1"/>
  <c r="K700" i="1"/>
  <c r="L700" i="1" s="1"/>
  <c r="I700" i="1"/>
  <c r="K702" i="1"/>
  <c r="L702" i="1" s="1"/>
  <c r="I702" i="1"/>
  <c r="H300" i="21"/>
  <c r="H165" i="15"/>
  <c r="H166" i="15" s="1"/>
  <c r="F122" i="27" s="1"/>
  <c r="H173" i="15"/>
  <c r="G183" i="15"/>
  <c r="I238" i="24"/>
  <c r="H139" i="24"/>
  <c r="I239" i="24"/>
  <c r="H140" i="24"/>
  <c r="I241" i="24"/>
  <c r="H142" i="24"/>
  <c r="H189" i="15"/>
  <c r="G203" i="15"/>
  <c r="G213" i="15" s="1"/>
  <c r="G222" i="15" s="1"/>
  <c r="G188" i="15"/>
  <c r="H180" i="15"/>
  <c r="I233" i="24"/>
  <c r="I234" i="24" s="1"/>
  <c r="F325" i="27" s="1"/>
  <c r="G182" i="15"/>
  <c r="H172" i="15"/>
  <c r="L501" i="1" l="1"/>
  <c r="L563" i="1"/>
  <c r="I1136" i="1"/>
  <c r="K784" i="1"/>
  <c r="L784" i="1" s="1"/>
  <c r="K1179" i="1"/>
  <c r="I1179" i="1"/>
  <c r="K862" i="1"/>
  <c r="L862" i="1" s="1"/>
  <c r="I862" i="1"/>
  <c r="H1157" i="1"/>
  <c r="K1157" i="1" s="1"/>
  <c r="L1157" i="1" s="1"/>
  <c r="H1200" i="1"/>
  <c r="H763" i="1"/>
  <c r="K763" i="1" s="1"/>
  <c r="H841" i="1"/>
  <c r="H785" i="1"/>
  <c r="K785" i="1" s="1"/>
  <c r="L785" i="1" s="1"/>
  <c r="H863" i="1"/>
  <c r="J23" i="6"/>
  <c r="J132" i="6"/>
  <c r="P132" i="6" s="1"/>
  <c r="G592" i="1"/>
  <c r="J592" i="1" s="1"/>
  <c r="L592" i="1" s="1"/>
  <c r="H269" i="13"/>
  <c r="H270" i="13" s="1"/>
  <c r="L1136" i="1"/>
  <c r="I594" i="1"/>
  <c r="J594" i="1"/>
  <c r="I593" i="1"/>
  <c r="J593" i="1"/>
  <c r="L593" i="1" s="1"/>
  <c r="I591" i="1"/>
  <c r="J591" i="1"/>
  <c r="K494" i="1"/>
  <c r="L494" i="1" s="1"/>
  <c r="I494" i="1"/>
  <c r="I561" i="1"/>
  <c r="J561" i="1"/>
  <c r="L561" i="1" s="1"/>
  <c r="I562" i="1"/>
  <c r="J562" i="1"/>
  <c r="L562" i="1" s="1"/>
  <c r="L560" i="1"/>
  <c r="I530" i="1"/>
  <c r="J530" i="1"/>
  <c r="I532" i="1"/>
  <c r="J532" i="1"/>
  <c r="I531" i="1"/>
  <c r="J531" i="1"/>
  <c r="L531" i="1" s="1"/>
  <c r="I295" i="13"/>
  <c r="H824" i="1"/>
  <c r="H746" i="1"/>
  <c r="H708" i="1"/>
  <c r="K745" i="1"/>
  <c r="L745" i="1" s="1"/>
  <c r="I745" i="1"/>
  <c r="H802" i="1"/>
  <c r="H686" i="1"/>
  <c r="H724" i="1"/>
  <c r="K823" i="1"/>
  <c r="L823" i="1" s="1"/>
  <c r="I823" i="1"/>
  <c r="H1114" i="1"/>
  <c r="K1027" i="1"/>
  <c r="H1071" i="1"/>
  <c r="I1071" i="1" s="1"/>
  <c r="K1093" i="1"/>
  <c r="I1093" i="1"/>
  <c r="I173" i="15"/>
  <c r="H222" i="15"/>
  <c r="G231" i="15"/>
  <c r="H231" i="15" s="1"/>
  <c r="K1006" i="1"/>
  <c r="L1006" i="1" s="1"/>
  <c r="I1006" i="1"/>
  <c r="K1009" i="1"/>
  <c r="L1009" i="1" s="1"/>
  <c r="I1009" i="1"/>
  <c r="K1010" i="1"/>
  <c r="L1010" i="1" s="1"/>
  <c r="I1010" i="1"/>
  <c r="K707" i="1"/>
  <c r="L707" i="1" s="1"/>
  <c r="I707" i="1"/>
  <c r="K665" i="1"/>
  <c r="L665" i="1" s="1"/>
  <c r="I665" i="1"/>
  <c r="K1049" i="1"/>
  <c r="L1049" i="1" s="1"/>
  <c r="I1049" i="1"/>
  <c r="K1052" i="1"/>
  <c r="L1052" i="1" s="1"/>
  <c r="I1052" i="1"/>
  <c r="K1053" i="1"/>
  <c r="L1053" i="1" s="1"/>
  <c r="I1053" i="1"/>
  <c r="J241" i="24"/>
  <c r="H1207" i="1" s="1"/>
  <c r="H306" i="21"/>
  <c r="H307" i="21" s="1"/>
  <c r="F259" i="27" s="1"/>
  <c r="I305" i="21"/>
  <c r="G849" i="1" s="1"/>
  <c r="H174" i="15"/>
  <c r="H175" i="15" s="1"/>
  <c r="F123" i="27" s="1"/>
  <c r="I242" i="24"/>
  <c r="I243" i="24" s="1"/>
  <c r="H203" i="15"/>
  <c r="G191" i="15"/>
  <c r="H183" i="15"/>
  <c r="I140" i="24"/>
  <c r="H248" i="24"/>
  <c r="I248" i="24" s="1"/>
  <c r="I142" i="24"/>
  <c r="H250" i="24"/>
  <c r="I250" i="24" s="1"/>
  <c r="H247" i="24"/>
  <c r="I247" i="24" s="1"/>
  <c r="I139" i="24"/>
  <c r="H188" i="15"/>
  <c r="G202" i="15"/>
  <c r="G190" i="15"/>
  <c r="H182" i="15"/>
  <c r="J589" i="1" l="1"/>
  <c r="L594" i="1"/>
  <c r="J620" i="1"/>
  <c r="L532" i="1"/>
  <c r="J558" i="1"/>
  <c r="I1157" i="1"/>
  <c r="I785" i="1"/>
  <c r="I763" i="1"/>
  <c r="K841" i="1"/>
  <c r="I841" i="1"/>
  <c r="K863" i="1"/>
  <c r="L863" i="1" s="1"/>
  <c r="I863" i="1"/>
  <c r="K1200" i="1"/>
  <c r="L1200" i="1" s="1"/>
  <c r="I1200" i="1"/>
  <c r="L1179" i="1"/>
  <c r="I592" i="1"/>
  <c r="J849" i="1"/>
  <c r="I849" i="1"/>
  <c r="L589" i="1"/>
  <c r="J154" i="6" s="1"/>
  <c r="P154" i="6" s="1"/>
  <c r="G810" i="1"/>
  <c r="I810" i="1" s="1"/>
  <c r="G771" i="1"/>
  <c r="L763" i="1"/>
  <c r="K795" i="1"/>
  <c r="L591" i="1"/>
  <c r="L530" i="1"/>
  <c r="K802" i="1"/>
  <c r="I802" i="1"/>
  <c r="K746" i="1"/>
  <c r="L746" i="1" s="1"/>
  <c r="I746" i="1"/>
  <c r="K724" i="1"/>
  <c r="I724" i="1"/>
  <c r="K824" i="1"/>
  <c r="L824" i="1" s="1"/>
  <c r="I824" i="1"/>
  <c r="K1071" i="1"/>
  <c r="L1071" i="1" s="1"/>
  <c r="K1114" i="1"/>
  <c r="L1114" i="1" s="1"/>
  <c r="I1114" i="1"/>
  <c r="L1093" i="1"/>
  <c r="G732" i="1"/>
  <c r="G694" i="1"/>
  <c r="I1027" i="1"/>
  <c r="L1027" i="1"/>
  <c r="I183" i="15"/>
  <c r="H202" i="15"/>
  <c r="G212" i="15"/>
  <c r="K1207" i="1"/>
  <c r="K1209" i="1" s="1"/>
  <c r="I1207" i="1"/>
  <c r="K666" i="1"/>
  <c r="L666" i="1" s="1"/>
  <c r="I666" i="1"/>
  <c r="K643" i="1"/>
  <c r="I643" i="1"/>
  <c r="J250" i="24"/>
  <c r="K686" i="1"/>
  <c r="I686" i="1"/>
  <c r="J142" i="24"/>
  <c r="K708" i="1"/>
  <c r="L708" i="1" s="1"/>
  <c r="I708" i="1"/>
  <c r="F326" i="27"/>
  <c r="H184" i="15"/>
  <c r="H185" i="15" s="1"/>
  <c r="F124" i="27" s="1"/>
  <c r="H191" i="15"/>
  <c r="G205" i="15"/>
  <c r="G215" i="15" s="1"/>
  <c r="I251" i="24"/>
  <c r="I252" i="24" s="1"/>
  <c r="F327" i="27" s="1"/>
  <c r="I143" i="24"/>
  <c r="I144" i="24" s="1"/>
  <c r="F315" i="27" s="1"/>
  <c r="H190" i="15"/>
  <c r="G204" i="15"/>
  <c r="G214" i="15" s="1"/>
  <c r="G223" i="15" s="1"/>
  <c r="J441" i="21" l="1"/>
  <c r="K441" i="21" s="1"/>
  <c r="C296" i="32" s="1"/>
  <c r="F296" i="32" s="1"/>
  <c r="J450" i="21"/>
  <c r="K450" i="21" s="1"/>
  <c r="C297" i="32" s="1"/>
  <c r="F297" i="32" s="1"/>
  <c r="J431" i="21"/>
  <c r="J432" i="21"/>
  <c r="J423" i="21"/>
  <c r="J422" i="21"/>
  <c r="L558" i="1"/>
  <c r="J152" i="6" s="1"/>
  <c r="P152" i="6" s="1"/>
  <c r="H1151" i="1"/>
  <c r="K1151" i="1" s="1"/>
  <c r="H1194" i="1"/>
  <c r="L841" i="1"/>
  <c r="K873" i="1"/>
  <c r="J810" i="1"/>
  <c r="L810" i="1" s="1"/>
  <c r="L849" i="1"/>
  <c r="J873" i="1"/>
  <c r="L620" i="1"/>
  <c r="J156" i="6" s="1"/>
  <c r="P156" i="6" s="1"/>
  <c r="J35" i="6"/>
  <c r="J161" i="21"/>
  <c r="K161" i="21" s="1"/>
  <c r="J354" i="21"/>
  <c r="K354" i="21" s="1"/>
  <c r="C291" i="32" s="1"/>
  <c r="F291" i="32" s="1"/>
  <c r="J197" i="21"/>
  <c r="K197" i="21" s="1"/>
  <c r="C275" i="32" s="1"/>
  <c r="F275" i="32" s="1"/>
  <c r="J390" i="21"/>
  <c r="J250" i="21"/>
  <c r="K250" i="21" s="1"/>
  <c r="C280" i="32" s="1"/>
  <c r="F280" i="32" s="1"/>
  <c r="J188" i="21"/>
  <c r="K188" i="21" s="1"/>
  <c r="C274" i="32" s="1"/>
  <c r="F274" i="32" s="1"/>
  <c r="J345" i="21"/>
  <c r="K345" i="21" s="1"/>
  <c r="C290" i="32" s="1"/>
  <c r="F290" i="32" s="1"/>
  <c r="J381" i="21"/>
  <c r="J389" i="21"/>
  <c r="J179" i="21"/>
  <c r="K179" i="21" s="1"/>
  <c r="C273" i="32" s="1"/>
  <c r="F273" i="32" s="1"/>
  <c r="J152" i="21"/>
  <c r="K152" i="21" s="1"/>
  <c r="C268" i="32" s="1"/>
  <c r="F268" i="32" s="1"/>
  <c r="J232" i="21"/>
  <c r="J284" i="21"/>
  <c r="K284" i="21" s="1"/>
  <c r="C284" i="32" s="1"/>
  <c r="F284" i="32" s="1"/>
  <c r="J275" i="21"/>
  <c r="K275" i="21" s="1"/>
  <c r="C283" i="32" s="1"/>
  <c r="F283" i="32" s="1"/>
  <c r="J170" i="21"/>
  <c r="K170" i="21" s="1"/>
  <c r="C269" i="32" s="1"/>
  <c r="F269" i="32" s="1"/>
  <c r="J372" i="21"/>
  <c r="K372" i="21" s="1"/>
  <c r="C278" i="32" s="1"/>
  <c r="F278" i="32" s="1"/>
  <c r="J224" i="21"/>
  <c r="K224" i="21" s="1"/>
  <c r="C282" i="32" s="1"/>
  <c r="F282" i="32" s="1"/>
  <c r="J241" i="21"/>
  <c r="J258" i="21"/>
  <c r="K258" i="21" s="1"/>
  <c r="C281" i="32" s="1"/>
  <c r="F281" i="32" s="1"/>
  <c r="J336" i="21"/>
  <c r="K336" i="21" s="1"/>
  <c r="C263" i="32" s="1"/>
  <c r="F263" i="32" s="1"/>
  <c r="J107" i="21"/>
  <c r="K107" i="21" s="1"/>
  <c r="C264" i="32" s="1"/>
  <c r="F264" i="32" s="1"/>
  <c r="J116" i="21"/>
  <c r="K116" i="21" s="1"/>
  <c r="C265" i="32" s="1"/>
  <c r="F265" i="32" s="1"/>
  <c r="J134" i="21"/>
  <c r="K134" i="21" s="1"/>
  <c r="C267" i="32" s="1"/>
  <c r="F267" i="32" s="1"/>
  <c r="J143" i="21"/>
  <c r="K143" i="21" s="1"/>
  <c r="C266" i="32" s="1"/>
  <c r="F266" i="32" s="1"/>
  <c r="J771" i="1"/>
  <c r="I771" i="1"/>
  <c r="H948" i="1"/>
  <c r="H976" i="1"/>
  <c r="J732" i="1"/>
  <c r="J756" i="1" s="1"/>
  <c r="H943" i="1"/>
  <c r="H973" i="1"/>
  <c r="H980" i="1"/>
  <c r="H957" i="1"/>
  <c r="H960" i="1"/>
  <c r="H938" i="1"/>
  <c r="K965" i="1"/>
  <c r="H969" i="1"/>
  <c r="I969" i="1" s="1"/>
  <c r="J133" i="21"/>
  <c r="J966" i="1"/>
  <c r="L724" i="1"/>
  <c r="K756" i="1"/>
  <c r="L802" i="1"/>
  <c r="K834" i="1"/>
  <c r="H1108" i="1"/>
  <c r="H1065" i="1"/>
  <c r="I732" i="1"/>
  <c r="K679" i="1"/>
  <c r="K717" i="1"/>
  <c r="L686" i="1"/>
  <c r="L643" i="1"/>
  <c r="L1207" i="1"/>
  <c r="L1209" i="1" s="1"/>
  <c r="G232" i="15"/>
  <c r="H223" i="15"/>
  <c r="I191" i="15"/>
  <c r="G221" i="15"/>
  <c r="H212" i="15"/>
  <c r="G224" i="15"/>
  <c r="H215" i="15"/>
  <c r="J694" i="1"/>
  <c r="J717" i="1" s="1"/>
  <c r="I694" i="1"/>
  <c r="J651" i="1"/>
  <c r="J679" i="1" s="1"/>
  <c r="I651" i="1"/>
  <c r="H205" i="15"/>
  <c r="H214" i="15"/>
  <c r="H204" i="15"/>
  <c r="H213" i="15"/>
  <c r="H192" i="15"/>
  <c r="H193" i="15" s="1"/>
  <c r="F125" i="27" s="1"/>
  <c r="I1151" i="1" l="1"/>
  <c r="J834" i="1"/>
  <c r="J433" i="21"/>
  <c r="K433" i="21" s="1"/>
  <c r="K432" i="21"/>
  <c r="C295" i="32" s="1"/>
  <c r="F295" i="32" s="1"/>
  <c r="J424" i="21"/>
  <c r="K424" i="21" s="1"/>
  <c r="K423" i="21"/>
  <c r="C294" i="32" s="1"/>
  <c r="F294" i="32" s="1"/>
  <c r="J34" i="6"/>
  <c r="L873" i="1"/>
  <c r="J44" i="6" s="1"/>
  <c r="K1194" i="1"/>
  <c r="I1194" i="1"/>
  <c r="J70" i="6"/>
  <c r="J216" i="6"/>
  <c r="P216" i="6" s="1"/>
  <c r="J36" i="6"/>
  <c r="J233" i="21"/>
  <c r="K233" i="21" s="1"/>
  <c r="K232" i="21"/>
  <c r="C276" i="32" s="1"/>
  <c r="F276" i="32" s="1"/>
  <c r="J382" i="21"/>
  <c r="K382" i="21" s="1"/>
  <c r="K381" i="21"/>
  <c r="C289" i="32" s="1"/>
  <c r="F289" i="32" s="1"/>
  <c r="J391" i="21"/>
  <c r="K391" i="21" s="1"/>
  <c r="K390" i="21"/>
  <c r="C279" i="32" s="1"/>
  <c r="F279" i="32" s="1"/>
  <c r="J242" i="21"/>
  <c r="K242" i="21" s="1"/>
  <c r="K241" i="21"/>
  <c r="C277" i="32" s="1"/>
  <c r="F277" i="32" s="1"/>
  <c r="L1151" i="1"/>
  <c r="L1158" i="1" s="1"/>
  <c r="K1158" i="1"/>
  <c r="K976" i="1"/>
  <c r="I976" i="1"/>
  <c r="K948" i="1"/>
  <c r="K949" i="1" s="1"/>
  <c r="I948" i="1"/>
  <c r="L771" i="1"/>
  <c r="L795" i="1" s="1"/>
  <c r="J795" i="1"/>
  <c r="L732" i="1"/>
  <c r="L756" i="1" s="1"/>
  <c r="K957" i="1"/>
  <c r="K958" i="1" s="1"/>
  <c r="I957" i="1"/>
  <c r="K980" i="1"/>
  <c r="K981" i="1" s="1"/>
  <c r="I980" i="1"/>
  <c r="K983" i="1"/>
  <c r="I983" i="1"/>
  <c r="K973" i="1"/>
  <c r="I973" i="1"/>
  <c r="K943" i="1"/>
  <c r="I943" i="1"/>
  <c r="L834" i="1"/>
  <c r="K1108" i="1"/>
  <c r="I1108" i="1"/>
  <c r="K938" i="1"/>
  <c r="K939" i="1" s="1"/>
  <c r="I938" i="1"/>
  <c r="K960" i="1"/>
  <c r="I960" i="1"/>
  <c r="L694" i="1"/>
  <c r="L965" i="1"/>
  <c r="K966" i="1"/>
  <c r="L651" i="1"/>
  <c r="L679" i="1" s="1"/>
  <c r="I965" i="1"/>
  <c r="G230" i="15"/>
  <c r="H230" i="15" s="1"/>
  <c r="H221" i="15"/>
  <c r="H224" i="15"/>
  <c r="G233" i="15"/>
  <c r="H232" i="15"/>
  <c r="I215" i="15"/>
  <c r="K1021" i="1"/>
  <c r="L1021" i="1" s="1"/>
  <c r="I1021" i="1"/>
  <c r="K1008" i="1"/>
  <c r="I1008" i="1"/>
  <c r="K1051" i="1"/>
  <c r="I1051" i="1"/>
  <c r="I205" i="15"/>
  <c r="K1065" i="1"/>
  <c r="L1065" i="1" s="1"/>
  <c r="I1065" i="1"/>
  <c r="H216" i="15"/>
  <c r="H217" i="15" s="1"/>
  <c r="F127" i="27" s="1"/>
  <c r="H206" i="15"/>
  <c r="H207" i="15" s="1"/>
  <c r="F126" i="27" s="1"/>
  <c r="J171" i="6" l="1"/>
  <c r="P171" i="6" s="1"/>
  <c r="L1194" i="1"/>
  <c r="L1201" i="1" s="1"/>
  <c r="K1201" i="1"/>
  <c r="J43" i="6"/>
  <c r="J169" i="6"/>
  <c r="P169" i="6" s="1"/>
  <c r="J41" i="6"/>
  <c r="J165" i="6"/>
  <c r="P165" i="6" s="1"/>
  <c r="J42" i="6"/>
  <c r="J167" i="6"/>
  <c r="P167" i="6" s="1"/>
  <c r="J39" i="6"/>
  <c r="J161" i="6"/>
  <c r="P161" i="6" s="1"/>
  <c r="J68" i="6"/>
  <c r="J212" i="6"/>
  <c r="P212" i="6" s="1"/>
  <c r="C285" i="32"/>
  <c r="F285" i="32" s="1"/>
  <c r="L976" i="1"/>
  <c r="L977" i="1" s="1"/>
  <c r="K977" i="1"/>
  <c r="L948" i="1"/>
  <c r="L949" i="1" s="1"/>
  <c r="K481" i="1"/>
  <c r="L481" i="1" s="1"/>
  <c r="K471" i="1"/>
  <c r="L471" i="1" s="1"/>
  <c r="I471" i="1"/>
  <c r="L980" i="1"/>
  <c r="L981" i="1" s="1"/>
  <c r="K974" i="1"/>
  <c r="L973" i="1"/>
  <c r="L974" i="1" s="1"/>
  <c r="L943" i="1"/>
  <c r="K984" i="1"/>
  <c r="L983" i="1"/>
  <c r="L984" i="1" s="1"/>
  <c r="L957" i="1"/>
  <c r="L958" i="1" s="1"/>
  <c r="L1108" i="1"/>
  <c r="L1115" i="1" s="1"/>
  <c r="K1115" i="1"/>
  <c r="L966" i="1"/>
  <c r="L938" i="1"/>
  <c r="L960" i="1"/>
  <c r="K961" i="1"/>
  <c r="K1072" i="1"/>
  <c r="L717" i="1"/>
  <c r="L1051" i="1"/>
  <c r="L1008" i="1"/>
  <c r="L1028" i="1" s="1"/>
  <c r="K1028" i="1"/>
  <c r="G270" i="15"/>
  <c r="H225" i="15"/>
  <c r="H226" i="15" s="1"/>
  <c r="F128" i="27" s="1"/>
  <c r="H233" i="15"/>
  <c r="H234" i="15" s="1"/>
  <c r="H235" i="15" s="1"/>
  <c r="F129" i="27" s="1"/>
  <c r="I224" i="15"/>
  <c r="J69" i="6" l="1"/>
  <c r="J214" i="6"/>
  <c r="P214" i="6" s="1"/>
  <c r="L939" i="1"/>
  <c r="J185" i="6" s="1"/>
  <c r="P185" i="6" s="1"/>
  <c r="J63" i="6"/>
  <c r="J203" i="6"/>
  <c r="P203" i="6" s="1"/>
  <c r="J56" i="6"/>
  <c r="J191" i="6"/>
  <c r="P191" i="6" s="1"/>
  <c r="J62" i="6"/>
  <c r="J201" i="6"/>
  <c r="P201" i="6" s="1"/>
  <c r="J60" i="6"/>
  <c r="J58" i="6"/>
  <c r="J40" i="6"/>
  <c r="M38" i="6" s="1"/>
  <c r="J163" i="6"/>
  <c r="P163" i="6" s="1"/>
  <c r="J195" i="6"/>
  <c r="P195" i="6" s="1"/>
  <c r="J61" i="6"/>
  <c r="J199" i="6"/>
  <c r="P199" i="6" s="1"/>
  <c r="J67" i="6"/>
  <c r="J210" i="6"/>
  <c r="P210" i="6" s="1"/>
  <c r="J65" i="6"/>
  <c r="J206" i="6"/>
  <c r="P206" i="6" s="1"/>
  <c r="I481" i="1"/>
  <c r="K480" i="1"/>
  <c r="L480" i="1" s="1"/>
  <c r="I480" i="1"/>
  <c r="I233" i="15"/>
  <c r="K486" i="1"/>
  <c r="L486" i="1" s="1"/>
  <c r="I486" i="1"/>
  <c r="L961" i="1"/>
  <c r="J57" i="6" s="1"/>
  <c r="L1072" i="1"/>
  <c r="H270" i="15"/>
  <c r="G279" i="15"/>
  <c r="F130" i="27"/>
  <c r="G271" i="15"/>
  <c r="L41" i="1"/>
  <c r="J53" i="6" l="1"/>
  <c r="J193" i="6"/>
  <c r="P193" i="6" s="1"/>
  <c r="J16" i="6"/>
  <c r="J119" i="6"/>
  <c r="P119" i="6" s="1"/>
  <c r="J55" i="6"/>
  <c r="J189" i="6"/>
  <c r="P189" i="6" s="1"/>
  <c r="J66" i="6"/>
  <c r="M64" i="6" s="1"/>
  <c r="J208" i="6"/>
  <c r="P208" i="6" s="1"/>
  <c r="K488" i="1"/>
  <c r="L488" i="1" s="1"/>
  <c r="I488" i="1"/>
  <c r="H279" i="15"/>
  <c r="G288" i="15"/>
  <c r="H271" i="15"/>
  <c r="H272" i="15" s="1"/>
  <c r="H273" i="15" s="1"/>
  <c r="F131" i="27" s="1"/>
  <c r="G280" i="15"/>
  <c r="I271" i="15" l="1"/>
  <c r="G289" i="15"/>
  <c r="H280" i="15"/>
  <c r="I280" i="15" s="1"/>
  <c r="H288" i="15"/>
  <c r="K487" i="1" l="1"/>
  <c r="I487" i="1"/>
  <c r="K492" i="1"/>
  <c r="L492" i="1" s="1"/>
  <c r="I492" i="1"/>
  <c r="H281" i="15"/>
  <c r="H282" i="15" s="1"/>
  <c r="F132" i="27" s="1"/>
  <c r="H289" i="15"/>
  <c r="H290" i="15" s="1"/>
  <c r="H291" i="15" s="1"/>
  <c r="F133" i="27" s="1"/>
  <c r="L487" i="1" l="1"/>
  <c r="I289" i="15"/>
  <c r="A1214" i="1"/>
  <c r="A1215" i="1" s="1"/>
  <c r="A1216" i="1" s="1"/>
  <c r="K489" i="1" l="1"/>
  <c r="I489" i="1"/>
  <c r="L890" i="1"/>
  <c r="J47" i="6" l="1"/>
  <c r="M45" i="6" s="1"/>
  <c r="J174" i="6"/>
  <c r="P174" i="6" s="1"/>
  <c r="L489" i="1"/>
  <c r="K495" i="1"/>
  <c r="M16" i="6"/>
  <c r="L30" i="1" l="1"/>
  <c r="J15" i="6" l="1"/>
  <c r="J117" i="6"/>
  <c r="P117" i="6" s="1"/>
  <c r="M15" i="6" l="1"/>
  <c r="K58" i="13"/>
  <c r="C48" i="32" l="1"/>
  <c r="F48" i="32" s="1"/>
  <c r="E348" i="13"/>
  <c r="M7" i="14" l="1"/>
  <c r="K1214" i="1" l="1"/>
  <c r="J1214" i="1"/>
  <c r="L1214" i="1" l="1"/>
  <c r="J1289" i="1" l="1"/>
  <c r="L1289" i="1" l="1"/>
  <c r="J78" i="6" l="1"/>
  <c r="M78" i="6" s="1"/>
  <c r="J231" i="6"/>
  <c r="P231" i="6" s="1"/>
  <c r="J498" i="1"/>
  <c r="J527" i="1" s="1"/>
  <c r="L498" i="1" l="1"/>
  <c r="L527" i="1" s="1"/>
  <c r="I498" i="1"/>
  <c r="J150" i="6" l="1"/>
  <c r="P150" i="6" s="1"/>
  <c r="J33" i="6"/>
  <c r="M32" i="6" s="1"/>
  <c r="F45" i="32"/>
  <c r="Q179" i="47"/>
  <c r="R179" i="47" s="1"/>
  <c r="E71" i="1" s="1"/>
  <c r="K71" i="1" l="1"/>
  <c r="K119" i="1" s="1"/>
  <c r="J71" i="1"/>
  <c r="J119" i="1" s="1"/>
  <c r="L71" i="1" l="1"/>
  <c r="L119" i="1" s="1"/>
  <c r="J122" i="6" l="1"/>
  <c r="P122" i="6" s="1"/>
  <c r="J18" i="6"/>
  <c r="Q379" i="47"/>
  <c r="R379" i="47" s="1"/>
  <c r="E129" i="1" s="1"/>
  <c r="M224" i="12" l="1"/>
  <c r="K129" i="1"/>
  <c r="K204" i="1" s="1"/>
  <c r="J129" i="1"/>
  <c r="J204" i="1" s="1"/>
  <c r="L129" i="1" l="1"/>
  <c r="L204" i="1" s="1"/>
  <c r="J124" i="6" l="1"/>
  <c r="P124" i="6" s="1"/>
  <c r="Q721" i="47"/>
  <c r="R721" i="47" s="1"/>
  <c r="Q1251" i="47"/>
  <c r="R1251" i="47" s="1"/>
  <c r="E344" i="1" s="1"/>
  <c r="J277" i="1" l="1"/>
  <c r="J334" i="1" s="1"/>
  <c r="K277" i="1"/>
  <c r="K334" i="1" s="1"/>
  <c r="E214" i="1"/>
  <c r="L277" i="1" l="1"/>
  <c r="K214" i="1"/>
  <c r="K267" i="1" s="1"/>
  <c r="J214" i="1"/>
  <c r="J267" i="1" s="1"/>
  <c r="K344" i="1"/>
  <c r="K383" i="1" s="1"/>
  <c r="J344" i="1"/>
  <c r="J383" i="1" s="1"/>
  <c r="L334" i="1" l="1"/>
  <c r="J128" i="6" s="1"/>
  <c r="P128" i="6" s="1"/>
  <c r="L214" i="1"/>
  <c r="L344" i="1"/>
  <c r="L267" i="1" l="1"/>
  <c r="J126" i="6" s="1"/>
  <c r="P126" i="6" s="1"/>
  <c r="J21" i="6"/>
  <c r="L383" i="1"/>
  <c r="J20" i="6" l="1"/>
  <c r="J22" i="6"/>
  <c r="J130" i="6"/>
  <c r="P130" i="6" s="1"/>
  <c r="J19" i="6"/>
  <c r="M17" i="6" l="1"/>
  <c r="E1221" i="1"/>
  <c r="K1221" i="1" s="1"/>
  <c r="E969" i="1"/>
  <c r="J969" i="1" s="1"/>
  <c r="B20" i="49"/>
  <c r="D23" i="49" s="1"/>
  <c r="C2" i="49" s="1"/>
  <c r="P1214" i="1" l="1"/>
  <c r="J72" i="22" s="1"/>
  <c r="J73" i="22" s="1"/>
  <c r="K73" i="22" s="1"/>
  <c r="J1221" i="1"/>
  <c r="L1221" i="1" s="1"/>
  <c r="P1036" i="1"/>
  <c r="J435" i="1"/>
  <c r="E441" i="1"/>
  <c r="C3" i="49"/>
  <c r="E1220" i="1" s="1"/>
  <c r="J970" i="1"/>
  <c r="K969" i="1"/>
  <c r="K970" i="1" s="1"/>
  <c r="K72" i="22" l="1"/>
  <c r="J74" i="22"/>
  <c r="K74" i="22" s="1"/>
  <c r="J37" i="13"/>
  <c r="K37" i="13" s="1"/>
  <c r="E345" i="13" s="1"/>
  <c r="J1213" i="1"/>
  <c r="J1217" i="1" s="1"/>
  <c r="K1213" i="1"/>
  <c r="K1217" i="1" s="1"/>
  <c r="P1213" i="1"/>
  <c r="J53" i="22" s="1"/>
  <c r="J54" i="22" s="1"/>
  <c r="K54" i="22" s="1"/>
  <c r="C144" i="32" s="1"/>
  <c r="F144" i="32" s="1"/>
  <c r="E438" i="1"/>
  <c r="J438" i="1" s="1"/>
  <c r="E437" i="1"/>
  <c r="J437" i="1" s="1"/>
  <c r="K435" i="1"/>
  <c r="L435" i="1" s="1"/>
  <c r="E444" i="1"/>
  <c r="J441" i="1"/>
  <c r="K441" i="1"/>
  <c r="E443" i="1"/>
  <c r="L969" i="1"/>
  <c r="L970" i="1" s="1"/>
  <c r="P1084" i="1"/>
  <c r="K1220" i="1"/>
  <c r="K1224" i="1" s="1"/>
  <c r="J1220" i="1"/>
  <c r="K437" i="1" l="1"/>
  <c r="L437" i="1" s="1"/>
  <c r="L1213" i="1"/>
  <c r="L1217" i="1" s="1"/>
  <c r="J72" i="6" s="1"/>
  <c r="J59" i="6"/>
  <c r="J197" i="6"/>
  <c r="P197" i="6" s="1"/>
  <c r="J39" i="13"/>
  <c r="K39" i="13" s="1"/>
  <c r="J38" i="13"/>
  <c r="K38" i="13" s="1"/>
  <c r="K53" i="22"/>
  <c r="C147" i="32" s="1"/>
  <c r="F147" i="32" s="1"/>
  <c r="K438" i="1"/>
  <c r="J55" i="22"/>
  <c r="K55" i="22" s="1"/>
  <c r="C145" i="32" s="1"/>
  <c r="F145" i="32" s="1"/>
  <c r="J439" i="1"/>
  <c r="J444" i="1"/>
  <c r="K444" i="1"/>
  <c r="K443" i="1"/>
  <c r="J443" i="1"/>
  <c r="J16" i="14"/>
  <c r="K16" i="14" s="1"/>
  <c r="J1224" i="1"/>
  <c r="L1220" i="1"/>
  <c r="L1224" i="1" s="1"/>
  <c r="J7" i="14"/>
  <c r="L441" i="1"/>
  <c r="J219" i="6" l="1"/>
  <c r="P219" i="6" s="1"/>
  <c r="K439" i="1"/>
  <c r="L438" i="1"/>
  <c r="L439" i="1" s="1"/>
  <c r="J25" i="6" s="1"/>
  <c r="J445" i="1"/>
  <c r="K445" i="1"/>
  <c r="J8" i="14"/>
  <c r="K8" i="14" s="1"/>
  <c r="K7" i="14"/>
  <c r="E25" i="14" s="1"/>
  <c r="L443" i="1"/>
  <c r="L444" i="1"/>
  <c r="J73" i="6"/>
  <c r="M71" i="6" s="1"/>
  <c r="J221" i="6"/>
  <c r="P221" i="6" s="1"/>
  <c r="J135" i="6" l="1"/>
  <c r="P135" i="6" s="1"/>
  <c r="L445" i="1"/>
  <c r="J137" i="6" l="1"/>
  <c r="P137" i="6" s="1"/>
  <c r="J26" i="6"/>
  <c r="M24" i="6" l="1"/>
  <c r="F189" i="32"/>
  <c r="K944" i="1" l="1"/>
  <c r="J944" i="1"/>
  <c r="L944" i="1"/>
  <c r="J187" i="6" s="1"/>
  <c r="P187" i="6" s="1"/>
  <c r="J54" i="6" l="1"/>
  <c r="K1291" i="1"/>
  <c r="I1294" i="1"/>
  <c r="AQ3" i="40"/>
  <c r="M51" i="6" l="1"/>
  <c r="N251" i="15"/>
  <c r="F251" i="15" s="1"/>
  <c r="H251" i="15" s="1"/>
  <c r="H262" i="15" l="1"/>
  <c r="H263" i="15" s="1"/>
  <c r="I257" i="15"/>
  <c r="J251" i="15" l="1"/>
  <c r="J324" i="13"/>
  <c r="K324" i="13" l="1"/>
  <c r="C195" i="32" s="1"/>
  <c r="F195" i="32" s="1"/>
  <c r="J325" i="13"/>
  <c r="I491" i="1"/>
  <c r="K363" i="24"/>
  <c r="L363" i="24" s="1"/>
  <c r="K435" i="24"/>
  <c r="J106" i="17"/>
  <c r="Q49" i="1"/>
  <c r="J260" i="12" s="1"/>
  <c r="J17" i="21"/>
  <c r="K17" i="21" s="1"/>
  <c r="C259" i="32" s="1"/>
  <c r="F259" i="32" s="1"/>
  <c r="K426" i="24"/>
  <c r="Q58" i="1"/>
  <c r="Q63" i="1"/>
  <c r="J327" i="21"/>
  <c r="K327" i="21" s="1"/>
  <c r="C287" i="32" s="1"/>
  <c r="F287" i="32" s="1"/>
  <c r="K56" i="24"/>
  <c r="L56" i="24" s="1"/>
  <c r="K146" i="24"/>
  <c r="Q62" i="1"/>
  <c r="J82" i="12" s="1"/>
  <c r="K173" i="24"/>
  <c r="K399" i="24"/>
  <c r="Q60" i="1"/>
  <c r="K381" i="24"/>
  <c r="L381" i="24" s="1"/>
  <c r="K390" i="24"/>
  <c r="L390" i="24" s="1"/>
  <c r="C250" i="32" s="1"/>
  <c r="F250" i="32" s="1"/>
  <c r="K137" i="24"/>
  <c r="K245" i="24"/>
  <c r="J80" i="21"/>
  <c r="K209" i="24"/>
  <c r="K408" i="24"/>
  <c r="L408" i="24" s="1"/>
  <c r="C224" i="32" s="1"/>
  <c r="F224" i="32" s="1"/>
  <c r="J206" i="12"/>
  <c r="K264" i="24"/>
  <c r="L264" i="24" s="1"/>
  <c r="J299" i="12"/>
  <c r="K299" i="12" s="1"/>
  <c r="K6" i="24"/>
  <c r="Q52" i="1"/>
  <c r="Q50" i="1"/>
  <c r="K26" i="24"/>
  <c r="J293" i="12"/>
  <c r="K293" i="12" s="1"/>
  <c r="J37" i="21"/>
  <c r="J287" i="12"/>
  <c r="K287" i="12" s="1"/>
  <c r="C136" i="32" s="1"/>
  <c r="F136" i="32" s="1"/>
  <c r="J108" i="13"/>
  <c r="J206" i="17"/>
  <c r="Q51" i="1"/>
  <c r="K164" i="24"/>
  <c r="K372" i="24"/>
  <c r="L372" i="24" s="1"/>
  <c r="J272" i="13"/>
  <c r="K83" i="24"/>
  <c r="Q53" i="1"/>
  <c r="J23" i="15"/>
  <c r="K23" i="15" s="1"/>
  <c r="C134" i="32" s="1"/>
  <c r="F134" i="32" s="1"/>
  <c r="K128" i="24"/>
  <c r="Q48" i="1"/>
  <c r="K16" i="24"/>
  <c r="J313" i="13"/>
  <c r="K119" i="24"/>
  <c r="K182" i="24"/>
  <c r="J303" i="13"/>
  <c r="K417" i="24"/>
  <c r="K227" i="24"/>
  <c r="Q54" i="1"/>
  <c r="K200" i="24"/>
  <c r="J305" i="12"/>
  <c r="J40" i="17"/>
  <c r="J62" i="17"/>
  <c r="J210" i="15"/>
  <c r="J69" i="16"/>
  <c r="J255" i="19"/>
  <c r="J302" i="15"/>
  <c r="J39" i="11"/>
  <c r="J293" i="15"/>
  <c r="J55" i="16"/>
  <c r="J216" i="17"/>
  <c r="K155" i="24"/>
  <c r="J151" i="13"/>
  <c r="Q56" i="1"/>
  <c r="J177" i="15"/>
  <c r="J7" i="17"/>
  <c r="Q57" i="1"/>
  <c r="K74" i="24"/>
  <c r="J119" i="13"/>
  <c r="J84" i="17"/>
  <c r="Q55" i="1"/>
  <c r="J32" i="16"/>
  <c r="Q61" i="1"/>
  <c r="J75" i="13"/>
  <c r="J18" i="16"/>
  <c r="J94" i="21"/>
  <c r="K110" i="24"/>
  <c r="J52" i="11"/>
  <c r="J73" i="17"/>
  <c r="Q59" i="1"/>
  <c r="J491" i="1"/>
  <c r="J26" i="11"/>
  <c r="J237" i="15"/>
  <c r="J47" i="13"/>
  <c r="K251" i="15"/>
  <c r="J252" i="15"/>
  <c r="C138" i="32" l="1"/>
  <c r="C207" i="32"/>
  <c r="F207" i="32" s="1"/>
  <c r="K325" i="13"/>
  <c r="J326" i="13"/>
  <c r="K47" i="13"/>
  <c r="J48" i="13"/>
  <c r="K48" i="13" s="1"/>
  <c r="J49" i="13"/>
  <c r="K49" i="13" s="1"/>
  <c r="K75" i="24"/>
  <c r="L75" i="24" s="1"/>
  <c r="L74" i="24"/>
  <c r="C253" i="32" s="1"/>
  <c r="F253" i="32" s="1"/>
  <c r="K73" i="17"/>
  <c r="G262" i="17" s="1"/>
  <c r="C178" i="32" s="1"/>
  <c r="J74" i="17"/>
  <c r="K26" i="11"/>
  <c r="J27" i="11"/>
  <c r="J53" i="11"/>
  <c r="K52" i="11"/>
  <c r="K84" i="17"/>
  <c r="G263" i="17" s="1"/>
  <c r="C180" i="32" s="1"/>
  <c r="J85" i="17"/>
  <c r="J495" i="1"/>
  <c r="L491" i="1"/>
  <c r="L495" i="1" s="1"/>
  <c r="K111" i="24"/>
  <c r="L111" i="24" s="1"/>
  <c r="L110" i="24"/>
  <c r="C254" i="32" s="1"/>
  <c r="F254" i="32" s="1"/>
  <c r="O57" i="12"/>
  <c r="O58" i="12" s="1"/>
  <c r="O59" i="12" s="1"/>
  <c r="O60" i="12" s="1"/>
  <c r="O61" i="12" s="1"/>
  <c r="J57" i="12"/>
  <c r="J120" i="13"/>
  <c r="K119" i="13"/>
  <c r="C193" i="32" s="1"/>
  <c r="F193" i="32" s="1"/>
  <c r="J178" i="15"/>
  <c r="K177" i="15"/>
  <c r="C150" i="32" s="1"/>
  <c r="F150" i="32" s="1"/>
  <c r="J217" i="17"/>
  <c r="K216" i="17"/>
  <c r="G276" i="17" s="1"/>
  <c r="C179" i="32" s="1"/>
  <c r="K302" i="15"/>
  <c r="J303" i="15"/>
  <c r="K62" i="17"/>
  <c r="G261" i="17" s="1"/>
  <c r="J63" i="17"/>
  <c r="O186" i="12"/>
  <c r="J186" i="12"/>
  <c r="K183" i="24"/>
  <c r="L183" i="24" s="1"/>
  <c r="L182" i="24"/>
  <c r="C217" i="32" s="1"/>
  <c r="F217" i="32" s="1"/>
  <c r="O269" i="12"/>
  <c r="O270" i="12" s="1"/>
  <c r="J269" i="12"/>
  <c r="L83" i="24"/>
  <c r="C251" i="32" s="1"/>
  <c r="F251" i="32" s="1"/>
  <c r="K84" i="24"/>
  <c r="L84" i="24" s="1"/>
  <c r="O242" i="12"/>
  <c r="O243" i="12" s="1"/>
  <c r="J242" i="12"/>
  <c r="K37" i="21"/>
  <c r="C262" i="32" s="1"/>
  <c r="F262" i="32" s="1"/>
  <c r="F300" i="32" s="1"/>
  <c r="J38" i="21"/>
  <c r="O233" i="12"/>
  <c r="O234" i="12" s="1"/>
  <c r="J233" i="12"/>
  <c r="O207" i="12"/>
  <c r="J207" i="12"/>
  <c r="K164" i="12"/>
  <c r="K206" i="12"/>
  <c r="C49" i="32" s="1"/>
  <c r="F49" i="32" s="1"/>
  <c r="L245" i="24"/>
  <c r="C220" i="32" s="1"/>
  <c r="F220" i="32" s="1"/>
  <c r="K246" i="24"/>
  <c r="L246" i="24" s="1"/>
  <c r="L146" i="24"/>
  <c r="K147" i="24"/>
  <c r="L147" i="24" s="1"/>
  <c r="J107" i="17"/>
  <c r="K107" i="17" s="1"/>
  <c r="K106" i="17"/>
  <c r="G265" i="17" s="1"/>
  <c r="C176" i="32" s="1"/>
  <c r="J109" i="17"/>
  <c r="K109" i="17" s="1"/>
  <c r="J108" i="17"/>
  <c r="K108" i="17" s="1"/>
  <c r="K32" i="16"/>
  <c r="J33" i="16"/>
  <c r="O215" i="12"/>
  <c r="O216" i="12" s="1"/>
  <c r="J215" i="12"/>
  <c r="K55" i="16"/>
  <c r="J56" i="16"/>
  <c r="K255" i="19"/>
  <c r="J256" i="19"/>
  <c r="J41" i="17"/>
  <c r="K40" i="17"/>
  <c r="G259" i="17" s="1"/>
  <c r="C181" i="32" s="1"/>
  <c r="L227" i="24"/>
  <c r="C244" i="32" s="1"/>
  <c r="F244" i="32" s="1"/>
  <c r="K228" i="24"/>
  <c r="L228" i="24" s="1"/>
  <c r="L119" i="24"/>
  <c r="C247" i="32" s="1"/>
  <c r="F247" i="32" s="1"/>
  <c r="K120" i="24"/>
  <c r="L120" i="24" s="1"/>
  <c r="L128" i="24"/>
  <c r="C246" i="32" s="1"/>
  <c r="F246" i="32" s="1"/>
  <c r="K129" i="24"/>
  <c r="L129" i="24" s="1"/>
  <c r="K272" i="13"/>
  <c r="J274" i="13"/>
  <c r="K274" i="13" s="1"/>
  <c r="J273" i="13"/>
  <c r="K273" i="13" s="1"/>
  <c r="K206" i="17"/>
  <c r="G275" i="17" s="1"/>
  <c r="J207" i="17"/>
  <c r="C137" i="32"/>
  <c r="F137" i="32" s="1"/>
  <c r="C206" i="32"/>
  <c r="F206" i="32" s="1"/>
  <c r="K8" i="24"/>
  <c r="L8" i="24" s="1"/>
  <c r="L6" i="24"/>
  <c r="C240" i="32" s="1"/>
  <c r="F240" i="32" s="1"/>
  <c r="K7" i="24"/>
  <c r="L7" i="24" s="1"/>
  <c r="L137" i="24"/>
  <c r="C248" i="32" s="1"/>
  <c r="F248" i="32" s="1"/>
  <c r="K138" i="24"/>
  <c r="L138" i="24" s="1"/>
  <c r="K400" i="24"/>
  <c r="L400" i="24" s="1"/>
  <c r="L399" i="24"/>
  <c r="C249" i="32" s="1"/>
  <c r="F249" i="32" s="1"/>
  <c r="L426" i="24"/>
  <c r="K427" i="24"/>
  <c r="L427" i="24" s="1"/>
  <c r="L435" i="24"/>
  <c r="K436" i="24"/>
  <c r="L436" i="24" s="1"/>
  <c r="K94" i="21"/>
  <c r="C12" i="32" s="1"/>
  <c r="F12" i="32" s="1"/>
  <c r="J95" i="21"/>
  <c r="K18" i="16"/>
  <c r="J19" i="16"/>
  <c r="O16" i="12"/>
  <c r="O17" i="12" s="1"/>
  <c r="O122" i="12"/>
  <c r="O123" i="12" s="1"/>
  <c r="O124" i="12" s="1"/>
  <c r="J16" i="12"/>
  <c r="J122" i="12"/>
  <c r="K151" i="13"/>
  <c r="J152" i="13"/>
  <c r="K293" i="15"/>
  <c r="J294" i="15"/>
  <c r="K69" i="16"/>
  <c r="J70" i="16"/>
  <c r="K305" i="12"/>
  <c r="J306" i="12"/>
  <c r="K306" i="12" s="1"/>
  <c r="L417" i="24"/>
  <c r="K418" i="24"/>
  <c r="L418" i="24" s="1"/>
  <c r="K313" i="13"/>
  <c r="C194" i="32" s="1"/>
  <c r="F194" i="32" s="1"/>
  <c r="J314" i="13"/>
  <c r="J110" i="13"/>
  <c r="K110" i="13" s="1"/>
  <c r="J111" i="13"/>
  <c r="K111" i="13" s="1"/>
  <c r="K108" i="13"/>
  <c r="J109" i="13"/>
  <c r="K109" i="13" s="1"/>
  <c r="L26" i="24"/>
  <c r="K27" i="24"/>
  <c r="L27" i="24" s="1"/>
  <c r="K28" i="24"/>
  <c r="L28" i="24" s="1"/>
  <c r="F138" i="32"/>
  <c r="L209" i="24"/>
  <c r="C218" i="32" s="1"/>
  <c r="F218" i="32" s="1"/>
  <c r="K210" i="24"/>
  <c r="L210" i="24" s="1"/>
  <c r="L173" i="24"/>
  <c r="C216" i="32" s="1"/>
  <c r="F216" i="32" s="1"/>
  <c r="K174" i="24"/>
  <c r="L174" i="24" s="1"/>
  <c r="O69" i="12"/>
  <c r="O70" i="12" s="1"/>
  <c r="O71" i="12" s="1"/>
  <c r="O72" i="12" s="1"/>
  <c r="O73" i="12" s="1"/>
  <c r="O74" i="12" s="1"/>
  <c r="J69" i="12"/>
  <c r="J238" i="15"/>
  <c r="K237" i="15"/>
  <c r="O131" i="12"/>
  <c r="O132" i="12" s="1"/>
  <c r="O133" i="12" s="1"/>
  <c r="O134" i="12" s="1"/>
  <c r="J131" i="12"/>
  <c r="K252" i="15"/>
  <c r="J253" i="15"/>
  <c r="K75" i="13"/>
  <c r="J76" i="13"/>
  <c r="K7" i="17"/>
  <c r="G256" i="17" s="1"/>
  <c r="C177" i="32" s="1"/>
  <c r="J8" i="17"/>
  <c r="K156" i="24"/>
  <c r="L156" i="24" s="1"/>
  <c r="L155" i="24"/>
  <c r="C221" i="32" s="1"/>
  <c r="F221" i="32" s="1"/>
  <c r="K39" i="11"/>
  <c r="J40" i="11"/>
  <c r="J211" i="15"/>
  <c r="K211" i="15" s="1"/>
  <c r="K210" i="15"/>
  <c r="C116" i="32" s="1"/>
  <c r="F116" i="32" s="1"/>
  <c r="K201" i="24"/>
  <c r="L201" i="24" s="1"/>
  <c r="L200" i="24"/>
  <c r="C219" i="32" s="1"/>
  <c r="F219" i="32" s="1"/>
  <c r="J304" i="13"/>
  <c r="K303" i="13"/>
  <c r="K18" i="24"/>
  <c r="L18" i="24" s="1"/>
  <c r="K17" i="24"/>
  <c r="L17" i="24" s="1"/>
  <c r="L16" i="24"/>
  <c r="O224" i="12"/>
  <c r="O225" i="12" s="1"/>
  <c r="J224" i="12"/>
  <c r="K165" i="24"/>
  <c r="L165" i="24" s="1"/>
  <c r="L164" i="24"/>
  <c r="C215" i="32" s="1"/>
  <c r="F215" i="32" s="1"/>
  <c r="O251" i="12"/>
  <c r="O252" i="12" s="1"/>
  <c r="J251" i="12"/>
  <c r="J81" i="21"/>
  <c r="K81" i="21" s="1"/>
  <c r="J83" i="21"/>
  <c r="K83" i="21" s="1"/>
  <c r="K80" i="21"/>
  <c r="J82" i="21"/>
  <c r="K82" i="21" s="1"/>
  <c r="J84" i="21"/>
  <c r="K84" i="21" s="1"/>
  <c r="J85" i="21"/>
  <c r="K85" i="21" s="1"/>
  <c r="J83" i="12"/>
  <c r="K83" i="12" s="1"/>
  <c r="J87" i="12"/>
  <c r="K87" i="12" s="1"/>
  <c r="J86" i="12"/>
  <c r="K86" i="12" s="1"/>
  <c r="K82" i="12"/>
  <c r="J84" i="12"/>
  <c r="K84" i="12" s="1"/>
  <c r="J85" i="12"/>
  <c r="K85" i="12" s="1"/>
  <c r="K260" i="12"/>
  <c r="C20" i="32" s="1"/>
  <c r="F20" i="32" s="1"/>
  <c r="J261" i="12"/>
  <c r="K261" i="12" s="1"/>
  <c r="C182" i="32" l="1"/>
  <c r="F182" i="32" s="1"/>
  <c r="C188" i="32"/>
  <c r="F188" i="32" s="1"/>
  <c r="C190" i="32"/>
  <c r="F190" i="32" s="1"/>
  <c r="C183" i="32"/>
  <c r="F183" i="32" s="1"/>
  <c r="C184" i="32"/>
  <c r="F184" i="32" s="1"/>
  <c r="F176" i="32"/>
  <c r="F177" i="32"/>
  <c r="F179" i="32"/>
  <c r="F181" i="32"/>
  <c r="F178" i="32"/>
  <c r="F180" i="32"/>
  <c r="J327" i="13"/>
  <c r="K327" i="13" s="1"/>
  <c r="K326" i="13"/>
  <c r="N16" i="24"/>
  <c r="C241" i="32" s="1"/>
  <c r="F241" i="32" s="1"/>
  <c r="J305" i="13"/>
  <c r="K304" i="13"/>
  <c r="J208" i="17"/>
  <c r="K208" i="17" s="1"/>
  <c r="K207" i="17"/>
  <c r="K41" i="17"/>
  <c r="J42" i="17"/>
  <c r="C208" i="32"/>
  <c r="F208" i="32" s="1"/>
  <c r="C139" i="32"/>
  <c r="F139" i="32" s="1"/>
  <c r="K217" i="17"/>
  <c r="J218" i="17"/>
  <c r="J121" i="13"/>
  <c r="K120" i="13"/>
  <c r="E107" i="11"/>
  <c r="K40" i="11"/>
  <c r="J41" i="11"/>
  <c r="K8" i="17"/>
  <c r="J9" i="17"/>
  <c r="K253" i="15"/>
  <c r="J254" i="15"/>
  <c r="C204" i="32"/>
  <c r="F204" i="32" s="1"/>
  <c r="K70" i="16"/>
  <c r="J71" i="16"/>
  <c r="K152" i="13"/>
  <c r="J153" i="13"/>
  <c r="K95" i="21"/>
  <c r="J96" i="21"/>
  <c r="K256" i="19"/>
  <c r="C201" i="32" s="1"/>
  <c r="F201" i="32" s="1"/>
  <c r="J257" i="19"/>
  <c r="K215" i="12"/>
  <c r="C50" i="32" s="1"/>
  <c r="F50" i="32" s="1"/>
  <c r="J216" i="12"/>
  <c r="K216" i="12" s="1"/>
  <c r="J234" i="12"/>
  <c r="K234" i="12" s="1"/>
  <c r="K233" i="12"/>
  <c r="C17" i="32" s="1"/>
  <c r="F17" i="32" s="1"/>
  <c r="J243" i="12"/>
  <c r="K243" i="12" s="1"/>
  <c r="K242" i="12"/>
  <c r="C18" i="32" s="1"/>
  <c r="F18" i="32" s="1"/>
  <c r="J270" i="12"/>
  <c r="K270" i="12" s="1"/>
  <c r="K269" i="12"/>
  <c r="C21" i="32" s="1"/>
  <c r="F21" i="32" s="1"/>
  <c r="O188" i="12"/>
  <c r="O187" i="12"/>
  <c r="J188" i="12"/>
  <c r="K188" i="12" s="1"/>
  <c r="O189" i="12"/>
  <c r="J187" i="12"/>
  <c r="K187" i="12" s="1"/>
  <c r="K186" i="12"/>
  <c r="J189" i="12"/>
  <c r="K189" i="12" s="1"/>
  <c r="K303" i="15"/>
  <c r="J304" i="15"/>
  <c r="K57" i="12"/>
  <c r="J58" i="12"/>
  <c r="L1290" i="1"/>
  <c r="J31" i="6"/>
  <c r="J80" i="6" s="1"/>
  <c r="J147" i="6"/>
  <c r="P147" i="6" s="1"/>
  <c r="P233" i="6" s="1"/>
  <c r="K74" i="17"/>
  <c r="J75" i="17"/>
  <c r="K16" i="12"/>
  <c r="C22" i="32" s="1"/>
  <c r="F22" i="32" s="1"/>
  <c r="J17" i="12"/>
  <c r="K17" i="12" s="1"/>
  <c r="AQ2" i="40"/>
  <c r="AQ4" i="40" s="1"/>
  <c r="I1293" i="1"/>
  <c r="I1295" i="1" s="1"/>
  <c r="K53" i="11"/>
  <c r="J54" i="11"/>
  <c r="C171" i="32"/>
  <c r="F171" i="32" s="1"/>
  <c r="E84" i="16"/>
  <c r="K251" i="12"/>
  <c r="C19" i="32" s="1"/>
  <c r="F19" i="32" s="1"/>
  <c r="J252" i="12"/>
  <c r="K252" i="12" s="1"/>
  <c r="K224" i="12"/>
  <c r="J225" i="12"/>
  <c r="K225" i="12" s="1"/>
  <c r="C133" i="32"/>
  <c r="F133" i="32" s="1"/>
  <c r="K238" i="15"/>
  <c r="C135" i="32" s="1"/>
  <c r="F135" i="32" s="1"/>
  <c r="J239" i="15"/>
  <c r="K178" i="15"/>
  <c r="C151" i="32" s="1"/>
  <c r="F151" i="32" s="1"/>
  <c r="J179" i="15"/>
  <c r="K179" i="15" s="1"/>
  <c r="C152" i="32" s="1"/>
  <c r="F152" i="32" s="1"/>
  <c r="K76" i="13"/>
  <c r="J77" i="13"/>
  <c r="K131" i="12"/>
  <c r="J132" i="12"/>
  <c r="K69" i="12"/>
  <c r="J70" i="12"/>
  <c r="K314" i="13"/>
  <c r="J315" i="13"/>
  <c r="K294" i="15"/>
  <c r="J295" i="15"/>
  <c r="K122" i="12"/>
  <c r="C26" i="32" s="1"/>
  <c r="F26" i="32" s="1"/>
  <c r="J123" i="12"/>
  <c r="K19" i="16"/>
  <c r="J20" i="16"/>
  <c r="N7" i="24"/>
  <c r="C239" i="32" s="1"/>
  <c r="F239" i="32" s="1"/>
  <c r="K56" i="16"/>
  <c r="J57" i="16"/>
  <c r="K33" i="16"/>
  <c r="J34" i="16"/>
  <c r="K207" i="12"/>
  <c r="K165" i="12"/>
  <c r="J39" i="21"/>
  <c r="K39" i="21" s="1"/>
  <c r="K38" i="21"/>
  <c r="K63" i="17"/>
  <c r="J64" i="17"/>
  <c r="K85" i="17"/>
  <c r="J86" i="17"/>
  <c r="K27" i="11"/>
  <c r="J28" i="11"/>
  <c r="F140" i="32" l="1"/>
  <c r="E313" i="12"/>
  <c r="F255" i="32"/>
  <c r="F196" i="32"/>
  <c r="F153" i="32"/>
  <c r="E346" i="13"/>
  <c r="E312" i="12"/>
  <c r="E108" i="11"/>
  <c r="K54" i="11"/>
  <c r="J55" i="11"/>
  <c r="K20" i="16"/>
  <c r="C157" i="32" s="1"/>
  <c r="F157" i="32" s="1"/>
  <c r="J21" i="16"/>
  <c r="K295" i="15"/>
  <c r="J296" i="15"/>
  <c r="K70" i="12"/>
  <c r="J71" i="12"/>
  <c r="K77" i="13"/>
  <c r="J78" i="13"/>
  <c r="K78" i="13" s="1"/>
  <c r="C16" i="32"/>
  <c r="F16" i="32" s="1"/>
  <c r="J59" i="12"/>
  <c r="K58" i="12"/>
  <c r="J258" i="19"/>
  <c r="K257" i="19"/>
  <c r="K153" i="13"/>
  <c r="J154" i="13"/>
  <c r="K154" i="13" s="1"/>
  <c r="E251" i="17"/>
  <c r="K86" i="17"/>
  <c r="J87" i="17"/>
  <c r="K87" i="17" s="1"/>
  <c r="K254" i="15"/>
  <c r="J255" i="15"/>
  <c r="K41" i="11"/>
  <c r="J42" i="11"/>
  <c r="J122" i="13"/>
  <c r="K122" i="13" s="1"/>
  <c r="K121" i="13"/>
  <c r="K239" i="15"/>
  <c r="J240" i="15"/>
  <c r="J29" i="11"/>
  <c r="K28" i="11"/>
  <c r="K64" i="17"/>
  <c r="J65" i="17"/>
  <c r="K65" i="17" s="1"/>
  <c r="J58" i="16"/>
  <c r="K57" i="16"/>
  <c r="C160" i="32" s="1"/>
  <c r="F160" i="32" s="1"/>
  <c r="E85" i="16"/>
  <c r="C170" i="32"/>
  <c r="F170" i="32" s="1"/>
  <c r="E316" i="12"/>
  <c r="C62" i="32"/>
  <c r="F62" i="32" s="1"/>
  <c r="K123" i="12"/>
  <c r="J124" i="12"/>
  <c r="K124" i="12" s="1"/>
  <c r="E322" i="12" s="1"/>
  <c r="C27" i="32" s="1"/>
  <c r="F27" i="32" s="1"/>
  <c r="K315" i="13"/>
  <c r="J316" i="13"/>
  <c r="K316" i="13" s="1"/>
  <c r="J133" i="12"/>
  <c r="K132" i="12"/>
  <c r="E314" i="12" s="1"/>
  <c r="C36" i="32" s="1"/>
  <c r="F36" i="32" s="1"/>
  <c r="K75" i="17"/>
  <c r="J76" i="17"/>
  <c r="K76" i="17" s="1"/>
  <c r="M31" i="6"/>
  <c r="M80" i="6" s="1"/>
  <c r="J83" i="6"/>
  <c r="J84" i="6" s="1"/>
  <c r="M84" i="6" s="1"/>
  <c r="C51" i="32"/>
  <c r="F51" i="32" s="1"/>
  <c r="J97" i="21"/>
  <c r="K96" i="21"/>
  <c r="K71" i="16"/>
  <c r="J72" i="16"/>
  <c r="J219" i="17"/>
  <c r="K219" i="17" s="1"/>
  <c r="K218" i="17"/>
  <c r="K42" i="17"/>
  <c r="J43" i="17"/>
  <c r="K43" i="17" s="1"/>
  <c r="K34" i="16"/>
  <c r="C158" i="32" s="1"/>
  <c r="F158" i="32" s="1"/>
  <c r="J35" i="16"/>
  <c r="K304" i="15"/>
  <c r="J305" i="15"/>
  <c r="J10" i="17"/>
  <c r="K10" i="17" s="1"/>
  <c r="K9" i="17"/>
  <c r="K305" i="13"/>
  <c r="J306" i="13"/>
  <c r="K306" i="13" s="1"/>
  <c r="O84" i="6" l="1"/>
  <c r="O80" i="6" s="1"/>
  <c r="P80" i="6" s="1"/>
  <c r="E252" i="17"/>
  <c r="E317" i="12"/>
  <c r="C31" i="32" s="1"/>
  <c r="F31" i="32" s="1"/>
  <c r="C209" i="32"/>
  <c r="F209" i="32" s="1"/>
  <c r="E253" i="17"/>
  <c r="K240" i="15"/>
  <c r="J241" i="15"/>
  <c r="K42" i="11"/>
  <c r="J43" i="11"/>
  <c r="J36" i="16"/>
  <c r="K35" i="16"/>
  <c r="K258" i="19"/>
  <c r="J259" i="19"/>
  <c r="K259" i="19" s="1"/>
  <c r="E349" i="13"/>
  <c r="J297" i="15"/>
  <c r="K296" i="15"/>
  <c r="E347" i="13"/>
  <c r="J56" i="11"/>
  <c r="K55" i="11"/>
  <c r="F304" i="32"/>
  <c r="K133" i="12"/>
  <c r="E315" i="12" s="1"/>
  <c r="J134" i="12"/>
  <c r="K134" i="12" s="1"/>
  <c r="K97" i="21"/>
  <c r="J98" i="21"/>
  <c r="E109" i="11"/>
  <c r="C28" i="32" s="1"/>
  <c r="F28" i="32" s="1"/>
  <c r="K255" i="15"/>
  <c r="J256" i="15"/>
  <c r="J306" i="15"/>
  <c r="K305" i="15"/>
  <c r="J73" i="16"/>
  <c r="K72" i="16"/>
  <c r="K58" i="16"/>
  <c r="J59" i="16"/>
  <c r="J30" i="11"/>
  <c r="K29" i="11"/>
  <c r="K59" i="12"/>
  <c r="J60" i="12"/>
  <c r="K71" i="12"/>
  <c r="J72" i="12"/>
  <c r="K21" i="16"/>
  <c r="J22" i="16"/>
  <c r="E318" i="12" l="1"/>
  <c r="C25" i="32" s="1"/>
  <c r="F25" i="32" s="1"/>
  <c r="E110" i="11"/>
  <c r="C15" i="32" s="1"/>
  <c r="F15" i="32" s="1"/>
  <c r="C39" i="32"/>
  <c r="F39" i="32" s="1"/>
  <c r="C164" i="32"/>
  <c r="F164" i="32" s="1"/>
  <c r="P84" i="6"/>
  <c r="C47" i="32"/>
  <c r="F47" i="32" s="1"/>
  <c r="K22" i="16"/>
  <c r="J23" i="16"/>
  <c r="K60" i="12"/>
  <c r="J61" i="12"/>
  <c r="K61" i="12" s="1"/>
  <c r="K59" i="16"/>
  <c r="J60" i="16"/>
  <c r="K306" i="15"/>
  <c r="J307" i="15"/>
  <c r="J99" i="21"/>
  <c r="K99" i="21" s="1"/>
  <c r="C35" i="32" s="1"/>
  <c r="F35" i="32" s="1"/>
  <c r="K98" i="21"/>
  <c r="K72" i="12"/>
  <c r="J73" i="12"/>
  <c r="K256" i="15"/>
  <c r="J257" i="15"/>
  <c r="K257" i="15" s="1"/>
  <c r="C210" i="32" s="1"/>
  <c r="F210" i="32" s="1"/>
  <c r="F211" i="32" s="1"/>
  <c r="K43" i="11"/>
  <c r="J44" i="11"/>
  <c r="K44" i="11" s="1"/>
  <c r="K56" i="11"/>
  <c r="J57" i="11"/>
  <c r="K57" i="11" s="1"/>
  <c r="J31" i="11"/>
  <c r="K31" i="11" s="1"/>
  <c r="K30" i="11"/>
  <c r="K73" i="16"/>
  <c r="J74" i="16"/>
  <c r="K297" i="15"/>
  <c r="J298" i="15"/>
  <c r="E86" i="16"/>
  <c r="C165" i="32"/>
  <c r="F165" i="32" s="1"/>
  <c r="K36" i="16"/>
  <c r="J37" i="16"/>
  <c r="J242" i="15"/>
  <c r="K241" i="15"/>
  <c r="C29" i="32" s="1"/>
  <c r="F29" i="32" s="1"/>
  <c r="C61" i="32" l="1"/>
  <c r="F61" i="32" s="1"/>
  <c r="F64" i="32" s="1"/>
  <c r="E319" i="12"/>
  <c r="K298" i="15"/>
  <c r="J299" i="15"/>
  <c r="K299" i="15" s="1"/>
  <c r="E104" i="11"/>
  <c r="C46" i="32" s="1"/>
  <c r="F46" i="32" s="1"/>
  <c r="J61" i="16"/>
  <c r="K61" i="16" s="1"/>
  <c r="K60" i="16"/>
  <c r="K23" i="16"/>
  <c r="J24" i="16"/>
  <c r="K24" i="16" s="1"/>
  <c r="K74" i="16"/>
  <c r="J75" i="16"/>
  <c r="K75" i="16" s="1"/>
  <c r="K242" i="15"/>
  <c r="J243" i="15"/>
  <c r="K243" i="15" s="1"/>
  <c r="K37" i="16"/>
  <c r="J38" i="16"/>
  <c r="K38" i="16" s="1"/>
  <c r="E87" i="16"/>
  <c r="K73" i="12"/>
  <c r="E320" i="12" s="1"/>
  <c r="C23" i="32" s="1"/>
  <c r="F23" i="32" s="1"/>
  <c r="J74" i="12"/>
  <c r="K74" i="12" s="1"/>
  <c r="E321" i="12" s="1"/>
  <c r="C24" i="32" s="1"/>
  <c r="F24" i="32" s="1"/>
  <c r="J308" i="15"/>
  <c r="K308" i="15" s="1"/>
  <c r="K307" i="15"/>
  <c r="C168" i="32"/>
  <c r="F168" i="32" s="1"/>
  <c r="F55" i="32" l="1"/>
  <c r="E88" i="16"/>
  <c r="E90" i="16"/>
  <c r="C162" i="32"/>
  <c r="F162" i="32" s="1"/>
  <c r="E89" i="16"/>
  <c r="C161" i="32"/>
  <c r="F161" i="32" s="1"/>
  <c r="F172" i="32" l="1"/>
  <c r="F302" i="3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IDC PC-01</author>
    <author>CV ASIA ARSITEK</author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IDC PC-01:</t>
        </r>
        <r>
          <rPr>
            <sz val="9"/>
            <color indexed="81"/>
            <rFont val="Tahoma"/>
            <family val="2"/>
          </rPr>
          <t xml:space="preserve">
NEXT, POLA LANTAI, PLAFOND, LAIN-LAIN, HARGA</t>
        </r>
      </text>
    </comment>
    <comment ref="M4" authorId="1" shapeId="0" xr:uid="{00000000-0006-0000-0000-000002000000}">
      <text>
        <r>
          <rPr>
            <b/>
            <sz val="9"/>
            <color indexed="81"/>
            <rFont val="Tahoma"/>
            <family val="2"/>
          </rPr>
          <t>CV ASIA ARSITEK:</t>
        </r>
        <r>
          <rPr>
            <sz val="9"/>
            <color indexed="81"/>
            <rFont val="Tahoma"/>
            <family val="2"/>
          </rPr>
          <t xml:space="preserve">
OTOMATIS TERISI DARI KOTAK DI SEBELAH KANANNYA</t>
        </r>
      </text>
    </comment>
    <comment ref="O4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>CV ASIA ARSITEK:</t>
        </r>
        <r>
          <rPr>
            <sz val="9"/>
            <color indexed="81"/>
            <rFont val="Tahoma"/>
            <family val="2"/>
          </rPr>
          <t xml:space="preserve">
LEBAR LAHAN</t>
        </r>
      </text>
    </comment>
    <comment ref="P4" authorId="1" shapeId="0" xr:uid="{00000000-0006-0000-0000-000004000000}">
      <text>
        <r>
          <rPr>
            <b/>
            <sz val="9"/>
            <color indexed="81"/>
            <rFont val="Tahoma"/>
            <family val="2"/>
          </rPr>
          <t>CV ASIA ARSITEK:</t>
        </r>
        <r>
          <rPr>
            <sz val="9"/>
            <color indexed="81"/>
            <rFont val="Tahoma"/>
            <family val="2"/>
          </rPr>
          <t xml:space="preserve">
PANJANG LAHAN</t>
        </r>
      </text>
    </comment>
    <comment ref="Q4" authorId="1" shapeId="0" xr:uid="{00000000-0006-0000-0000-000005000000}">
      <text>
        <r>
          <rPr>
            <b/>
            <sz val="9"/>
            <color indexed="81"/>
            <rFont val="Tahoma"/>
            <family val="2"/>
          </rPr>
          <t>CV ASIA ARSITEK:</t>
        </r>
        <r>
          <rPr>
            <sz val="9"/>
            <color indexed="81"/>
            <rFont val="Tahoma"/>
            <family val="2"/>
          </rPr>
          <t xml:space="preserve">
LUAS LAHAN</t>
        </r>
      </text>
    </comment>
    <comment ref="M5" authorId="1" shapeId="0" xr:uid="{00000000-0006-0000-0000-000006000000}">
      <text>
        <r>
          <rPr>
            <b/>
            <sz val="9"/>
            <color indexed="81"/>
            <rFont val="Tahoma"/>
            <family val="2"/>
          </rPr>
          <t>CV ASIA ARSITEK:</t>
        </r>
        <r>
          <rPr>
            <sz val="9"/>
            <color indexed="81"/>
            <rFont val="Tahoma"/>
            <family val="2"/>
          </rPr>
          <t xml:space="preserve">
ISI LUAS LANTAI 1</t>
        </r>
      </text>
    </comment>
    <comment ref="M6" authorId="1" shapeId="0" xr:uid="{00000000-0006-0000-0000-000007000000}">
      <text>
        <r>
          <rPr>
            <b/>
            <sz val="9"/>
            <color indexed="81"/>
            <rFont val="Tahoma"/>
            <family val="2"/>
          </rPr>
          <t>CV ASIA ARSITEK:</t>
        </r>
        <r>
          <rPr>
            <sz val="9"/>
            <color indexed="81"/>
            <rFont val="Tahoma"/>
            <family val="2"/>
          </rPr>
          <t xml:space="preserve">
ISI LUAS LT. 2</t>
        </r>
      </text>
    </comment>
    <comment ref="C7" authorId="1" shapeId="0" xr:uid="{00000000-0006-0000-0000-000008000000}">
      <text>
        <r>
          <rPr>
            <b/>
            <sz val="9"/>
            <color indexed="81"/>
            <rFont val="Tahoma"/>
            <family val="2"/>
          </rPr>
          <t>CV ASIA ARSITEK:</t>
        </r>
        <r>
          <rPr>
            <sz val="9"/>
            <color indexed="81"/>
            <rFont val="Tahoma"/>
            <family val="2"/>
          </rPr>
          <t xml:space="preserve">
KONSEP RUMAH</t>
        </r>
      </text>
    </comment>
    <comment ref="C8" authorId="1" shapeId="0" xr:uid="{00000000-0006-0000-0000-000009000000}">
      <text>
        <r>
          <rPr>
            <b/>
            <sz val="9"/>
            <color indexed="81"/>
            <rFont val="Tahoma"/>
            <family val="2"/>
          </rPr>
          <t>CV ASIA ARSITEK:</t>
        </r>
        <r>
          <rPr>
            <sz val="9"/>
            <color indexed="81"/>
            <rFont val="Tahoma"/>
            <family val="2"/>
          </rPr>
          <t xml:space="preserve">
NAMA OWNER</t>
        </r>
      </text>
    </comment>
    <comment ref="C9" authorId="1" shapeId="0" xr:uid="{00000000-0006-0000-0000-00000A000000}">
      <text>
        <r>
          <rPr>
            <b/>
            <sz val="9"/>
            <color indexed="81"/>
            <rFont val="Tahoma"/>
            <family val="2"/>
          </rPr>
          <t>CV ASIA ARSITEK:</t>
        </r>
        <r>
          <rPr>
            <sz val="9"/>
            <color indexed="81"/>
            <rFont val="Tahoma"/>
            <family val="2"/>
          </rPr>
          <t xml:space="preserve">
ALAMAT</t>
        </r>
      </text>
    </comment>
    <comment ref="C10" authorId="1" shapeId="0" xr:uid="{00000000-0006-0000-0000-00000B000000}">
      <text>
        <r>
          <rPr>
            <b/>
            <sz val="9"/>
            <color indexed="81"/>
            <rFont val="Tahoma"/>
            <family val="2"/>
          </rPr>
          <t>CV ASIA ARSITEK:</t>
        </r>
        <r>
          <rPr>
            <sz val="9"/>
            <color indexed="81"/>
            <rFont val="Tahoma"/>
            <family val="2"/>
          </rPr>
          <t xml:space="preserve">
PROVINSI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IDC PC-01</author>
  </authors>
  <commentList>
    <comment ref="H18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IDC PC-01:</t>
        </r>
        <r>
          <rPr>
            <sz val="9"/>
            <color indexed="81"/>
            <rFont val="Tahoma"/>
            <family val="2"/>
          </rPr>
          <t xml:space="preserve">
semen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IDC PC-01</author>
    <author>User</author>
  </authors>
  <commentList>
    <comment ref="A120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IDC PC-01:</t>
        </r>
        <r>
          <rPr>
            <sz val="9"/>
            <color indexed="81"/>
            <rFont val="Tahoma"/>
            <family val="2"/>
          </rPr>
          <t xml:space="preserve">
next</t>
        </r>
      </text>
    </comment>
    <comment ref="B165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IDC PC-01:</t>
        </r>
        <r>
          <rPr>
            <sz val="9"/>
            <color indexed="81"/>
            <rFont val="Tahoma"/>
            <family val="2"/>
          </rPr>
          <t xml:space="preserve">
next</t>
        </r>
      </text>
    </comment>
    <comment ref="B166" authorId="0" shapeId="0" xr:uid="{00000000-0006-0000-0400-000003000000}">
      <text>
        <r>
          <rPr>
            <b/>
            <sz val="9"/>
            <color indexed="81"/>
            <rFont val="Tahoma"/>
            <family val="2"/>
          </rPr>
          <t>IDC PC-01:</t>
        </r>
        <r>
          <rPr>
            <sz val="9"/>
            <color indexed="81"/>
            <rFont val="Tahoma"/>
            <family val="2"/>
          </rPr>
          <t xml:space="preserve">
next</t>
        </r>
      </text>
    </comment>
    <comment ref="A201" authorId="0" shapeId="0" xr:uid="{00000000-0006-0000-0400-000004000000}">
      <text>
        <r>
          <rPr>
            <b/>
            <sz val="9"/>
            <color indexed="81"/>
            <rFont val="Tahoma"/>
            <family val="2"/>
          </rPr>
          <t>IDC PC-01:</t>
        </r>
        <r>
          <rPr>
            <sz val="9"/>
            <color indexed="81"/>
            <rFont val="Tahoma"/>
            <family val="2"/>
          </rPr>
          <t xml:space="preserve">
ada kolom k8 pakai baja wf</t>
        </r>
      </text>
    </comment>
    <comment ref="E416" authorId="1" shapeId="0" xr:uid="{00000000-0006-0000-0400-000005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433" authorId="0" shapeId="0" xr:uid="{00000000-0006-0000-0400-000006000000}">
      <text>
        <r>
          <rPr>
            <b/>
            <sz val="9"/>
            <color indexed="81"/>
            <rFont val="Tahoma"/>
            <family val="2"/>
          </rPr>
          <t>IDC PC-01:</t>
        </r>
        <r>
          <rPr>
            <sz val="9"/>
            <color indexed="81"/>
            <rFont val="Tahoma"/>
            <family val="2"/>
          </rPr>
          <t xml:space="preserve">
next</t>
        </r>
      </text>
    </comment>
    <comment ref="E435" authorId="0" shapeId="0" xr:uid="{00000000-0006-0000-0400-000007000000}">
      <text>
        <r>
          <rPr>
            <b/>
            <sz val="9"/>
            <color indexed="81"/>
            <rFont val="Tahoma"/>
            <family val="2"/>
          </rPr>
          <t>IDC PC-01:</t>
        </r>
        <r>
          <rPr>
            <sz val="9"/>
            <color indexed="81"/>
            <rFont val="Tahoma"/>
            <family val="2"/>
          </rPr>
          <t xml:space="preserve">
next</t>
        </r>
      </text>
    </comment>
    <comment ref="P446" authorId="1" shapeId="0" xr:uid="{00000000-0006-0000-0400-000008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UBAH</t>
        </r>
      </text>
    </comment>
    <comment ref="P448" authorId="0" shapeId="0" xr:uid="{00000000-0006-0000-0400-000009000000}">
      <text>
        <r>
          <rPr>
            <b/>
            <sz val="9"/>
            <color indexed="81"/>
            <rFont val="Tahoma"/>
            <family val="2"/>
          </rPr>
          <t>IDC PC-01:</t>
        </r>
        <r>
          <rPr>
            <sz val="9"/>
            <color indexed="81"/>
            <rFont val="Tahoma"/>
            <family val="2"/>
          </rPr>
          <t xml:space="preserve">
next</t>
        </r>
      </text>
    </comment>
    <comment ref="A496" authorId="0" shapeId="0" xr:uid="{00000000-0006-0000-0400-00000A000000}">
      <text>
        <r>
          <rPr>
            <b/>
            <sz val="9"/>
            <color indexed="81"/>
            <rFont val="Tahoma"/>
            <family val="2"/>
          </rPr>
          <t>IDC PC-01:</t>
        </r>
        <r>
          <rPr>
            <sz val="9"/>
            <color indexed="81"/>
            <rFont val="Tahoma"/>
            <family val="2"/>
          </rPr>
          <t xml:space="preserve">
next </t>
        </r>
      </text>
    </comment>
    <comment ref="B637" authorId="0" shapeId="0" xr:uid="{00000000-0006-0000-0400-00000B000000}">
      <text>
        <r>
          <rPr>
            <b/>
            <sz val="9"/>
            <color indexed="81"/>
            <rFont val="Tahoma"/>
            <family val="2"/>
          </rPr>
          <t>IDC PC-01:</t>
        </r>
        <r>
          <rPr>
            <sz val="9"/>
            <color indexed="81"/>
            <rFont val="Tahoma"/>
            <family val="2"/>
          </rPr>
          <t xml:space="preserve">
groundtank ganti koncvensional, septictank biotank, jalur air bekas ke belakang. </t>
        </r>
      </text>
    </comment>
    <comment ref="E644" authorId="0" shapeId="0" xr:uid="{00000000-0006-0000-0400-00000C000000}">
      <text>
        <r>
          <rPr>
            <b/>
            <sz val="9"/>
            <color indexed="81"/>
            <rFont val="Tahoma"/>
            <family val="2"/>
          </rPr>
          <t>IDC PC-01:</t>
        </r>
        <r>
          <rPr>
            <sz val="9"/>
            <color indexed="81"/>
            <rFont val="Tahoma"/>
            <family val="2"/>
          </rPr>
          <t xml:space="preserve">
next</t>
        </r>
      </text>
    </comment>
    <comment ref="B932" authorId="0" shapeId="0" xr:uid="{00000000-0006-0000-0400-00000D000000}">
      <text>
        <r>
          <rPr>
            <b/>
            <sz val="9"/>
            <color indexed="81"/>
            <rFont val="Tahoma"/>
            <family val="2"/>
          </rPr>
          <t>IDC PC-01:</t>
        </r>
        <r>
          <rPr>
            <sz val="9"/>
            <color indexed="81"/>
            <rFont val="Tahoma"/>
            <family val="2"/>
          </rPr>
          <t xml:space="preserve">
next</t>
        </r>
      </text>
    </comment>
    <comment ref="A985" authorId="0" shapeId="0" xr:uid="{00000000-0006-0000-0400-00000E000000}">
      <text>
        <r>
          <rPr>
            <b/>
            <sz val="9"/>
            <color indexed="81"/>
            <rFont val="Tahoma"/>
            <family val="2"/>
          </rPr>
          <t>IDC PC-01:</t>
        </r>
        <r>
          <rPr>
            <sz val="9"/>
            <color indexed="81"/>
            <rFont val="Tahoma"/>
            <family val="2"/>
          </rPr>
          <t xml:space="preserve">
next</t>
        </r>
      </text>
    </comment>
    <comment ref="E1017" authorId="0" shapeId="0" xr:uid="{00000000-0006-0000-0400-00000F000000}">
      <text>
        <r>
          <rPr>
            <b/>
            <sz val="9"/>
            <color indexed="81"/>
            <rFont val="Tahoma"/>
            <family val="2"/>
          </rPr>
          <t>IDC PC-01: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061" authorId="0" shapeId="0" xr:uid="{00000000-0006-0000-0400-000010000000}">
      <text>
        <r>
          <rPr>
            <b/>
            <sz val="9"/>
            <color indexed="81"/>
            <rFont val="Tahoma"/>
            <family val="2"/>
          </rPr>
          <t>IDC PC-01: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251" authorId="0" shapeId="0" xr:uid="{00000000-0006-0000-0400-000011000000}">
      <text>
        <r>
          <rPr>
            <b/>
            <sz val="9"/>
            <color indexed="81"/>
            <rFont val="Tahoma"/>
            <family val="2"/>
          </rPr>
          <t>IDC PC-01:</t>
        </r>
        <r>
          <rPr>
            <sz val="9"/>
            <color indexed="81"/>
            <rFont val="Tahoma"/>
            <family val="2"/>
          </rPr>
          <t xml:space="preserve">
next</t>
        </r>
      </text>
    </comment>
    <comment ref="E1270" authorId="0" shapeId="0" xr:uid="{00000000-0006-0000-0400-000012000000}">
      <text>
        <r>
          <rPr>
            <b/>
            <sz val="9"/>
            <color indexed="81"/>
            <rFont val="Tahoma"/>
            <family val="2"/>
          </rPr>
          <t>IDC PC-01:</t>
        </r>
        <r>
          <rPr>
            <sz val="9"/>
            <color indexed="81"/>
            <rFont val="Tahoma"/>
            <family val="2"/>
          </rPr>
          <t xml:space="preserve">
next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IDC PC-01</author>
  </authors>
  <commentList>
    <comment ref="B46" authorId="0" shapeId="0" xr:uid="{00000000-0006-0000-0600-000001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66" authorId="0" shapeId="0" xr:uid="{00000000-0006-0000-0600-000002000000}">
      <text>
        <r>
          <rPr>
            <b/>
            <sz val="9"/>
            <color indexed="81"/>
            <rFont val="Tahoma"/>
            <family val="2"/>
          </rPr>
          <t>User:
harga pintu</t>
        </r>
      </text>
    </comment>
    <comment ref="A174" authorId="0" shapeId="0" xr:uid="{00000000-0006-0000-0600-000003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ok</t>
        </r>
      </text>
    </comment>
    <comment ref="B213" authorId="1" shapeId="0" xr:uid="{00000000-0006-0000-0600-000004000000}">
      <text>
        <r>
          <rPr>
            <b/>
            <sz val="9"/>
            <color indexed="81"/>
            <rFont val="Tahoma"/>
            <family val="2"/>
          </rPr>
          <t>IDC PC-01:</t>
        </r>
        <r>
          <rPr>
            <sz val="9"/>
            <color indexed="81"/>
            <rFont val="Tahoma"/>
            <family val="2"/>
          </rPr>
          <t xml:space="preserve">
nekst</t>
        </r>
      </text>
    </comment>
    <comment ref="A224" authorId="0" shapeId="0" xr:uid="{00000000-0006-0000-0600-000005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tambah lampu panel dan tl</t>
        </r>
      </text>
    </comment>
    <comment ref="A226" authorId="0" shapeId="0" xr:uid="{00000000-0006-0000-0600-000006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tambah lampu panel dan tl</t>
        </r>
      </text>
    </comment>
    <comment ref="C286" authorId="0" shapeId="0" xr:uid="{00000000-0006-0000-0600-000007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IDC PC-01</author>
  </authors>
  <commentList>
    <comment ref="H46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>IDC PC-01:</t>
        </r>
        <r>
          <rPr>
            <sz val="9"/>
            <color indexed="81"/>
            <rFont val="Tahoma"/>
            <family val="2"/>
          </rPr>
          <t xml:space="preserve">
next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IDC PC-01</author>
  </authors>
  <commentList>
    <comment ref="U7" authorId="0" shapeId="0" xr:uid="{00000000-0006-0000-0900-000001000000}">
      <text>
        <r>
          <rPr>
            <b/>
            <sz val="9"/>
            <color indexed="81"/>
            <rFont val="Tahoma"/>
            <family val="2"/>
          </rPr>
          <t>IDC PC-01:</t>
        </r>
        <r>
          <rPr>
            <sz val="9"/>
            <color indexed="81"/>
            <rFont val="Tahoma"/>
            <family val="2"/>
          </rPr>
          <t xml:space="preserve">
ISI PANJANG</t>
        </r>
      </text>
    </comment>
    <comment ref="C19" authorId="0" shapeId="0" xr:uid="{00000000-0006-0000-0900-000002000000}">
      <text>
        <r>
          <rPr>
            <b/>
            <sz val="9"/>
            <color indexed="81"/>
            <rFont val="Tahoma"/>
            <family val="2"/>
          </rPr>
          <t>IDC PC-01:</t>
        </r>
        <r>
          <rPr>
            <sz val="9"/>
            <color indexed="81"/>
            <rFont val="Tahoma"/>
            <family val="2"/>
          </rPr>
          <t xml:space="preserve">
next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20" authorId="0" shapeId="0" xr:uid="{00000000-0006-0000-0A00-000001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cek, bentuk pondasi di struktur</t>
        </r>
      </text>
    </comment>
    <comment ref="F48" authorId="0" shapeId="0" xr:uid="{00000000-0006-0000-0A00-000002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26" authorId="0" shapeId="0" xr:uid="{00000000-0006-0000-0A00-000003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BELUM ADA GAMBARNYA</t>
        </r>
      </text>
    </comment>
    <comment ref="B198" authorId="0" shapeId="0" xr:uid="{00000000-0006-0000-0A00-000004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BELUM ADA GAMBARNYA</t>
        </r>
      </text>
    </comment>
    <comment ref="B477" authorId="0" shapeId="0" xr:uid="{00000000-0006-0000-0A00-000005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694" authorId="0" shapeId="0" xr:uid="{00000000-0006-0000-0A00-000006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IDC PC-01</author>
    <author>User</author>
  </authors>
  <commentList>
    <comment ref="J7" authorId="0" shapeId="0" xr:uid="{00000000-0006-0000-0B00-000001000000}">
      <text>
        <r>
          <rPr>
            <b/>
            <sz val="9"/>
            <color indexed="81"/>
            <rFont val="Tahoma"/>
            <family val="2"/>
          </rPr>
          <t>IDC PC-01:</t>
        </r>
        <r>
          <rPr>
            <sz val="9"/>
            <color indexed="81"/>
            <rFont val="Tahoma"/>
            <family val="2"/>
          </rPr>
          <t xml:space="preserve">
next</t>
        </r>
      </text>
    </comment>
    <comment ref="I8" authorId="0" shapeId="0" xr:uid="{00000000-0006-0000-0B00-000002000000}">
      <text>
        <r>
          <rPr>
            <b/>
            <sz val="9"/>
            <color indexed="81"/>
            <rFont val="Tahoma"/>
            <family val="2"/>
          </rPr>
          <t>IDC PC-01:</t>
        </r>
        <r>
          <rPr>
            <sz val="9"/>
            <color indexed="81"/>
            <rFont val="Tahoma"/>
            <family val="2"/>
          </rPr>
          <t xml:space="preserve">
next</t>
        </r>
      </text>
    </comment>
    <comment ref="D9" authorId="0" shapeId="0" xr:uid="{00000000-0006-0000-0B00-000003000000}">
      <text>
        <r>
          <rPr>
            <sz val="12"/>
            <color indexed="81"/>
            <rFont val="Tahoma"/>
            <family val="2"/>
          </rPr>
          <t>(8, 10)</t>
        </r>
      </text>
    </comment>
    <comment ref="G32" authorId="0" shapeId="0" xr:uid="{00000000-0006-0000-0B00-000004000000}">
      <text>
        <r>
          <rPr>
            <sz val="11"/>
            <color indexed="81"/>
            <rFont val="Tahoma"/>
            <family val="2"/>
          </rPr>
          <t>(8, 10, D10)</t>
        </r>
      </text>
    </comment>
    <comment ref="O33" authorId="0" shapeId="0" xr:uid="{00000000-0006-0000-0B00-000005000000}">
      <text>
        <r>
          <rPr>
            <b/>
            <sz val="9"/>
            <color indexed="81"/>
            <rFont val="Tahoma"/>
            <family val="2"/>
          </rPr>
          <t>IDC PC-01:</t>
        </r>
        <r>
          <rPr>
            <sz val="9"/>
            <color indexed="81"/>
            <rFont val="Tahoma"/>
            <family val="2"/>
          </rPr>
          <t xml:space="preserve">
next</t>
        </r>
      </text>
    </comment>
    <comment ref="N35" authorId="0" shapeId="0" xr:uid="{00000000-0006-0000-0B00-000006000000}">
      <text>
        <r>
          <rPr>
            <b/>
            <sz val="9"/>
            <color indexed="81"/>
            <rFont val="Tahoma"/>
            <family val="2"/>
          </rPr>
          <t>IDC PC-01:</t>
        </r>
        <r>
          <rPr>
            <sz val="9"/>
            <color indexed="81"/>
            <rFont val="Tahoma"/>
            <family val="2"/>
          </rPr>
          <t xml:space="preserve">
next
</t>
        </r>
      </text>
    </comment>
    <comment ref="B59" authorId="0" shapeId="0" xr:uid="{00000000-0006-0000-0B00-000007000000}">
      <text>
        <r>
          <rPr>
            <b/>
            <sz val="9"/>
            <color indexed="81"/>
            <rFont val="Tahoma"/>
            <family val="2"/>
          </rPr>
          <t>IDC PC-01:</t>
        </r>
        <r>
          <rPr>
            <sz val="9"/>
            <color indexed="81"/>
            <rFont val="Tahoma"/>
            <family val="2"/>
          </rPr>
          <t xml:space="preserve">
next</t>
        </r>
      </text>
    </comment>
    <comment ref="A83" authorId="1" shapeId="0" xr:uid="{00000000-0006-0000-0B00-000008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cek, bentuk pondasi di struktur</t>
        </r>
      </text>
    </comment>
    <comment ref="F116" authorId="1" shapeId="0" xr:uid="{00000000-0006-0000-0B00-000009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34" authorId="0" shapeId="0" xr:uid="{00000000-0006-0000-0B00-00000A000000}">
      <text>
        <r>
          <rPr>
            <b/>
            <sz val="9"/>
            <color indexed="81"/>
            <rFont val="Tahoma"/>
            <family val="2"/>
          </rPr>
          <t>IDC PC-01:</t>
        </r>
        <r>
          <rPr>
            <sz val="9"/>
            <color indexed="81"/>
            <rFont val="Tahoma"/>
            <family val="2"/>
          </rPr>
          <t xml:space="preserve">
next </t>
        </r>
      </text>
    </comment>
    <comment ref="B285" authorId="0" shapeId="0" xr:uid="{00000000-0006-0000-0B00-00000B000000}">
      <text>
        <r>
          <rPr>
            <b/>
            <sz val="9"/>
            <color indexed="81"/>
            <rFont val="Tahoma"/>
            <family val="2"/>
          </rPr>
          <t>IDC PC-01:</t>
        </r>
        <r>
          <rPr>
            <sz val="9"/>
            <color indexed="81"/>
            <rFont val="Tahoma"/>
            <family val="2"/>
          </rPr>
          <t xml:space="preserve">
next</t>
        </r>
      </text>
    </comment>
    <comment ref="B304" authorId="1" shapeId="0" xr:uid="{00000000-0006-0000-0B00-00000C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445" authorId="0" shapeId="0" xr:uid="{00000000-0006-0000-0B00-00000D000000}">
      <text>
        <r>
          <rPr>
            <b/>
            <sz val="9"/>
            <color indexed="81"/>
            <rFont val="Tahoma"/>
            <family val="2"/>
          </rPr>
          <t>IDC PC-01:</t>
        </r>
        <r>
          <rPr>
            <sz val="9"/>
            <color indexed="81"/>
            <rFont val="Tahoma"/>
            <family val="2"/>
          </rPr>
          <t xml:space="preserve">
next</t>
        </r>
      </text>
    </comment>
    <comment ref="G559" authorId="0" shapeId="0" xr:uid="{00000000-0006-0000-0B00-00000E000000}">
      <text>
        <r>
          <rPr>
            <b/>
            <sz val="9"/>
            <color indexed="81"/>
            <rFont val="Tahoma"/>
            <family val="2"/>
          </rPr>
          <t>IDC PC-01:</t>
        </r>
        <r>
          <rPr>
            <sz val="9"/>
            <color indexed="81"/>
            <rFont val="Tahoma"/>
            <family val="2"/>
          </rPr>
          <t xml:space="preserve">
next</t>
        </r>
      </text>
    </comment>
    <comment ref="B644" authorId="1" shapeId="0" xr:uid="{00000000-0006-0000-0B00-00000F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909" authorId="1" shapeId="0" xr:uid="{00000000-0006-0000-0B00-000010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102" authorId="1" shapeId="0" xr:uid="{00000000-0006-0000-0B00-000011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BELUM ADA GAMBARNYA</t>
        </r>
      </text>
    </comment>
    <comment ref="B1700" authorId="1" shapeId="0" xr:uid="{00000000-0006-0000-0B00-000012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BELUM ADA GAMBARNYA</t>
        </r>
      </text>
    </comment>
    <comment ref="B1772" authorId="1" shapeId="0" xr:uid="{00000000-0006-0000-0B00-000013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1" authorId="0" shapeId="0" xr:uid="{00000000-0006-0000-0C00-000001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ok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6" authorId="0" shapeId="0" xr:uid="{00000000-0006-0000-0D00-000001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belum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6" authorId="0" shapeId="0" xr:uid="{00000000-0006-0000-0E00-000001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next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CV ASIA ARSITEK</author>
  </authors>
  <commentList>
    <comment ref="B4" authorId="0" shapeId="0" xr:uid="{00000000-0006-0000-1000-000001000000}">
      <text>
        <r>
          <rPr>
            <b/>
            <sz val="9"/>
            <color indexed="81"/>
            <rFont val="Tahoma"/>
            <family val="2"/>
          </rPr>
          <t>CV ASIA ARSITEK:</t>
        </r>
        <r>
          <rPr>
            <sz val="9"/>
            <color indexed="81"/>
            <rFont val="Tahoma"/>
            <family val="2"/>
          </rPr>
          <t xml:space="preserve">
MASUKKAN PANJANG DINDING CAT EKSTERIOR DIKALI TINGGI DINDING. MISAL "=15*4"</t>
        </r>
      </text>
    </comment>
    <comment ref="B5" authorId="0" shapeId="0" xr:uid="{00000000-0006-0000-1000-000002000000}">
      <text>
        <r>
          <rPr>
            <b/>
            <sz val="9"/>
            <color indexed="81"/>
            <rFont val="Tahoma"/>
            <family val="2"/>
          </rPr>
          <t>CV ASIA ARSITEK:</t>
        </r>
        <r>
          <rPr>
            <sz val="9"/>
            <color indexed="81"/>
            <rFont val="Tahoma"/>
            <family val="2"/>
          </rPr>
          <t xml:space="preserve">
MASUKKAN PANJANG DINDING WATERPROOFING DIKALI TINGGI DINDING. Misal "=15*4"</t>
        </r>
      </text>
    </comment>
    <comment ref="B6" authorId="0" shapeId="0" xr:uid="{00000000-0006-0000-1000-000003000000}">
      <text>
        <r>
          <rPr>
            <b/>
            <sz val="9"/>
            <color indexed="81"/>
            <rFont val="Tahoma"/>
            <family val="2"/>
          </rPr>
          <t>CV ASIA ARSITEK:</t>
        </r>
        <r>
          <rPr>
            <sz val="9"/>
            <color indexed="81"/>
            <rFont val="Tahoma"/>
            <family val="2"/>
          </rPr>
          <t xml:space="preserve">
MASUKKAN TINGGI DINDING. MISAL "4"</t>
        </r>
      </text>
    </comment>
    <comment ref="B10" authorId="0" shapeId="0" xr:uid="{00000000-0006-0000-1000-000004000000}">
      <text>
        <r>
          <rPr>
            <b/>
            <sz val="9"/>
            <color indexed="81"/>
            <rFont val="Tahoma"/>
            <family val="2"/>
          </rPr>
          <t>CV ASIA ARSITEK:</t>
        </r>
        <r>
          <rPr>
            <sz val="9"/>
            <color indexed="81"/>
            <rFont val="Tahoma"/>
            <family val="2"/>
          </rPr>
          <t xml:space="preserve">
MASUKKAN LUAS LUBANG PINTU GARASI (JIKA ADA GARASI)</t>
        </r>
      </text>
    </comment>
    <comment ref="A12" authorId="0" shapeId="0" xr:uid="{00000000-0006-0000-1000-000005000000}">
      <text>
        <r>
          <rPr>
            <b/>
            <sz val="9"/>
            <color indexed="81"/>
            <rFont val="Tahoma"/>
            <family val="2"/>
          </rPr>
          <t>CV ASIA ARSITEK:</t>
        </r>
        <r>
          <rPr>
            <sz val="9"/>
            <color indexed="81"/>
            <rFont val="Tahoma"/>
            <family val="2"/>
          </rPr>
          <t xml:space="preserve">
MASUKKAN PANJANG DINDING YG TINGGINYA SEPERTI KOTAK "A6"
</t>
        </r>
      </text>
    </comment>
    <comment ref="A15" authorId="0" shapeId="0" xr:uid="{00000000-0006-0000-1000-000006000000}">
      <text>
        <r>
          <rPr>
            <b/>
            <sz val="9"/>
            <color indexed="81"/>
            <rFont val="Tahoma"/>
            <family val="2"/>
          </rPr>
          <t>CV ASIA ARSITEK:</t>
        </r>
        <r>
          <rPr>
            <sz val="9"/>
            <color indexed="81"/>
            <rFont val="Tahoma"/>
            <family val="2"/>
          </rPr>
          <t xml:space="preserve">
MASUKKAN PANJANG DINDING YG LEBIH RENDAH DARI TINGGI "A6"</t>
        </r>
      </text>
    </comment>
    <comment ref="A16" authorId="0" shapeId="0" xr:uid="{00000000-0006-0000-1000-000007000000}">
      <text>
        <r>
          <rPr>
            <b/>
            <sz val="9"/>
            <color indexed="81"/>
            <rFont val="Tahoma"/>
            <family val="2"/>
          </rPr>
          <t>CV ASIA ARSITEK:</t>
        </r>
        <r>
          <rPr>
            <sz val="9"/>
            <color indexed="81"/>
            <rFont val="Tahoma"/>
            <family val="2"/>
          </rPr>
          <t xml:space="preserve">
MASUKKAN TINGGI DINDINGNYA BERAPA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CV ASIA ARSITEK</author>
  </authors>
  <commentList>
    <comment ref="A26" authorId="0" shapeId="0" xr:uid="{00000000-0006-0000-1100-000001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ok</t>
        </r>
      </text>
    </comment>
    <comment ref="C29" authorId="1" shapeId="0" xr:uid="{00000000-0006-0000-1100-000002000000}">
      <text>
        <r>
          <rPr>
            <b/>
            <sz val="9"/>
            <color indexed="81"/>
            <rFont val="Tahoma"/>
            <family val="2"/>
          </rPr>
          <t>CV ASIA ARSITEK:</t>
        </r>
        <r>
          <rPr>
            <sz val="9"/>
            <color indexed="81"/>
            <rFont val="Tahoma"/>
            <family val="2"/>
          </rPr>
          <t xml:space="preserve">
ISI NAMA, MISAL "P1"</t>
        </r>
      </text>
    </comment>
    <comment ref="E29" authorId="1" shapeId="0" xr:uid="{00000000-0006-0000-1100-000003000000}">
      <text>
        <r>
          <rPr>
            <b/>
            <sz val="9"/>
            <color indexed="81"/>
            <rFont val="Tahoma"/>
            <family val="2"/>
          </rPr>
          <t>CV ASIA ARSITEK:</t>
        </r>
        <r>
          <rPr>
            <sz val="9"/>
            <color indexed="81"/>
            <rFont val="Tahoma"/>
            <family val="2"/>
          </rPr>
          <t xml:space="preserve">
JIKA PINTU ALUMUNIUM/UPVC, HITUNGLAH KELILING PINTU (meter).
JIKA PINTU KAYU, HITUNGLAH LUAS PINTU (m2)</t>
        </r>
      </text>
    </comment>
    <comment ref="F29" authorId="1" shapeId="0" xr:uid="{00000000-0006-0000-1100-000004000000}">
      <text>
        <r>
          <rPr>
            <b/>
            <sz val="9"/>
            <color indexed="81"/>
            <rFont val="Tahoma"/>
            <family val="2"/>
          </rPr>
          <t>CV ASIA ARSITEK:</t>
        </r>
        <r>
          <rPr>
            <sz val="9"/>
            <color indexed="81"/>
            <rFont val="Tahoma"/>
            <family val="2"/>
          </rPr>
          <t xml:space="preserve">
MASUKKAN KELILING DAUN JENDELA</t>
        </r>
      </text>
    </comment>
    <comment ref="H29" authorId="1" shapeId="0" xr:uid="{00000000-0006-0000-1100-000005000000}">
      <text>
        <r>
          <rPr>
            <b/>
            <sz val="9"/>
            <color indexed="81"/>
            <rFont val="Tahoma"/>
            <family val="2"/>
          </rPr>
          <t>CV ASIA ARSITEK:</t>
        </r>
        <r>
          <rPr>
            <sz val="9"/>
            <color indexed="81"/>
            <rFont val="Tahoma"/>
            <family val="2"/>
          </rPr>
          <t xml:space="preserve">
MASUKKAN LUAS KACA</t>
        </r>
      </text>
    </comment>
    <comment ref="K29" authorId="1" shapeId="0" xr:uid="{00000000-0006-0000-1100-000006000000}">
      <text>
        <r>
          <rPr>
            <b/>
            <sz val="9"/>
            <color indexed="81"/>
            <rFont val="Tahoma"/>
            <family val="2"/>
          </rPr>
          <t>CV ASIA ARSITEK:</t>
        </r>
        <r>
          <rPr>
            <sz val="9"/>
            <color indexed="81"/>
            <rFont val="Tahoma"/>
            <family val="2"/>
          </rPr>
          <t xml:space="preserve">
MASUKKAN LUAS TRALIS BESI KUSEN (JIKA ADA)</t>
        </r>
      </text>
    </comment>
    <comment ref="L29" authorId="1" shapeId="0" xr:uid="{00000000-0006-0000-1100-000007000000}">
      <text>
        <r>
          <rPr>
            <b/>
            <sz val="9"/>
            <color indexed="81"/>
            <rFont val="Tahoma"/>
            <family val="2"/>
          </rPr>
          <t>CV ASIA ARSITEK:</t>
        </r>
        <r>
          <rPr>
            <sz val="9"/>
            <color indexed="81"/>
            <rFont val="Tahoma"/>
            <family val="2"/>
          </rPr>
          <t xml:space="preserve">
MASUKKAN PANJANG PROFILAN KUSEN (meter) JIKA ADA</t>
        </r>
      </text>
    </comment>
    <comment ref="N29" authorId="1" shapeId="0" xr:uid="{00000000-0006-0000-1100-000008000000}">
      <text>
        <r>
          <rPr>
            <b/>
            <sz val="9"/>
            <color indexed="81"/>
            <rFont val="Tahoma"/>
            <family val="2"/>
          </rPr>
          <t>CV ASIA ARSITEK:</t>
        </r>
        <r>
          <rPr>
            <sz val="9"/>
            <color indexed="81"/>
            <rFont val="Tahoma"/>
            <family val="2"/>
          </rPr>
          <t xml:space="preserve">
SETIAP KOTAK DI BAGIAN INI, DIISI DENGAN JUMLAH AKSESORISNYA</t>
        </r>
      </text>
    </comment>
    <comment ref="AO29" authorId="1" shapeId="0" xr:uid="{00000000-0006-0000-1100-000009000000}">
      <text>
        <r>
          <rPr>
            <b/>
            <sz val="9"/>
            <color indexed="81"/>
            <rFont val="Tahoma"/>
            <family val="2"/>
          </rPr>
          <t>CV ASIA ARSITEK:</t>
        </r>
        <r>
          <rPr>
            <sz val="9"/>
            <color indexed="81"/>
            <rFont val="Tahoma"/>
            <family val="2"/>
          </rPr>
          <t xml:space="preserve">
INI ADALAH OTOMATIS</t>
        </r>
      </text>
    </comment>
    <comment ref="AR29" authorId="1" shapeId="0" xr:uid="{00000000-0006-0000-1100-00000A000000}">
      <text>
        <r>
          <rPr>
            <b/>
            <sz val="9"/>
            <color indexed="81"/>
            <rFont val="Tahoma"/>
            <family val="2"/>
          </rPr>
          <t>CV ASIA ARSITEK:</t>
        </r>
        <r>
          <rPr>
            <sz val="9"/>
            <color indexed="81"/>
            <rFont val="Tahoma"/>
            <family val="2"/>
          </rPr>
          <t xml:space="preserve">
PADA BAGIAN INI, MASUKKAN KODE ANGKA YG ADA DI TABEL ATAS (WARNA HIJAU) SESUAI SPESIFIKASI KUSEN</t>
        </r>
      </text>
    </comment>
    <comment ref="BH29" authorId="1" shapeId="0" xr:uid="{00000000-0006-0000-1100-00000B000000}">
      <text>
        <r>
          <rPr>
            <b/>
            <sz val="9"/>
            <color indexed="81"/>
            <rFont val="Tahoma"/>
            <family val="2"/>
          </rPr>
          <t>CV ASIA ARSITEK:</t>
        </r>
        <r>
          <rPr>
            <sz val="9"/>
            <color indexed="81"/>
            <rFont val="Tahoma"/>
            <family val="2"/>
          </rPr>
          <t xml:space="preserve">
OTOMATIS</t>
        </r>
      </text>
    </comment>
    <comment ref="C30" authorId="1" shapeId="0" xr:uid="{00000000-0006-0000-1100-00000C000000}">
      <text>
        <r>
          <rPr>
            <b/>
            <sz val="9"/>
            <color indexed="81"/>
            <rFont val="Tahoma"/>
            <family val="2"/>
          </rPr>
          <t>CV ASIA ARSITEK:</t>
        </r>
        <r>
          <rPr>
            <sz val="9"/>
            <color indexed="81"/>
            <rFont val="Tahoma"/>
            <family val="2"/>
          </rPr>
          <t xml:space="preserve">
ISI NAMA. MISAL "P2"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CV ASIA ARSITEK</author>
  </authors>
  <commentList>
    <comment ref="B1" authorId="0" shapeId="0" xr:uid="{00000000-0006-0000-1200-000001000000}">
      <text>
        <r>
          <rPr>
            <b/>
            <sz val="9"/>
            <color indexed="81"/>
            <rFont val="Tahoma"/>
            <family val="2"/>
          </rPr>
          <t>CV ASIA ARSITEK:</t>
        </r>
        <r>
          <rPr>
            <sz val="9"/>
            <color indexed="81"/>
            <rFont val="Tahoma"/>
            <family val="2"/>
          </rPr>
          <t xml:space="preserve">
ISI KETINGGIAN LANTAI DALAM METER. (misal: 4)</t>
        </r>
      </text>
    </comment>
    <comment ref="B2" authorId="0" shapeId="0" xr:uid="{00000000-0006-0000-1200-000002000000}">
      <text>
        <r>
          <rPr>
            <b/>
            <sz val="9"/>
            <color indexed="81"/>
            <rFont val="Tahoma"/>
            <family val="2"/>
          </rPr>
          <t>CV ASIA ARSITEK:</t>
        </r>
        <r>
          <rPr>
            <sz val="9"/>
            <color indexed="81"/>
            <rFont val="Tahoma"/>
            <family val="2"/>
          </rPr>
          <t xml:space="preserve">
ISI KETINGGIAN PLAFOND DALAM METER. (misal: 3,2)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CV ASIA ARSITEK</author>
    <author>IDC PC-01</author>
  </authors>
  <commentList>
    <comment ref="A1" authorId="0" shapeId="0" xr:uid="{00000000-0006-0000-1300-000001000000}">
      <text>
        <r>
          <rPr>
            <b/>
            <sz val="9"/>
            <color indexed="81"/>
            <rFont val="Tahoma"/>
            <family val="2"/>
          </rPr>
          <t>CV ASIA ARSITEK:</t>
        </r>
        <r>
          <rPr>
            <sz val="9"/>
            <color indexed="81"/>
            <rFont val="Tahoma"/>
            <family val="2"/>
          </rPr>
          <t xml:space="preserve">
INI ADALAH TABEL BANTUAN INSTALASI LISTRIK</t>
        </r>
      </text>
    </comment>
    <comment ref="B2" authorId="0" shapeId="0" xr:uid="{00000000-0006-0000-1300-000002000000}">
      <text>
        <r>
          <rPr>
            <b/>
            <sz val="9"/>
            <color indexed="81"/>
            <rFont val="Tahoma"/>
            <family val="2"/>
          </rPr>
          <t>CV ASIA ARSITEK:</t>
        </r>
        <r>
          <rPr>
            <sz val="9"/>
            <color indexed="81"/>
            <rFont val="Tahoma"/>
            <family val="2"/>
          </rPr>
          <t xml:space="preserve">
INI ADALAH DAYA WATT</t>
        </r>
      </text>
    </comment>
    <comment ref="B4" authorId="0" shapeId="0" xr:uid="{00000000-0006-0000-1300-000003000000}">
      <text>
        <r>
          <rPr>
            <b/>
            <sz val="9"/>
            <color indexed="81"/>
            <rFont val="Tahoma"/>
            <family val="2"/>
          </rPr>
          <t>CV ASIA ARSITEK:</t>
        </r>
        <r>
          <rPr>
            <sz val="9"/>
            <color indexed="81"/>
            <rFont val="Tahoma"/>
            <family val="2"/>
          </rPr>
          <t xml:space="preserve">
PADA BAGIAN INI, MASUKKAN MASING-MASING JUMLAHNYA. SETIAP LANTAI</t>
        </r>
      </text>
    </comment>
    <comment ref="AK4" authorId="0" shapeId="0" xr:uid="{00000000-0006-0000-1300-000004000000}">
      <text>
        <r>
          <rPr>
            <b/>
            <sz val="9"/>
            <color indexed="81"/>
            <rFont val="Tahoma"/>
            <family val="2"/>
          </rPr>
          <t>CV ASIA ARSITEK:</t>
        </r>
        <r>
          <rPr>
            <sz val="9"/>
            <color indexed="81"/>
            <rFont val="Tahoma"/>
            <family val="2"/>
          </rPr>
          <t xml:space="preserve">
INI ADALAH HASIL MCB YG DIGUNAKAN</t>
        </r>
      </text>
    </comment>
    <comment ref="AS4" authorId="0" shapeId="0" xr:uid="{00000000-0006-0000-1300-000005000000}">
      <text>
        <r>
          <rPr>
            <b/>
            <sz val="9"/>
            <color indexed="81"/>
            <rFont val="Tahoma"/>
            <family val="2"/>
          </rPr>
          <t>CV ASIA ARSITEK:</t>
        </r>
        <r>
          <rPr>
            <sz val="9"/>
            <color indexed="81"/>
            <rFont val="Tahoma"/>
            <family val="2"/>
          </rPr>
          <t xml:space="preserve">
MASUKKAN JUMLAH SAKLAR</t>
        </r>
      </text>
    </comment>
    <comment ref="AZ4" authorId="0" shapeId="0" xr:uid="{00000000-0006-0000-1300-000006000000}">
      <text>
        <r>
          <rPr>
            <b/>
            <sz val="9"/>
            <color indexed="81"/>
            <rFont val="Tahoma"/>
            <family val="2"/>
          </rPr>
          <t>CV ASIA ARSITEK:</t>
        </r>
        <r>
          <rPr>
            <sz val="9"/>
            <color indexed="81"/>
            <rFont val="Tahoma"/>
            <family val="2"/>
          </rPr>
          <t xml:space="preserve">
MASUKKAN JUMLAH SAKLAR YG DIGUNAKAN UNTUK LAMPU OUTDOOR</t>
        </r>
      </text>
    </comment>
    <comment ref="AU10" authorId="1" shapeId="0" xr:uid="{00000000-0006-0000-1300-000007000000}">
      <text>
        <r>
          <rPr>
            <b/>
            <sz val="9"/>
            <color indexed="81"/>
            <rFont val="Tahoma"/>
            <family val="2"/>
          </rPr>
          <t>IDC PC-01:</t>
        </r>
        <r>
          <rPr>
            <sz val="9"/>
            <color indexed="81"/>
            <rFont val="Tahoma"/>
            <family val="2"/>
          </rPr>
          <t xml:space="preserve">
selalu cek dengan data</t>
        </r>
      </text>
    </comment>
    <comment ref="AS11" authorId="0" shapeId="0" xr:uid="{00000000-0006-0000-1300-000008000000}">
      <text>
        <r>
          <rPr>
            <b/>
            <sz val="9"/>
            <color indexed="81"/>
            <rFont val="Tahoma"/>
            <family val="2"/>
          </rPr>
          <t>CV ASIA ARSITEK:</t>
        </r>
        <r>
          <rPr>
            <sz val="9"/>
            <color indexed="81"/>
            <rFont val="Tahoma"/>
            <family val="2"/>
          </rPr>
          <t xml:space="preserve">
INI ADALAH HASIL BERSIH PANJANG KABEL. GUNAKAN UNTUK MENGISI BOQ INSTALASI LISTRIK</t>
        </r>
      </text>
    </comment>
    <comment ref="AU11" authorId="1" shapeId="0" xr:uid="{00000000-0006-0000-1300-000009000000}">
      <text>
        <r>
          <rPr>
            <b/>
            <sz val="9"/>
            <color indexed="81"/>
            <rFont val="Tahoma"/>
            <family val="2"/>
          </rPr>
          <t>IDC PC-01:</t>
        </r>
        <r>
          <rPr>
            <sz val="9"/>
            <color indexed="81"/>
            <rFont val="Tahoma"/>
            <family val="2"/>
          </rPr>
          <t xml:space="preserve">
belum</t>
        </r>
      </text>
    </comment>
    <comment ref="AX11" authorId="0" shapeId="0" xr:uid="{00000000-0006-0000-1300-00000A000000}">
      <text>
        <r>
          <rPr>
            <b/>
            <sz val="9"/>
            <color indexed="81"/>
            <rFont val="Tahoma"/>
            <family val="2"/>
          </rPr>
          <t>CV ASIA ARSITEK:</t>
        </r>
        <r>
          <rPr>
            <sz val="9"/>
            <color indexed="81"/>
            <rFont val="Tahoma"/>
            <family val="2"/>
          </rPr>
          <t xml:space="preserve">
MASUKKAN PANJANG KABEL (KOTOR) YG ADA DI GAMBAR ARSITEKTUR SAJA. TANPA TAMBAHAN. SOALNYA TAMBAHAN ITU SUDAH DIJUMLAHKAN DI TABEL WARNA KUNING</t>
        </r>
      </text>
    </comment>
    <comment ref="AS20" authorId="0" shapeId="0" xr:uid="{00000000-0006-0000-1300-00000B000000}">
      <text>
        <r>
          <rPr>
            <b/>
            <sz val="9"/>
            <color indexed="81"/>
            <rFont val="Tahoma"/>
            <family val="2"/>
          </rPr>
          <t>CV ASIA ARSITEK:</t>
        </r>
        <r>
          <rPr>
            <sz val="9"/>
            <color indexed="81"/>
            <rFont val="Tahoma"/>
            <family val="2"/>
          </rPr>
          <t xml:space="preserve">
KETINGGIAN PLAFOND, BISA DIUBAH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C286" authorId="0" shapeId="0" xr:uid="{00000000-0006-0000-1800-000001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pasang baja</t>
        </r>
      </text>
    </comment>
    <comment ref="C292" authorId="0" shapeId="0" xr:uid="{00000000-0006-0000-1800-000002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pasang baja</t>
        </r>
      </text>
    </comment>
    <comment ref="C298" authorId="0" shapeId="0" xr:uid="{00000000-0006-0000-1800-000003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pasang baja</t>
        </r>
      </text>
    </comment>
    <comment ref="C304" authorId="0" shapeId="0" xr:uid="{00000000-0006-0000-1800-000004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pasang baja</t>
        </r>
      </text>
    </comment>
  </commentList>
</comments>
</file>

<file path=xl/sharedStrings.xml><?xml version="1.0" encoding="utf-8"?>
<sst xmlns="http://schemas.openxmlformats.org/spreadsheetml/2006/main" count="18033" uniqueCount="3020">
  <si>
    <t>REKAPITULASI RENCANA ANGGARAN BIAYA</t>
  </si>
  <si>
    <t>Revisi 00</t>
  </si>
  <si>
    <t xml:space="preserve">Perihal </t>
  </si>
  <si>
    <t>Luas Kavling</t>
  </si>
  <si>
    <t>:</t>
  </si>
  <si>
    <t xml:space="preserve">Pekerjaan </t>
  </si>
  <si>
    <t>Bangunan</t>
  </si>
  <si>
    <t>Type</t>
  </si>
  <si>
    <t>Pemilik</t>
  </si>
  <si>
    <t>Lokasi</t>
  </si>
  <si>
    <t>Wilayah</t>
  </si>
  <si>
    <t>Jumlah Luas Bangunan</t>
  </si>
  <si>
    <t>No</t>
  </si>
  <si>
    <t xml:space="preserve">Uraian Pekerjaan </t>
  </si>
  <si>
    <t>Spesifikasi Ringkas</t>
  </si>
  <si>
    <t>Volume</t>
  </si>
  <si>
    <t>Sat</t>
  </si>
  <si>
    <t>I</t>
  </si>
  <si>
    <t>PEKERJAAN PERSIAPAN</t>
  </si>
  <si>
    <t>m²</t>
  </si>
  <si>
    <t>Biaya perijinan IMB</t>
  </si>
  <si>
    <t>ls</t>
  </si>
  <si>
    <t>m¹</t>
  </si>
  <si>
    <t>Air kerja dan Listrik Kerja</t>
  </si>
  <si>
    <t>Gudang material/direksi keet</t>
  </si>
  <si>
    <t>Balok - Kayu - Tripleks</t>
  </si>
  <si>
    <t xml:space="preserve">Keamanan proyek </t>
  </si>
  <si>
    <t>bln</t>
  </si>
  <si>
    <t>-</t>
  </si>
  <si>
    <t xml:space="preserve">Pembersihan &amp; buangan sampah proyek </t>
  </si>
  <si>
    <t>Biaya gambar kerja Shop Drawing</t>
  </si>
  <si>
    <t>Mobilisasi dan demobilisasi</t>
  </si>
  <si>
    <t xml:space="preserve">Sub total Pekerjaan Persiapan = </t>
  </si>
  <si>
    <t>II</t>
  </si>
  <si>
    <t>PEKERJAAN GALIAN TANAH + URUGAN</t>
  </si>
  <si>
    <t>m³</t>
  </si>
  <si>
    <t>tebal 10 cm</t>
  </si>
  <si>
    <t>Pemadatan urugan</t>
  </si>
  <si>
    <t>timbris</t>
  </si>
  <si>
    <t>Sub Total Pekerjaan Galian Tanah + Urugan =</t>
  </si>
  <si>
    <t>III</t>
  </si>
  <si>
    <t>PEKERJAAN STRUKTUR BETON BERTULANG</t>
  </si>
  <si>
    <t>A</t>
  </si>
  <si>
    <t>Lantai 1 &amp; Pondasi</t>
  </si>
  <si>
    <t>Lantai kerja bawah pondasi plat dan sloof</t>
  </si>
  <si>
    <t>&gt;beton poer</t>
  </si>
  <si>
    <t>&gt;tulangan poer</t>
  </si>
  <si>
    <t>kg</t>
  </si>
  <si>
    <t>&gt;bekisting poer</t>
  </si>
  <si>
    <t>triplek &amp; kaso</t>
  </si>
  <si>
    <t>&gt;beton sloof</t>
  </si>
  <si>
    <t>&gt;tulangan sloof</t>
  </si>
  <si>
    <t>&gt;bekisting sloof</t>
  </si>
  <si>
    <t xml:space="preserve">tripleks dengan kaso </t>
  </si>
  <si>
    <t>&gt;beton kolom</t>
  </si>
  <si>
    <t>&gt;tulangan kolom</t>
  </si>
  <si>
    <t>&gt;bekisting kolom</t>
  </si>
  <si>
    <t>tripleks dengan kaso</t>
  </si>
  <si>
    <t>Cor meja dapur</t>
  </si>
  <si>
    <t>Sub Total Pekerjaan Lantai 1 &amp; Pondasi =</t>
  </si>
  <si>
    <t>B</t>
  </si>
  <si>
    <t>Lantai 2</t>
  </si>
  <si>
    <t xml:space="preserve">Balok struktur induk dan anak </t>
  </si>
  <si>
    <t>&gt;beton balok</t>
  </si>
  <si>
    <t>&gt;tulangan balok</t>
  </si>
  <si>
    <t>&gt;bekisting balok</t>
  </si>
  <si>
    <t xml:space="preserve">Plat lantai </t>
  </si>
  <si>
    <t>&gt;beton plat</t>
  </si>
  <si>
    <t>&gt;tulangan plat</t>
  </si>
  <si>
    <t>&gt;bekisting plat</t>
  </si>
  <si>
    <t>Bondex 0.75 mm</t>
  </si>
  <si>
    <t>C</t>
  </si>
  <si>
    <t>Lantai Atap</t>
  </si>
  <si>
    <t>IV</t>
  </si>
  <si>
    <t>Lantai 1</t>
  </si>
  <si>
    <t>V</t>
  </si>
  <si>
    <t>PEKERJAAN ATAP</t>
  </si>
  <si>
    <t>sub total pekerjaan atap =</t>
  </si>
  <si>
    <t>VI</t>
  </si>
  <si>
    <t>PEKERJAAN KUSEN, PINTU DAN JENDELA</t>
  </si>
  <si>
    <t>unit</t>
  </si>
  <si>
    <t>Sub Total pekerjaan kusen,pintu dan jendela =</t>
  </si>
  <si>
    <t>VII</t>
  </si>
  <si>
    <t>PEKERJAAN INSTALASI AIR  &amp; SANITARI</t>
  </si>
  <si>
    <t>Pipa pvc dia 3" pemb.air kotor/Limbah/hujan</t>
  </si>
  <si>
    <t>Alat bantu lem, sok, keni dll</t>
  </si>
  <si>
    <t>Septictank dan resapan</t>
  </si>
  <si>
    <t>cor konvensional</t>
  </si>
  <si>
    <t>bh</t>
  </si>
  <si>
    <t>Closet duduk &amp; aksesoris</t>
  </si>
  <si>
    <t>shower Tanam Panas Dingin</t>
  </si>
  <si>
    <t>Kran leher angsa</t>
  </si>
  <si>
    <t>Sink Dapur</t>
  </si>
  <si>
    <t>Floor drain stainless steel km/wc</t>
  </si>
  <si>
    <t>sub total pekerjaan instalasi Air &amp; SANITARI =</t>
  </si>
  <si>
    <t>VIII</t>
  </si>
  <si>
    <t>PEKERJAAN PLAFOND</t>
  </si>
  <si>
    <t>IX</t>
  </si>
  <si>
    <t>PEKERJAAN KERAMIK LANTAI &amp; DINDING</t>
  </si>
  <si>
    <t>Pasangan keramik Lantai 1</t>
  </si>
  <si>
    <t>m3</t>
  </si>
  <si>
    <t>X</t>
  </si>
  <si>
    <t>PEKERJAAN INSTALASI LISTRIK</t>
  </si>
  <si>
    <t>Bok sekering 12 group</t>
  </si>
  <si>
    <t>Kabel toevoer 4x10</t>
  </si>
  <si>
    <t>Kabel Eterna NYM 3x2,5, Include Pipa</t>
  </si>
  <si>
    <t>Kabel Eterna NYM 3x1,5, Include Pipa</t>
  </si>
  <si>
    <t>Lampu Downlight</t>
  </si>
  <si>
    <t>Stop kontak</t>
  </si>
  <si>
    <t>Ex Broco/setara</t>
  </si>
  <si>
    <t>Stop kontak AC</t>
  </si>
  <si>
    <t>Saklar Single</t>
  </si>
  <si>
    <t>Saklar Double</t>
  </si>
  <si>
    <t>sub total pekerjaan Instalasi Listrik =</t>
  </si>
  <si>
    <t>Instalasi Telepon + Instalasi TV</t>
  </si>
  <si>
    <t>Sub Total Pekerjaan Instalasi Telepon + Instalasi TV =</t>
  </si>
  <si>
    <t>XI</t>
  </si>
  <si>
    <t>PEKERJAAN PENGECATAN</t>
  </si>
  <si>
    <t xml:space="preserve">Cat dinding dalam interior </t>
  </si>
  <si>
    <t>Cat dinding luar eksterior</t>
  </si>
  <si>
    <t>Cat plafond gypsum</t>
  </si>
  <si>
    <t>Cat list gypsum</t>
  </si>
  <si>
    <t>XII</t>
  </si>
  <si>
    <t>PEKERJAAN LAIN-LAIN</t>
  </si>
  <si>
    <t>Ls</t>
  </si>
  <si>
    <t>Pembuatan Taman</t>
  </si>
  <si>
    <t>Rumput dengan tanaman hias</t>
  </si>
  <si>
    <t>Sub Total Pekerjaan Lain - Lain =</t>
  </si>
  <si>
    <t>1 m' Pasang kusen pintu/jendela alluminium warna 3"</t>
  </si>
  <si>
    <t>m'</t>
  </si>
  <si>
    <t>Skrup fixer</t>
  </si>
  <si>
    <t>Sealant</t>
  </si>
  <si>
    <t>Oh</t>
  </si>
  <si>
    <t>Pekerja</t>
  </si>
  <si>
    <t>Tukang kayu</t>
  </si>
  <si>
    <t>Kepala tukang</t>
  </si>
  <si>
    <t>Mandor</t>
  </si>
  <si>
    <t>1 M3 Kusen Pintu &amp; jendela kayu Kamper Samarinda</t>
  </si>
  <si>
    <t>Kayu Balok Kamper Samarinda</t>
  </si>
  <si>
    <t>Tukang Kayu</t>
  </si>
  <si>
    <t>Kepala Tukang</t>
  </si>
  <si>
    <t xml:space="preserve">Profil alluminium  T </t>
  </si>
  <si>
    <t>tube</t>
  </si>
  <si>
    <t>M3</t>
  </si>
  <si>
    <t>Kayu Papan Kamper Samarinda</t>
  </si>
  <si>
    <t>Kg</t>
  </si>
  <si>
    <t>Paku Biasa 2" - 5"</t>
  </si>
  <si>
    <t>m2</t>
  </si>
  <si>
    <t>Paku Biasa ½" - 1"</t>
  </si>
  <si>
    <t>Ltr</t>
  </si>
  <si>
    <t>Lem Kayu</t>
  </si>
  <si>
    <t>Lbr</t>
  </si>
  <si>
    <t>ps</t>
  </si>
  <si>
    <t>P1</t>
  </si>
  <si>
    <t>set</t>
  </si>
  <si>
    <t>P2</t>
  </si>
  <si>
    <t>Upah Pasang</t>
  </si>
  <si>
    <t>No.</t>
  </si>
  <si>
    <t>URAIAN PEKERJAAN</t>
  </si>
  <si>
    <t>JUMLAH HARGA</t>
  </si>
  <si>
    <t>JUMLAH HARGA TOTAL</t>
  </si>
  <si>
    <t>Rp.</t>
  </si>
  <si>
    <t>Pekerjaan Dinding</t>
  </si>
  <si>
    <t xml:space="preserve"> </t>
  </si>
  <si>
    <t>TOTAL =</t>
  </si>
  <si>
    <t>PPN / TAX =</t>
  </si>
  <si>
    <t>by Owner</t>
  </si>
  <si>
    <t>GRAND TOTAL =</t>
  </si>
  <si>
    <t>ROUNDED =</t>
  </si>
  <si>
    <t>Pipa pvc dia 1" pemb.air AC</t>
  </si>
  <si>
    <t xml:space="preserve">Steger Alat Bantu Kerja </t>
  </si>
  <si>
    <t>m1</t>
  </si>
  <si>
    <t>B3</t>
  </si>
  <si>
    <t>B2</t>
  </si>
  <si>
    <t>B4</t>
  </si>
  <si>
    <t>RB</t>
  </si>
  <si>
    <t>Kran air dia 1/2''</t>
  </si>
  <si>
    <t>Pipa pvc dia 4" pemb.air kotor/Limbah/hujan</t>
  </si>
  <si>
    <t>P3</t>
  </si>
  <si>
    <t xml:space="preserve">Roof Drain Stainless Steel Talang Dak </t>
  </si>
  <si>
    <t>Bathtub</t>
  </si>
  <si>
    <t>ex.Toto  T23B13</t>
  </si>
  <si>
    <t>ex. Toto TX1BN</t>
  </si>
  <si>
    <t xml:space="preserve">Lampu Gantung </t>
  </si>
  <si>
    <t>Pipa pvc dia 1/2" air Bersih</t>
  </si>
  <si>
    <t>Pipa pvc dia 3/4" air Bersih</t>
  </si>
  <si>
    <t>Pipa pvc dia 6" pemb.air kotor/Limbah/hujan</t>
  </si>
  <si>
    <t>B1</t>
  </si>
  <si>
    <t>B5</t>
  </si>
  <si>
    <t>Pekerjaan Pagar Sementara Seng Gelombang</t>
  </si>
  <si>
    <t>t = 2 m</t>
  </si>
  <si>
    <t>Pengukuran dan Pasng Bouwplank</t>
  </si>
  <si>
    <t>Pembuatan Kantor Sementara</t>
  </si>
  <si>
    <t>adukan pasir &amp; semen</t>
  </si>
  <si>
    <t>Pembuatan Bedeng Buruh</t>
  </si>
  <si>
    <t>Bongkaran Beton Bertulang</t>
  </si>
  <si>
    <t>Bongkaran Dinding Tembok Bata Merah</t>
  </si>
  <si>
    <t>Galian Tanah Manual Strauspile dia-30 cm</t>
  </si>
  <si>
    <t>Pekerjaan Urugan Sirtu</t>
  </si>
  <si>
    <t>Galian Tanah Biasa</t>
  </si>
  <si>
    <t>Toto CE7</t>
  </si>
  <si>
    <t>Closet Jongkok &amp; aksesoris</t>
  </si>
  <si>
    <t xml:space="preserve">Pipa PPR dia 1/2" </t>
  </si>
  <si>
    <t>Ariston</t>
  </si>
  <si>
    <t>Toto PPY1710HPWE</t>
  </si>
  <si>
    <t>Kabel Coaxial 5V-2C</t>
  </si>
  <si>
    <t xml:space="preserve">Pemasangan Penangkal Petir </t>
  </si>
  <si>
    <t xml:space="preserve">Splitzen 1x30cm </t>
  </si>
  <si>
    <t xml:space="preserve">Lampu Sorot Tempel </t>
  </si>
  <si>
    <t>ex Dulux setara</t>
  </si>
  <si>
    <t>A.  ANALISA HARGA SATUAN PEKERJAAN PERSIAPAN</t>
  </si>
  <si>
    <t>URAIAN</t>
  </si>
  <si>
    <t>SATUAN</t>
  </si>
  <si>
    <t>VOLUME</t>
  </si>
  <si>
    <t>HARGA SATUAN</t>
  </si>
  <si>
    <t>HARGA</t>
  </si>
  <si>
    <t>(Rp)</t>
  </si>
  <si>
    <t>A-01</t>
  </si>
  <si>
    <t>1 M' Pagar Sementara Seng Gelombang Tinggi 2 m</t>
  </si>
  <si>
    <t>Dolken Kayu Ø 8-10 / 400 cm</t>
  </si>
  <si>
    <t>Btg</t>
  </si>
  <si>
    <t>Semen Tiga Roda</t>
  </si>
  <si>
    <t>Seng Gelombang BJLS-30</t>
  </si>
  <si>
    <t>Pasir beton Cilegon</t>
  </si>
  <si>
    <t>Split Beton 2/3</t>
  </si>
  <si>
    <t>Kayu balok 5/7/3 Albasia</t>
  </si>
  <si>
    <t>Paku Biasa 2"-5"</t>
  </si>
  <si>
    <t>Meni Besi</t>
  </si>
  <si>
    <t>Jumlah</t>
  </si>
  <si>
    <t xml:space="preserve">Dibulatkan    </t>
  </si>
  <si>
    <t>A-02</t>
  </si>
  <si>
    <t>1 M2 Pengukuran Dan Pasang Bouwplank</t>
  </si>
  <si>
    <t>Kayu papan albasia 2/20/3</t>
  </si>
  <si>
    <t>A-03</t>
  </si>
  <si>
    <t>1 M2 Pembuatan Kantor Sementara dgn Lantai Diplester</t>
  </si>
  <si>
    <t>Kayu Balok 5/7/4 Meranti</t>
  </si>
  <si>
    <t>Besi Strip</t>
  </si>
  <si>
    <t>Pasir Pasang Putih Rangkas</t>
  </si>
  <si>
    <t>Bata Merah</t>
  </si>
  <si>
    <t>Bh</t>
  </si>
  <si>
    <t>M2</t>
  </si>
  <si>
    <t>Kawat harmonika</t>
  </si>
  <si>
    <t>Kaca Polos 3mm</t>
  </si>
  <si>
    <t>Kunci Tanam Lokal</t>
  </si>
  <si>
    <t>Plywood 120 x 240 x 0,4 cm</t>
  </si>
  <si>
    <t>Tukang Batu</t>
  </si>
  <si>
    <t>A-04</t>
  </si>
  <si>
    <t>1 M2 Pembuatan Gudang Semen dan Alat-alat</t>
  </si>
  <si>
    <t>Seng Gelombang BJLS 30</t>
  </si>
  <si>
    <t>A-05</t>
  </si>
  <si>
    <t>1 M2 Pembuatan Bedeng Buruh</t>
  </si>
  <si>
    <t>A-06</t>
  </si>
  <si>
    <t>1 M2 Membersihkan Lapangan dan Perataan</t>
  </si>
  <si>
    <t>A-07</t>
  </si>
  <si>
    <t>1 M3 Bongkaran Beton Bertulang</t>
  </si>
  <si>
    <t>A-08</t>
  </si>
  <si>
    <t>1 M3 Bongkaran Dinding Tembok Bata Merah</t>
  </si>
  <si>
    <t xml:space="preserve">Pekerja </t>
  </si>
  <si>
    <t>A-09</t>
  </si>
  <si>
    <t>1 M2 Steiger Werk / perancah dari Bambu</t>
  </si>
  <si>
    <t>Bambu Ø 6 - 10 (600) cm</t>
  </si>
  <si>
    <t>btng</t>
  </si>
  <si>
    <t>Tali ijuk</t>
  </si>
  <si>
    <t>org</t>
  </si>
  <si>
    <t>B.  ANALISA HARGA SATUAN PEKERJAAN TANAH</t>
  </si>
  <si>
    <t>B-01</t>
  </si>
  <si>
    <t>1 M3 Galian Tanah Biasa sedalam 1 m</t>
  </si>
  <si>
    <t>B-02</t>
  </si>
  <si>
    <t>1 M3 Galian Tanah Biasa Sedalam 2 m</t>
  </si>
  <si>
    <t>B-03</t>
  </si>
  <si>
    <t>1 M1 Galian Tanah Manual Strauspile dia - 30 cm</t>
  </si>
  <si>
    <t>Upah</t>
  </si>
  <si>
    <t>B-04</t>
  </si>
  <si>
    <t>1 M1 Galian Tanah mesin minicrane Strauspile dia - 30 cm</t>
  </si>
  <si>
    <t>B-05</t>
  </si>
  <si>
    <t>1 M3 Pembuangan Tanah sejauh 150 m</t>
  </si>
  <si>
    <t>B-06</t>
  </si>
  <si>
    <t>1 M3 Urugan Kembali</t>
  </si>
  <si>
    <t>B-07</t>
  </si>
  <si>
    <t>1 M3 Pemadatan Tanah</t>
  </si>
  <si>
    <t>B-08</t>
  </si>
  <si>
    <t>1 M3 Urugaan Pasir</t>
  </si>
  <si>
    <t>Pasir Urug Cilegon</t>
  </si>
  <si>
    <t>B-09</t>
  </si>
  <si>
    <t>1 M3 Urugan Sirtu</t>
  </si>
  <si>
    <t>Sirtu</t>
  </si>
  <si>
    <t>B-10</t>
  </si>
  <si>
    <t>1 M3 Urugan Tanah Pilihan</t>
  </si>
  <si>
    <t>Tanah urug pilihan</t>
  </si>
  <si>
    <t>C.  ANALISA HARGA SATUAN PEKERJAAN PONDASI</t>
  </si>
  <si>
    <t>C-01</t>
  </si>
  <si>
    <t>1 M3 Pasang Pondasi Batu kali adk 1pc : 5ps</t>
  </si>
  <si>
    <t>Batu Belah</t>
  </si>
  <si>
    <t>C-02</t>
  </si>
  <si>
    <t>1 M3 Pasang Pondasi Batu Kosong (aanstamping)</t>
  </si>
  <si>
    <t>C-03</t>
  </si>
  <si>
    <t>1 Titik Pemasangan Straus pile (30x30) cm kedalaman 3 meter</t>
  </si>
  <si>
    <t>Besi Beton 16 mm ulir isi 5bh</t>
  </si>
  <si>
    <t>Besi Beton 8 mm polos</t>
  </si>
  <si>
    <t>Kawat Bendrat</t>
  </si>
  <si>
    <t>Air</t>
  </si>
  <si>
    <t>ltr</t>
  </si>
  <si>
    <t>Tukang Besi</t>
  </si>
  <si>
    <t>Kepala Tukang Besi</t>
  </si>
  <si>
    <t>C-04</t>
  </si>
  <si>
    <t>1 Titik Pemasangan Straus pile (30x30) cm kedalaman 6 meter</t>
  </si>
  <si>
    <t>C-05</t>
  </si>
  <si>
    <r>
      <t xml:space="preserve">1 M' Memancang Tiang Pancang </t>
    </r>
    <r>
      <rPr>
        <b/>
        <sz val="10"/>
        <color indexed="8"/>
        <rFont val="Times New Roman"/>
        <family val="1"/>
      </rPr>
      <t xml:space="preserve"> Beton Tulang</t>
    </r>
  </si>
  <si>
    <t>Crawler crane lengkap</t>
  </si>
  <si>
    <t>jam</t>
  </si>
  <si>
    <t>C-06</t>
  </si>
  <si>
    <t>1 Buah  Memotong Tiang Pancang  (40x40) cm Beton Tulang</t>
  </si>
  <si>
    <t>Alat bantu</t>
  </si>
  <si>
    <t>lot</t>
  </si>
  <si>
    <t>C-07</t>
  </si>
  <si>
    <t>1 M'  Menyambung Tiang Pancang Beton Bertulang</t>
  </si>
  <si>
    <t>Besi pelat</t>
  </si>
  <si>
    <t>Besi beton</t>
  </si>
  <si>
    <t>Kawat las</t>
  </si>
  <si>
    <t>Tukang las</t>
  </si>
  <si>
    <t>Pembantu tukang las</t>
  </si>
  <si>
    <t>Mesin las</t>
  </si>
  <si>
    <t>D.  ANALISA HARGA SATUAN PEKERJAAN BETON</t>
  </si>
  <si>
    <t>D-01</t>
  </si>
  <si>
    <t>1 Kg Pembesian Dengan Besi Polos/ulir</t>
  </si>
  <si>
    <t>Besi Beton ( Polos / Ulir )</t>
  </si>
  <si>
    <t>Kawat Beton</t>
  </si>
  <si>
    <t>D-02</t>
  </si>
  <si>
    <t>1 M2 Pembesian Weirmesh M8</t>
  </si>
  <si>
    <t>Weirmesh M8</t>
  </si>
  <si>
    <t>Kawat Las</t>
  </si>
  <si>
    <t>D-03</t>
  </si>
  <si>
    <t>1 M2 Pasang Bekesting Untuk Pondasi Pile Cap</t>
  </si>
  <si>
    <t>Balok Kayu 5/7 Kelas III</t>
  </si>
  <si>
    <t>Plywood Tebal 9 mm</t>
  </si>
  <si>
    <t>Minyak Bekisting</t>
  </si>
  <si>
    <t>D-04</t>
  </si>
  <si>
    <t>1 M2 Pasang Bekesting Untuk Pondasi</t>
  </si>
  <si>
    <t>D-05</t>
  </si>
  <si>
    <t>1 M2 Pasang Bekisting Untuk Sloof</t>
  </si>
  <si>
    <t>D-06</t>
  </si>
  <si>
    <t>1 M2 Pasang Bekesting Untuk Kolom</t>
  </si>
  <si>
    <t>Dolken  Ø-8-10/4m</t>
  </si>
  <si>
    <t>D-07</t>
  </si>
  <si>
    <t>1 M2 Pasang Bekesting Untuk Balok</t>
  </si>
  <si>
    <t>Balok Kayu Kelas III</t>
  </si>
  <si>
    <t>D-08</t>
  </si>
  <si>
    <t>1 M2 Pasang Bekesting Untuk Lantai</t>
  </si>
  <si>
    <t>D-09</t>
  </si>
  <si>
    <t>1 M2 Pasang Bekesting Untuk Tangga</t>
  </si>
  <si>
    <t>D-10</t>
  </si>
  <si>
    <t>1 M2 Pasang Bekesting Untuk Dinding</t>
  </si>
  <si>
    <t>Formite/spacer</t>
  </si>
  <si>
    <t>Buah</t>
  </si>
  <si>
    <t>D-11</t>
  </si>
  <si>
    <t>1 M2 Pasang Bondex</t>
  </si>
  <si>
    <t>Bondex</t>
  </si>
  <si>
    <t>Kawal Las</t>
  </si>
  <si>
    <t>Tukang Las</t>
  </si>
  <si>
    <t>D-12</t>
  </si>
  <si>
    <t>1 M3 Membuat Beton Cor Mutu K-200</t>
  </si>
  <si>
    <t>Pasir Beton Cilegon</t>
  </si>
  <si>
    <t>D-13</t>
  </si>
  <si>
    <t>1 M3 Membuat Beton Cor Mutu K-225</t>
  </si>
  <si>
    <t>D-14</t>
  </si>
  <si>
    <t>1 M3 Membuat Beton Cor Mutu K-250</t>
  </si>
  <si>
    <t>D-15</t>
  </si>
  <si>
    <t>1 M3 Membuat Beton Cor Mutu K-275</t>
  </si>
  <si>
    <t>D-16</t>
  </si>
  <si>
    <t>1 M3 Membuat Beton Cor Mutu K-300</t>
  </si>
  <si>
    <t>D-17</t>
  </si>
  <si>
    <t>1 M3 Ready mix Beton Cor Mutu K-200</t>
  </si>
  <si>
    <t>Beton K 200 Jaya Mix</t>
  </si>
  <si>
    <t>Sewa Pompa Beton</t>
  </si>
  <si>
    <t>D-18</t>
  </si>
  <si>
    <t>1 M3 Ready mix Beton Cor Mutu K-250</t>
  </si>
  <si>
    <t>Beton K 250 Jaya Mix</t>
  </si>
  <si>
    <t>D-19</t>
  </si>
  <si>
    <t>1 M3 Ready mix Beton Cor Mutu K-300</t>
  </si>
  <si>
    <t>Beton K 300 Jaya Mix</t>
  </si>
  <si>
    <t>E.  ANALISA HARGA SATUAN PEKERJAAN DINDING</t>
  </si>
  <si>
    <t>E-01</t>
  </si>
  <si>
    <t>1 M2 Pasang Bata Merah Tebal 1 Bata, 1pc : 3ps (TRASRAM)</t>
  </si>
  <si>
    <t>E-02</t>
  </si>
  <si>
    <t>1 M2 Pasang Bata Merah Tebal 1 Bata, 1pc : 5ps</t>
  </si>
  <si>
    <t>E-03</t>
  </si>
  <si>
    <t>1 M2 Pasang Bata Merah Tebal 1/2 Bata, 1pc : 3ps (TRASRAM)</t>
  </si>
  <si>
    <t>E-04</t>
  </si>
  <si>
    <t>1 M2 Pasang Bata Merah Tebal 1/2 Bata, 1pc : 5ps</t>
  </si>
  <si>
    <t>E-05</t>
  </si>
  <si>
    <t>1 M2 Pasang Dinding Roster Beton 20 x 20 adk 1pc : 4ps</t>
  </si>
  <si>
    <t xml:space="preserve">Roster / Terawang </t>
  </si>
  <si>
    <t>E-06</t>
  </si>
  <si>
    <t>1 M2 Pasang Dinding BATA RINGAN (10cm)</t>
  </si>
  <si>
    <t>Bata Ringan Lokal T 10 cm</t>
  </si>
  <si>
    <t>Semen MU perekat bata ringan</t>
  </si>
  <si>
    <t>Zak</t>
  </si>
  <si>
    <t>E-07</t>
  </si>
  <si>
    <t>1 M2 Pasang Dinding BATA RINGAN (7cm)</t>
  </si>
  <si>
    <t>Bata Ringan Lokal T 7 cm</t>
  </si>
  <si>
    <t>E-08</t>
  </si>
  <si>
    <t>Semen warna</t>
  </si>
  <si>
    <t>Tukang batu</t>
  </si>
  <si>
    <t>E-09</t>
  </si>
  <si>
    <t>1 M2 Dinding Keramik Kamar Mandi dan area service 30 x 30 cm Setara Mulia</t>
  </si>
  <si>
    <t>Keramik 30 x 30 cm setara Mulia</t>
  </si>
  <si>
    <t>E-10</t>
  </si>
  <si>
    <t>E-11</t>
  </si>
  <si>
    <t>E-12</t>
  </si>
  <si>
    <t>E-13</t>
  </si>
  <si>
    <t>E-14</t>
  </si>
  <si>
    <t>1 M2 Wall paper</t>
  </si>
  <si>
    <t>Wall paper</t>
  </si>
  <si>
    <t xml:space="preserve">Lem   </t>
  </si>
  <si>
    <t>E-15</t>
  </si>
  <si>
    <t>1 M2 Dinding Pemisah  GRC t = 4 mm + rangka besi hollow</t>
  </si>
  <si>
    <t>Hollow 4/4 Zincromate</t>
  </si>
  <si>
    <t>Hollow 2/4 Zincromate</t>
  </si>
  <si>
    <t>GRC ( 120 x 240 x 4 ) mm</t>
  </si>
  <si>
    <t>Paku GRC</t>
  </si>
  <si>
    <t>Ramset / dina bolt</t>
  </si>
  <si>
    <t>Cotton plaster</t>
  </si>
  <si>
    <t>Compoun</t>
  </si>
  <si>
    <t>E-16</t>
  </si>
  <si>
    <t>1 M2 Dinding Pemisah Gypsum t = 9 mm + rangka besi hollow</t>
  </si>
  <si>
    <t>Gypsum (120x240x9) mm</t>
  </si>
  <si>
    <t>Sekrup Gypsum</t>
  </si>
  <si>
    <t>E-17</t>
  </si>
  <si>
    <t>1 M2 Dinding Pemisah  Plywood t = 9 mm + rangka besi hollow</t>
  </si>
  <si>
    <t>Plywood 120 x 240,  9  mm</t>
  </si>
  <si>
    <t xml:space="preserve">Paku </t>
  </si>
  <si>
    <t>E-18</t>
  </si>
  <si>
    <t>1 M2 Pasang Dinding Glass Block 20 x 20 adk 1pc : 4ps</t>
  </si>
  <si>
    <t>Glass block 20 x 20</t>
  </si>
  <si>
    <t xml:space="preserve">                F.  ANALISA HARGA SATUAN PEKERJAAN PLESTERAN</t>
  </si>
  <si>
    <t>F-01</t>
  </si>
  <si>
    <t>1 M2 Plesteran adk. 1pc : 3ps Tebal 15 mm</t>
  </si>
  <si>
    <t>F-02</t>
  </si>
  <si>
    <t>1 M2 Acian Plesteran</t>
  </si>
  <si>
    <t xml:space="preserve">Tukang batu </t>
  </si>
  <si>
    <t>G.  ANALISA HARGA SATUAN PEKERJAAN PENUTUP ATAP</t>
  </si>
  <si>
    <t>G-01</t>
  </si>
  <si>
    <t>1 M2 Pasang Atap Genteng Keramik setara Kanmuri Flat</t>
  </si>
  <si>
    <t>Genteng Kanmuri Flat Natural</t>
  </si>
  <si>
    <t>G-02</t>
  </si>
  <si>
    <t>1 M2 Pasang Atap Genteng Keramik Berglazur setara Kanmuri Milano</t>
  </si>
  <si>
    <t>Genteng Kanmuri Milano Natural</t>
  </si>
  <si>
    <t>G-03</t>
  </si>
  <si>
    <t>1 M' Pasang Genteng Bubung Kanmuri Flat</t>
  </si>
  <si>
    <t>Genteng bubung Kanmuri Flat</t>
  </si>
  <si>
    <t>G-04</t>
  </si>
  <si>
    <t>1 M' Pasang Genteng Bubung Kanmuri Glazur Milano</t>
  </si>
  <si>
    <t>Genteng bubung Kanmuri Milano</t>
  </si>
  <si>
    <t>Pasir pasang putih rangkas</t>
  </si>
  <si>
    <t>G-05</t>
  </si>
  <si>
    <t>1 M2 Pasang Roof Alderon (  180 x 90  ) cm</t>
  </si>
  <si>
    <t>Alderon</t>
  </si>
  <si>
    <t>Sekrup</t>
  </si>
  <si>
    <t>G-06</t>
  </si>
  <si>
    <t>1 M2 Pasang Atap Asbes Gelombang (  3,00 x 1,05 m  ) x 4 mm</t>
  </si>
  <si>
    <t>Asbes gelombang</t>
  </si>
  <si>
    <t>Paku Payung</t>
  </si>
  <si>
    <t>G-07</t>
  </si>
  <si>
    <t>1 M¹ Pasang Nok Stel Gelombang 1,05 m</t>
  </si>
  <si>
    <t>Nok stel gelombang</t>
  </si>
  <si>
    <t>G-08</t>
  </si>
  <si>
    <t>1 M2 Pasang Atap Genteng Beton setara Cisangkan</t>
  </si>
  <si>
    <t>Genteng beton Cisangkan Victoria</t>
  </si>
  <si>
    <t>Paku biasa 2" - 5"</t>
  </si>
  <si>
    <t>G-09</t>
  </si>
  <si>
    <t>1 M¹ Pasang Nok Genteng Beton</t>
  </si>
  <si>
    <t>Nok genteng beton</t>
  </si>
  <si>
    <t>G-10</t>
  </si>
  <si>
    <t>1 M2 Pasang Atap Genteng Metal Pasir Kwarsa</t>
  </si>
  <si>
    <t>Genteng metal pasir kwarsa</t>
  </si>
  <si>
    <t>G-11</t>
  </si>
  <si>
    <t>1 M¹ Pasang Nok Genteng Metal</t>
  </si>
  <si>
    <t>Nok genteng metal</t>
  </si>
  <si>
    <t>G-12</t>
  </si>
  <si>
    <t>1 M2 Pasang Atap Seng Gelombang</t>
  </si>
  <si>
    <t xml:space="preserve">Seng gelombang </t>
  </si>
  <si>
    <t>G-13</t>
  </si>
  <si>
    <t>1 M2 Pasang Atap Nok Seng</t>
  </si>
  <si>
    <t>Seng plat 3" x 6" BJLS 30</t>
  </si>
  <si>
    <t>G-14</t>
  </si>
  <si>
    <t>1 M2 Pasang Alluminium Foil / Sisalation</t>
  </si>
  <si>
    <t>Sisalation / alluminium foil</t>
  </si>
  <si>
    <t>G-15</t>
  </si>
  <si>
    <t>1 M2 Pasang Atap Alluminium Natural (SPANDEKS)</t>
  </si>
  <si>
    <t xml:space="preserve">Atap Alumunium Natural USR 26 </t>
  </si>
  <si>
    <t>Paku hak panjang 15 cm</t>
  </si>
  <si>
    <t>G-16</t>
  </si>
  <si>
    <t>1 M2 Pasang Nok Alluminium</t>
  </si>
  <si>
    <t>Nok standar</t>
  </si>
  <si>
    <t>G-17</t>
  </si>
  <si>
    <t>1 M' Pasang  Lisplank GRC ukuran 30 cm</t>
  </si>
  <si>
    <t>GRC</t>
  </si>
  <si>
    <t>G-18</t>
  </si>
  <si>
    <t>1 M2 Waterproofing dengan Screed tebal 3 cm</t>
  </si>
  <si>
    <t>G-19</t>
  </si>
  <si>
    <t>1 M2 Waterproofing dengan Coating</t>
  </si>
  <si>
    <t>Pre Treatment / cleaning</t>
  </si>
  <si>
    <t>Curbing Sudut</t>
  </si>
  <si>
    <t>M'</t>
  </si>
  <si>
    <t>Sika Water Proofing 107 Seal + cairan</t>
  </si>
  <si>
    <t>G-20</t>
  </si>
  <si>
    <t>1 M2 Waterproofing dengan Membrane</t>
  </si>
  <si>
    <t>Sika BituSeal 130 SG + membrane</t>
  </si>
  <si>
    <t>H.  ANALISA HARGA SATUAN PEKERJAAN PENUTUP LANGIT-LANGIT</t>
  </si>
  <si>
    <t>H-01</t>
  </si>
  <si>
    <t>1 M2 Langit-langit Akustik ( 60 x 120 ) cm + Rangka Alluminium</t>
  </si>
  <si>
    <t>Profil Alluminium "T"</t>
  </si>
  <si>
    <t>M¹</t>
  </si>
  <si>
    <r>
      <t xml:space="preserve">Kawat </t>
    </r>
    <r>
      <rPr>
        <sz val="10"/>
        <color indexed="8"/>
        <rFont val="Symbol"/>
        <family val="1"/>
        <charset val="2"/>
      </rPr>
      <t>f</t>
    </r>
    <r>
      <rPr>
        <sz val="10"/>
        <color indexed="8"/>
        <rFont val="Times New Roman"/>
        <family val="1"/>
      </rPr>
      <t xml:space="preserve"> 4 mm</t>
    </r>
  </si>
  <si>
    <t xml:space="preserve">Akustik 600 x 1200 </t>
  </si>
  <si>
    <t>H-02</t>
  </si>
  <si>
    <t>1 M2 Langit-langit Gypsum Board, tebal 9 mm + rangka besi hollow</t>
  </si>
  <si>
    <t>Gypsum board ( 120 x 240 x 9 ) mm</t>
  </si>
  <si>
    <t>Sekrup gypsum</t>
  </si>
  <si>
    <t>Kawat Pengait</t>
  </si>
  <si>
    <t>H-03</t>
  </si>
  <si>
    <t>Sekrup GRC</t>
  </si>
  <si>
    <t>H-04</t>
  </si>
  <si>
    <t>1 M¹ List Langit-langit Gypsum 10 cm</t>
  </si>
  <si>
    <t>List gypsum</t>
  </si>
  <si>
    <t>Tepung gypsum</t>
  </si>
  <si>
    <t>I-01</t>
  </si>
  <si>
    <t>I-02</t>
  </si>
  <si>
    <t>I-03</t>
  </si>
  <si>
    <t>I-04</t>
  </si>
  <si>
    <t>Plint Keramik kasar 10x50 setara Roman</t>
  </si>
  <si>
    <t>I-05</t>
  </si>
  <si>
    <t>I-06</t>
  </si>
  <si>
    <t>1 M2 Lantai Marmer Alam Setara Ujung Pandang</t>
  </si>
  <si>
    <t>Marmer slab</t>
  </si>
  <si>
    <t>Pasir pasang</t>
  </si>
  <si>
    <t>I-07</t>
  </si>
  <si>
    <t>1 M¹ Plint Marmer Alam setara Ujung Pandang</t>
  </si>
  <si>
    <t>Plint Marmer alam</t>
  </si>
  <si>
    <t>I-08</t>
  </si>
  <si>
    <t>1 M2 Lantai Parquet Jati</t>
  </si>
  <si>
    <t>Lem</t>
  </si>
  <si>
    <t>I-09</t>
  </si>
  <si>
    <t>1 M2 Paving block natural 6 cm</t>
  </si>
  <si>
    <t>Paving block natural</t>
  </si>
  <si>
    <t>I-10</t>
  </si>
  <si>
    <t>1 M2 Grass Block 20 x 20</t>
  </si>
  <si>
    <t>Grass block</t>
  </si>
  <si>
    <t>J.  ANALISA HARGA SATUAN PEKERJAAN KAYU</t>
  </si>
  <si>
    <t>J-01</t>
  </si>
  <si>
    <t>J-02</t>
  </si>
  <si>
    <t>1 M2 Pintu Panel Kayu Kamper Samarinda</t>
  </si>
  <si>
    <t>J-03</t>
  </si>
  <si>
    <t>1 M2 Pintu Triplek Rangkap, Rangka Tertutup Kayu Kamper Samarinda</t>
  </si>
  <si>
    <t>Ply wood 120 x 240 x 0,4 cm</t>
  </si>
  <si>
    <t xml:space="preserve">     K.  ANALISA HARGA SATUAN PEKERJAAN PENUTUP BESI &amp; ALLUMINIUM</t>
  </si>
  <si>
    <t>SAT</t>
  </si>
  <si>
    <t>HARGA SAT</t>
  </si>
  <si>
    <t>K-01</t>
  </si>
  <si>
    <t>1 Cm Pengelasan dengan las listrik</t>
  </si>
  <si>
    <t>kawat las</t>
  </si>
  <si>
    <t>Sewa alat</t>
  </si>
  <si>
    <t xml:space="preserve">Kepala Tukang </t>
  </si>
  <si>
    <t>K-02</t>
  </si>
  <si>
    <t>1 m2 Pintu Rolling Door</t>
  </si>
  <si>
    <t>Rolling door</t>
  </si>
  <si>
    <t xml:space="preserve">Tukang besi </t>
  </si>
  <si>
    <t>K-03</t>
  </si>
  <si>
    <t>1 m2 Pintu Alluminium  Natural</t>
  </si>
  <si>
    <t>Pintu alluminium natural</t>
  </si>
  <si>
    <t>K-04</t>
  </si>
  <si>
    <t>1 m2 Teralis Besi</t>
  </si>
  <si>
    <t>Besi strip 2 x 3</t>
  </si>
  <si>
    <t>K-05</t>
  </si>
  <si>
    <t>1 m2 Kawat Harmonika 4 cm</t>
  </si>
  <si>
    <t>Paku biasa ½" - 1"</t>
  </si>
  <si>
    <t>Kayu papan kelas III</t>
  </si>
  <si>
    <t>K-06</t>
  </si>
  <si>
    <t>1 m' Talang Datar, Seng BJLS 28 lebar 90 cm</t>
  </si>
  <si>
    <t>Seng plat 3' x 6' BJLS 30</t>
  </si>
  <si>
    <t>Flincote / meni besi</t>
  </si>
  <si>
    <t>K-07</t>
  </si>
  <si>
    <t>1 m' Talang Miring, Seng BJLS 28 lebar 90 cm</t>
  </si>
  <si>
    <t>K-08</t>
  </si>
  <si>
    <t>1 m' Talang 1/2 lingkaran D-15 cm, seng pelat BJLS 28 lebar 90 cm</t>
  </si>
  <si>
    <t>Besi strip</t>
  </si>
  <si>
    <t>K-09</t>
  </si>
  <si>
    <t>1 m' Pasang kusen pintu/jendela alluminium warna 4"</t>
  </si>
  <si>
    <t>Alumunium profil warna 4"</t>
  </si>
  <si>
    <t>K-10</t>
  </si>
  <si>
    <t>Alumunium profil warna 3"</t>
  </si>
  <si>
    <t>K-11</t>
  </si>
  <si>
    <t>K-12</t>
  </si>
  <si>
    <t>1 m2 Pasang Pintu alluminium strip lebar 8 cm</t>
  </si>
  <si>
    <t>Alumunium profil 4" natural</t>
  </si>
  <si>
    <t>Alumunium strip 6mm</t>
  </si>
  <si>
    <t>K-13</t>
  </si>
  <si>
    <r>
      <t xml:space="preserve">1 m2 Pintu lipat </t>
    </r>
    <r>
      <rPr>
        <b/>
        <i/>
        <sz val="10"/>
        <rFont val="Times New Roman"/>
        <family val="1"/>
      </rPr>
      <t>(folding door)</t>
    </r>
    <r>
      <rPr>
        <b/>
        <sz val="10"/>
        <rFont val="Times New Roman"/>
        <family val="1"/>
      </rPr>
      <t>bahan besi</t>
    </r>
  </si>
  <si>
    <t>Pintu lipat</t>
  </si>
  <si>
    <t>K-14</t>
  </si>
  <si>
    <r>
      <t xml:space="preserve">1 m2 Tirai </t>
    </r>
    <r>
      <rPr>
        <b/>
        <i/>
        <sz val="10"/>
        <rFont val="Times New Roman"/>
        <family val="1"/>
      </rPr>
      <t>(venetions blinds and vertical blinds)</t>
    </r>
  </si>
  <si>
    <t>Tirai</t>
  </si>
  <si>
    <t>L.  ANALISA HARGA SATUAN PEKERJAAN KUNCI &amp; KACA</t>
  </si>
  <si>
    <t>L-01</t>
  </si>
  <si>
    <t>1 Buah Pasang Kunci  setara Solid</t>
  </si>
  <si>
    <t>Kunci tanam setara Solid</t>
  </si>
  <si>
    <t>L-02</t>
  </si>
  <si>
    <t>1 Buah Pasang Kunci Tanam  setara Solid</t>
  </si>
  <si>
    <t>Kunci tanam biasa setara Solid</t>
  </si>
  <si>
    <t>L-03</t>
  </si>
  <si>
    <t xml:space="preserve">1 Buah Pasang Kunci Grendel Jendela </t>
  </si>
  <si>
    <t>Kunci Grendel Jendela</t>
  </si>
  <si>
    <t>L-04</t>
  </si>
  <si>
    <t>1 Buah Pasang Engsel Jendela Kupu-kupu setara Solid</t>
  </si>
  <si>
    <t>Engsel jendela setara Solid 3"</t>
  </si>
  <si>
    <t>L-05</t>
  </si>
  <si>
    <t>1 Buah Pasang Engsel Jendela Casement</t>
  </si>
  <si>
    <t>Engsel jendela Casement</t>
  </si>
  <si>
    <t>L-06</t>
  </si>
  <si>
    <t>1 Buah Pasang Engsel Pintu Kupu-kupu setara Solid</t>
  </si>
  <si>
    <t>Engsel jendela setara Solid 4"</t>
  </si>
  <si>
    <t>L-07</t>
  </si>
  <si>
    <t>1 Buah Pasang Kait Angin</t>
  </si>
  <si>
    <t>Kait angin</t>
  </si>
  <si>
    <t>L-08</t>
  </si>
  <si>
    <t>1 Buah Pasang Door Closer</t>
  </si>
  <si>
    <t>Door closer</t>
  </si>
  <si>
    <t>L-09</t>
  </si>
  <si>
    <t>1 Buah Pasang Pegangan Pintu / Door Holder</t>
  </si>
  <si>
    <t>Door holder</t>
  </si>
  <si>
    <t>L-10</t>
  </si>
  <si>
    <t>1 M2 Pasang Kaca , tebal 3 mm</t>
  </si>
  <si>
    <t>Kaca Clear</t>
  </si>
  <si>
    <t>L-11</t>
  </si>
  <si>
    <t>L-12</t>
  </si>
  <si>
    <t>1 Buah Pasang Handle Single setara Solid</t>
  </si>
  <si>
    <t>Handle Single setara Solid</t>
  </si>
  <si>
    <t>L-13</t>
  </si>
  <si>
    <t>1 Buah Pasang Handle Double setara Solid</t>
  </si>
  <si>
    <t>Handle Double setara Solid</t>
  </si>
  <si>
    <t>M. PEKERJAAN SANITASI</t>
  </si>
  <si>
    <t>M-01</t>
  </si>
  <si>
    <t>1 Buah Closet jongkok setara TOTO CE 7</t>
  </si>
  <si>
    <t>Closet jongkok TOTO CE 7</t>
  </si>
  <si>
    <t>Pasir pasang putih Rangkas</t>
  </si>
  <si>
    <t xml:space="preserve">Jumlah         </t>
  </si>
  <si>
    <t>M-02</t>
  </si>
  <si>
    <t>1 Buah Closet Duduk setara TOTO CW 421</t>
  </si>
  <si>
    <t>Closet duduk TOTO CW 421</t>
  </si>
  <si>
    <t>Perlengkapan 6 % harga closet</t>
  </si>
  <si>
    <t>M-03</t>
  </si>
  <si>
    <t xml:space="preserve"> 1 Buah Urinoir setara TOTO U 57M</t>
  </si>
  <si>
    <t>Urinoir  TOTO U 57M</t>
  </si>
  <si>
    <t>Perlengkapan 30 % harga urinoir</t>
  </si>
  <si>
    <t>M-04</t>
  </si>
  <si>
    <t>1 Buah Wastafel setara TOTO LW 240 CJ Kecil</t>
  </si>
  <si>
    <t>wastafel setara TOTO LW 247 CJ</t>
  </si>
  <si>
    <t>Perlengkapan 12 % harga wastafel</t>
  </si>
  <si>
    <t>M-05</t>
  </si>
  <si>
    <t>1 Buah Wastafel setara TOTO LW 824 CJ Beton</t>
  </si>
  <si>
    <t>wastafel Setara TOTO LW 824 CJ</t>
  </si>
  <si>
    <t>M-06</t>
  </si>
  <si>
    <t>1 Buah bak Mandi Fibreglass Volume 0,30 m3</t>
  </si>
  <si>
    <t>Bak fibreglass 0.60m x 0.60m</t>
  </si>
  <si>
    <t>Perlengkapan 18 % harga bak</t>
  </si>
  <si>
    <t>M-07</t>
  </si>
  <si>
    <t>1 M' Saluran Air Limbah Buis beton d = 30 cm - 60 cm (SELOKAN AIR GOT)</t>
  </si>
  <si>
    <t>Buis beton  Ø  30 cm</t>
  </si>
  <si>
    <t>Bata merah</t>
  </si>
  <si>
    <t xml:space="preserve">Pasir urug </t>
  </si>
  <si>
    <t>M-08</t>
  </si>
  <si>
    <t>1 Buah Bak Kontrol Pas Bata Merah Uk (60 x 60) cm</t>
  </si>
  <si>
    <t xml:space="preserve">Besi beton </t>
  </si>
  <si>
    <t>Pasir beton</t>
  </si>
  <si>
    <t>Tukang gali</t>
  </si>
  <si>
    <t>M-09</t>
  </si>
  <si>
    <t>1 Buah Bak Kontrol Pas Bata Merah Uk (30 x 30) cm</t>
  </si>
  <si>
    <t>M-10</t>
  </si>
  <si>
    <t>1 M' Pipa PVC Ø 1/2" (AW)</t>
  </si>
  <si>
    <t>Pipa pvc Ø 1/2"</t>
  </si>
  <si>
    <t>Perlengkapan 35 % harga pipa</t>
  </si>
  <si>
    <t>M-11</t>
  </si>
  <si>
    <t>1 M' Pipa PVC Ø 1" (AW)</t>
  </si>
  <si>
    <t>Pipa pvc Ø 1"</t>
  </si>
  <si>
    <t>M-12</t>
  </si>
  <si>
    <t>M-13</t>
  </si>
  <si>
    <t>1 M' Pipa PVC Ø 2" (AW)</t>
  </si>
  <si>
    <t>Pipa pvc Ø 2"</t>
  </si>
  <si>
    <t>M-14</t>
  </si>
  <si>
    <t>1 M' Pipa PVC Ø 4" (AW)</t>
  </si>
  <si>
    <t>Pipa pvc Ø 4"</t>
  </si>
  <si>
    <t>M-15</t>
  </si>
  <si>
    <t>1 M' Pipa PVC Ø 3/4" (AW)</t>
  </si>
  <si>
    <t>Pipa pvc Ø 3/4"</t>
  </si>
  <si>
    <t>M-16</t>
  </si>
  <si>
    <t>1 M' Pipa PPR Ø 1/2"</t>
  </si>
  <si>
    <t>Pipa PPR Ø 1/2"</t>
  </si>
  <si>
    <t>M-17</t>
  </si>
  <si>
    <t>1 M' Pipa PPR Ø 3/4"</t>
  </si>
  <si>
    <t>Pipa PPR Ø 3/4"</t>
  </si>
  <si>
    <t>M-18</t>
  </si>
  <si>
    <t>1 M' Pipa PPR Ø 1"</t>
  </si>
  <si>
    <t>M-19</t>
  </si>
  <si>
    <t>1 M' Pipa GIP Ø 1 1/2"</t>
  </si>
  <si>
    <t>Pipa GIP Ø 1 1/2"</t>
  </si>
  <si>
    <t>M-20</t>
  </si>
  <si>
    <t>1 Buah Bak Cuci piring Stainless steel (ZINK DAPUR)</t>
  </si>
  <si>
    <t>Bak cuci stainless steel + asesoris lengkap</t>
  </si>
  <si>
    <t>M-21</t>
  </si>
  <si>
    <t>1 Buah Kran Ø 1/2" - 3/4" setara TOTO  T23B13V7NB</t>
  </si>
  <si>
    <t>Kran air TOTO  T23B13V7NB</t>
  </si>
  <si>
    <t>Seal tape</t>
  </si>
  <si>
    <t>M-22</t>
  </si>
  <si>
    <t>1 Buah Kran Shower Ø 1/2" - 3/4" setara TOTO SET + Shower TX432SD</t>
  </si>
  <si>
    <t>Kran air TOTO SET + Shower TX432SD</t>
  </si>
  <si>
    <t>M-23</t>
  </si>
  <si>
    <t>1 Buah Floor Drain setara TOTO  TX1BN</t>
  </si>
  <si>
    <t>Floor drain  TX1BN</t>
  </si>
  <si>
    <t>M-24</t>
  </si>
  <si>
    <t>1 Buah Roof Drain setara San - Ei H01 4 inch</t>
  </si>
  <si>
    <t>Roof drain San - Ei H01 4 inch</t>
  </si>
  <si>
    <t>M-25</t>
  </si>
  <si>
    <t>1 M' Pasang Talang Plastik PVC U 15 cm (AW)</t>
  </si>
  <si>
    <t>Talang plastik PVC</t>
  </si>
  <si>
    <t>Perlengkapan 35 % harga talang</t>
  </si>
  <si>
    <t>M-26</t>
  </si>
  <si>
    <t>1 Buah Tangki Air fibreglass  Volume 1 m3 setara Penguin</t>
  </si>
  <si>
    <t>Bak fibreglass kapasitas 1 m3 setara Penguin</t>
  </si>
  <si>
    <t>Perlengkapan 6 % harga bak</t>
  </si>
  <si>
    <t>M-27</t>
  </si>
  <si>
    <t>1 Unit Septictank 2x1,50x1,50 m + Rembesan</t>
  </si>
  <si>
    <t>Galian tanah</t>
  </si>
  <si>
    <t>Pasir urug</t>
  </si>
  <si>
    <t>lantai kerja</t>
  </si>
  <si>
    <t>Pas bata adk 1pc : 3ps</t>
  </si>
  <si>
    <t>Pelat beton K-225</t>
  </si>
  <si>
    <t>Plesteran adk 1pc : 3ps</t>
  </si>
  <si>
    <t>Pipa PVC 4" jenis AW</t>
  </si>
  <si>
    <t>Pipa GIP 1 1/2"</t>
  </si>
  <si>
    <t>Galian tanah untuk rembesan</t>
  </si>
  <si>
    <t>Pas ijuk</t>
  </si>
  <si>
    <t>Urugan kerikil 3/5</t>
  </si>
  <si>
    <t>Pipa PVC 4" berlubang jenis AW</t>
  </si>
  <si>
    <t>Urugan dan perataan tanah</t>
  </si>
  <si>
    <t>M-28</t>
  </si>
  <si>
    <t>1 Buah Water Heater 9L setara Ariston</t>
  </si>
  <si>
    <t>Water Heater Ariston 9L</t>
  </si>
  <si>
    <t>Perlengkapan 6 % harga Water Heater</t>
  </si>
  <si>
    <t>M-29</t>
  </si>
  <si>
    <t>1 Buah Solar  Water Heater 300 L setara Solar Heat</t>
  </si>
  <si>
    <t>Solar Heat 300 L</t>
  </si>
  <si>
    <t>Perlengkapan 6 % harga Solar Heat</t>
  </si>
  <si>
    <t>M-30</t>
  </si>
  <si>
    <t>1 Buah Pasang Bathtub setara TOTO PPY1710HPWE</t>
  </si>
  <si>
    <t>Bathtub setara TOTO PPY1710HPWE</t>
  </si>
  <si>
    <t>Perlengkapan 35 % harga Bath tub TOTO</t>
  </si>
  <si>
    <t>M-31</t>
  </si>
  <si>
    <t>1 Buah Pasang Pompa setara grundfos</t>
  </si>
  <si>
    <t>Grundfos JD Basic 7 jet pump 60m</t>
  </si>
  <si>
    <t>Perlengkapan 35 % Pompa</t>
  </si>
  <si>
    <t>M-32</t>
  </si>
  <si>
    <t>1 Buah Pasang Shower Box</t>
  </si>
  <si>
    <t>Shower Box sliding</t>
  </si>
  <si>
    <t>Perlengkapan 35 % Shower Box</t>
  </si>
  <si>
    <t>N.  ANALISA HARGA SATUAN PEKERJAAN PENGECATAN</t>
  </si>
  <si>
    <t>N-01</t>
  </si>
  <si>
    <t>1 M2 Mengikis / Mengerok Permukaan Cat Tembok Lama</t>
  </si>
  <si>
    <t>Soda api</t>
  </si>
  <si>
    <t>N-02</t>
  </si>
  <si>
    <t>1 M2 Mendempul Dan Menggosok Kayu</t>
  </si>
  <si>
    <t xml:space="preserve">Dempul </t>
  </si>
  <si>
    <t>Minyak cat</t>
  </si>
  <si>
    <t>Batu apung</t>
  </si>
  <si>
    <t>Tukang cat</t>
  </si>
  <si>
    <t>N-03</t>
  </si>
  <si>
    <t>1 M2 Pengecatan Bidang Kayu Lama Setara Dulux</t>
  </si>
  <si>
    <t>Plamir</t>
  </si>
  <si>
    <t>Cat dasar</t>
  </si>
  <si>
    <t>Cat penutup 2x</t>
  </si>
  <si>
    <t>N-04</t>
  </si>
  <si>
    <t>1 M2 Pengecatan Bidang Kayu Baru Setara Dulux</t>
  </si>
  <si>
    <t>Cat meni</t>
  </si>
  <si>
    <t>Cat penutup 3x</t>
  </si>
  <si>
    <t>N-05</t>
  </si>
  <si>
    <t>1 M2 Pelaburan Bidang Kayu dengan Politur</t>
  </si>
  <si>
    <t>Politur</t>
  </si>
  <si>
    <t>Politur jadi</t>
  </si>
  <si>
    <t>Ampelas</t>
  </si>
  <si>
    <t>N-06</t>
  </si>
  <si>
    <t>1 M2 Pengecatan Tembok Baru INDOOR Setara ICI / Dulux</t>
  </si>
  <si>
    <t>Plamir tembok</t>
  </si>
  <si>
    <t>Cat penutup 2x setara ICI / Dulux</t>
  </si>
  <si>
    <t>N-07</t>
  </si>
  <si>
    <t>1 M2 Pengecatan Tembok Lama INDOOR Setara ICI / Dulux</t>
  </si>
  <si>
    <t>Cat penutup 2 x setara ICI / Dulux</t>
  </si>
  <si>
    <t>N-08</t>
  </si>
  <si>
    <t>1 M2 Pengecatan Tembok Baru OUTDOOR Setara ICI / Dulux</t>
  </si>
  <si>
    <t>N-09</t>
  </si>
  <si>
    <t>1 M2 Pengecatan Tembok Lama OUTDOOR Setara ICI / Dulux</t>
  </si>
  <si>
    <t>N-10</t>
  </si>
  <si>
    <t>1 M2 Pengecatan Plafond  ( 3x ) Setara ICI</t>
  </si>
  <si>
    <t>Cat tembok setara ICI / Dulux</t>
  </si>
  <si>
    <t>Rol cat</t>
  </si>
  <si>
    <t>Steger werk</t>
  </si>
  <si>
    <t xml:space="preserve">Tukang cat </t>
  </si>
  <si>
    <t>N-11</t>
  </si>
  <si>
    <t>1 M2 Memasang Wallpaper</t>
  </si>
  <si>
    <t>Wallpaper</t>
  </si>
  <si>
    <t>Lem Perekat</t>
  </si>
  <si>
    <t>N-12</t>
  </si>
  <si>
    <t>1 M2 Pengecatan Permukaan Baja dengan Meni Besi</t>
  </si>
  <si>
    <t>Meni besi</t>
  </si>
  <si>
    <t>Kuas 3"</t>
  </si>
  <si>
    <t>N-13</t>
  </si>
  <si>
    <t>1 M2 Pengecatan Permukaan Baja dengan Meni Besi dan Perancah</t>
  </si>
  <si>
    <t xml:space="preserve">Kayu perancah </t>
  </si>
  <si>
    <t>O. PEKERJAAN PENANAMAN POHON</t>
  </si>
  <si>
    <t>NO.</t>
  </si>
  <si>
    <t>KOEF</t>
  </si>
  <si>
    <t>SAT.</t>
  </si>
  <si>
    <t>HARGA SAT. (Rp)</t>
  </si>
  <si>
    <t>HARGA (Rp)</t>
  </si>
  <si>
    <t>O-01</t>
  </si>
  <si>
    <t>1 Lubang (70x70x70) cm, tanam pohon pelindung tinggi 2m</t>
  </si>
  <si>
    <t>Pupuk kandang</t>
  </si>
  <si>
    <t>krg</t>
  </si>
  <si>
    <t>Furadan</t>
  </si>
  <si>
    <t>Pohon pelindung</t>
  </si>
  <si>
    <t>O-02</t>
  </si>
  <si>
    <t>1 Lubang (70x70x70) cm, tanam bambu krisik/jepang</t>
  </si>
  <si>
    <t>Bambu krisik/jepang</t>
  </si>
  <si>
    <t>O-03</t>
  </si>
  <si>
    <t>1 Lubang (40x40x40) cm, tanam pohon perdu (polibag)</t>
  </si>
  <si>
    <t>Pohon perdu</t>
  </si>
  <si>
    <t>O-04</t>
  </si>
  <si>
    <t>1 M2 Tanam rumput gajah (silang papan catur)</t>
  </si>
  <si>
    <t>Rumput gajah mini</t>
  </si>
  <si>
    <t>P. PEKERJAAN ELEKTRIKAL</t>
  </si>
  <si>
    <t>P-01</t>
  </si>
  <si>
    <t>1 m' Instalasi Lampu dalam</t>
  </si>
  <si>
    <t>Kabel NYM 2,5x1,5 mm2 setara Eterna</t>
  </si>
  <si>
    <t>m</t>
  </si>
  <si>
    <t>Conduit pipa dia. 20 setara Clipsal</t>
  </si>
  <si>
    <t>Perlengkapan instalasi</t>
  </si>
  <si>
    <t>%</t>
  </si>
  <si>
    <t>Pembantu tukang listrik</t>
  </si>
  <si>
    <t>OH</t>
  </si>
  <si>
    <t>Tukang listrik</t>
  </si>
  <si>
    <t>Kepala tukang istrik</t>
  </si>
  <si>
    <t>P-02</t>
  </si>
  <si>
    <t>1 m' Instalasi Lampu Luar</t>
  </si>
  <si>
    <t>Kabel NYM 3x2,5 mm2 setara Eterna</t>
  </si>
  <si>
    <t>P-03</t>
  </si>
  <si>
    <t>1 m' Instalasi Stop Kontak</t>
  </si>
  <si>
    <t>P-04</t>
  </si>
  <si>
    <t>1 m' Instalasi Kabel Antena TV</t>
  </si>
  <si>
    <t>Kabel Coaxial 5V-2C setara Federa</t>
  </si>
  <si>
    <t>P-05</t>
  </si>
  <si>
    <t>1 m' Instalasi Kabel Telpon</t>
  </si>
  <si>
    <t>Kabel ITC 4x0,6 mm setara supreme</t>
  </si>
  <si>
    <t>P-06</t>
  </si>
  <si>
    <t>1 Unit Pemasangan Spilter</t>
  </si>
  <si>
    <t>Splitter 6 port</t>
  </si>
  <si>
    <t>P-07</t>
  </si>
  <si>
    <t>1 Set Pemasangan Penangkal Petir</t>
  </si>
  <si>
    <t>Splitzen 1x30cm 2unit</t>
  </si>
  <si>
    <t>AS/Arde 1 batang</t>
  </si>
  <si>
    <t>Kabel BC25 (15 Meter)</t>
  </si>
  <si>
    <t>Pengeboran Max (8 Meter)</t>
  </si>
  <si>
    <t>Pipa Pralon 1/2" (3 Unit)</t>
  </si>
  <si>
    <t>Free Instalasi</t>
  </si>
  <si>
    <t>P-08</t>
  </si>
  <si>
    <t>1 Bh Pemasangan Stop Kontak daya</t>
  </si>
  <si>
    <t>Stop Kontak 13A setara Broco</t>
  </si>
  <si>
    <t>P-09</t>
  </si>
  <si>
    <t>1 Bh Pemasangan Stop Kontak daya out bow dengan Tutup</t>
  </si>
  <si>
    <t>Stop Kontak Dengan Tutup</t>
  </si>
  <si>
    <t>P-10</t>
  </si>
  <si>
    <t>1 Bh Pemasangan Stop Kontak daya Lantai</t>
  </si>
  <si>
    <t>Stop Kontak Lantai</t>
  </si>
  <si>
    <t>P-11</t>
  </si>
  <si>
    <t>1 Bh Pemasangan Stop Kontak daya AC</t>
  </si>
  <si>
    <t>Stop Kontak AC</t>
  </si>
  <si>
    <t>P-12</t>
  </si>
  <si>
    <t>1 Bh Pemasangan Saklar Tunggal</t>
  </si>
  <si>
    <t>Saklar tunggal setara Broco</t>
  </si>
  <si>
    <t>P-13</t>
  </si>
  <si>
    <t>1 Bh Pemasangan Saklar Ganda</t>
  </si>
  <si>
    <t>Saklar Ganda setara Broco</t>
  </si>
  <si>
    <t>P-14</t>
  </si>
  <si>
    <t>1 Set Pemasangan Lampu Taman + Tiang</t>
  </si>
  <si>
    <t>Lampu Taman-SL26W</t>
  </si>
  <si>
    <t>P-15</t>
  </si>
  <si>
    <t>1 bh Pemasangan Lampu Downlight</t>
  </si>
  <si>
    <t>Lampu Down Light</t>
  </si>
  <si>
    <t>P-16</t>
  </si>
  <si>
    <t>1 bh Pemasangan Lampu Baret</t>
  </si>
  <si>
    <t>Lampu Baret</t>
  </si>
  <si>
    <t>P-17</t>
  </si>
  <si>
    <t>1 bh Pemasangan Lampu Sorot Tempel</t>
  </si>
  <si>
    <t>Lampu Sorot Tempel</t>
  </si>
  <si>
    <t>P-18</t>
  </si>
  <si>
    <t>1 bh Pemasangan Exhaust Fan</t>
  </si>
  <si>
    <t>Exhaust Fan</t>
  </si>
  <si>
    <t>P-19</t>
  </si>
  <si>
    <t>1 bh Pemasangan Antena TV UHF</t>
  </si>
  <si>
    <t>Antena TV UHF</t>
  </si>
  <si>
    <t xml:space="preserve">DAFTAR HARGA SATUAN BAHAN BANGUNAN </t>
  </si>
  <si>
    <t>NO</t>
  </si>
  <si>
    <t>MATERIAL</t>
  </si>
  <si>
    <t>SPESIFIKASI</t>
  </si>
  <si>
    <t>GAMBAR</t>
  </si>
  <si>
    <t>AGREGAT KASAR,BAHAN PEREKAT &amp; BAHAN JADINYA</t>
  </si>
  <si>
    <t>Pasir Urug</t>
  </si>
  <si>
    <t>Tanah Urug Pilihan</t>
  </si>
  <si>
    <t>Tanah Merah Campur</t>
  </si>
  <si>
    <t xml:space="preserve">Pasir Pasang </t>
  </si>
  <si>
    <t>Pasir Beton</t>
  </si>
  <si>
    <t>Pasir Hitam Cor Cilegon</t>
  </si>
  <si>
    <t>Batu Gosok ( Apung )</t>
  </si>
  <si>
    <t>Spilt Beton 1/2</t>
  </si>
  <si>
    <t>Batu Pecah ukuran 1/2 cm</t>
  </si>
  <si>
    <t>Spilt Beton 2/3</t>
  </si>
  <si>
    <t>Batu Pecah ukuran 2/3 cm</t>
  </si>
  <si>
    <t>Spilt Beton 3/5</t>
  </si>
  <si>
    <t>Batu Pecah ukuran 3/5 cm</t>
  </si>
  <si>
    <t>Spilt Beton 5/7</t>
  </si>
  <si>
    <t>Batu Pecah ukuran 5/7 cm</t>
  </si>
  <si>
    <t>Batu Belah Pondasi</t>
  </si>
  <si>
    <t>Batu Tempel Hitam</t>
  </si>
  <si>
    <t>Batu templek Garut</t>
  </si>
  <si>
    <t>Batu Alam Tipe 1</t>
  </si>
  <si>
    <t>Uk 3x30 Batu Alam Cupang Merah</t>
  </si>
  <si>
    <t>Koral Sikat</t>
  </si>
  <si>
    <t>Koral sikat Putih</t>
  </si>
  <si>
    <t>Bata Merah Pres 4x8x17 cm isi 95pcs dalam 1 m2</t>
  </si>
  <si>
    <t>Bata Hebel 7.5 cm (111pcs)</t>
  </si>
  <si>
    <t>Bata Hebel 10 cm (83pcs)</t>
  </si>
  <si>
    <t>Roster Beton 20 x 20</t>
  </si>
  <si>
    <t>Grass Blok 20 x 20</t>
  </si>
  <si>
    <t>Grass Block lubang 5 tebal 6.5 cm</t>
  </si>
  <si>
    <t>Paving Blok Natural 6 cm</t>
  </si>
  <si>
    <t>Canstin Taman 40x20x10</t>
  </si>
  <si>
    <t>zak</t>
  </si>
  <si>
    <t>Semen PC /50 kg</t>
  </si>
  <si>
    <t>Semen Putih Tiga Roda 50kg</t>
  </si>
  <si>
    <t>Readymix Beton K350, Tanpa Pompa ( Selang )</t>
  </si>
  <si>
    <t>Readymix Beton K300, Tanpa Pompa ( Selang )</t>
  </si>
  <si>
    <t>Readymix Beton K250, Tanpa Pompa ( Selang )</t>
  </si>
  <si>
    <t>Readymix Beton K200, Tanpa Pompa ( Selang )</t>
  </si>
  <si>
    <t>Readymix Beton K175, Tanpa Pompa ( Selang )</t>
  </si>
  <si>
    <t>Concrete Pump Long Boom</t>
  </si>
  <si>
    <t>Semen Warna</t>
  </si>
  <si>
    <t>Beton Penahan bekisting dengan besi</t>
  </si>
  <si>
    <t>LABURAN,PENGISI DAN ALATNYA</t>
  </si>
  <si>
    <t>Plamir Tembok</t>
  </si>
  <si>
    <t>Cat Tembok ICI Eksterior (Beton)</t>
  </si>
  <si>
    <t>lt</t>
  </si>
  <si>
    <t>Cat Tembok ICI Interior</t>
  </si>
  <si>
    <t>Cat Tembok Catylax Interior</t>
  </si>
  <si>
    <t xml:space="preserve">Cat Dasar </t>
  </si>
  <si>
    <t>Water Profing Emulsion</t>
  </si>
  <si>
    <t>Water Proofing dengan Coating</t>
  </si>
  <si>
    <t>Sika Top Seal 107 dengan cairan Sika  2 lapis/meter</t>
  </si>
  <si>
    <t>Water Profing Membrance</t>
  </si>
  <si>
    <t>Rool Cat Tembok</t>
  </si>
  <si>
    <t>Kape Tembok</t>
  </si>
  <si>
    <t>Kwas 3"</t>
  </si>
  <si>
    <t>Dempul Jadi</t>
  </si>
  <si>
    <t>Steara Propan Ultra Politur</t>
  </si>
  <si>
    <t>Tiner</t>
  </si>
  <si>
    <t>lbr</t>
  </si>
  <si>
    <t>Meni Kayu / Besi</t>
  </si>
  <si>
    <t>Cat Kayu</t>
  </si>
  <si>
    <t>Cat Besi</t>
  </si>
  <si>
    <t>BAHAN KAYU BERIKUT BAHAN JADINYA</t>
  </si>
  <si>
    <t>Bambu  7 s.d 10</t>
  </si>
  <si>
    <t>bt</t>
  </si>
  <si>
    <t>Ukuran 7/10 cm panjang 6 meter</t>
  </si>
  <si>
    <t>Kayu Balok Albasia</t>
  </si>
  <si>
    <t>Kayu Balok Albasia 5x7x300 cm</t>
  </si>
  <si>
    <t>Kayu Balok Meranti III 5/7</t>
  </si>
  <si>
    <t>Kayu Balok Meranti 5x7x400 cm</t>
  </si>
  <si>
    <t>Kayu Balok Meranti III 5/10</t>
  </si>
  <si>
    <t>Kayu Balok Meranti 5x10x400 cm</t>
  </si>
  <si>
    <t>Kayu Balok Kamper Samarinda utk Kusen</t>
  </si>
  <si>
    <t>Untuk Kusen</t>
  </si>
  <si>
    <t xml:space="preserve">Kayu Papan Kamper Samarinda utk Panel </t>
  </si>
  <si>
    <t>untuk Panel pintu dan jendela</t>
  </si>
  <si>
    <t>Kayu Papan Albasia untuk Cor</t>
  </si>
  <si>
    <t>Kayu Papan Albasia 2x20x300 cm</t>
  </si>
  <si>
    <t>Dolken 5 s/d 7</t>
  </si>
  <si>
    <t>Kayu Gelam Sumatera panjang 4 meter</t>
  </si>
  <si>
    <t>Dolken 7 s/d 10</t>
  </si>
  <si>
    <t>Pegangan Tangga Profil Jati</t>
  </si>
  <si>
    <t>Kayu Kaso 4/6 albasia</t>
  </si>
  <si>
    <t>Tali Ijuk</t>
  </si>
  <si>
    <t>lapisan Ijuk tebal 10 cm</t>
  </si>
  <si>
    <t>Venetion Blind</t>
  </si>
  <si>
    <t>tirai gorden gulung venetian pvc blind</t>
  </si>
  <si>
    <t>Vertikal Blind</t>
  </si>
  <si>
    <t xml:space="preserve">vertical blind gorden kantor transparan </t>
  </si>
  <si>
    <t xml:space="preserve">D </t>
  </si>
  <si>
    <t>BAHAN PENUTUP RANGKA PLAFOND</t>
  </si>
  <si>
    <t>Gypsum 120 x 240 t= 9 mm ex DN</t>
  </si>
  <si>
    <t>Acustik Amstrong 60 x 120</t>
  </si>
  <si>
    <t>Cotton Plester</t>
  </si>
  <si>
    <t>lakban gypsum lebar 3 cm</t>
  </si>
  <si>
    <t xml:space="preserve">Cornice Coumpound </t>
  </si>
  <si>
    <t>Lebar 9 cm</t>
  </si>
  <si>
    <t>E</t>
  </si>
  <si>
    <t xml:space="preserve">BAHAN KAYU LAPIS </t>
  </si>
  <si>
    <t xml:space="preserve">Wall paper </t>
  </si>
  <si>
    <t>wallpaper minimalis</t>
  </si>
  <si>
    <t>Ply Wood 18 mm 120 x 240</t>
  </si>
  <si>
    <t>sesuai 18x120x240 mm</t>
  </si>
  <si>
    <t>Ply Wood 9 mm 120 x 240</t>
  </si>
  <si>
    <t>sesuai 9x120x240 mm</t>
  </si>
  <si>
    <t>sesuai 4x120x240 mm</t>
  </si>
  <si>
    <t>Teak Wood 3 mm 120 x 240</t>
  </si>
  <si>
    <t>sesuai 3x120x240 mm</t>
  </si>
  <si>
    <t>Teak Wood 4 mm 120 x 240</t>
  </si>
  <si>
    <t>F</t>
  </si>
  <si>
    <t>BAHAN LANTAI DAN PELAPIS DINDING</t>
  </si>
  <si>
    <t>Keramik Dinding 30x60 (KM)</t>
  </si>
  <si>
    <t>Granite Tile 60x120</t>
  </si>
  <si>
    <t>Marmer alam lokal</t>
  </si>
  <si>
    <t>Granit Tile 60x60</t>
  </si>
  <si>
    <t>Keramik Carport 50x50</t>
  </si>
  <si>
    <t>Parquet</t>
  </si>
  <si>
    <t>1,2cm x 5cm x 17cm Kayu Jati</t>
  </si>
  <si>
    <t>G</t>
  </si>
  <si>
    <t>BAHAN SALURAN AIR KOTOR / BERSIH</t>
  </si>
  <si>
    <t>Buis Beton 30 cm ( 1 M' )</t>
  </si>
  <si>
    <t>Ijuk</t>
  </si>
  <si>
    <t>H</t>
  </si>
  <si>
    <t>BAHAN LOGAM DAN BAHAN JADINYA</t>
  </si>
  <si>
    <t>Besi Beton D 13 mm</t>
  </si>
  <si>
    <t>Besi Beton D 16 mm</t>
  </si>
  <si>
    <t>Besi Beton D 19 mm</t>
  </si>
  <si>
    <t>Besi Beton 8 mm (polos)</t>
  </si>
  <si>
    <t>Besi Beton 10 mm (polos)</t>
  </si>
  <si>
    <t>Besi Beton 12 mm (polos)</t>
  </si>
  <si>
    <t>Bondek</t>
  </si>
  <si>
    <t>Bondex Prima Galvanis tebal 0.7 mm</t>
  </si>
  <si>
    <t>Besi WF Ex DN SII</t>
  </si>
  <si>
    <t>Belum finish</t>
  </si>
  <si>
    <t>Ongkos Galfanis Besi</t>
  </si>
  <si>
    <t>Kawat Ikat warna hitam</t>
  </si>
  <si>
    <t>Kawat  4 mm</t>
  </si>
  <si>
    <t xml:space="preserve">Kawat Harmonika 6 cm </t>
  </si>
  <si>
    <t>Rongga Kawat 6 cm tebal 2 mm</t>
  </si>
  <si>
    <t>Wiremesh M10</t>
  </si>
  <si>
    <t>Rongga 15 cm</t>
  </si>
  <si>
    <t>Wiremesh M8</t>
  </si>
  <si>
    <t>Wiremesh M6</t>
  </si>
  <si>
    <t>Plat Alumunium 0.6 mm</t>
  </si>
  <si>
    <t>Handle Alumunium ( Tarikan Pintu Alumunium )</t>
  </si>
  <si>
    <t>Kunci Pintu Aluminium Swing Fullset-Handle Roses S3003</t>
  </si>
  <si>
    <t>Kait Angin Alumunium</t>
  </si>
  <si>
    <t>Handel Jendela Rambuncis Dekkson CH 429 Non Lock</t>
  </si>
  <si>
    <t>Karet Asisoris Kusen / Pintu Alumunium</t>
  </si>
  <si>
    <t>karet kusen alumunium type 726 untuk rubber jendela cesmen</t>
  </si>
  <si>
    <t>Seng Plat BJLS 30  90 cm</t>
  </si>
  <si>
    <t>Seng Plat lebar 90 cm tebal 0.20 mm</t>
  </si>
  <si>
    <t>Plat Besi Tipis 1 mm</t>
  </si>
  <si>
    <t>Plat Besi 2 mm s/d 5 mm</t>
  </si>
  <si>
    <t>Plat Besi 6 mms/d 10 mm</t>
  </si>
  <si>
    <t>Plat Besi 10 mm keatas</t>
  </si>
  <si>
    <t>Lem Kuning ( Aibond )</t>
  </si>
  <si>
    <t>Lem Fox</t>
  </si>
  <si>
    <t>Lem Vinyl</t>
  </si>
  <si>
    <t>Crona Lem Carpet / Vinyl</t>
  </si>
  <si>
    <t>Profil alumunium "T" rangka plafon akustik</t>
  </si>
  <si>
    <t>btg</t>
  </si>
  <si>
    <t>tebal 0.6 mm</t>
  </si>
  <si>
    <t>Hollow Galvanish ( 2 x 4) cm (400cm)</t>
  </si>
  <si>
    <t>tebal 0.3 mm</t>
  </si>
  <si>
    <t xml:space="preserve">Hollow Galvanish ( 4 x 4) cm (400 cm) </t>
  </si>
  <si>
    <t>Pintu Roliing Door</t>
  </si>
  <si>
    <t>Roll Door Besi 0,4 mm</t>
  </si>
  <si>
    <t>Pintu Folding Gate</t>
  </si>
  <si>
    <t>belum termasuk kusen</t>
  </si>
  <si>
    <t>BAHAN KACA</t>
  </si>
  <si>
    <t>Kaca Polos 3 mm ( ASAHI )</t>
  </si>
  <si>
    <t>Kaca Polos 5 mm ( ASAHI )</t>
  </si>
  <si>
    <t>Kaca Rayband 5 mm ( ASAHI )</t>
  </si>
  <si>
    <t>Kaca Rayband 8 mm ( ASAHI )</t>
  </si>
  <si>
    <t>Kaca Patri  ( ASAHI )</t>
  </si>
  <si>
    <t>Kualitas 1 Kaca Patri Kuningan</t>
  </si>
  <si>
    <t xml:space="preserve">Glass Block </t>
  </si>
  <si>
    <t>J</t>
  </si>
  <si>
    <t>BAHAN PAKU DAN MUR BAUT</t>
  </si>
  <si>
    <t>Paku 1/2" s/d 2"</t>
  </si>
  <si>
    <t>Paku Kayu panjang 2-5 cm</t>
  </si>
  <si>
    <t>Paku 2" s/d 5"</t>
  </si>
  <si>
    <t>Paku Kayu panjang 5-12 cm</t>
  </si>
  <si>
    <t>Paku Beton 2 cm s/d 5 cm</t>
  </si>
  <si>
    <t>Ramset / Dinabolt</t>
  </si>
  <si>
    <t>Paku gypsum / sekrup</t>
  </si>
  <si>
    <t>K</t>
  </si>
  <si>
    <t>BAHAN PERPIPAAN</t>
  </si>
  <si>
    <t>Pipa GIP Medium A 1 1/2" ( 6 m1 )</t>
  </si>
  <si>
    <t>Pipa PPR 1/2 ''</t>
  </si>
  <si>
    <t>pipa pp-r wavin tigris green pn 20</t>
  </si>
  <si>
    <t>Pipa PPR 3/4 ''</t>
  </si>
  <si>
    <t>Pipa PPR 1 ''</t>
  </si>
  <si>
    <t>Lem Paralon</t>
  </si>
  <si>
    <t>tb</t>
  </si>
  <si>
    <t>Solatip Ledeng</t>
  </si>
  <si>
    <t>gl</t>
  </si>
  <si>
    <t>L</t>
  </si>
  <si>
    <t>BAHAN SANITAIR</t>
  </si>
  <si>
    <t>Bathtube</t>
  </si>
  <si>
    <t>Kran dia. 1/2"</t>
  </si>
  <si>
    <t>Kran Panas Dingin + Shower</t>
  </si>
  <si>
    <t>Shower Box Slising</t>
  </si>
  <si>
    <t>Wastafel kecil</t>
  </si>
  <si>
    <t>Wastafel dengan beton</t>
  </si>
  <si>
    <t xml:space="preserve">Closet Jongkok </t>
  </si>
  <si>
    <t xml:space="preserve">Urinoir Lengkap TOTO </t>
  </si>
  <si>
    <t>Floor Drain</t>
  </si>
  <si>
    <t>Roof Drain</t>
  </si>
  <si>
    <t xml:space="preserve">Talang PVC U - 15 cm </t>
  </si>
  <si>
    <t>M</t>
  </si>
  <si>
    <t>BAHAN PENUTUP ATAP</t>
  </si>
  <si>
    <t>Atap alderon</t>
  </si>
  <si>
    <t>Atap alderon uk. Lebar 82 cm, panjang 600cm, dan tebal 1 cm</t>
  </si>
  <si>
    <t xml:space="preserve">Atap Asbes </t>
  </si>
  <si>
    <t>Atap Seng Gelombang</t>
  </si>
  <si>
    <t>Atap Aspal bitumen</t>
  </si>
  <si>
    <t>Bitumen Cti</t>
  </si>
  <si>
    <t>Atap Poly carbonat</t>
  </si>
  <si>
    <t>Atap polyikarbonat tipe excelent</t>
  </si>
  <si>
    <t>Atap buka tutup Lovera</t>
  </si>
  <si>
    <t>Aluminium, Coating, Besi Hollow</t>
  </si>
  <si>
    <t>Atap Onduline</t>
  </si>
  <si>
    <t>Ukuran P 106 cm, Lebar 40 cm, dan Tebal 0.3 mm</t>
  </si>
  <si>
    <t>Alumunium Foile</t>
  </si>
  <si>
    <t>Genteng Metal</t>
  </si>
  <si>
    <t>Genteng Metal Pasir dari bahan dasar Zincalume</t>
  </si>
  <si>
    <t>Nok Seng</t>
  </si>
  <si>
    <t>Nok Asbes</t>
  </si>
  <si>
    <t>Nok Atas Metal</t>
  </si>
  <si>
    <t>Panjang 91.4 cm, Lebar 5 cm, Tinggi 6.5 cm</t>
  </si>
  <si>
    <t>Nok Pingir Metal</t>
  </si>
  <si>
    <t>Panjang 91.4 cm, Lebar 7 cm, Tinggi 11 cm</t>
  </si>
  <si>
    <t>Wall Flasing</t>
  </si>
  <si>
    <t>Panjang 91.4 cm, Lebar 10 cm, Tinggi 6 cm</t>
  </si>
  <si>
    <t>Genteng Beton Natural</t>
  </si>
  <si>
    <t>Genteng Cisangkan Victoria</t>
  </si>
  <si>
    <t>Bubungan Genteng Beton</t>
  </si>
  <si>
    <t>Nok Atas Victoria Slate - Hitam [Aksesoris Genteng Cisangkan]</t>
  </si>
  <si>
    <t>Sirap Kelas I ( 80 / m2 )</t>
  </si>
  <si>
    <t>Genteng Keramik Flat</t>
  </si>
  <si>
    <t>Medium genteng Keramik KANMURI Milenia Flat</t>
  </si>
  <si>
    <t>Bubungan Genteng Keramik flat</t>
  </si>
  <si>
    <t>Nok Genteng kanmuri full flat</t>
  </si>
  <si>
    <t>Genteng Keramik Gelombang</t>
  </si>
  <si>
    <t>Medium genteng Keramik KANMURI Milenia Gelombang</t>
  </si>
  <si>
    <t>Bubungan Genteng Keramik Gelombang</t>
  </si>
  <si>
    <t>Nok Genteng kanmuri Gelombang</t>
  </si>
  <si>
    <t>Lisplank GRC</t>
  </si>
  <si>
    <t>Canal C 75.75</t>
  </si>
  <si>
    <t>Reng 40. 45</t>
  </si>
  <si>
    <t>Foot Plate</t>
  </si>
  <si>
    <t>WIND Bracing</t>
  </si>
  <si>
    <t>Tensioner (Pengaku Tali angin)</t>
  </si>
  <si>
    <t>N</t>
  </si>
  <si>
    <t>BAHAN MEKANIKAL</t>
  </si>
  <si>
    <t xml:space="preserve">Exhouse Fan </t>
  </si>
  <si>
    <t>KDK 15TGQ Ceiling Exhaust [6 Inch]</t>
  </si>
  <si>
    <t>AC Split 1/2 PK</t>
  </si>
  <si>
    <t>AC Daikin FTNE15MV14 1/2 PK Split Wall Mounted Standard Thailand R410a</t>
  </si>
  <si>
    <t>AC Daikin FTNE20MV14 3/4 PK Split Wall Mounted Standard Thailand R410a</t>
  </si>
  <si>
    <t>AC Daikin FTKC25QVM4 1 PK Split Wall Mounted Inverter Smile R32</t>
  </si>
  <si>
    <t>O</t>
  </si>
  <si>
    <t>BAHAN ELEKTRIKAL</t>
  </si>
  <si>
    <t xml:space="preserve">Kabel NYM 2 x 1.5 </t>
  </si>
  <si>
    <t xml:space="preserve">Kabel NYM 3 x 2.5 </t>
  </si>
  <si>
    <t>Kabel NYM 3 x 2.5 mm</t>
  </si>
  <si>
    <t>Rumah Panel</t>
  </si>
  <si>
    <t>unt</t>
  </si>
  <si>
    <t>MCB 1 PAS</t>
  </si>
  <si>
    <t>MCB 3 PAS</t>
  </si>
  <si>
    <t>Schneider MCB DOMAE C 63A 3P 4500A 230Vac</t>
  </si>
  <si>
    <t xml:space="preserve">Saklar Broko Tunggal </t>
  </si>
  <si>
    <t xml:space="preserve">Saklar Broko Seri </t>
  </si>
  <si>
    <t xml:space="preserve">Stop Kontak </t>
  </si>
  <si>
    <t>Steker AC / Stop Kontak AC BROCO + Colokan + Box</t>
  </si>
  <si>
    <t>Stop Kontak (out bow)</t>
  </si>
  <si>
    <t>Stop Kontak Outbow Broco Outdoor ( Garden ) + Tutup Murah</t>
  </si>
  <si>
    <t xml:space="preserve">Lampu pijar </t>
  </si>
  <si>
    <t>Down Light</t>
  </si>
  <si>
    <t>Lampu Taman + Tiang + Lampu 1 Buah</t>
  </si>
  <si>
    <t>Diameter x tinggi = 15 x 100 cm</t>
  </si>
  <si>
    <t xml:space="preserve">Lampu Baret </t>
  </si>
  <si>
    <t>Philips Ceiling LED 33370 10 W</t>
  </si>
  <si>
    <t>Fitting Sorot E 27 Lampu</t>
  </si>
  <si>
    <t>Water Heater 10 L</t>
  </si>
  <si>
    <t>Setara Honeywell Solar Water Heater kapasitas 300L</t>
  </si>
  <si>
    <t>Spliter</t>
  </si>
  <si>
    <t>Pipa Clipsal listrik</t>
  </si>
  <si>
    <t>dia 20 mm</t>
  </si>
  <si>
    <t>Kabel ITC 4x0.6</t>
  </si>
  <si>
    <t>P</t>
  </si>
  <si>
    <t>Kunci  2 Slaag</t>
  </si>
  <si>
    <t>Kunci tanam</t>
  </si>
  <si>
    <t>Handle Pintu Utama</t>
  </si>
  <si>
    <t>Handle Pintu Biasa</t>
  </si>
  <si>
    <t>Grendel  5 Cm</t>
  </si>
  <si>
    <t>Barel Bolt 627 Solid 2'' CHR</t>
  </si>
  <si>
    <t>Hak Angin Kait Jendela Kayu</t>
  </si>
  <si>
    <t>Hak Angin HA641 Solid SN 8"</t>
  </si>
  <si>
    <t>Sloot Jendela Tunggal</t>
  </si>
  <si>
    <t>Engsel Pintu</t>
  </si>
  <si>
    <t>Engsel Jendela</t>
  </si>
  <si>
    <t>casement solid ukuran 12 inc</t>
  </si>
  <si>
    <t xml:space="preserve">Door Closer </t>
  </si>
  <si>
    <t>Door Closer SOLID DC 20 SLD</t>
  </si>
  <si>
    <t>Door Holder</t>
  </si>
  <si>
    <t>Merek OEM SKU OE427HLAALQEUTANID-46939606 Model Highfly-MY</t>
  </si>
  <si>
    <t xml:space="preserve">Q </t>
  </si>
  <si>
    <t>BAHAN PENGIKAT UNTUK KONSTRUKSI JALAN</t>
  </si>
  <si>
    <t>Aspal  Bitumen</t>
  </si>
  <si>
    <t>Aspal Pertamina PEN 60-70</t>
  </si>
  <si>
    <t>Aspal  Emulsi</t>
  </si>
  <si>
    <t>aspal emulsi crs-2 prime coat</t>
  </si>
  <si>
    <t xml:space="preserve">Aspal Curah </t>
  </si>
  <si>
    <t>Aspal Curah Pertamina</t>
  </si>
  <si>
    <t>Aspal Concrete / Laston( AC -WC)</t>
  </si>
  <si>
    <t>ton</t>
  </si>
  <si>
    <t>Aspal Threated Base ( ATB )</t>
  </si>
  <si>
    <t>Lataston /Hot Rolls Sheet ( HRS )</t>
  </si>
  <si>
    <t>R</t>
  </si>
  <si>
    <t>BAHAN PENGISAP AIR SUMUR DALAM</t>
  </si>
  <si>
    <t>Deep Well dengan kelengkapannya kap. 150 liter / menit</t>
  </si>
  <si>
    <t>Hand Oil Pump</t>
  </si>
  <si>
    <t>hand rotary oil pump toyosaki</t>
  </si>
  <si>
    <t>S</t>
  </si>
  <si>
    <t>BAHAN PENAMPUNG AIR</t>
  </si>
  <si>
    <t>Tangki Air Fiber Glass 1 m3</t>
  </si>
  <si>
    <t>Bak KM Fiber 60 x 60</t>
  </si>
  <si>
    <t>T</t>
  </si>
  <si>
    <t>ALAT TUKANG</t>
  </si>
  <si>
    <t xml:space="preserve">Palu 0.5 kg </t>
  </si>
  <si>
    <t>Cangkul</t>
  </si>
  <si>
    <t>Singkup</t>
  </si>
  <si>
    <t>gagang menggunakan besi</t>
  </si>
  <si>
    <t>Sekrop</t>
  </si>
  <si>
    <t>Pengki</t>
  </si>
  <si>
    <t>Linggis</t>
  </si>
  <si>
    <t>Rool Meter 30 meter ( Bahan Plastik )</t>
  </si>
  <si>
    <t>Rool Meter 5 meter ( Bahan Besi )</t>
  </si>
  <si>
    <t>Selang Plastik untuk Water Pas dia. 0.5 cm</t>
  </si>
  <si>
    <t>Water Pas Alumunium 60 cm</t>
  </si>
  <si>
    <t>U</t>
  </si>
  <si>
    <t>BAHAN BAKAR DAN PELUMAS</t>
  </si>
  <si>
    <t>Minyak Solar</t>
  </si>
  <si>
    <t>Oil Mesran 40 SAE</t>
  </si>
  <si>
    <t>New MESRAN SUPER</t>
  </si>
  <si>
    <t>Soda Api</t>
  </si>
  <si>
    <t>Kawat Las Nikko 2.6 mm</t>
  </si>
  <si>
    <t>Sewa Alat Las</t>
  </si>
  <si>
    <t>BAHAN PAGAR</t>
  </si>
  <si>
    <t>Panel Beton Pracetak</t>
  </si>
  <si>
    <t>Kolom Beton Pracetak</t>
  </si>
  <si>
    <t>W</t>
  </si>
  <si>
    <t>BIDANG PERTAMANAN</t>
  </si>
  <si>
    <t>batang</t>
  </si>
  <si>
    <t>Kompos/pupuk kandang</t>
  </si>
  <si>
    <t>karung</t>
  </si>
  <si>
    <t>Pohon pelindung (angsana, mahoni, kamboja dll) tinggi 2m</t>
  </si>
  <si>
    <t>Pohon perdu (kaca piring, puring, mawar, melati, dll)</t>
  </si>
  <si>
    <t>harga sudah termasuk PPN dan keuntungan</t>
  </si>
  <si>
    <t>DAFTAR HARGA SATUAN UPAH</t>
  </si>
  <si>
    <t>UPAH (Rp.)</t>
  </si>
  <si>
    <t>KETERANGAN</t>
  </si>
  <si>
    <t>Org/hr</t>
  </si>
  <si>
    <t>Kepala Tukang Batu</t>
  </si>
  <si>
    <t>Kepala Tukang Kayu</t>
  </si>
  <si>
    <t>Kepala Tukang Cat</t>
  </si>
  <si>
    <t>Kepala Tukang Listrik</t>
  </si>
  <si>
    <t>Kepala Tukang pipa</t>
  </si>
  <si>
    <t>Tukang Besi/Baja</t>
  </si>
  <si>
    <t>Tukang Cat</t>
  </si>
  <si>
    <t>Tukang Listrik</t>
  </si>
  <si>
    <t>Tukang Pipa</t>
  </si>
  <si>
    <t>Tukang Plitur</t>
  </si>
  <si>
    <t>Tukang Taman</t>
  </si>
  <si>
    <t xml:space="preserve">Tukang </t>
  </si>
  <si>
    <t>Pembantu Tukang</t>
  </si>
  <si>
    <t>Pekerja Biasa</t>
  </si>
  <si>
    <t>Penjaga Malam</t>
  </si>
  <si>
    <t>Sopir</t>
  </si>
  <si>
    <t>Operator</t>
  </si>
  <si>
    <t>Mekanik</t>
  </si>
  <si>
    <t>Pembantu Sopir</t>
  </si>
  <si>
    <t>Pembantu Operator</t>
  </si>
  <si>
    <t>Pembantu Mekanik</t>
  </si>
  <si>
    <t>DAFTAR HARGA SATUAN PEKERJAAN</t>
  </si>
  <si>
    <t>HARGA  (Rp)</t>
  </si>
  <si>
    <t>A.</t>
  </si>
  <si>
    <t>B.</t>
  </si>
  <si>
    <t>PEKERJAAN TANAH</t>
  </si>
  <si>
    <t>C.</t>
  </si>
  <si>
    <t>PEKERJAAN PONDASI</t>
  </si>
  <si>
    <t>D.</t>
  </si>
  <si>
    <t>PEKERJAAN BETON</t>
  </si>
  <si>
    <t>E.</t>
  </si>
  <si>
    <t>PEKERJAAN PASANGAN DINDING</t>
  </si>
  <si>
    <t>F.</t>
  </si>
  <si>
    <t>PEKERJAAN PLESTERAN DAN SIARAN</t>
  </si>
  <si>
    <t>G.</t>
  </si>
  <si>
    <t>H.</t>
  </si>
  <si>
    <t>PEKERJAAN LANGIT-LANGIT</t>
  </si>
  <si>
    <t>I.</t>
  </si>
  <si>
    <t>PEKERJAAN LANTAI</t>
  </si>
  <si>
    <t>J.</t>
  </si>
  <si>
    <t>PEKERJAAN KAYU</t>
  </si>
  <si>
    <t>K.</t>
  </si>
  <si>
    <t>PEKERJAAN BESI DAN ALLUMINIUM</t>
  </si>
  <si>
    <t>L.</t>
  </si>
  <si>
    <t>PEKERJAAN KUNCI DAN KACA</t>
  </si>
  <si>
    <t>M.</t>
  </si>
  <si>
    <t>PEKERJAAN SANITASI</t>
  </si>
  <si>
    <t>N.</t>
  </si>
  <si>
    <t>O.</t>
  </si>
  <si>
    <t>PEKERJAAN PERTAMANAN</t>
  </si>
  <si>
    <t>P.</t>
  </si>
  <si>
    <t>PEKERJAAN ELEKTRIKAL</t>
  </si>
  <si>
    <t>Urugan Kembali</t>
  </si>
  <si>
    <t>Pembuangan Tanah sejauh 150 m</t>
  </si>
  <si>
    <t>Pekerjaan Urugan Tanah Pilihan untuk kenaikan level</t>
  </si>
  <si>
    <t>ttk</t>
  </si>
  <si>
    <t>D-20</t>
  </si>
  <si>
    <t>1 Kg Pembesian Dengan Besi Polos diameter 8 mm</t>
  </si>
  <si>
    <t>Besi Beton Polos 8 mm</t>
  </si>
  <si>
    <t>D-21</t>
  </si>
  <si>
    <t>1 Kg Pembesian Dengan Besi Polos diameter 10 mm</t>
  </si>
  <si>
    <t>Besi Beton Polos 10 mm</t>
  </si>
  <si>
    <t>D-22</t>
  </si>
  <si>
    <t>1 Kg Pembesian Dengan Besi Polos diameter 12 mm</t>
  </si>
  <si>
    <t>Besi Beton Polos 12 mm</t>
  </si>
  <si>
    <t>D-23</t>
  </si>
  <si>
    <t>1 Kg Pembesian Dengan Besi Ulir diameter 13 mm</t>
  </si>
  <si>
    <t>Besi Beton Ulir 13 mm</t>
  </si>
  <si>
    <t>D-24</t>
  </si>
  <si>
    <t>1 Kg Pembesian Dengan Besi Ulir diameter 16 mm</t>
  </si>
  <si>
    <t>Besi Beton Ulir 16 mm</t>
  </si>
  <si>
    <t>D-25</t>
  </si>
  <si>
    <t>1 Kg Pembesian Dengan Besi Ulir diameter 19 mm</t>
  </si>
  <si>
    <t>Besi Beton Ulir 19 mm</t>
  </si>
  <si>
    <t xml:space="preserve">Tulangan Sengkang besi beton Ø 8 mm </t>
  </si>
  <si>
    <t>Kolom struktur</t>
  </si>
  <si>
    <t>1 M3 Membuat Beton Cor Mutu K-125</t>
  </si>
  <si>
    <t>Kolom Praktis</t>
  </si>
  <si>
    <t>beton site mix dengan mutu beton K-125</t>
  </si>
  <si>
    <t>Cor Tangga</t>
  </si>
  <si>
    <t>&gt;beton Tangga</t>
  </si>
  <si>
    <t>&gt;tulangan Tangga</t>
  </si>
  <si>
    <t>&gt;bekisting Tangga</t>
  </si>
  <si>
    <t xml:space="preserve">Tulangan Panjang besi beton Ø 8 mm </t>
  </si>
  <si>
    <t xml:space="preserve">Tulangan Panjang besi beton Ø 10 mm </t>
  </si>
  <si>
    <t>&gt;beton Meja dapur</t>
  </si>
  <si>
    <t>&gt;tulangan Meja dapur</t>
  </si>
  <si>
    <t>&gt;bekisting Meja Dapur</t>
  </si>
  <si>
    <t>Mobilisasi</t>
  </si>
  <si>
    <t>main truss C-75-75</t>
  </si>
  <si>
    <t>Roof Bottom/ reng R 33-0.45</t>
  </si>
  <si>
    <t>Trus Screw dia 6x20 mm</t>
  </si>
  <si>
    <t>Roof bottom screw</t>
  </si>
  <si>
    <t>Dynabol dia 12x120mm</t>
  </si>
  <si>
    <t>Alat Bantu (bor)/genset</t>
  </si>
  <si>
    <t>G-21</t>
  </si>
  <si>
    <t>1 M' Pipa PVC Ø 3" (AW)</t>
  </si>
  <si>
    <t>Pipa pvc Ø 3"</t>
  </si>
  <si>
    <t>Pipa PVC Wavin type AW 1/2"</t>
  </si>
  <si>
    <t>Pipa PVC Wavin type AW 3/4"</t>
  </si>
  <si>
    <t>Pipa PVC Wavin type AW 1"</t>
  </si>
  <si>
    <t>1 M' Pipa PVC Ø 6" (AW)</t>
  </si>
  <si>
    <t>Pipa pvc Ø 6"</t>
  </si>
  <si>
    <t xml:space="preserve">Pipa PPR dia 3/4" </t>
  </si>
  <si>
    <t>Washtafel kecil &amp; aksesoris</t>
  </si>
  <si>
    <t>Washtafel besar &amp; aksesoris</t>
  </si>
  <si>
    <t>Toto TX432SD + tiang</t>
  </si>
  <si>
    <t>Urinoir</t>
  </si>
  <si>
    <t>TOTO U57 M</t>
  </si>
  <si>
    <t>Bak Kontrol</t>
  </si>
  <si>
    <t>Dimensi 30x30</t>
  </si>
  <si>
    <t>Tangki Penampung Air</t>
  </si>
  <si>
    <t>Ex penguin PVC</t>
  </si>
  <si>
    <t>Shower box</t>
  </si>
  <si>
    <t>Pasang Pompa</t>
  </si>
  <si>
    <t>ex grundfos</t>
  </si>
  <si>
    <t>M-33</t>
  </si>
  <si>
    <t>M-34</t>
  </si>
  <si>
    <t>1 Buah Kran Ø 1/2" Leher Angsa</t>
  </si>
  <si>
    <t>Kran Leher Angsa</t>
  </si>
  <si>
    <t>Setara TOTO TX603KM</t>
  </si>
  <si>
    <t>Jet Shower</t>
  </si>
  <si>
    <t>Setara TOTO THX20MCRB</t>
  </si>
  <si>
    <t>Kran air Setara TOTO TX603KM</t>
  </si>
  <si>
    <t>ex. Modena</t>
  </si>
  <si>
    <t xml:space="preserve">List Gypsum 10 cm </t>
  </si>
  <si>
    <t>list gypsum batang 10cm</t>
  </si>
  <si>
    <t>beton site mix dengan mutu beton K-125 Tebal 5 cm</t>
  </si>
  <si>
    <t>I-11</t>
  </si>
  <si>
    <t>1 M2 Pemasangan Lantai Koral Sikat</t>
  </si>
  <si>
    <t>HCL</t>
  </si>
  <si>
    <t>1 M2 Rangka atap baja ringan</t>
  </si>
  <si>
    <t>Pas.Waterproofing Coating</t>
  </si>
  <si>
    <t>Pasangan Dinding Keramik Lantai 1</t>
  </si>
  <si>
    <t>D</t>
  </si>
  <si>
    <t>Pasangan Dinding Keramik Lantai 2</t>
  </si>
  <si>
    <t>area beton luar &amp; KM/WC di coating sika water proofing</t>
  </si>
  <si>
    <t>ex Scheneider/setara</t>
  </si>
  <si>
    <t>Instalasi Lampu dalam</t>
  </si>
  <si>
    <t>Instalasi Lampu luar</t>
  </si>
  <si>
    <t>Instalasi Telpon</t>
  </si>
  <si>
    <t>Ex KDK</t>
  </si>
  <si>
    <t>Saklar Triple</t>
  </si>
  <si>
    <t>Lampu Gantung Minimalis</t>
  </si>
  <si>
    <t>Lampu Gantung</t>
  </si>
  <si>
    <t>Saklar Triple setara Broco</t>
  </si>
  <si>
    <t>1 Bh Pemasangan Saklar Triple</t>
  </si>
  <si>
    <t>P-20</t>
  </si>
  <si>
    <t>P-21</t>
  </si>
  <si>
    <t>Instalasi Stop kontak</t>
  </si>
  <si>
    <t>Instalasi antena TV</t>
  </si>
  <si>
    <t>Kabel Coaxial</t>
  </si>
  <si>
    <t>Kabel ITC</t>
  </si>
  <si>
    <t>Box MCB</t>
  </si>
  <si>
    <t>Kabel Toevoer</t>
  </si>
  <si>
    <t>ex Lokal</t>
  </si>
  <si>
    <t>ex. Supreme 3x2.5</t>
  </si>
  <si>
    <t>P-22</t>
  </si>
  <si>
    <t>1 m' Instalasi Kabel Toevoer</t>
  </si>
  <si>
    <t>Kabel NYM 3x2,5 mm2 setara Supreme</t>
  </si>
  <si>
    <t>P-23</t>
  </si>
  <si>
    <t>1 bh Pemasangan Box MCB</t>
  </si>
  <si>
    <t>1 bh Pemasangan  MCB 6A</t>
  </si>
  <si>
    <t>Box MCB 12 group</t>
  </si>
  <si>
    <t>MCB 6A</t>
  </si>
  <si>
    <t>Pasang Output Telpon</t>
  </si>
  <si>
    <t xml:space="preserve">Pasang Spliter </t>
  </si>
  <si>
    <t>Output Kabel telpon</t>
  </si>
  <si>
    <t>P-25</t>
  </si>
  <si>
    <t>1 bh Pemasangan Socket Telpon</t>
  </si>
  <si>
    <t>Sokcet Telpon</t>
  </si>
  <si>
    <t>Ex Broco</t>
  </si>
  <si>
    <t>Menggosok/mengupas cat tembok lama</t>
  </si>
  <si>
    <t>per daun</t>
  </si>
  <si>
    <t>Rel dan gantungan pintu sliding</t>
  </si>
  <si>
    <t>(Roller Hanger, Guide, Stopper, Track, Channel &amp; Bracket)</t>
  </si>
  <si>
    <t>Kunci Allumunium (rambuncis)</t>
  </si>
  <si>
    <t>Q.  ANALISA HARGA SATUAN PEKERJAAN KUSEN, PINTU, DAN JENDELA KAYU</t>
  </si>
  <si>
    <t>Engsel Pintu 4"</t>
  </si>
  <si>
    <t>L-14</t>
  </si>
  <si>
    <t>1 Buah Pasang asesoris sliding</t>
  </si>
  <si>
    <t>Asesoris sliding</t>
  </si>
  <si>
    <t>L-15</t>
  </si>
  <si>
    <t>1 Buah Pasang Kunci Allumunium</t>
  </si>
  <si>
    <t>Rambuncis Allumunium</t>
  </si>
  <si>
    <t>Q</t>
  </si>
  <si>
    <t>1 M2 Pasang Kaca Tempered , tebal 10 mm</t>
  </si>
  <si>
    <t>Kaca Tempered Clear</t>
  </si>
  <si>
    <t>Handle Pintu Double</t>
  </si>
  <si>
    <t>I-12</t>
  </si>
  <si>
    <t>1,2cm x 5cm x 20cm Kayu Jati</t>
  </si>
  <si>
    <t>I-13</t>
  </si>
  <si>
    <t>Parquet jati 1,2 x 5 x 17 cm</t>
  </si>
  <si>
    <t>Parquet jati 1,2 x 5 x 20 cm</t>
  </si>
  <si>
    <t>Lampu Dinding</t>
  </si>
  <si>
    <t>Lampu Pijar 18 W</t>
  </si>
  <si>
    <t>Lampu Pijar KM/WC 12 W</t>
  </si>
  <si>
    <t>Philips Lampu LED 18 Watt Coolday Light</t>
  </si>
  <si>
    <t>1 bh Pemasangan Lampu Pijar 12 Watt</t>
  </si>
  <si>
    <t xml:space="preserve">Lampu Pijar 12 Watt </t>
  </si>
  <si>
    <t>P-26</t>
  </si>
  <si>
    <t>1 bh Pemasangan Lampu Pijar 18 Watt</t>
  </si>
  <si>
    <t xml:space="preserve">Lampu Pijar 18 Watt </t>
  </si>
  <si>
    <t>P-27</t>
  </si>
  <si>
    <t>1 bh Pemasangan Lampu Dinding</t>
  </si>
  <si>
    <t>1 set pemasangan lampu dinding</t>
  </si>
  <si>
    <t>P-28</t>
  </si>
  <si>
    <t>Pipa pvc dia 1" air Bersih</t>
  </si>
  <si>
    <t>GAAPRO GW-A016/2</t>
  </si>
  <si>
    <t>Lampu Dinding GAAPRO GW-A016/2</t>
  </si>
  <si>
    <t>1 M2 Langit-langit Calsiboard 3 mm + rangka besi hollow</t>
  </si>
  <si>
    <t>Kalsiboard ( 120 x 240 x 4 ) mm</t>
  </si>
  <si>
    <t>1 Buah Pasang Glas Block</t>
  </si>
  <si>
    <t xml:space="preserve">Glas Block Ukuran 20 X 20 </t>
  </si>
  <si>
    <t>2cm x 9cm x 200cm Kayu Ulin</t>
  </si>
  <si>
    <t>LantaI Kayu Ulin</t>
  </si>
  <si>
    <t>I-14</t>
  </si>
  <si>
    <t xml:space="preserve">1 M2 Lantai Kayu Ulin Kalimantan </t>
  </si>
  <si>
    <t>Papan Kayu Ulin 2 x 9 x 200 cm</t>
  </si>
  <si>
    <t>Kaca Inlay</t>
  </si>
  <si>
    <t>Kaca Inlay 5 mm</t>
  </si>
  <si>
    <t>1 M2 Pasang Kaca Inlay Tebal 5 mm</t>
  </si>
  <si>
    <t>Batu Candi Hitam Yogyakarta                  15 X 30 CM</t>
  </si>
  <si>
    <t>Batu Candi Hitam Yogyakarta</t>
  </si>
  <si>
    <t>sesuai 8 X 200 X 4050 mm</t>
  </si>
  <si>
    <t>Wood Plank Elephant 8 X 200 4050 mm</t>
  </si>
  <si>
    <t>Woodplank Elephant ( 4050 x 200 x 8 ) mm</t>
  </si>
  <si>
    <t>1 M2 Dinding Woodplank 8 mm + rangka besi hollow</t>
  </si>
  <si>
    <t>G-22</t>
  </si>
  <si>
    <t>1 M2 Pasang Atap buka tutup Lovera</t>
  </si>
  <si>
    <t>Lampu Kolam Renang Astral LED 27 Watt</t>
  </si>
  <si>
    <t>P-29</t>
  </si>
  <si>
    <t>1 bh Pemasangan LampuKolam Renang</t>
  </si>
  <si>
    <t>Lampu Kolam Renang</t>
  </si>
  <si>
    <t>Astral LED 27 Watt</t>
  </si>
  <si>
    <t>Water Heater 20 L</t>
  </si>
  <si>
    <t>M-35</t>
  </si>
  <si>
    <t>1 Buah Water Heater 20 L setara Ariston</t>
  </si>
  <si>
    <t>Water Heater Ariston 20L</t>
  </si>
  <si>
    <t>KERAMIK BERSIH</t>
  </si>
  <si>
    <t>TOTAL KERAMIK</t>
  </si>
  <si>
    <t>Water Heater 9 L</t>
  </si>
  <si>
    <t>Kran ballvave dia. 3/4"</t>
  </si>
  <si>
    <t>M-36</t>
  </si>
  <si>
    <t>1 Buah Kran Ballvave Ø 3/4"</t>
  </si>
  <si>
    <t>Kran Ballvave Setara Ondo</t>
  </si>
  <si>
    <t>Kran Ballvave 3/4"</t>
  </si>
  <si>
    <t>G-23</t>
  </si>
  <si>
    <t>Genteng Bitumen CTI</t>
  </si>
  <si>
    <t>Kunci Tanam di Handle</t>
  </si>
  <si>
    <t>Kunci Tanam di Samping</t>
  </si>
  <si>
    <t>Kait Angin</t>
  </si>
  <si>
    <t>Saklar Hotel 2 Gang</t>
  </si>
  <si>
    <t>P-30</t>
  </si>
  <si>
    <t>1 Bh Pemasangan Saklar Hotel 2 Gang</t>
  </si>
  <si>
    <t>Sakelar Hotel 2 Gang</t>
  </si>
  <si>
    <t>Ex Schneider/setara</t>
  </si>
  <si>
    <t>1 Bh Pemasangan Saklar Seri Isi 4</t>
  </si>
  <si>
    <t>Saklar Seri Isi 4</t>
  </si>
  <si>
    <t>P-31</t>
  </si>
  <si>
    <t>Conwood Lap Sidng 8” G2</t>
  </si>
  <si>
    <t>sesuai 200x3050x11 mm</t>
  </si>
  <si>
    <t>1 M2 Dinding Conwood 8 mm + rangka besi hollow</t>
  </si>
  <si>
    <t>Conwood ( 200x3050x11 ) mm</t>
  </si>
  <si>
    <t xml:space="preserve">RENCANA ANGGARAN BIAYA (RAB) </t>
  </si>
  <si>
    <t>Harga</t>
  </si>
  <si>
    <t>RAB</t>
  </si>
  <si>
    <t>Nama Bahan Material</t>
  </si>
  <si>
    <t xml:space="preserve">Jumlah </t>
  </si>
  <si>
    <t>Satuan</t>
  </si>
  <si>
    <t>HARGA MATERIAL</t>
  </si>
  <si>
    <t xml:space="preserve">PEKERJAAN PASANGAN, PONDASI DAN </t>
  </si>
  <si>
    <t>BETON BERTULANG</t>
  </si>
  <si>
    <t>Batu Bata Merah</t>
  </si>
  <si>
    <t>Besi Beton Polos 8mm</t>
  </si>
  <si>
    <t>Besi Beton Polos 10mm</t>
  </si>
  <si>
    <t>Besi Beton Polos 12mm</t>
  </si>
  <si>
    <t>Minyak Begisting</t>
  </si>
  <si>
    <t>Paku biasa 2"-5"</t>
  </si>
  <si>
    <t xml:space="preserve">Pasir Beton   </t>
  </si>
  <si>
    <t xml:space="preserve">Pasir Urug  </t>
  </si>
  <si>
    <t>Urugan Kerikil 3/5</t>
  </si>
  <si>
    <t>Pas Ijuk</t>
  </si>
  <si>
    <t xml:space="preserve">TOTAL </t>
  </si>
  <si>
    <t>PEKERJAAN KAYU UNTUK BEKISTING,</t>
  </si>
  <si>
    <t>RANGKA ATAP DAN PLAFOND</t>
  </si>
  <si>
    <t>Kayu Balok 5/7/3 albasia</t>
  </si>
  <si>
    <t>Kayu Papan albasia 2/20/3</t>
  </si>
  <si>
    <t>Balok Kayu 5/7 kelas III</t>
  </si>
  <si>
    <t>TOTAL</t>
  </si>
  <si>
    <t>PEKERJAAN ATAP GENTENG</t>
  </si>
  <si>
    <t>Aluminum foil / Sisalation</t>
  </si>
  <si>
    <t>PEKERJAAN CAT / FINISHING</t>
  </si>
  <si>
    <t xml:space="preserve">Amplas </t>
  </si>
  <si>
    <t>Cat Dasar</t>
  </si>
  <si>
    <t>Steger Werk</t>
  </si>
  <si>
    <t>List Profil Gypsum (2.2m/Bt)</t>
  </si>
  <si>
    <t>Compound</t>
  </si>
  <si>
    <t>Cotton Plaster</t>
  </si>
  <si>
    <t>Tepung Gypsum</t>
  </si>
  <si>
    <t>Hollow 2x4</t>
  </si>
  <si>
    <t>Hollow 4x4</t>
  </si>
  <si>
    <t>PEKERJAAN LANTAI, DINDING KERAMIK</t>
  </si>
  <si>
    <t>DAN BATU ALAM</t>
  </si>
  <si>
    <t>PEKERJAAN BESI</t>
  </si>
  <si>
    <t>PEKERJAAN INSTALASI LISTRIK DAN</t>
  </si>
  <si>
    <t>TITIK LAMPU</t>
  </si>
  <si>
    <t>Box Sekering 12 Group</t>
  </si>
  <si>
    <t>PEKERJAAN SANITASI DAN INSTALASI</t>
  </si>
  <si>
    <t>SALURAN AIR</t>
  </si>
  <si>
    <t>TOTAL HARGA MATERIAL</t>
  </si>
  <si>
    <t>Paku Hak Panjang 15 cm</t>
  </si>
  <si>
    <t>Lampu Pijar 18 Watt</t>
  </si>
  <si>
    <t>Seng Gelombang</t>
  </si>
  <si>
    <t xml:space="preserve">Sekrup </t>
  </si>
  <si>
    <t xml:space="preserve">Tulangan Utama besi beton Ø 10 mm </t>
  </si>
  <si>
    <t>1 set pemasangan lampu taman</t>
  </si>
  <si>
    <t>Lampu Taman + tiang</t>
  </si>
  <si>
    <t>PANJANG X</t>
  </si>
  <si>
    <t>T. BESI X</t>
  </si>
  <si>
    <t>P. BESI X</t>
  </si>
  <si>
    <t>PANJANG Y</t>
  </si>
  <si>
    <t>T. BESI Y</t>
  </si>
  <si>
    <t>P. BESI Y</t>
  </si>
  <si>
    <t>SL1</t>
  </si>
  <si>
    <t>SL2</t>
  </si>
  <si>
    <t>SL3</t>
  </si>
  <si>
    <t>JML</t>
  </si>
  <si>
    <t>LAP</t>
  </si>
  <si>
    <t>TINGGI</t>
  </si>
  <si>
    <t>D16</t>
  </si>
  <si>
    <t>SENGKANG</t>
  </si>
  <si>
    <t>TUMP</t>
  </si>
  <si>
    <t>Bekisiting</t>
  </si>
  <si>
    <t>LANTAI 2</t>
  </si>
  <si>
    <t>qty</t>
  </si>
  <si>
    <t>luas</t>
  </si>
  <si>
    <t>PELAT LANTAI</t>
  </si>
  <si>
    <t>S1</t>
  </si>
  <si>
    <t>S2</t>
  </si>
  <si>
    <t>Opening Untuk kusen allumunium dan Kayu/PVC &amp; Garasi</t>
  </si>
  <si>
    <t>Grouting Floor Drain, Roof Drain, Closet &amp; Bathtub</t>
  </si>
  <si>
    <t>Sealant Closet &amp; Wastafel</t>
  </si>
  <si>
    <t>ex.Wavin pvc type AW + Fitting</t>
  </si>
  <si>
    <t>ex. Tigris + Fitting</t>
  </si>
  <si>
    <t>Outlet Stop Kontak Water Heather</t>
  </si>
  <si>
    <t>Cover Penutup Stop Kontak (di area wastafel)</t>
  </si>
  <si>
    <t>Sparing Kabel SR PLN</t>
  </si>
  <si>
    <t>bidang yg berhubungan dengan lantai dan dinding</t>
  </si>
  <si>
    <t>Pipa Gip diameter 1,5 inchi + tali nilon</t>
  </si>
  <si>
    <t>Sparing Kabel Telephon dari pagar ke KTB</t>
  </si>
  <si>
    <t>Arde Pentanahan</t>
  </si>
  <si>
    <t>Max 2 ohm, kabel BC 6 mm + Pipa Gip 0.5"</t>
  </si>
  <si>
    <t>beton ready mix dengan mutu beton K-200 Tebal 12 cm</t>
  </si>
  <si>
    <t xml:space="preserve">Plat Lantai Carport </t>
  </si>
  <si>
    <t>PEKERJAAN ENGSEL DAN KUNCI</t>
  </si>
  <si>
    <t>Anti Rayap Tanah</t>
  </si>
  <si>
    <t>Nomer Rumah</t>
  </si>
  <si>
    <t>Stainless Steel Hairline 20x20x2 mm</t>
  </si>
  <si>
    <t>Sub Total pekerjaan engsel dan kunci  =</t>
  </si>
  <si>
    <t>XIII</t>
  </si>
  <si>
    <t>Balok Kongliong diatas kusen</t>
  </si>
  <si>
    <t>ex. Setara Solid</t>
  </si>
  <si>
    <t xml:space="preserve">Engsel Jendela Kupu-kupu </t>
  </si>
  <si>
    <t xml:space="preserve">Engsel Pintu Kupu-kupu </t>
  </si>
  <si>
    <t>Handle Pintu Single</t>
  </si>
  <si>
    <t>G-24</t>
  </si>
  <si>
    <t>G-25</t>
  </si>
  <si>
    <t>1 M2 Pasang Nok Ujung</t>
  </si>
  <si>
    <t>Nok Ujung</t>
  </si>
  <si>
    <t>1 M2 Pasang Nok 3 Way</t>
  </si>
  <si>
    <t>Nok 3 Way</t>
  </si>
  <si>
    <t>H-26</t>
  </si>
  <si>
    <t>1 Bh Pemasangan Outlet Stop Kontak Water Heater</t>
  </si>
  <si>
    <t>J-04</t>
  </si>
  <si>
    <t>1 M3 Kusen Pintu &amp; jendela kayu Merbau</t>
  </si>
  <si>
    <t>J-05</t>
  </si>
  <si>
    <t>1 M2 Pintu Panel Kayu Merbau</t>
  </si>
  <si>
    <t>PEKERJAAN KUNCI DAN ENGSEL</t>
  </si>
  <si>
    <t xml:space="preserve">PEKERJAAN KUSEN, PINTU, DAN JENDELA </t>
  </si>
  <si>
    <t>C-08</t>
  </si>
  <si>
    <t>Bata</t>
  </si>
  <si>
    <t>1 M3 Pasang Rollag Batu Bata Press 1 Pc : 5 Ps</t>
  </si>
  <si>
    <t>STOP KONTAK BROCO G155SM55</t>
  </si>
  <si>
    <t>Gypsum WR 120 x 240 t= 9 mm ex DN</t>
  </si>
  <si>
    <t>Kalsiboard 120 x 240 cm, t = 3.5 mm</t>
  </si>
  <si>
    <t>Kaca Rayban</t>
  </si>
  <si>
    <t>1 M2 Pasang Kaca Rayban , tebal 5 mm</t>
  </si>
  <si>
    <t>Lampu LED Strip</t>
  </si>
  <si>
    <t>Lampu LED Strip Warna Ip20 5 meter</t>
  </si>
  <si>
    <t>Saklar Hotel 1 Gang</t>
  </si>
  <si>
    <t>1 Bh Pemasangan Saklar Hotel 1 Gang</t>
  </si>
  <si>
    <t>P-32</t>
  </si>
  <si>
    <t>1 m' Pemasangan Lampu LED Strip</t>
  </si>
  <si>
    <t>Sakelar Hotel 1 Gang</t>
  </si>
  <si>
    <t>Saklar Hotel 3 Gang</t>
  </si>
  <si>
    <t>1 Bh Pemasangan Saklar Hotel 3 Gang</t>
  </si>
  <si>
    <t>Sakelar Hotel 3 Gang</t>
  </si>
  <si>
    <t>1 M2 Langit-langit Gypsum WR t = 9 mm + rangka besi hollow</t>
  </si>
  <si>
    <t>Finishing Polished</t>
  </si>
  <si>
    <t>D13</t>
  </si>
  <si>
    <t>J-06</t>
  </si>
  <si>
    <t>1 M3 Kusen Pintu &amp; jendela kayu Bengirai</t>
  </si>
  <si>
    <t>Kayu Balok Bengirai</t>
  </si>
  <si>
    <t>J-07</t>
  </si>
  <si>
    <t>1 M2 Pintu Panel Kayu Bengirai</t>
  </si>
  <si>
    <t>Kayu Papan Bengirai</t>
  </si>
  <si>
    <t>Batu Alam Susun Sirih</t>
  </si>
  <si>
    <t>1 M2 Dinding Batu Alam Susun Sirih</t>
  </si>
  <si>
    <t>Besi Beton Ulir D 13 mm</t>
  </si>
  <si>
    <t>Bak cuci stainless steel + asesoris lengkap (zink dapur)</t>
  </si>
  <si>
    <t>Kran air Setara TOTO TX603KM (kran leher angsa)</t>
  </si>
  <si>
    <t>Keramik 40x40 cm setara KIA</t>
  </si>
  <si>
    <t>I-15</t>
  </si>
  <si>
    <t>I-16</t>
  </si>
  <si>
    <t>1 M2 Lantai Parket WPC</t>
  </si>
  <si>
    <t>Deck WPC 2.5 cm x 14.5 cm x 290 cm</t>
  </si>
  <si>
    <t>Lantai Parket WPC</t>
  </si>
  <si>
    <t>Atap Akrilik</t>
  </si>
  <si>
    <t>Ketebalan atap 5mm, ketebalan rangka 1mm</t>
  </si>
  <si>
    <t>Granite 30x60 cm setara Roman</t>
  </si>
  <si>
    <t>Aksesoris Sliding</t>
  </si>
  <si>
    <t>TB1</t>
  </si>
  <si>
    <t>TB2</t>
  </si>
  <si>
    <t>TB3</t>
  </si>
  <si>
    <t>K1</t>
  </si>
  <si>
    <t>K2</t>
  </si>
  <si>
    <t>K10</t>
  </si>
  <si>
    <t>KP1</t>
  </si>
  <si>
    <t>KP2</t>
  </si>
  <si>
    <t>Tangga 1</t>
  </si>
  <si>
    <t>Tangga 2</t>
  </si>
  <si>
    <t>kongliong</t>
  </si>
  <si>
    <t>1 M' Pipa PVC Ø 2.5" (AW)</t>
  </si>
  <si>
    <t>Pipa pvc Ø 2.5"</t>
  </si>
  <si>
    <t>Selang Flexible ducting 4 inch panjang 10 m</t>
  </si>
  <si>
    <t>1 M' Selang Flexible Ducting  Ø 4" setara Defa Flex</t>
  </si>
  <si>
    <t>ex.Defa Flex + Fitting</t>
  </si>
  <si>
    <t>M-37</t>
  </si>
  <si>
    <t>1 Unit Ground Tank</t>
  </si>
  <si>
    <t>Ground tank</t>
  </si>
  <si>
    <t>Selang flexible ducting 4" exhaust fan</t>
  </si>
  <si>
    <r>
      <t xml:space="preserve">Flexible Ducting </t>
    </r>
    <r>
      <rPr>
        <sz val="10"/>
        <rFont val="Calibri"/>
        <family val="2"/>
      </rPr>
      <t>Ø</t>
    </r>
    <r>
      <rPr>
        <sz val="10"/>
        <rFont val="Times New Roman"/>
        <family val="1"/>
      </rPr>
      <t>4" setara Defa Flex</t>
    </r>
  </si>
  <si>
    <t>Harga Satuan Material</t>
  </si>
  <si>
    <t>Harga Satuan Upah</t>
  </si>
  <si>
    <t>Material+Upah</t>
  </si>
  <si>
    <t>Jumlah Harga Material</t>
  </si>
  <si>
    <t>Jumlah Harga Upah</t>
  </si>
  <si>
    <t>Jumlah Material + Upah</t>
  </si>
  <si>
    <t>Kayu Balok Merbau</t>
  </si>
  <si>
    <t>Kayu Papan Merbau</t>
  </si>
  <si>
    <t>1 M3 Kusen Pintu &amp; jendela kayu Jati</t>
  </si>
  <si>
    <t>Kayu Balok Jati</t>
  </si>
  <si>
    <t>1 M2 Pintu Panel Kayu Jati</t>
  </si>
  <si>
    <t>Kayu Papan Jati</t>
  </si>
  <si>
    <t>bolt a325n</t>
  </si>
  <si>
    <t>Sewa alat las</t>
  </si>
  <si>
    <t>Besi Beton Ulir D 16 mm</t>
  </si>
  <si>
    <t>Kunci Allumunium Rabuncis</t>
  </si>
  <si>
    <t>Kaca Tempered 10 mm               ( ASAHI )</t>
  </si>
  <si>
    <t>&gt;beton kongliong</t>
  </si>
  <si>
    <t>&gt;tulangan kongliong</t>
  </si>
  <si>
    <t>&gt;bekisting kongliong</t>
  </si>
  <si>
    <t>C-09</t>
  </si>
  <si>
    <t>1 Buah Tiang Pancang 20X20 cm ( 6 meter )</t>
  </si>
  <si>
    <t xml:space="preserve">Tiang Pancang 20X20 cm </t>
  </si>
  <si>
    <t>Tiang Pancang 20X20 CM ( 6 Meter )</t>
  </si>
  <si>
    <r>
      <t xml:space="preserve">Mutu Beton K-450, Tuangan Utama 4D13/16, Spiral </t>
    </r>
    <r>
      <rPr>
        <sz val="10"/>
        <color theme="1"/>
        <rFont val="Calibri"/>
        <family val="2"/>
      </rPr>
      <t>Ø</t>
    </r>
    <r>
      <rPr>
        <sz val="10"/>
        <color theme="1"/>
        <rFont val="Times New Roman"/>
        <family val="1"/>
      </rPr>
      <t xml:space="preserve"> 6</t>
    </r>
  </si>
  <si>
    <t>FEE KONTRAKTOR (10%) =</t>
  </si>
  <si>
    <t>Kawat Las Nikko</t>
  </si>
  <si>
    <t>1 Titik Pemasangan Straus pile (30x30) cm kedalaman 12,5 meter</t>
  </si>
  <si>
    <t>C-10</t>
  </si>
  <si>
    <t>Ujung Nok Kanan dan Kiri</t>
  </si>
  <si>
    <t>Nok 3 arah</t>
  </si>
  <si>
    <t>1 M2 Pasang Ujung Nok Kanan dan Kiri</t>
  </si>
  <si>
    <t>1 M2 Pasang Nok 3 arah</t>
  </si>
  <si>
    <t>Granite Tile 60x60</t>
  </si>
  <si>
    <t>1 M2 Dinding Keramik Kamar Mandi 30 x 60 cm Setara Habitat</t>
  </si>
  <si>
    <t>Keramik 30 x 60 cm setara habitat</t>
  </si>
  <si>
    <t>Roof drain pvc 4"</t>
  </si>
  <si>
    <t>https://www.tokopedia.com/cahayabarugroup/floor-drain-chrome-model-toto?src=topads</t>
  </si>
  <si>
    <t>https://www.tokopedia.com/tokoputrasejati/roof-drain-pvc-4?trkid=f=Ca0000L000P1W0S0Sh,Co0Po0Fr0Cb0_src=search_page=1_ob=23_q=roof+drain_po=9_catid=4150&amp;lt=/searchproduct%20-%20p2%20-%20product</t>
  </si>
  <si>
    <t>TOTO CW421J/SW420JP</t>
  </si>
  <si>
    <t>Ex. PVC 4"</t>
  </si>
  <si>
    <t>WATERPROOFING</t>
  </si>
  <si>
    <t>KUSEN KAMAR MANDI</t>
  </si>
  <si>
    <t>KERAMIK KAMR MANDI</t>
  </si>
  <si>
    <t>4,-</t>
  </si>
  <si>
    <t>3.-</t>
  </si>
  <si>
    <t>2.-</t>
  </si>
  <si>
    <t>TOTAL WATERPROOF</t>
  </si>
  <si>
    <t>1.-</t>
  </si>
  <si>
    <t>total</t>
  </si>
  <si>
    <t>segitiga</t>
  </si>
  <si>
    <t>jrgenjang</t>
  </si>
  <si>
    <t>ATAP 2</t>
  </si>
  <si>
    <t>NOK/ BUBUNGAN</t>
  </si>
  <si>
    <t>ATAP 1</t>
  </si>
  <si>
    <t>KUSEN CATEKS</t>
  </si>
  <si>
    <t>KUSEN CATINT</t>
  </si>
  <si>
    <t>KUSEN PASDING</t>
  </si>
  <si>
    <t>CAT DINDING EKSTERIOR</t>
  </si>
  <si>
    <t>CAT DINDING INTERIOR</t>
  </si>
  <si>
    <t>PAS BATU ALAM</t>
  </si>
  <si>
    <t>PAS. DINDING EKSTERIOR 3</t>
  </si>
  <si>
    <t>PAS. DINDING BERSIH 3</t>
  </si>
  <si>
    <t>PAS. DINDING EKSTERIOR LT 2</t>
  </si>
  <si>
    <t>PAS. DINDING BERSIH LT 2</t>
  </si>
  <si>
    <t>PAS. DINDING EKSTERIOR LT 1</t>
  </si>
  <si>
    <t>PAS. DINDING BERSIH LT 1</t>
  </si>
  <si>
    <t>OPENING</t>
  </si>
  <si>
    <t>TOTAL LUAS</t>
  </si>
  <si>
    <t>LUAS</t>
  </si>
  <si>
    <t>KACA 5 MM</t>
  </si>
  <si>
    <t>D JENDELA</t>
  </si>
  <si>
    <t>D PINTU</t>
  </si>
  <si>
    <t>KUSEN</t>
  </si>
  <si>
    <t>NAMA</t>
  </si>
  <si>
    <t>LANTAI 1</t>
  </si>
  <si>
    <r>
      <t xml:space="preserve">besi wiremesh beton </t>
    </r>
    <r>
      <rPr>
        <sz val="10"/>
        <rFont val="Calibri"/>
        <family val="2"/>
      </rPr>
      <t>D 8 mm  1 lapis</t>
    </r>
  </si>
  <si>
    <t>I-17</t>
  </si>
  <si>
    <t>Ply Wood 3 mm 120 x 240</t>
  </si>
  <si>
    <t>Ply Wood 120 x 240 x 3 mm</t>
  </si>
  <si>
    <t>1 M2 Langit-langit Ply Wood 3 mm + rangka besi hollow</t>
  </si>
  <si>
    <t>Ply Wood 3 mm + rangka Hollo Galvanis</t>
  </si>
  <si>
    <t>I-18</t>
  </si>
  <si>
    <t>I-19</t>
  </si>
  <si>
    <t>I-20</t>
  </si>
  <si>
    <t>D10</t>
  </si>
  <si>
    <t>Besi Beton D 10 mm</t>
  </si>
  <si>
    <t>Toleransi 0.2mm FULL SNI</t>
  </si>
  <si>
    <t>D-26</t>
  </si>
  <si>
    <t>1 Kg Pembesian Dengan Besi Ulir diameter 10 mm</t>
  </si>
  <si>
    <t>Besi Beton Ulir 10 mm</t>
  </si>
  <si>
    <t xml:space="preserve">Kayu Papan Jati utk Panel </t>
  </si>
  <si>
    <t>Kayu Balok Jati utk Kusen</t>
  </si>
  <si>
    <t>Kayu Balok Merbau utk Kusen</t>
  </si>
  <si>
    <t xml:space="preserve">Kayu Papan Merbau utk Panel </t>
  </si>
  <si>
    <t>Besi Hollow ( 2 x 4) cm (600cm)</t>
  </si>
  <si>
    <t>Besi Hollow ( 2 x 2 ) cm (600cm)</t>
  </si>
  <si>
    <t xml:space="preserve">Besi Hollow ( 4 x 4) cm (600 cm) </t>
  </si>
  <si>
    <t>tebal 1,1 mm</t>
  </si>
  <si>
    <t xml:space="preserve">Besi Hollow ( 5 x 5) cm (600 cm) </t>
  </si>
  <si>
    <t xml:space="preserve">Besi Hollow ( 6 x 6) cm (600 cm) </t>
  </si>
  <si>
    <t>Besi Beton Ulir D 10 mm</t>
  </si>
  <si>
    <t>Uk 20 x 40 Batu Paras Jogja Krem</t>
  </si>
  <si>
    <t>Batu Paras Jogja</t>
  </si>
  <si>
    <t xml:space="preserve">Besi Hollow ( 5 x 10) cm (600 cm) </t>
  </si>
  <si>
    <t>Pas 1/2 bata adk 1pc : 3ps</t>
  </si>
  <si>
    <t>Kaca Tempered clear ( 10 mm )</t>
  </si>
  <si>
    <t>Penjepit kaca stainless</t>
  </si>
  <si>
    <t>wpc</t>
  </si>
  <si>
    <t>Dinding Parket WPC</t>
  </si>
  <si>
    <t>1 M2 Dinding WPC 1,1 cm x 15 cm x 290 cm setara WPC DECK Type KA 150 S10</t>
  </si>
  <si>
    <t>WPC Deck</t>
  </si>
  <si>
    <t>KACA 8 MM</t>
  </si>
  <si>
    <t>KACA 10 MM</t>
  </si>
  <si>
    <t>Kaca Tempered 8 mm                 ( ASAHI )</t>
  </si>
  <si>
    <t>1 M2 Pasang Kaca Tempered , tebal 8 mm</t>
  </si>
  <si>
    <t>tebal 0,8 mm</t>
  </si>
  <si>
    <t>1 M2 Atap Akrilik + rangka besi hollow</t>
  </si>
  <si>
    <r>
      <rPr>
        <b/>
        <sz val="11"/>
        <color theme="1"/>
        <rFont val="Calibri"/>
        <family val="2"/>
      </rPr>
      <t>Ø</t>
    </r>
    <r>
      <rPr>
        <b/>
        <sz val="11"/>
        <color theme="1"/>
        <rFont val="Times New Roman"/>
        <family val="1"/>
      </rPr>
      <t>12</t>
    </r>
  </si>
  <si>
    <r>
      <rPr>
        <b/>
        <sz val="11"/>
        <color theme="1"/>
        <rFont val="Calibri"/>
        <family val="2"/>
      </rPr>
      <t>Ø</t>
    </r>
    <r>
      <rPr>
        <b/>
        <sz val="11"/>
        <color theme="1"/>
        <rFont val="Times New Roman"/>
        <family val="1"/>
      </rPr>
      <t>10</t>
    </r>
  </si>
  <si>
    <t>trafesium</t>
  </si>
  <si>
    <t xml:space="preserve">Tulangan Pendek besi beton Ø 12 mm </t>
  </si>
  <si>
    <t xml:space="preserve">Tulangan Pendek besi beton Ø 10 mm </t>
  </si>
  <si>
    <t>granit</t>
  </si>
  <si>
    <t>1 M2 Railing Pagar</t>
  </si>
  <si>
    <t>Kaca Tempered 10 mm</t>
  </si>
  <si>
    <t>Keramik 100 x 100</t>
  </si>
  <si>
    <t>Plint Granite Tile 10 x 100 cm setara Indogress</t>
  </si>
  <si>
    <t>1 bh Pemasangan Lampu Gantung Klasik IDL-1-H808/8+4 GD</t>
  </si>
  <si>
    <t>tebal 1,7 mm</t>
  </si>
  <si>
    <t>Besi Hollow ( 3 x 3 ) cm (600cm)</t>
  </si>
  <si>
    <t>TOTALL HARGA UPAH</t>
  </si>
  <si>
    <t>TOTAL HARGA MATERIAL + UPAH</t>
  </si>
  <si>
    <r>
      <rPr>
        <b/>
        <sz val="11"/>
        <color theme="1"/>
        <rFont val="Calibri"/>
        <family val="2"/>
      </rPr>
      <t>Ø</t>
    </r>
    <r>
      <rPr>
        <b/>
        <sz val="11"/>
        <color theme="1"/>
        <rFont val="Times New Roman"/>
        <family val="1"/>
      </rPr>
      <t>1</t>
    </r>
    <r>
      <rPr>
        <b/>
        <sz val="11"/>
        <color theme="1"/>
        <rFont val="Times New Roman"/>
        <family val="2"/>
      </rPr>
      <t>2</t>
    </r>
  </si>
  <si>
    <t>Kabel NYM 3 x 1.5 mm</t>
  </si>
  <si>
    <t>Box Panel 40 x 60 cm </t>
  </si>
  <si>
    <t>MCB 1P 16A Domae Schneider Dom 11342 SN</t>
  </si>
  <si>
    <t>Saklar Seri 4</t>
  </si>
  <si>
    <t xml:space="preserve"> Saklar 4G Pieno Schneider</t>
  </si>
  <si>
    <t>Saklar Tunggal New Gee Broco</t>
  </si>
  <si>
    <t>Saklar Seri New Gee Broco</t>
  </si>
  <si>
    <t xml:space="preserve"> Saklar Triple Broco New Gee </t>
  </si>
  <si>
    <t>Stop Kontak Arde Gracio Broco 4154 With CP Cream</t>
  </si>
  <si>
    <t>Isi 8 Group</t>
  </si>
  <si>
    <t>Saklar Hotel 4 Gang</t>
  </si>
  <si>
    <t>Saklar Hotel 4G Vivace Schneider</t>
  </si>
  <si>
    <t>Saklar Hotel Triple Vivace Schneider</t>
  </si>
  <si>
    <t>Saklar Double Hotel Broco Galleo</t>
  </si>
  <si>
    <t>Saklar Single Hotel Broco Galleo</t>
  </si>
  <si>
    <t>1 Bh Pemasangan Saklar Hotel 4 Gang</t>
  </si>
  <si>
    <t>Besi Hollow 5/5/1,1</t>
  </si>
  <si>
    <t>Besi Hollow 2/2/0,8</t>
  </si>
  <si>
    <t>1 M2 Railing Tangga Besi Hollow</t>
  </si>
  <si>
    <t>1 M2 Railing Void Besi Hollow</t>
  </si>
  <si>
    <t>Besi Hollow 20 x 20 x 0,8 mm</t>
  </si>
  <si>
    <t>Besi UNP
( 150 X 75 X 9 X 12.5 )</t>
  </si>
  <si>
    <t>E-019</t>
  </si>
  <si>
    <t>E-20</t>
  </si>
  <si>
    <t>E-21</t>
  </si>
  <si>
    <t>1 M2 Dinding Bata Ekspose</t>
  </si>
  <si>
    <t>Bata Ekspose</t>
  </si>
  <si>
    <t>Bata Merah Expose Rustic / Bata tempel Rustic / Bata Tempel merah</t>
  </si>
  <si>
    <t>Bata Merah Expose Rustic / Bata tempel Rustic / Bata Tempel merah ( 20 cm X 5 cm X 1 cm ) isi 38 buah/box</t>
  </si>
  <si>
    <t>D-27</t>
  </si>
  <si>
    <t>Aksesoris 10%</t>
  </si>
  <si>
    <t>Besi Hollow 2/2</t>
  </si>
  <si>
    <t>Besi Hollow 2/4</t>
  </si>
  <si>
    <t>Besi Hollow 4/4</t>
  </si>
  <si>
    <t>Pekerjaan Water Toren</t>
  </si>
  <si>
    <t>Pekerjaan Pengecatan</t>
  </si>
  <si>
    <t>Pekerjaan Pintu dan Jendela</t>
  </si>
  <si>
    <t>Pekerjaan Sanitary</t>
  </si>
  <si>
    <t>Pekerjaan Listrik</t>
  </si>
  <si>
    <t>Pipa PVC air bersih ex. Wavin type AW</t>
  </si>
  <si>
    <t>Pekerjaan Plumbing</t>
  </si>
  <si>
    <t>Pekerjaan Lantai</t>
  </si>
  <si>
    <t>Rangka Hollow Galvanis 2x4 dan 4x4</t>
  </si>
  <si>
    <t>Pekerjaan Plafond</t>
  </si>
  <si>
    <t>Plester Dinding ( semua dinding )</t>
  </si>
  <si>
    <t>Beton Konvensional 1:2:3</t>
  </si>
  <si>
    <t>Pekerjaan Struktur</t>
  </si>
  <si>
    <t>Pekerjaan Pondasi</t>
  </si>
  <si>
    <t>Ex Konvensional</t>
  </si>
  <si>
    <t>Pekerjaan Septictank</t>
  </si>
  <si>
    <t>SPESIFIKASI MATERIAL</t>
  </si>
  <si>
    <t>Proyek</t>
  </si>
  <si>
    <t>SPESIFIKASI TEKNIS</t>
  </si>
  <si>
    <t>Besi Hollow 20 X 40 X 0,6 mm</t>
  </si>
  <si>
    <t>Besi Hollow 40 X 40 x 0,6 mm</t>
  </si>
  <si>
    <t xml:space="preserve">Tulangan Sengkang besi beton Ø 10 mm </t>
  </si>
  <si>
    <t>P4</t>
  </si>
  <si>
    <t>P5</t>
  </si>
  <si>
    <t>Granite 60 x 120 cm setara Sandimas</t>
  </si>
  <si>
    <t>Besi Hollow ( 5/10/1,7 )</t>
  </si>
  <si>
    <t>Besi Hollow 50 X 100 x 1,7 mm</t>
  </si>
  <si>
    <t>K3</t>
  </si>
  <si>
    <t>K4</t>
  </si>
  <si>
    <t>K5</t>
  </si>
  <si>
    <t>susun sirih</t>
  </si>
  <si>
    <t>T = 43 cm</t>
  </si>
  <si>
    <t>X :</t>
  </si>
  <si>
    <t>Y :</t>
  </si>
  <si>
    <t>LUAS :</t>
  </si>
  <si>
    <t>PONDASI</t>
  </si>
  <si>
    <t>SLOOF</t>
  </si>
  <si>
    <t>LANTAI KERJA</t>
  </si>
  <si>
    <t>TOTAL PEK. GALIAN</t>
  </si>
  <si>
    <t>Panjang Pondasi X ( m )</t>
  </si>
  <si>
    <t>Jumlah Pondasi ( bh )</t>
  </si>
  <si>
    <t>Kedalaman Galian Straus Pile ( Manual )</t>
  </si>
  <si>
    <t>Kedalaman Galian Straus Pile ( Mesin )</t>
  </si>
  <si>
    <t>Pondasi dan Sloof</t>
  </si>
  <si>
    <t>Jumlah Kedalaman Galian Straus Pile ( Manual )</t>
  </si>
  <si>
    <t>Jumlah Kedalaman Galian Straus Pile ( Mesin )</t>
  </si>
  <si>
    <t>* asumsi pengerjaan galian straus pile menggunakan mesin apabila kedalaman tanah keras lebih dari 3 meter</t>
  </si>
  <si>
    <t>Panjang Pondasi Y ( m )</t>
  </si>
  <si>
    <t>Kedalaman Galian Pondasi ( m )</t>
  </si>
  <si>
    <t>Panjang Sloof ( m' )</t>
  </si>
  <si>
    <t>Lebar Sloof ( m )</t>
  </si>
  <si>
    <t>Tinggi Sloof ( m )</t>
  </si>
  <si>
    <t>Ketebalan Pasir Urug ( m )</t>
  </si>
  <si>
    <t>Ketebalan Lantai Kerja ( m )</t>
  </si>
  <si>
    <t>GALIAN</t>
  </si>
  <si>
    <t>URUGAN</t>
  </si>
  <si>
    <t>Ketebalan Pasir Urug T : 10 cm ( m )</t>
  </si>
  <si>
    <t>URUGAN PASIR SLOOF</t>
  </si>
  <si>
    <t>Urugan Pasir Pondasi dan Sloof</t>
  </si>
  <si>
    <t>LANTAI KERJA PONDASI</t>
  </si>
  <si>
    <t>LANTAI KERJA SLOOF</t>
  </si>
  <si>
    <t>Ketebalan Lantai kerja T : 5 cm ( m )</t>
  </si>
  <si>
    <t>TOTAL PEKERJAAN LANTAI KERJA</t>
  </si>
  <si>
    <t>TOTAL PEKERJAAN URUGAN</t>
  </si>
  <si>
    <t>BETON SLOOF</t>
  </si>
  <si>
    <t>Panjang Besi Arah X</t>
  </si>
  <si>
    <t>Panjang Besi Arah Y</t>
  </si>
  <si>
    <t>Jumlah Besi Arah X</t>
  </si>
  <si>
    <t>Jumlah Besi Araha Y</t>
  </si>
  <si>
    <t>Total Panjang Besi Arah X</t>
  </si>
  <si>
    <t>Total Panjang Besi Arah Y</t>
  </si>
  <si>
    <t>JENIS</t>
  </si>
  <si>
    <t>Ukuran Sloof</t>
  </si>
  <si>
    <t>Jumlah Besi yang Di Pakai</t>
  </si>
  <si>
    <t>Besi Bagian Lapangan</t>
  </si>
  <si>
    <t>Besi BagianTumpuan</t>
  </si>
  <si>
    <t>Panjang Total Tulangan Sengkang</t>
  </si>
  <si>
    <t>Panjang Total Tulangan Utama</t>
  </si>
  <si>
    <t>Ukuran Sengkang</t>
  </si>
  <si>
    <t>Total</t>
  </si>
  <si>
    <t>Total ( m' )</t>
  </si>
  <si>
    <t>Total ( Kg )</t>
  </si>
  <si>
    <t>Total Besi Sengkang ( Ø8 ) :</t>
  </si>
  <si>
    <t>Besi Sengkang ( Ø10 )</t>
  </si>
  <si>
    <t>Besi Sengkang ( Ø8 )</t>
  </si>
  <si>
    <t xml:space="preserve">BESI PONDASI </t>
  </si>
  <si>
    <t>TOTAL BESI ( Kg )</t>
  </si>
  <si>
    <t>BEKISTING SLOOF</t>
  </si>
  <si>
    <t>Ukuran Bekisting sloof</t>
  </si>
  <si>
    <t>JUMLAH KEBUTUHAN BEKISTING</t>
  </si>
  <si>
    <t>Ketebalan Pondasi</t>
  </si>
  <si>
    <t>BETON PONDASI</t>
  </si>
  <si>
    <t>Panjang Pondasi</t>
  </si>
  <si>
    <t>Lebar Pondasi</t>
  </si>
  <si>
    <t>Tebal Pondasi</t>
  </si>
  <si>
    <t>Jumlah Pondasi</t>
  </si>
  <si>
    <t>VOLUME (m3)</t>
  </si>
  <si>
    <t>BETON</t>
  </si>
  <si>
    <t>Water Toren ex. Penguin / setara</t>
  </si>
  <si>
    <t>Pekerjaan Besi Railing</t>
  </si>
  <si>
    <t>Kabel ex. Eterna / setara</t>
  </si>
  <si>
    <t>Besi ex. IBD SNI / setara</t>
  </si>
  <si>
    <t>K6</t>
  </si>
  <si>
    <t>K7</t>
  </si>
  <si>
    <t>K8</t>
  </si>
  <si>
    <t>K9</t>
  </si>
  <si>
    <t>BESI</t>
  </si>
  <si>
    <t>D6</t>
  </si>
  <si>
    <t>B6</t>
  </si>
  <si>
    <t>B7</t>
  </si>
  <si>
    <t>B8</t>
  </si>
  <si>
    <t>B9</t>
  </si>
  <si>
    <t>B10</t>
  </si>
  <si>
    <t>B11</t>
  </si>
  <si>
    <t>TOTAL PANJANG</t>
  </si>
  <si>
    <t>PERHITUNGAN BETON</t>
  </si>
  <si>
    <t>PERHITUNGAN BEKISTING</t>
  </si>
  <si>
    <t>VOLUME(M2)</t>
  </si>
  <si>
    <t>VOLUME(M3)</t>
  </si>
  <si>
    <t>PANJANG</t>
  </si>
  <si>
    <t>DINDING EKSTERIOR LANTAI 1</t>
  </si>
  <si>
    <t>DINDING EKSTERIOR LANTAI 2</t>
  </si>
  <si>
    <t>DINDING EKSTERIOR LANTAI 3</t>
  </si>
  <si>
    <t>Baja Wf-200</t>
  </si>
  <si>
    <t>Besi Baja I WF 200 x 100 x 5,7 x 8 mm – 12 M</t>
  </si>
  <si>
    <t>2,041,000</t>
  </si>
  <si>
    <t>PERHITUNGAN BETON TANGGA</t>
  </si>
  <si>
    <t>PERHITUNGAN BESI BORDES</t>
  </si>
  <si>
    <t>PERHITUNGAN BESI TANGGA 1</t>
  </si>
  <si>
    <t>PERHITUNGAN BESI TANGGA 2</t>
  </si>
  <si>
    <t>PERHITUNGAN BETON KOLOM</t>
  </si>
  <si>
    <t>DINDING INTERIOR LANTAI 1</t>
  </si>
  <si>
    <t>DINDING INTERIOR LANTAI 2</t>
  </si>
  <si>
    <t>Kusen UPVC Conch Warna Putih</t>
  </si>
  <si>
    <t>UPVC</t>
  </si>
  <si>
    <t>Profil Upvc Conch Putih</t>
  </si>
  <si>
    <t>1 m' Pasang kusen pintu/jendela UPVC</t>
  </si>
  <si>
    <t>K-15</t>
  </si>
  <si>
    <t>K-16</t>
  </si>
  <si>
    <t>Profil UPVC</t>
  </si>
  <si>
    <t>palimanan</t>
  </si>
  <si>
    <t>1 M2 Dinding Batu Palimanan Putih</t>
  </si>
  <si>
    <t>Batu Palimanan Putih</t>
  </si>
  <si>
    <t>Granite Unpolished 60x60 cm setara Roman Keramik</t>
  </si>
  <si>
    <t>Mesin Pompa ex. Grundfos/setara</t>
  </si>
  <si>
    <t>Water Toren ex. Penguin/setara</t>
  </si>
  <si>
    <t>Kabel ex. Eterna/setara</t>
  </si>
  <si>
    <t>Gypsum 9mm ex. Jayaboard/Aplus/Sunda Plafond/Setara</t>
  </si>
  <si>
    <t>Besi ex. Setara IBD ( SNI )</t>
  </si>
  <si>
    <t>JAKARTA - SURABAYA - TANGERANG</t>
  </si>
  <si>
    <t>TEBAL</t>
  </si>
  <si>
    <t>VOLUME M3</t>
  </si>
  <si>
    <t>KOLAM RENANG</t>
  </si>
  <si>
    <t>LT</t>
  </si>
  <si>
    <t>Keramik Kasar 40x40 cm setara KIA Terazo</t>
  </si>
  <si>
    <t>LEBAR</t>
  </si>
  <si>
    <t>BETON DINDING KOLAM RENANG</t>
  </si>
  <si>
    <t>BEKISTING</t>
  </si>
  <si>
    <t>BETON LANTAI</t>
  </si>
  <si>
    <t>ATAP SKYLIGHT</t>
  </si>
  <si>
    <t>TOTAL D16</t>
  </si>
  <si>
    <t>TOTAL D13</t>
  </si>
  <si>
    <t>BETON KONGLIONG</t>
  </si>
  <si>
    <t>BEKISTING KONGLIONG</t>
  </si>
  <si>
    <t>BESI KANOPI</t>
  </si>
  <si>
    <t>BETON KANOPI</t>
  </si>
  <si>
    <t>BESI KONGLIONG</t>
  </si>
  <si>
    <t>DAUN PINTU</t>
  </si>
  <si>
    <t>DAUN JENDELA</t>
  </si>
  <si>
    <t>KACA JENDELA</t>
  </si>
  <si>
    <t>KACA PINTU</t>
  </si>
  <si>
    <t xml:space="preserve">JUMLAH </t>
  </si>
  <si>
    <t>JUMLAH</t>
  </si>
  <si>
    <t>area beton luar di coating sika water proofing</t>
  </si>
  <si>
    <t>Pasang Antena UHF TV</t>
  </si>
  <si>
    <t>keramik</t>
  </si>
  <si>
    <t>Engsel Jendela 4"</t>
  </si>
  <si>
    <t>Bedeng Buruh</t>
  </si>
  <si>
    <t>TOTAL BESI UTAMA</t>
  </si>
  <si>
    <t>JUMLAH BESI UTAMA</t>
  </si>
  <si>
    <t>TOTAL KEB. BETON KOLOM</t>
  </si>
  <si>
    <t>TOTAL KEB. BETON
KOLOM PARAKTIS</t>
  </si>
  <si>
    <t>TOTAL KEB. BETON PONDASI ( M3 )</t>
  </si>
  <si>
    <t>TOTAL KEB. BETON SLOOF ( M3 )  :</t>
  </si>
  <si>
    <t>TOTAL KEB. BESI ( M' ) :</t>
  </si>
  <si>
    <t>TOTAL KEB. BESI ( Kg ) :</t>
  </si>
  <si>
    <t>TOTAL KEB. BEKISTING</t>
  </si>
  <si>
    <r>
      <t xml:space="preserve">Tulangan Sengkang </t>
    </r>
    <r>
      <rPr>
        <b/>
        <sz val="11"/>
        <color rgb="FFFFFF00"/>
        <rFont val="Calibri"/>
        <family val="2"/>
      </rPr>
      <t>Ø</t>
    </r>
    <r>
      <rPr>
        <b/>
        <sz val="11"/>
        <color rgb="FFFFFF00"/>
        <rFont val="Times New Roman"/>
        <family val="1"/>
      </rPr>
      <t>8</t>
    </r>
  </si>
  <si>
    <t>TOTAL KEB. BETON</t>
  </si>
  <si>
    <t>TANGGA 1</t>
  </si>
  <si>
    <t>TANGA 2</t>
  </si>
  <si>
    <t>TANGGA 2</t>
  </si>
  <si>
    <t>TOTAL KEB. BESI BERSIH</t>
  </si>
  <si>
    <t>PERH. BEKISTING
MEJA DAPUR</t>
  </si>
  <si>
    <t>PERH. BESI
HORIZONTAL
VERTIKAL</t>
  </si>
  <si>
    <t>PERH. BETON
MEJA DAPUR</t>
  </si>
  <si>
    <t>TOTAL KEB. BESI HORIZONTAL</t>
  </si>
  <si>
    <t>TOTAL KEB. BESI VERTIKAL</t>
  </si>
  <si>
    <t>UKURAN</t>
  </si>
  <si>
    <t xml:space="preserve">UKURAN </t>
  </si>
  <si>
    <t>KONGLIONG</t>
  </si>
  <si>
    <r>
      <t xml:space="preserve">TOTAL </t>
    </r>
    <r>
      <rPr>
        <b/>
        <sz val="11"/>
        <color theme="1"/>
        <rFont val="Calibri"/>
        <family val="2"/>
      </rPr>
      <t>Ø</t>
    </r>
    <r>
      <rPr>
        <b/>
        <sz val="11"/>
        <color theme="1"/>
        <rFont val="Times New Roman"/>
        <family val="1"/>
      </rPr>
      <t>12</t>
    </r>
  </si>
  <si>
    <r>
      <t xml:space="preserve">TOTAL </t>
    </r>
    <r>
      <rPr>
        <b/>
        <sz val="11"/>
        <color theme="1"/>
        <rFont val="Calibri"/>
        <family val="2"/>
      </rPr>
      <t>Ø</t>
    </r>
    <r>
      <rPr>
        <b/>
        <sz val="11"/>
        <color theme="1"/>
        <rFont val="Times New Roman"/>
        <family val="1"/>
      </rPr>
      <t>10</t>
    </r>
  </si>
  <si>
    <t>JUMLAH BESI</t>
  </si>
  <si>
    <t>TULANGAN SENGKANG</t>
  </si>
  <si>
    <t>BEKISTING KANOPI</t>
  </si>
  <si>
    <t>Total Besi Sengkang ( Ø 8 ) :</t>
  </si>
  <si>
    <t>Total Besi Sengkang ( Ø 12 ) :</t>
  </si>
  <si>
    <t>D 13</t>
  </si>
  <si>
    <t>Ø 12</t>
  </si>
  <si>
    <t>TOTAL D 16</t>
  </si>
  <si>
    <t>TOTAL D 13</t>
  </si>
  <si>
    <t>TOTAL Ø 12</t>
  </si>
  <si>
    <t>TOTAL  Ø 10</t>
  </si>
  <si>
    <t>TOTAL D 10</t>
  </si>
  <si>
    <t>PERHITUNGAN BESI BALOK</t>
  </si>
  <si>
    <t>PERHITUNGAN KOLOM</t>
  </si>
  <si>
    <t>D 10</t>
  </si>
  <si>
    <t>Total Besi Sengkang  Ø8 ( kg )  :</t>
  </si>
  <si>
    <t>Total Besi Sengkang Ø8 ( m )  :</t>
  </si>
  <si>
    <t>PEKERJAAN DINDING</t>
  </si>
  <si>
    <t>1 PC : 3 Psr</t>
  </si>
  <si>
    <t>Acian dinding</t>
  </si>
  <si>
    <t>Engsel Jendela casement</t>
  </si>
  <si>
    <t>I-21</t>
  </si>
  <si>
    <t>I-22</t>
  </si>
  <si>
    <t>Keramik 30 x 60 cm setara COTTO Momento Dark Grey</t>
  </si>
  <si>
    <t>I-23</t>
  </si>
  <si>
    <t>COTTO Momento Dark Grey</t>
  </si>
  <si>
    <t>Rangka Atap baja ringan</t>
  </si>
  <si>
    <t>Rangka Baja Ringan ex Taso/ setara</t>
  </si>
  <si>
    <t>Lapisan Allumunium Foil</t>
  </si>
  <si>
    <t>Allumunium Foil</t>
  </si>
  <si>
    <t xml:space="preserve">Penutup Atap </t>
  </si>
  <si>
    <t>Pasang Genteng Nok</t>
  </si>
  <si>
    <t>Pekerjaan Nok Ujung</t>
  </si>
  <si>
    <t>Pekerjaan Nok 3 Way</t>
  </si>
  <si>
    <t>Pekerjaan Atap Skylight</t>
  </si>
  <si>
    <t>Pekerjaan Pasang Listplank</t>
  </si>
  <si>
    <t>GRC Woodplank</t>
  </si>
  <si>
    <t>KANOPI</t>
  </si>
  <si>
    <r>
      <t xml:space="preserve">bagian atas besi beton </t>
    </r>
    <r>
      <rPr>
        <sz val="10"/>
        <rFont val="Calibri"/>
        <family val="2"/>
      </rPr>
      <t xml:space="preserve"> D 16 mm </t>
    </r>
  </si>
  <si>
    <t>Mutu Beton K-125</t>
  </si>
  <si>
    <t>DINDING INTERIOR LANTAI 3</t>
  </si>
  <si>
    <t>DINDING TAMBAHAN</t>
  </si>
  <si>
    <t>DINDING ATAP</t>
  </si>
  <si>
    <t>PAS. DINDING BERSIH ATAP</t>
  </si>
  <si>
    <t>PAS. DINDING EKSTERIOR ATAP</t>
  </si>
  <si>
    <t>Daun Pintu UPVC Natural</t>
  </si>
  <si>
    <t>K-17</t>
  </si>
  <si>
    <t>1 m2 Pintu UPVC  Natural</t>
  </si>
  <si>
    <t>MCB 1P 2A Domae Schneider DOM 12251 SNI</t>
  </si>
  <si>
    <t>MCB 1P 4 A Domae Schneider DOM 12252 SNI</t>
  </si>
  <si>
    <t>MCB 1P 6A Domae Schneider DOM 11340 SNI</t>
  </si>
  <si>
    <t>MCB 1P 10A Domae Schneider DOM 11341 SNI</t>
  </si>
  <si>
    <t>MCB 1P 20 A Domae Schneider DOM 11340 SNI</t>
  </si>
  <si>
    <t>MCB 1P 25 A Domae Schneider DOM 11341 SNI</t>
  </si>
  <si>
    <t>MCB 1P 32 A Domae Schneider Dom 11342 SN</t>
  </si>
  <si>
    <t>Kepala tukang Listrik</t>
  </si>
  <si>
    <t>1 bh Pemasangan  MCB 2A</t>
  </si>
  <si>
    <t>1 bh Pemasangan  MCB 4A</t>
  </si>
  <si>
    <t>1 bh Pemasangan  MCB 10A</t>
  </si>
  <si>
    <t>1 bh Pemasangan  MCB 16A</t>
  </si>
  <si>
    <t>1 bh Pemasangan  MCB 20A</t>
  </si>
  <si>
    <t>1 bh Pemasangan  MCB 25A</t>
  </si>
  <si>
    <t>MCB 2A</t>
  </si>
  <si>
    <t>MCB 4A</t>
  </si>
  <si>
    <t>MCB 10A</t>
  </si>
  <si>
    <t>MCB 16A</t>
  </si>
  <si>
    <t>MCB 20A</t>
  </si>
  <si>
    <t>MCB 25A</t>
  </si>
  <si>
    <t>MCB 32A</t>
  </si>
  <si>
    <t>1 bh Pemasangan  MCB 32A</t>
  </si>
  <si>
    <t>1 bh Pemasangan MCB 2A</t>
  </si>
  <si>
    <t>1 bh Pemasangan MCB 4A</t>
  </si>
  <si>
    <t>1 bh Pemasangan MCB 6A</t>
  </si>
  <si>
    <t>1 bh Pemasangan MCB 10A</t>
  </si>
  <si>
    <t>1 bh Pemasangan MCB 16A</t>
  </si>
  <si>
    <t>1 bh Pemasangan MCB 20A</t>
  </si>
  <si>
    <t>1 bh Pemasangan MCB 25A</t>
  </si>
  <si>
    <t>1 bh Pemasangan MCB 32A</t>
  </si>
  <si>
    <t>MCB 2 Ampere</t>
  </si>
  <si>
    <t>Cover Penutup Stop Kontak (di area basah)</t>
  </si>
  <si>
    <t>Granite Tile 80x80</t>
  </si>
  <si>
    <t>1 M2 Dinding motif granite alam 80 x 80 cm setara Niro</t>
  </si>
  <si>
    <t>Granite 80 x 80 cm setara Niro</t>
  </si>
  <si>
    <t>1 M2 Dinding Granite Niro 80x80</t>
  </si>
  <si>
    <t>Kran air  1/2''</t>
  </si>
  <si>
    <t xml:space="preserve">Pipa PPR 3/4" </t>
  </si>
  <si>
    <t xml:space="preserve">Pipa PPR 1/2" </t>
  </si>
  <si>
    <t>Pipa pvc 6" pemb.air kotor/Limbah/hujan</t>
  </si>
  <si>
    <t>Pipa pvc 4" pemb.air kotor/Limbah/hujan</t>
  </si>
  <si>
    <t>Pipa pvc 3" pemb.air kotor/Limbah/hujan</t>
  </si>
  <si>
    <t>Pipa pvc 1/2" air Bersih</t>
  </si>
  <si>
    <t>Pipa pvc 3/4" air Bersih</t>
  </si>
  <si>
    <t>Pipa pvc 1" air Bersih</t>
  </si>
  <si>
    <t>Pipa pvc 1" pemb.air AC</t>
  </si>
  <si>
    <t>Kran air 1/2''</t>
  </si>
  <si>
    <t>Jumlah Tiang Strauspile/Pondasi ( bh )</t>
  </si>
  <si>
    <t xml:space="preserve">Tulangan Utama besi beton  Ø 10 mm </t>
  </si>
  <si>
    <t>Limas</t>
  </si>
  <si>
    <t>1 M2 Pasang Atap Genteng Bitumen CTI</t>
  </si>
  <si>
    <t>Gypsum board ( 1200 x 2400 x 9 ) mm</t>
  </si>
  <si>
    <t>Kawat Penggantung</t>
  </si>
  <si>
    <t>Kasa plaster</t>
  </si>
  <si>
    <t>Gypsum WR ( 1200 x 2400 x 4 ) mm</t>
  </si>
  <si>
    <t xml:space="preserve">I.  ANALISA HARGA SATUAN PEKERJAAN PENUTUP LANTAI </t>
  </si>
  <si>
    <t>1 Buah Shower Spray</t>
  </si>
  <si>
    <t>Shower Spray Setara TOTO THX20MCRB</t>
  </si>
  <si>
    <t>Shower Spray</t>
  </si>
  <si>
    <t>Gypsum Board WR ( 120 x 240 x 4 ) mm</t>
  </si>
  <si>
    <t>Sistem Pile Cap dan Straus Pile</t>
  </si>
  <si>
    <t>TOTAL HARGA UPAH</t>
  </si>
  <si>
    <t>Plafond Ply Wood</t>
  </si>
  <si>
    <t>Plafond Gypsum  9 mm</t>
  </si>
  <si>
    <t xml:space="preserve">Plafond Gypsum  WR </t>
  </si>
  <si>
    <t>Plafond Calsiboard</t>
  </si>
  <si>
    <t>Pasangan keramik Lantai Atap</t>
  </si>
  <si>
    <t>Pasangan Dinding Keramik Lantai Atap</t>
  </si>
  <si>
    <t>Spliter 6 port</t>
  </si>
  <si>
    <t>Urugan pasir lantai bawah</t>
  </si>
  <si>
    <t>Floor lantai kerja</t>
  </si>
  <si>
    <t>h1</t>
  </si>
  <si>
    <t>h2</t>
  </si>
  <si>
    <t>v1</t>
  </si>
  <si>
    <t>h3</t>
  </si>
  <si>
    <t>Kanopi + Sirip + Listplank</t>
  </si>
  <si>
    <t>&gt;beton kanopi</t>
  </si>
  <si>
    <t>&gt;tulangan kanopi</t>
  </si>
  <si>
    <t>&gt;bekisting kanopi</t>
  </si>
  <si>
    <r>
      <t xml:space="preserve">Tulangan Utama Besi Beton </t>
    </r>
    <r>
      <rPr>
        <sz val="10"/>
        <rFont val="Calibri"/>
        <family val="2"/>
      </rPr>
      <t xml:space="preserve"> D 10 mm </t>
    </r>
  </si>
  <si>
    <t xml:space="preserve">Tulangan Utama besi beton D 10 mm </t>
  </si>
  <si>
    <t>Kunci Allumunium Rambuncis</t>
  </si>
  <si>
    <t>Engsel Jendela Casement</t>
  </si>
  <si>
    <t>Door Closer</t>
  </si>
  <si>
    <t>Pegangan Pintu/Door Holder</t>
  </si>
  <si>
    <t>Asesoris Sliding</t>
  </si>
  <si>
    <t>Pintu PVC</t>
  </si>
  <si>
    <t xml:space="preserve">1 Set Kusen + Panel. Termasuk Handle dan Engsel. </t>
  </si>
  <si>
    <t>Batu Andesit Bintik 30x30</t>
  </si>
  <si>
    <t>Besi Hollow 50 X 50 x 1,1 mm</t>
  </si>
  <si>
    <t>Beton K-300 Jaya Mix</t>
  </si>
  <si>
    <t>Pekerjaan Ujung Nok Kanan Kiri</t>
  </si>
  <si>
    <t>Pekerjaan Nok 3 arah</t>
  </si>
  <si>
    <t>Pekerjaan Atap Akrilik</t>
  </si>
  <si>
    <t>Atap Kanmuri Full Flat</t>
  </si>
  <si>
    <t>Genteng Kanmuri Full Flat</t>
  </si>
  <si>
    <t>Atap Akrilik + Hollow Stainless</t>
  </si>
  <si>
    <t>Kusen UPVC</t>
  </si>
  <si>
    <t>Kaca Temperred 8 mm</t>
  </si>
  <si>
    <t>DAFTAR KUSEN</t>
  </si>
  <si>
    <t xml:space="preserve">Pemasangan </t>
  </si>
  <si>
    <t>(Full Aksesoris)</t>
  </si>
  <si>
    <t>Genteng Kanmuri</t>
  </si>
  <si>
    <t>MCB 16 Ampere</t>
  </si>
  <si>
    <t>Pas. Dinding keramik KM/WC</t>
  </si>
  <si>
    <t>Baja WF 150 x 75 x 5 x 7 mm</t>
  </si>
  <si>
    <t>Pondasi Pile cap</t>
  </si>
  <si>
    <t>Pemasangan Tiang Strauss Pile</t>
  </si>
  <si>
    <t>titik</t>
  </si>
  <si>
    <t>URUGAN PASIR PONDASI</t>
  </si>
  <si>
    <t>B12</t>
  </si>
  <si>
    <t>&gt;beton balok kanopi</t>
  </si>
  <si>
    <t>&gt;tulangan balok kanopi</t>
  </si>
  <si>
    <t>&gt;bekisting balok kanopi</t>
  </si>
  <si>
    <t>Lampu Taman</t>
  </si>
  <si>
    <t>LB</t>
  </si>
  <si>
    <t>Tipe</t>
  </si>
  <si>
    <t>Genteng Kanmuri Flat</t>
  </si>
  <si>
    <t>Nok Bubungan Kanmuri Flat</t>
  </si>
  <si>
    <t>Nok 3 Arah</t>
  </si>
  <si>
    <t>Besi Baja I WF 150 X 75 X 5 X 7mm – 12 M</t>
  </si>
  <si>
    <t>Besi Baja I WF 150 x 75 x 5 x 7 mm – 12 M</t>
  </si>
  <si>
    <t>1 m' Pemasangan baja WF 200 x 100 x 5,7 x 8 mm</t>
  </si>
  <si>
    <t>Baja WF 200x 100 x 5,7 x 8 mm</t>
  </si>
  <si>
    <t>D-28</t>
  </si>
  <si>
    <t>1 m' Pemasangan baja WF 150 x 75 x 5 x 7 mm</t>
  </si>
  <si>
    <t>Kayu Balok Kamper Samarinda utk Sunscreen</t>
  </si>
  <si>
    <t>ukuran 8 x 12 x 400 cm</t>
  </si>
  <si>
    <t>Keramik 30x60 cm setara Roman</t>
  </si>
  <si>
    <t>KACA INLAY 5 MM</t>
  </si>
  <si>
    <t>Tulangan D 10</t>
  </si>
  <si>
    <r>
      <t xml:space="preserve">Tulangan Utama Besi Beton </t>
    </r>
    <r>
      <rPr>
        <sz val="10"/>
        <rFont val="Calibri"/>
        <family val="2"/>
      </rPr>
      <t xml:space="preserve"> D 16 mm </t>
    </r>
  </si>
  <si>
    <t>B13</t>
  </si>
  <si>
    <t>B14</t>
  </si>
  <si>
    <t>B15</t>
  </si>
  <si>
    <t>1 M2 Jendela Kayu Kamper Samarinda</t>
  </si>
  <si>
    <t>d10</t>
  </si>
  <si>
    <t>Ø 8</t>
  </si>
  <si>
    <t>Ø 10</t>
  </si>
  <si>
    <t>site mix k300</t>
  </si>
  <si>
    <t>site mix k125</t>
  </si>
  <si>
    <t>ready mix k300</t>
  </si>
  <si>
    <t>wiremesh</t>
  </si>
  <si>
    <t>bondex</t>
  </si>
  <si>
    <t>bekisting balok</t>
  </si>
  <si>
    <t>bekisting kolom</t>
  </si>
  <si>
    <t>Roller Cat</t>
  </si>
  <si>
    <t>1 M¹ Plint Granite Tile uk. 10 x 80 cm Setara Indogress</t>
  </si>
  <si>
    <t>1 M¹ Plint Granite Tile uk. 10 x 60 cm Setara Roman Granit</t>
  </si>
  <si>
    <t>1 M2 Lantai Keramik Kasar area service uk. 40 x 40 cm Setara KIA Terazo</t>
  </si>
  <si>
    <t>1 M2 Lantai Keramik Area Service uk. 40 x 40 cm Setara KIA Monza Crema</t>
  </si>
  <si>
    <t>1 M2 Lantai Granite Unpolished area KM/WC uk. 60 x 60 cm Setara Roman Granit</t>
  </si>
  <si>
    <t xml:space="preserve">1 M2 Lantai Keramik Mozaik uk. 30 x 30 cm setara Kuda Laut </t>
  </si>
  <si>
    <t>1 M2 Lantai Keramik uk. 30 x 60 cm Setara COTTO</t>
  </si>
  <si>
    <t>E-22</t>
  </si>
  <si>
    <t>H1</t>
  </si>
  <si>
    <t>Calsiboard 3 mm setara Kalsi + rangka Hollo Galvanis</t>
  </si>
  <si>
    <t>UKURAN BALOK</t>
  </si>
  <si>
    <t xml:space="preserve">Tulangan Utama besi beton D 16 mm </t>
  </si>
  <si>
    <t>&gt;beton dinding kolam renang</t>
  </si>
  <si>
    <t>&gt;tulangan dinding kolam renang</t>
  </si>
  <si>
    <t>&gt;bekisting dinding kolam renang</t>
  </si>
  <si>
    <t>&gt;tulangan plat lantai kolam renang</t>
  </si>
  <si>
    <t>Pipa pvc 2" air Bersih</t>
  </si>
  <si>
    <t>1 M2 Pas. Besi Hollow 4/4</t>
  </si>
  <si>
    <t>h</t>
  </si>
  <si>
    <t>Roster Beton LB 8 10 x 30</t>
  </si>
  <si>
    <t>1 M2 Pasang Dinding Roster Beton Lb 8 uk. 10 x 30 adk 1pc : 4ps</t>
  </si>
  <si>
    <t>opening jendela</t>
  </si>
  <si>
    <t>Solar Water Heater</t>
  </si>
  <si>
    <t>MCB 20 Ampere</t>
  </si>
  <si>
    <t xml:space="preserve">Pipa PPR 1" </t>
  </si>
  <si>
    <t>Lake JT Panel Wallpaper Dinding 3D</t>
  </si>
  <si>
    <t>50 x 50 cm</t>
  </si>
  <si>
    <t>LANTAI ATAP</t>
  </si>
  <si>
    <t>KG</t>
  </si>
  <si>
    <t>sub total pekerjaan lantai atap =</t>
  </si>
  <si>
    <t>daun pintu upvc natural</t>
  </si>
  <si>
    <t>1 M2 Panel Wallpaper Dinding 3D</t>
  </si>
  <si>
    <t>Panel Wallpaper Dinindg 3d</t>
  </si>
  <si>
    <t>H2</t>
  </si>
  <si>
    <t>H3</t>
  </si>
  <si>
    <t>Lampu Panel LED Papan</t>
  </si>
  <si>
    <t xml:space="preserve">Lampu 60 x 60 cm 4000 K 48 Watt </t>
  </si>
  <si>
    <t>P-33</t>
  </si>
  <si>
    <t>Lampu LED Tabung Linear</t>
  </si>
  <si>
    <t>P-34</t>
  </si>
  <si>
    <t>1 bh Pemasangan Lampu LED Tabung Linear</t>
  </si>
  <si>
    <t xml:space="preserve">Lampu LED TL 16 Watt </t>
  </si>
  <si>
    <t>Phillips Lampu LED Tabung Linear 16 Watt</t>
  </si>
  <si>
    <t>MCB 32 Ampere</t>
  </si>
  <si>
    <t>tralis kusen</t>
  </si>
  <si>
    <t>list profilan kusen</t>
  </si>
  <si>
    <t>total tralis</t>
  </si>
  <si>
    <t>total list profil</t>
  </si>
  <si>
    <t>tiang straus pile</t>
  </si>
  <si>
    <t>PONDASI BATU KALI</t>
  </si>
  <si>
    <t>ATAS</t>
  </si>
  <si>
    <t>BAWAH</t>
  </si>
  <si>
    <t>AANSTAMPING</t>
  </si>
  <si>
    <t>BATU KALI</t>
  </si>
  <si>
    <t>Pondasi Batu Kali</t>
  </si>
  <si>
    <t>&gt; Pasangan Batu kali</t>
  </si>
  <si>
    <t>&gt; Pasangan Anstamping</t>
  </si>
  <si>
    <t>Pasangan Batu Kali adukan 1 pc : 5 ps</t>
  </si>
  <si>
    <t>Pasangan Batu Kosong (Anstamping)</t>
  </si>
  <si>
    <t xml:space="preserve">Tulangan Utama besi beton Ø 12 mm </t>
  </si>
  <si>
    <t>bekisting lantai</t>
  </si>
  <si>
    <t>Pipa PPR Ø 1"</t>
  </si>
  <si>
    <t>Jendela UPVC</t>
  </si>
  <si>
    <t>Pas. Railing Balkon</t>
  </si>
  <si>
    <t>UKURAN KOLOM</t>
  </si>
  <si>
    <t>TOTAL VOLUME</t>
  </si>
  <si>
    <t>TOTAL MATERIAL</t>
  </si>
  <si>
    <t>Toto LW240CJ</t>
  </si>
  <si>
    <t>wastafel Setara TOTO LW 820 CJ (besar)</t>
  </si>
  <si>
    <t>Toto LW824CJ</t>
  </si>
  <si>
    <t>MCB 10 Ampere</t>
  </si>
  <si>
    <t>1 M2 Lantai Keramik area service uk. 60x60 cm Setara KIA Siena Ivory</t>
  </si>
  <si>
    <t>Keramik 60x60 cm Setara KIA Siena Ivory</t>
  </si>
  <si>
    <t>1 M2 Lantai Batu Tempel Hitam</t>
  </si>
  <si>
    <t>Pintu ex. Kayu Kamper Samarinda/ Setara</t>
  </si>
  <si>
    <t>Pasang Nok Allumunium</t>
  </si>
  <si>
    <t>Nok Allumunium</t>
  </si>
  <si>
    <t>MCB 4 Ampere</t>
  </si>
  <si>
    <t>Pas. Railing Tangga</t>
  </si>
  <si>
    <t>List Profilan Kusen</t>
  </si>
  <si>
    <t>LUAS PNP ATAS</t>
  </si>
  <si>
    <t xml:space="preserve">Tulangan Utama besi beton D 13 mm </t>
  </si>
  <si>
    <t>Paku Hak Panjang</t>
  </si>
  <si>
    <t>Luas Bangunan Lantai Satu</t>
  </si>
  <si>
    <t>Luas Bangunan Lantai Dua</t>
  </si>
  <si>
    <t>Luas Bangunan Lantai Atap</t>
  </si>
  <si>
    <t>Biotank</t>
  </si>
  <si>
    <t>Biofil BF 06 T 2145 liter</t>
  </si>
  <si>
    <t>1 Unit Biotank + Resapan</t>
  </si>
  <si>
    <t>Pas. Gerbang</t>
  </si>
  <si>
    <t>Pembuatan List Profil</t>
  </si>
  <si>
    <t>Pembuatan Tangga Besi</t>
  </si>
  <si>
    <t>Baja WF atap Skylight Carport</t>
  </si>
  <si>
    <t>Bak fiberglass kapasitas 1 m3 setara Penguin</t>
  </si>
  <si>
    <t>Tulangan Utama D 16</t>
  </si>
  <si>
    <t>d6</t>
  </si>
  <si>
    <t>BEKISTING DINDNIG</t>
  </si>
  <si>
    <t>bekisting DINDING</t>
  </si>
  <si>
    <t>Atap Alumunium (spandek)</t>
  </si>
  <si>
    <t>Total Besi Sengkang ( d10 ) :</t>
  </si>
  <si>
    <t>d12</t>
  </si>
  <si>
    <t>d8</t>
  </si>
  <si>
    <t>k6</t>
  </si>
  <si>
    <t>PERHITUNGAN BESI BALOK kanopy carport</t>
  </si>
  <si>
    <t>PERHITUNGAN BESI BALOK lt 2</t>
  </si>
  <si>
    <t>LANTAI atap</t>
  </si>
  <si>
    <t>kanopy carport</t>
  </si>
  <si>
    <t>LANTAI X</t>
  </si>
  <si>
    <t>Keramik 30x30</t>
  </si>
  <si>
    <t>1 M2 Dinding Keramik Mozaik 30x30 cm Setara Kuda Laut</t>
  </si>
  <si>
    <t>Keramik Mozaik 30x30 Setara Kuda Laut</t>
  </si>
  <si>
    <t>LANTAI 3</t>
  </si>
  <si>
    <t>ok</t>
  </si>
  <si>
    <t>MCB 40 Ampere</t>
  </si>
  <si>
    <t>MCB 1P 40 A Domae Schneider Dom 11346 SNI</t>
  </si>
  <si>
    <t>1 bh Pemasangan  MCB 40A</t>
  </si>
  <si>
    <t>MCB 40A</t>
  </si>
  <si>
    <t>Info Harga / asumsi biaya bangun Rumah Kost standar rata-rata untuk saat ini di tahun 2020  :</t>
  </si>
  <si>
    <t>1). Model Desain Kost Bertingkat kisaran biaya di 4,5 jt - 5 jt /m2 bangunan.</t>
  </si>
  <si>
    <t>2). Model Desain Rumah Kost Tidak bertingkat kisaran biaya 3 jt - 3.5 jt /m2 bangunan</t>
  </si>
  <si>
    <t>Untuk harga bangun sangat dipengaruhi oleh model desain dan spesifikasi material bangunan yang digunakan 🙏</t>
  </si>
  <si>
    <t>Info Harga / asumsi biaya bangun standar rata-rata untuk saat ini di tahun 2020  :</t>
  </si>
  <si>
    <t>A). BANGUNAN BERTINGKAT ( 2 LANTAI KE ATAS )</t>
  </si>
  <si>
    <t>1). Model Desain Minimalis kisaran biaya di 5 jt - 5,5 jt /m2 bangunan.</t>
  </si>
  <si>
    <t>2). Model Desain Tropis kisaran biaya 5,5 jt - 6 jt /m2 bangunan</t>
  </si>
  <si>
    <t>3). Model Desain Klasik Modern kisaran biaya 6 jt - 7 jt /m2 bangunan</t>
  </si>
  <si>
    <t>B). BANGUNAN TIDAK BERTINGKAT ( 1 LANTAI )</t>
  </si>
  <si>
    <t>1). Model Desain Minimalis kisaran biaya di 3 jt - 3,5 jt /m2 bangunan.</t>
  </si>
  <si>
    <t>2). Model Desain Tropis kisaran biaya 3,5 jt - 4 jt /m2 bangunan</t>
  </si>
  <si>
    <t>3). Model Desain Klasik Modern kisaran biaya 4 jt - 4.5 jt /m2 bangunan</t>
  </si>
  <si>
    <t>Ex. Konvensional</t>
  </si>
  <si>
    <t>STOP KONTAK water heater</t>
  </si>
  <si>
    <t>Lampu Disco</t>
  </si>
  <si>
    <t>1 bh Pemasangan Lampu Disco</t>
  </si>
  <si>
    <t>Lampu Disco 20W</t>
  </si>
  <si>
    <t>Pembuatan Tangga Putar</t>
  </si>
  <si>
    <t>Pasangan dinding roster beton</t>
  </si>
  <si>
    <t>Pasangan dinding glassblock</t>
  </si>
  <si>
    <t>Glassblock 20 x 20 cm</t>
  </si>
  <si>
    <t>Pasangan dinding batu palimanan</t>
  </si>
  <si>
    <r>
      <rPr>
        <b/>
        <sz val="11"/>
        <rFont val="Calibri"/>
        <family val="2"/>
      </rPr>
      <t>Ø</t>
    </r>
    <r>
      <rPr>
        <b/>
        <sz val="11"/>
        <rFont val="Times New Roman"/>
        <family val="1"/>
      </rPr>
      <t>1</t>
    </r>
    <r>
      <rPr>
        <b/>
        <sz val="11"/>
        <rFont val="Times New Roman"/>
        <family val="2"/>
      </rPr>
      <t>2</t>
    </r>
  </si>
  <si>
    <t>Tulangan d 12</t>
  </si>
  <si>
    <r>
      <t xml:space="preserve">Tulangan Sengkang </t>
    </r>
    <r>
      <rPr>
        <b/>
        <sz val="11"/>
        <rFont val="Calibri"/>
        <family val="2"/>
      </rPr>
      <t>Ø</t>
    </r>
    <r>
      <rPr>
        <b/>
        <sz val="11"/>
        <rFont val="Times New Roman"/>
        <family val="1"/>
      </rPr>
      <t>8</t>
    </r>
  </si>
  <si>
    <t>Total Besi Sengkang ( Ø10 ) :</t>
  </si>
  <si>
    <t>nomor sgk</t>
  </si>
  <si>
    <t>8, 10</t>
  </si>
  <si>
    <t>TOTAL KEB. BETON
KOLOM PRAKTIS</t>
  </si>
  <si>
    <r>
      <rPr>
        <b/>
        <sz val="11"/>
        <rFont val="Calibri"/>
        <family val="2"/>
      </rPr>
      <t>Ø</t>
    </r>
    <r>
      <rPr>
        <b/>
        <sz val="11"/>
        <rFont val="Times New Roman"/>
        <family val="1"/>
      </rPr>
      <t>12</t>
    </r>
  </si>
  <si>
    <t>Tangga 3</t>
  </si>
  <si>
    <t>PERHITUNGAN BESI TANGGA 3</t>
  </si>
  <si>
    <t>TANGA 3</t>
  </si>
  <si>
    <t>TANGGA 3</t>
  </si>
  <si>
    <r>
      <rPr>
        <b/>
        <sz val="11"/>
        <rFont val="Calibri"/>
        <family val="2"/>
      </rPr>
      <t>Ø</t>
    </r>
    <r>
      <rPr>
        <b/>
        <sz val="11"/>
        <rFont val="Times New Roman"/>
        <family val="1"/>
      </rPr>
      <t>10</t>
    </r>
  </si>
  <si>
    <r>
      <t xml:space="preserve">TOTAL </t>
    </r>
    <r>
      <rPr>
        <b/>
        <sz val="11"/>
        <rFont val="Calibri"/>
        <family val="2"/>
      </rPr>
      <t>Ø</t>
    </r>
    <r>
      <rPr>
        <b/>
        <sz val="11"/>
        <rFont val="Times New Roman"/>
        <family val="1"/>
      </rPr>
      <t>12</t>
    </r>
  </si>
  <si>
    <r>
      <t xml:space="preserve">TOTAL </t>
    </r>
    <r>
      <rPr>
        <b/>
        <sz val="11"/>
        <rFont val="Calibri"/>
        <family val="2"/>
      </rPr>
      <t>Ø</t>
    </r>
    <r>
      <rPr>
        <b/>
        <sz val="11"/>
        <rFont val="Times New Roman"/>
        <family val="1"/>
      </rPr>
      <t>10</t>
    </r>
  </si>
  <si>
    <t>Total Besi Sengkang ( D10 ) :</t>
  </si>
  <si>
    <t>nomor sengkang</t>
  </si>
  <si>
    <t>8, 10, D10</t>
  </si>
  <si>
    <t>PERHITUNGAN BESI BALOK bab 1</t>
  </si>
  <si>
    <t>PERHITUNGAN BESI BALOK bab 2</t>
  </si>
  <si>
    <t>lantai atap</t>
  </si>
  <si>
    <t>s4</t>
  </si>
  <si>
    <t>Hand Rail Kayu Bengkirai</t>
  </si>
  <si>
    <t>K11</t>
  </si>
  <si>
    <t>K12</t>
  </si>
  <si>
    <t>K13</t>
  </si>
  <si>
    <t>K14</t>
  </si>
  <si>
    <t>K15</t>
  </si>
  <si>
    <t>K16</t>
  </si>
  <si>
    <t>K17</t>
  </si>
  <si>
    <t>K18</t>
  </si>
  <si>
    <t>OK</t>
  </si>
  <si>
    <t xml:space="preserve">Plesteran dinding </t>
  </si>
  <si>
    <t>plesteran dinding</t>
  </si>
  <si>
    <t xml:space="preserve">plesteran dinding </t>
  </si>
  <si>
    <t>Cat Melamic/duco</t>
  </si>
  <si>
    <t>Pasangan dinding WPC</t>
  </si>
  <si>
    <t>Pasangan dinding Batu Alam</t>
  </si>
  <si>
    <t>https://www.99.co/blog/indonesia/harga-batu-alam/</t>
  </si>
  <si>
    <t>Batu Alam Palimanan</t>
  </si>
  <si>
    <t>Ukuran 20x40 cm</t>
  </si>
  <si>
    <t>http://www.batukoral.com/2013/05/batu-palimanan.html</t>
  </si>
  <si>
    <t>Pas. Keramik KM/WC</t>
  </si>
  <si>
    <t>MCB 25 Ampere</t>
  </si>
  <si>
    <t>Tangga putar besi (spiral)</t>
  </si>
  <si>
    <t>Pasangan dinding bata merah</t>
  </si>
  <si>
    <t>Rangka Atap baja WF</t>
  </si>
  <si>
    <t>Baja WF 200x100x5,7x8 mm</t>
  </si>
  <si>
    <t>1 PK</t>
  </si>
  <si>
    <t>2 PK</t>
  </si>
  <si>
    <t>MCB</t>
  </si>
  <si>
    <t>4A</t>
  </si>
  <si>
    <t>6A</t>
  </si>
  <si>
    <t>10A</t>
  </si>
  <si>
    <t>16A</t>
  </si>
  <si>
    <t>20A</t>
  </si>
  <si>
    <t>25A</t>
  </si>
  <si>
    <t>32A</t>
  </si>
  <si>
    <t>50A</t>
  </si>
  <si>
    <t>63A</t>
  </si>
  <si>
    <t>S HOTEL 1</t>
  </si>
  <si>
    <t>S HOTEL 2</t>
  </si>
  <si>
    <t>lampu luar</t>
  </si>
  <si>
    <t>lampu dalam</t>
  </si>
  <si>
    <t>Ampere</t>
  </si>
  <si>
    <t>MCB 6 Ampere</t>
  </si>
  <si>
    <t>MCB 50 Ampere</t>
  </si>
  <si>
    <t>DINDING BETON</t>
  </si>
  <si>
    <t>DINDING LANTAI 1</t>
  </si>
  <si>
    <t>DINDING LANTAI 2</t>
  </si>
  <si>
    <t>DINDING LANTAI 3</t>
  </si>
  <si>
    <t>LT 1</t>
  </si>
  <si>
    <t>LT 2</t>
  </si>
  <si>
    <t>LT 3</t>
  </si>
  <si>
    <t>VOLUME M2</t>
  </si>
  <si>
    <t>BETON DINDING</t>
  </si>
  <si>
    <t>BEKISTING DINDING</t>
  </si>
  <si>
    <t>&gt;beton dinding</t>
  </si>
  <si>
    <t>&gt;tulangan dinding</t>
  </si>
  <si>
    <t>&gt;bekisting dinding</t>
  </si>
  <si>
    <t>kaca Temperred 10 mm</t>
  </si>
  <si>
    <t>WPC</t>
  </si>
  <si>
    <t>1 M2 Sunscreen kayu Kamper Samarinda</t>
  </si>
  <si>
    <t>1 M2 Pas. Sunscreen Hollow 4/8</t>
  </si>
  <si>
    <t>Besi Hollow 4/8</t>
  </si>
  <si>
    <t>Tangki Fiber Glass/ Rooftank</t>
  </si>
  <si>
    <t>https://www.tangkikotak.com/tag/roof-tank/</t>
  </si>
  <si>
    <t>Tangki Fiber Glass Roof Tank</t>
  </si>
  <si>
    <t>Kapasitas 10 &lt; x ≤ 30 m3</t>
  </si>
  <si>
    <t>Pintu Garasi WINA-SS</t>
  </si>
  <si>
    <t>2A</t>
  </si>
  <si>
    <t>KBL LUAR</t>
  </si>
  <si>
    <t>KBL DAL</t>
  </si>
  <si>
    <t>KBL SK</t>
  </si>
  <si>
    <t>Besi Tempa</t>
  </si>
  <si>
    <t>https://www.asliindonesia.net/estimas-biaya-pembuatan-pagar-rumah/#:~:text=Nah%2C%20dari%20rincian%20biaya-biaya,Rp%20350.000%20–%20Rp%20500.000%20m&amp;text=Gate%20pagar%20besi%20biasa%20%3A%20Rp%20400.000%20–%20Rp%20600.000%20m</t>
  </si>
  <si>
    <t>Batu palimanan</t>
  </si>
  <si>
    <t>Bata merah tebal 1/2 bata. Adukan 1 PC : 5 PS</t>
  </si>
  <si>
    <t>Besi Baja I WF 250 x 125 x 6 x 9 mm – 12 M</t>
  </si>
  <si>
    <t>1 m' Pemasangan baja WF 250 x 125 x 6 x 9 mm</t>
  </si>
  <si>
    <t>Baja WF 250x125x6x9 mm</t>
  </si>
  <si>
    <t>Kaca Temperred 10 mm</t>
  </si>
  <si>
    <t>1 M2 Pasang Atap Kaca Temperred 10 mm</t>
  </si>
  <si>
    <t>Baja WF 150x75x5x7 mm</t>
  </si>
  <si>
    <t>Kusen Allumunium 4"</t>
  </si>
  <si>
    <t>Pas. Besi Pegangan</t>
  </si>
  <si>
    <t>Hollow 50 x 50 x 1,4 mm</t>
  </si>
  <si>
    <t>1 M' Pas. Besi Hollow 5/5/1,1 mm</t>
  </si>
  <si>
    <t>Kusen Allumunium</t>
  </si>
  <si>
    <t>Alexindo 4" Silver</t>
  </si>
  <si>
    <t>Alexindo 3" Silver</t>
  </si>
  <si>
    <t>Baja WF 250x 125</t>
  </si>
  <si>
    <t>Kran Ballvave Setara Onda</t>
  </si>
  <si>
    <t>ex.Onda</t>
  </si>
  <si>
    <t>D12</t>
  </si>
  <si>
    <t>KOLOM</t>
  </si>
  <si>
    <t>Ø12</t>
  </si>
  <si>
    <t>ATAP</t>
  </si>
  <si>
    <t>BALOK</t>
  </si>
  <si>
    <t>Ø10</t>
  </si>
  <si>
    <t>LEBAR B</t>
  </si>
  <si>
    <t>TINGGI B</t>
  </si>
  <si>
    <t>TINGGI A-B</t>
  </si>
  <si>
    <t>Pekerjaan Atap Lovera</t>
  </si>
  <si>
    <t>Atap Buka Tutup Lovera</t>
  </si>
  <si>
    <t>Harga per daun pintu. Termasuk Hardware Lengkap</t>
  </si>
  <si>
    <t>Atap Louvre</t>
  </si>
  <si>
    <t>Pipa PVC Wavin type AW 2.5"</t>
  </si>
  <si>
    <t>Pipa PVC Wavin type AW 2"</t>
  </si>
  <si>
    <t>Pipa PVC Wavin type AW 8"</t>
  </si>
  <si>
    <t>Rangka Baja WF</t>
  </si>
  <si>
    <t>&gt;Baja WF</t>
  </si>
  <si>
    <t>Baja WF 300x150x6,5x9 mm</t>
  </si>
  <si>
    <t>Atap Genteng Bitumen CTI</t>
  </si>
  <si>
    <t xml:space="preserve">ex.Onda </t>
  </si>
  <si>
    <t>Kaca Clear 5 mm</t>
  </si>
  <si>
    <t>https://www.tokopedia.com/cahayabangunan/engsel-pintu-solid-besar-5-in-inc-5-5in-5inc-5inch-ek09-ek-09-ek-09</t>
  </si>
  <si>
    <t>Pas. Kawat Harmonica</t>
  </si>
  <si>
    <t>Kawat Harmonica</t>
  </si>
  <si>
    <t>1 M2 Cutting Plat besi 2 mm</t>
  </si>
  <si>
    <t>Plat Besi 2 mm</t>
  </si>
  <si>
    <t>Jasa Cutting Plat</t>
  </si>
  <si>
    <t>Cutting Plat Besi 2 mm</t>
  </si>
  <si>
    <t>Keramik Dinding 30x60</t>
  </si>
  <si>
    <t>1 M2 Pasang Polycarbonate</t>
  </si>
  <si>
    <t/>
  </si>
  <si>
    <t>Polycarbonate</t>
  </si>
  <si>
    <t>https://www.tokopedia.com/pemberidiskon/keran-air-3-4-onda-keran-taman-onda-kran-taman</t>
  </si>
  <si>
    <t>https://www.tokopedia.com/hannochs/hannochs-lampu-led-nova-18w-cahaya-putih?whid=0</t>
  </si>
  <si>
    <t>https://www.tokopedia.com/willcalv/lampu-downlight-led-hannochs-easy-2-5w-5watt-5-w-bulat-cahaya-kuning</t>
  </si>
  <si>
    <t>Kunci Jendela / Rambuncis Dekson Aluminium 428</t>
  </si>
  <si>
    <t>https://www.tokopedia.com/lauxes7-pompair/mesin-pompa-air-pendorong-otomatis-shimizu-135-e-pompa-sumur-dangkal?whid=0</t>
  </si>
  <si>
    <t>1 Buah Pasang Pompa setara Shimizu</t>
  </si>
  <si>
    <t>Shimizu</t>
  </si>
  <si>
    <t xml:space="preserve">Genteng Bitumen </t>
  </si>
  <si>
    <t>Atap Polycarbonate</t>
  </si>
  <si>
    <t>Baja WF 300x150x6x9 mm</t>
  </si>
  <si>
    <t>Beton K-250 Jaya Mix</t>
  </si>
  <si>
    <t>Tangga Pipa Besi</t>
  </si>
  <si>
    <t>Cat penutup 2x setara ICI / Nippon</t>
  </si>
  <si>
    <t>Cat tembok setara ICI / Nippon</t>
  </si>
  <si>
    <t>SAKLAR</t>
  </si>
  <si>
    <t>S KONTAK</t>
  </si>
  <si>
    <t>Keramik 40x40</t>
  </si>
  <si>
    <t>Atap Allumunium Natural Spandek</t>
  </si>
  <si>
    <t>1 M2 Atap Skylight (Polycarbonate + Besi Hollow 5/10/1,7)</t>
  </si>
  <si>
    <t>Polycarbonate + Besi Hollow 5/10/1,7 MM</t>
  </si>
  <si>
    <t>Pas. Kaca Temperred 8 mm</t>
  </si>
  <si>
    <t>Atap Allumunium Natural / spandek</t>
  </si>
  <si>
    <t>: Rencana Anggaran Biaya</t>
  </si>
  <si>
    <t>: Struktur dan Finishing</t>
  </si>
  <si>
    <t>Kaca Temperred 10 mm + Besi Hollow 5/10/1,7 MM</t>
  </si>
  <si>
    <t>1 M2 Atap Skylight (Kaca Temperred 10 mm + Besi Hollow 5/10/1,7)</t>
  </si>
  <si>
    <t>Pintu Panel Kayu Kamper Samarinda</t>
  </si>
  <si>
    <t xml:space="preserve">Pompa Air Pendorong </t>
  </si>
  <si>
    <t>Tangki Pendam / Ground Water Tank</t>
  </si>
  <si>
    <t>Tangki Pendam/Ground Water Tank</t>
  </si>
  <si>
    <t>1 Buah Tangki Pendam 500 Ltr setara Penguin</t>
  </si>
  <si>
    <t>Tangki Pendam 500 Liter Penguin</t>
  </si>
  <si>
    <t>Lampu LED Kotak</t>
  </si>
  <si>
    <t>Philips downlight LED Meson Kotak 59465 13w Putih</t>
  </si>
  <si>
    <t>https://www.tokopedia.com/gemstone15/lampu-led-sensor-gerak-motion-sensor-9w-9-watt-hannochs-bergaransi</t>
  </si>
  <si>
    <t>1 bh Pemasangan Lampu LED Kotak</t>
  </si>
  <si>
    <t>https://www.hargalampuled.com/jual-lampu-kolam-renang-led-w1033-12w/</t>
  </si>
  <si>
    <t>Waterway W1033 12Watt</t>
  </si>
  <si>
    <t>`</t>
  </si>
  <si>
    <t xml:space="preserve">Kusen UPVC, </t>
  </si>
  <si>
    <t xml:space="preserve">Jendela Rangka UPVC, </t>
  </si>
  <si>
    <t>Tangki Pendam 500 Ltr Setara Penguin TP</t>
  </si>
  <si>
    <t>Lantai 4</t>
  </si>
  <si>
    <t>Pasangan keramik Lantai 4</t>
  </si>
  <si>
    <t>Pasangan Dinding Keramik Lantai 4</t>
  </si>
  <si>
    <t>LANTAI 4</t>
  </si>
  <si>
    <t>Pengukuran dan Pasang Bouwplank</t>
  </si>
  <si>
    <t>Urugan pasir bawah pondasi dan sloof</t>
  </si>
  <si>
    <t>ini LANTAI 2</t>
  </si>
  <si>
    <t>ini LANTAI 3</t>
  </si>
  <si>
    <t>ini LANTAI 4</t>
  </si>
  <si>
    <t>CAT</t>
  </si>
  <si>
    <t>Pintu KM/WC UPVC</t>
  </si>
  <si>
    <t xml:space="preserve">Kusen &amp; </t>
  </si>
  <si>
    <t>kunci body pelor merk solid pintu 2</t>
  </si>
  <si>
    <t>Engsel Pintu SOLID EK 08 Ball Bearing (4 BB)
5" x 3" x 3, material stainless steel</t>
  </si>
  <si>
    <t>T= 12 M</t>
  </si>
  <si>
    <t>Keramik 30x30 cm setara Roman</t>
  </si>
  <si>
    <t>Lampu Pijar 12 Watt</t>
  </si>
  <si>
    <t>plat 12 cm</t>
  </si>
  <si>
    <t>plat 10 cm</t>
  </si>
  <si>
    <t>SELALU CEK LAGI</t>
  </si>
  <si>
    <t xml:space="preserve">Kusen Allumunium 4", </t>
  </si>
  <si>
    <t xml:space="preserve">Jendela Allumunium 3", </t>
  </si>
  <si>
    <t>Pintu Panel Teakwood</t>
  </si>
  <si>
    <t>https://www.tokopedia.com/istanabangunan/shimizu-pompa-air-sumur-dalam-jet-pump-pc-375-bit-tangki?src=topads</t>
  </si>
  <si>
    <t>Pipa PVC Wavin type D 4"</t>
  </si>
  <si>
    <t>Pipa PVC Wavin type D 6"</t>
  </si>
  <si>
    <t xml:space="preserve">Pintu KM/WC Allumunium, </t>
  </si>
  <si>
    <t>ex.Wavin pvc type D + Fitting</t>
  </si>
  <si>
    <t>Pas. Sunscreen Hollow</t>
  </si>
  <si>
    <t>tebal 1,6 mm</t>
  </si>
  <si>
    <t xml:space="preserve">Besi Hollow ( 40x60x1.6) mm (600 cm) </t>
  </si>
  <si>
    <t>https://www.tokopedia.com/hannochs/product?keyword=12</t>
  </si>
  <si>
    <t>Gypsum 9mm ex. Aplus/Jayaboard / setara</t>
  </si>
  <si>
    <t>Pipa PVC air kotor ex. Wavin type D</t>
  </si>
  <si>
    <t>Fixture ex. Broco dan Armature ex. Hannochs / setara</t>
  </si>
  <si>
    <t>Plester Dinding (semua dinding)</t>
  </si>
  <si>
    <t>https://www.tokopedia.com/homeinteriorid/grendel-tanam-stainless-6-10-model-tarik-grendel-slot-pintu-fd05?whid=0</t>
  </si>
  <si>
    <t>https://www.tokopedia.com/tokolistriksj/pull-handle-handel-pintu-rumah-tarik-gagang-pintu-tarik-tarikan-pintu-gagang-suling?whid=0</t>
  </si>
  <si>
    <t>https://www.tokopedia.com/piokenzie/gagang-pintu-handel-hotel-stainless?whid=0</t>
  </si>
  <si>
    <t>Besi Hollow 40 X 60 x 1,6 mm</t>
  </si>
  <si>
    <t>Pipa PVC 4" jenis D</t>
  </si>
  <si>
    <t>Pipa PVC 4" berlubang jenis D</t>
  </si>
  <si>
    <t>( Rp )</t>
  </si>
  <si>
    <t>P6</t>
  </si>
  <si>
    <t>ini LANTAI ATAP</t>
  </si>
  <si>
    <t>INI LANTAI 5</t>
  </si>
  <si>
    <t>TANGGA LT1</t>
  </si>
  <si>
    <t>TANGGA LT2</t>
  </si>
  <si>
    <t>TANGGA LT3</t>
  </si>
  <si>
    <t>TANGGA LT4</t>
  </si>
  <si>
    <t>TANGGA LT5</t>
  </si>
  <si>
    <t>TANGGA ATAP</t>
  </si>
  <si>
    <t>KONGLIONG:</t>
  </si>
  <si>
    <t>DINDING LANTAI 4</t>
  </si>
  <si>
    <t>DINDING LANTAI 5</t>
  </si>
  <si>
    <t>lt 4</t>
  </si>
  <si>
    <t>lt 5</t>
  </si>
  <si>
    <t>Balok struktur induk dan anak</t>
  </si>
  <si>
    <t>Plat lantai</t>
  </si>
  <si>
    <t>Dinding Beton</t>
  </si>
  <si>
    <t>sub total pekerjaan lantai 4 =</t>
  </si>
  <si>
    <t>LUAS DINDING</t>
  </si>
  <si>
    <t>CAT INTERIOR</t>
  </si>
  <si>
    <t>CAT EXTERIOR</t>
  </si>
  <si>
    <t>WATERPROOF</t>
  </si>
  <si>
    <t>tinggi</t>
  </si>
  <si>
    <t>kongliong garasi</t>
  </si>
  <si>
    <t>Tangga Baja WF</t>
  </si>
  <si>
    <t>Baja 250x125</t>
  </si>
  <si>
    <t>stop kontak + 1</t>
  </si>
  <si>
    <t>Atap Alderon</t>
  </si>
  <si>
    <t>Baja WF 250x125x6x9 mm - 12 m</t>
  </si>
  <si>
    <t>Spesifikasi</t>
  </si>
  <si>
    <t>Folding Gate Galvalum</t>
  </si>
  <si>
    <t>PANJANG KUSEN</t>
  </si>
  <si>
    <t>Nama</t>
  </si>
  <si>
    <t>Total Harga Kunci</t>
  </si>
  <si>
    <t>harga KUSEN</t>
  </si>
  <si>
    <t>Harga DAUN PINTU</t>
  </si>
  <si>
    <t>Harga DAUN JENDELA</t>
  </si>
  <si>
    <t>Total Harga Kusen</t>
  </si>
  <si>
    <t xml:space="preserve">Total Harga Pintu </t>
  </si>
  <si>
    <t>Total Harga Jendela</t>
  </si>
  <si>
    <t>Total Harga Kaca 5 mm</t>
  </si>
  <si>
    <t>Total Harga Kaca 8 mm</t>
  </si>
  <si>
    <t>Jumlah Harga</t>
  </si>
  <si>
    <t>Jumlah Harga+upah</t>
  </si>
  <si>
    <t>jumlah kunci</t>
  </si>
  <si>
    <t>Grendel Tanam / Flush Bolt 644 SOLID 12"</t>
  </si>
  <si>
    <t>Solid handle/ Tarikan pintu PR 62.08 CHR+US32D</t>
  </si>
  <si>
    <t>solid handle gagang pintu hre.61.69 us32d</t>
  </si>
  <si>
    <t>Philips Lampu LED 5 Watt Coolday Light</t>
  </si>
  <si>
    <t>Philips Lampu LED 12 Watt Coolday Light</t>
  </si>
  <si>
    <t>Philips LED Downlight Eridani 5W</t>
  </si>
  <si>
    <t>ex Dulux / Setara</t>
  </si>
  <si>
    <t>beton site mix dengan mutu beton K-300</t>
  </si>
  <si>
    <t>beton READY mix mutu K-300</t>
  </si>
  <si>
    <t>Pas. Kisi Kisi Besi</t>
  </si>
  <si>
    <t>Kisi-Kisi Besi Plat 1,2 mm</t>
  </si>
  <si>
    <t>Besi Hollow 50/100</t>
  </si>
  <si>
    <t>Fixture ex. Broco dan Armature ex. Phillips/setara</t>
  </si>
  <si>
    <t>Pas. Rolling Door</t>
  </si>
  <si>
    <t>Rolling Door Besi</t>
  </si>
  <si>
    <t>Pas. Keramik R. Utama, Pantry</t>
  </si>
  <si>
    <t>Pas. Keramik R. Tidur</t>
  </si>
  <si>
    <t>Pas. Keramik Studio Foto</t>
  </si>
  <si>
    <t>Pas. Keramik Rooftop</t>
  </si>
  <si>
    <t>Kolam Renang</t>
  </si>
  <si>
    <t>&gt;Lantai kolam renang</t>
  </si>
  <si>
    <t>Railing Besi Minimalis</t>
  </si>
  <si>
    <t>http://www.kayuasriindonesia.com</t>
  </si>
  <si>
    <t>, Pintu UPVC</t>
  </si>
  <si>
    <t>, Jendela UPVC</t>
  </si>
  <si>
    <t>, Pintu UPVC Natural</t>
  </si>
  <si>
    <t>Kusen</t>
  </si>
  <si>
    <t>, Pintu Panel Teakwood</t>
  </si>
  <si>
    <t>, Kaca Clear 5 mm</t>
  </si>
  <si>
    <t>, Kaca Tempered 8 mm</t>
  </si>
  <si>
    <t>TINGGI PLAFOND</t>
  </si>
  <si>
    <t>TINGGI LANTAI</t>
  </si>
  <si>
    <t>Solar Water Heater 300 L</t>
  </si>
  <si>
    <t>kebutuhan /m2</t>
  </si>
  <si>
    <t>harga /m2</t>
  </si>
  <si>
    <t xml:space="preserve">Mesin Pompa Air 60 meter </t>
  </si>
  <si>
    <t>Ex. Voscon 7.5x20x60</t>
  </si>
  <si>
    <t>Ex. Voscon 10x20x60</t>
  </si>
  <si>
    <t>Semen Perekat Bata ringan 40/kg Ex. Mortar Utama</t>
  </si>
  <si>
    <t>Ex. Jaya Mix slump 12 +- 2 cm</t>
  </si>
  <si>
    <t>Ex. AM pengisi Nat keramik</t>
  </si>
  <si>
    <t>Ex. No Drop</t>
  </si>
  <si>
    <t>Dempul kayu/besi Ex. sanpolac</t>
  </si>
  <si>
    <t>Ex. Propan Thiner ND</t>
  </si>
  <si>
    <t>Meni besi Ex. Avian Zinc Chromate</t>
  </si>
  <si>
    <t>Ex. Dulux V Gloss</t>
  </si>
  <si>
    <t>Ex. Roman dPienza Beige W63342R</t>
  </si>
  <si>
    <t>Ex. Niro Granite IPietra GIP07 Riviera Black</t>
  </si>
  <si>
    <t>Ex. Indogress Solid White</t>
  </si>
  <si>
    <t>Ex. Marmer Ujung Pandang</t>
  </si>
  <si>
    <t>Ex. Roman dAugusta Grey</t>
  </si>
  <si>
    <t>Granit Tile Zamora Ex. China</t>
  </si>
  <si>
    <t>Ex. Roman d mega polis Grey</t>
  </si>
  <si>
    <t>Ex. KIA Terrazo</t>
  </si>
  <si>
    <t>Ex. KIA Monza Crema</t>
  </si>
  <si>
    <t>Ex. Arwana 4660 White Glossy</t>
  </si>
  <si>
    <t>Ex. Masterina Roxy Black M3R10</t>
  </si>
  <si>
    <t>Ex. Roman dRay Floor Dusk</t>
  </si>
  <si>
    <t>Ex. Lantai WPC KA150K25 C</t>
  </si>
  <si>
    <t>1,1 cm x 15 cm x 290 cm Ex. WPC DECK Type KA 150 S10</t>
  </si>
  <si>
    <t>1,5 cm x 15 cm x 290 cm Ex. WPC DECK Type KA 150 K15</t>
  </si>
  <si>
    <t>Ex. Asahi</t>
  </si>
  <si>
    <t>uk 20x20 cm Ex. Mulia</t>
  </si>
  <si>
    <t>selang Exhaust Flexible Ductinng 4 inch Ex. Defa Flex</t>
  </si>
  <si>
    <t>Ex. Lem isarplas</t>
  </si>
  <si>
    <t>Ex. Onda</t>
  </si>
  <si>
    <t>Ex. TOTO LW 889 CJ</t>
  </si>
  <si>
    <t>Ex. TOTO Urinal U 57 M White</t>
  </si>
  <si>
    <t>Ex. TOTO TX603KM</t>
  </si>
  <si>
    <t>Ex. jabesmen uk 180x105 mm</t>
  </si>
  <si>
    <t>Ex. kayu ulin kalimantan</t>
  </si>
  <si>
    <t>ketebalan reng 0.75mm Ex. Taso</t>
  </si>
  <si>
    <t>ketebalan reng 0.45mm dan tinggi 40mm Ex. Taso</t>
  </si>
  <si>
    <t>AC Split 3/4 PK Ex. TOSHIBA</t>
  </si>
  <si>
    <t>AC Split 1 PK Ex. TOSHIBA</t>
  </si>
  <si>
    <t>Stop kontak Ex. Albion terdiri dari berbagai macam soket diantaranya, data soket, Cat 6, Blank Plate, TV soket, Two pin power soket</t>
  </si>
  <si>
    <t>Ex. Ariston Water Heater Small Capacity Nano NANO 10</t>
  </si>
  <si>
    <t>Ex. Ariston Water Heater  Slim SL20 350</t>
  </si>
  <si>
    <t>Ex. supreme 3x2.5</t>
  </si>
  <si>
    <t>Socket Ex. Broco</t>
  </si>
  <si>
    <t>Lampu 60x60 cm 4000 K 48 watt. Ex. Phillips</t>
  </si>
  <si>
    <t>Lampu TL 16 Watt Ex. Phillips</t>
  </si>
  <si>
    <t>Slot jendela Ex. Solid RMB 647</t>
  </si>
  <si>
    <t>engsel stainlis 3 inch Ex. Solid</t>
  </si>
  <si>
    <t>Ex. Grundfos JD Basic 7 jet pump 60m</t>
  </si>
  <si>
    <t>Ex. Grundfos model SP 8A-5, Head 21 m, power 0.75 (kw)</t>
  </si>
  <si>
    <t>Ex. Shimizu 135 E</t>
  </si>
  <si>
    <t>Ex. Penguin fiber glass</t>
  </si>
  <si>
    <t>Ex. PENGUIN TP-55 (500 Liter)</t>
  </si>
  <si>
    <t>Lebar 40, Panjang 240, tebal 50 Ex. AsiaCon</t>
  </si>
  <si>
    <t>Tinggi 220, lebar 175, tebal 175 Ex. AsiaCon</t>
  </si>
  <si>
    <t>atap</t>
  </si>
  <si>
    <t>ini rumah</t>
  </si>
  <si>
    <t>1 M2 Dinding Batu Templek</t>
  </si>
  <si>
    <t>Pas. Dinding Batu Templek</t>
  </si>
  <si>
    <t xml:space="preserve"> dan Jendela Kayu Kamper Samarinda</t>
  </si>
  <si>
    <t>1 M2 Dinding Batu Paras Yogyakarta</t>
  </si>
  <si>
    <t>Batu Paras Yogyakarta</t>
  </si>
  <si>
    <t>Pas. Dinding Batu Paras Jogja</t>
  </si>
  <si>
    <t>panjang</t>
  </si>
  <si>
    <t>Besi Hollow 40x40x1,1 mm</t>
  </si>
  <si>
    <t>output</t>
  </si>
  <si>
    <t>input</t>
  </si>
  <si>
    <t>, Pintu Kayu Kamper Samarinda</t>
  </si>
  <si>
    <t>Harga Per Daun</t>
  </si>
  <si>
    <t>Pintu ex. Kayu Kamper Samarinda /setara</t>
  </si>
  <si>
    <t>https://upvcjakarta.com/price-list/</t>
  </si>
  <si>
    <t>Tangga Baja</t>
  </si>
  <si>
    <t>SLOOF II</t>
  </si>
  <si>
    <t>Pipa PVC Wavin type AW 3"</t>
  </si>
  <si>
    <t>Pintu WINA-SS</t>
  </si>
  <si>
    <t>1 m1 Pasang Pintu/jendela kaca rangka UPVC</t>
  </si>
  <si>
    <t>Pintu KM/WC PVC</t>
  </si>
  <si>
    <t>Pintu Kamar Mandi PVC</t>
  </si>
  <si>
    <t>Ex. DOLPHIN LD-1510 PVC DOOR 70X198CM R/L - PINTU PVC</t>
  </si>
  <si>
    <t>https://www.mitra10.com/pintu-pvc-dolphin-bukaan-kiri-kanan-ld-1510-70x198cm.html</t>
  </si>
  <si>
    <t>Besi BRC</t>
  </si>
  <si>
    <t>Pagar Besi BRC</t>
  </si>
  <si>
    <t>Setara Mowilex VIP Emulsion</t>
  </si>
  <si>
    <t>https://www.tokopedia.com/americanstandard/american-standard-paket-bath-and-shower-mixer-panas-dingin-type-c?whid=0</t>
  </si>
  <si>
    <t>https://www.tokopedia.com/bazarbangunan/closet-kloset-toilet-duduk-american-standard-my-winston-ccst-white-f778?whid=0</t>
  </si>
  <si>
    <t>Pas. Lantai Carport Rabat Beton</t>
  </si>
  <si>
    <t>Keramik 25x40</t>
  </si>
  <si>
    <t>Ex. Gemilang Fiorentina Beige</t>
  </si>
  <si>
    <t>Sistem Pile Cap, dan Straus Pile</t>
  </si>
  <si>
    <t>Pintu ex. Panel Teakwood Engineering/setara</t>
  </si>
  <si>
    <t>Galian Tanah Mesin Minicrane Strausspile dia-30 cm</t>
  </si>
  <si>
    <t>Pas. Keramik Foyer</t>
  </si>
  <si>
    <t>1 m' Pasang Pintu/jendela kaca rangka alluminium warna 3"</t>
  </si>
  <si>
    <t>1 m' Pasang Pintu/jendela kaca rangka alluminium warna 4"</t>
  </si>
  <si>
    <t>Pipa PVC air kotor ex. Wavin type AW</t>
  </si>
  <si>
    <t>Sloof</t>
  </si>
  <si>
    <t>https://www.foldinggate-rollingdoor.com/detailpost/folding-gate</t>
  </si>
  <si>
    <t>ex Dulux/ Setara</t>
  </si>
  <si>
    <t>PEKERJAAN PEMBANGUNAN RUMAH TINGGAL</t>
  </si>
  <si>
    <t>: Rumah Tinggal</t>
  </si>
  <si>
    <t>Bathtub Ex. TOTO FB1700-70</t>
  </si>
  <si>
    <t>Ex. TOTO CE 7</t>
  </si>
  <si>
    <t>Kitchen Zink</t>
  </si>
  <si>
    <t>Pas. Keramik R. Tidur Utama, WIC</t>
  </si>
  <si>
    <t>Railing Besi Tempa</t>
  </si>
  <si>
    <t>Pas. Railing Void</t>
  </si>
  <si>
    <t>Closet Duduk</t>
  </si>
  <si>
    <t>Setara Jaya board cornice</t>
  </si>
  <si>
    <t>Setara Kalsi</t>
  </si>
  <si>
    <t>BAHAN ALAT PENGGANTUNG DAN KUNCI</t>
  </si>
  <si>
    <t>B16</t>
  </si>
  <si>
    <t>B17</t>
  </si>
  <si>
    <t>B18</t>
  </si>
  <si>
    <t>B19</t>
  </si>
  <si>
    <t>B20</t>
  </si>
  <si>
    <t>Keramik 60x60</t>
  </si>
  <si>
    <t>Ex. Essenza Beola Grey</t>
  </si>
  <si>
    <t>Pas. Dinding keramik Kolam Renang</t>
  </si>
  <si>
    <t>Keramik 30x60</t>
  </si>
  <si>
    <t>Pas. Dinding Batu Alam Susun Sirih</t>
  </si>
  <si>
    <t>Niro Granite, Essenza, Citigress, KIA, Masterina /setara</t>
  </si>
  <si>
    <t>Sanitary ex. Toto setara</t>
  </si>
  <si>
    <t>Railing besi tempa</t>
  </si>
  <si>
    <t>Cat ex. Dulux/ setara</t>
  </si>
  <si>
    <t>Mesin Pompa ex. Grundfos/ setara</t>
  </si>
  <si>
    <t>P7</t>
  </si>
  <si>
    <t>Pintu Kasa Nyamuk Besi Hollow</t>
  </si>
  <si>
    <t>Kusen ex. UPVC Conch/setara</t>
  </si>
  <si>
    <t>Pintu ex. UPVC Conch/setara</t>
  </si>
  <si>
    <t>Jendela ex. UPVC Conch/setara</t>
  </si>
  <si>
    <t>Pintu ex. Panel Teakwood Engineering/ Setara</t>
  </si>
  <si>
    <t>Pintu ex. WINA-SS/ Setara</t>
  </si>
  <si>
    <t>Pintu ex. Pintu Kasa Nyamuk/ Setara</t>
  </si>
  <si>
    <t>Mutu Beton K. 300, Semen Hitam Tiga Roda / setara</t>
  </si>
  <si>
    <t>Acian ex. Semen Hitam Tiga Roda / setara</t>
  </si>
  <si>
    <t>Jalusi Allumunium</t>
  </si>
  <si>
    <t>Jalusi aluminium ukuran 100 × 100 cm, warna silver, hitam, coklat, dan putih</t>
  </si>
  <si>
    <t>80A</t>
  </si>
  <si>
    <t>100A</t>
  </si>
  <si>
    <t>Railing Kaca Temperred 10 mm</t>
  </si>
  <si>
    <t>Cutting Plat CNC</t>
  </si>
  <si>
    <t>Besi Hollow 50x100x1,4 mm</t>
  </si>
  <si>
    <t>1 M2 Pas. Sunscreen Hollow 50x100x1,4 mm</t>
  </si>
  <si>
    <t>Pas. Railing Pagar</t>
  </si>
  <si>
    <t>Ex. Habitat Brescia Gris</t>
  </si>
  <si>
    <t>Mutu Beton K. 300, Semen Bosowa/Setara</t>
  </si>
  <si>
    <t>Acian ex. Semen Hitam Bosowa/setara</t>
  </si>
  <si>
    <t xml:space="preserve">Setara American Standard Kran Bath and Shower type ART 2132 Mixer (panas - dingin) &amp;
Hand Shower </t>
  </si>
  <si>
    <t xml:space="preserve">Setara OULU KW1 W 288 </t>
  </si>
  <si>
    <t>Setara AMERICAN STANDARD MY WINSTON CCST</t>
  </si>
  <si>
    <t>Setara Jet Shower Wasser WS 88TS</t>
  </si>
  <si>
    <t>Sanitary ex American Standard/setara</t>
  </si>
  <si>
    <t>Kusen ex. Allumunium Alexindo/Setara</t>
  </si>
  <si>
    <t>Pintu ex. Allumunium Alexindo/Setara</t>
  </si>
  <si>
    <t>Jendela ex. Allumunium Alexindo/Setara</t>
  </si>
  <si>
    <t>Cat ex. Dulux/Jotun/setara</t>
  </si>
  <si>
    <t>Luxury Home, KIA, Masterina/setara</t>
  </si>
  <si>
    <t>https://www.tokopedia.com/ayyrabusana-1/lampu-gantung-minimalis-isi-3-lampu-hias-dapur-makan-ayrabusana99</t>
  </si>
  <si>
    <t>Ex. Ariston Solar Water Heater kapasitas 300L</t>
  </si>
  <si>
    <t xml:space="preserve">Pompa Kolam Renang </t>
  </si>
  <si>
    <t>Ex. Grundfos Wave SB 20. 16,5 m</t>
  </si>
  <si>
    <t xml:space="preserve">Sand Filter Kolam Renang </t>
  </si>
  <si>
    <t>Ex. Jakmax 16 inch</t>
  </si>
  <si>
    <t xml:space="preserve">Wall Inlet Kolam Renang </t>
  </si>
  <si>
    <t>Setara Aquastar 2 Inch</t>
  </si>
  <si>
    <t xml:space="preserve">Maindrain Kolam Renang </t>
  </si>
  <si>
    <t xml:space="preserve"> Ex. Austria 9Inch</t>
  </si>
  <si>
    <t>1 Buah Inlet</t>
  </si>
  <si>
    <t>1 Buah Main Drain</t>
  </si>
  <si>
    <t>Inlet</t>
  </si>
  <si>
    <t>Main Drain</t>
  </si>
  <si>
    <t>1 Buah Pasang Pompa Kolam Renang ex. Grundfos Wave</t>
  </si>
  <si>
    <t>Grundfos wave</t>
  </si>
  <si>
    <t>1 Buah Pasang Sand Filter Kolam renang ex. Jakmax</t>
  </si>
  <si>
    <t>Sand Filter</t>
  </si>
  <si>
    <t>Pasang Sand Filter Kolam Renang</t>
  </si>
  <si>
    <t>Maindrain Kolam Renang</t>
  </si>
  <si>
    <t>Pas. Keramik Gudang</t>
  </si>
  <si>
    <t>Batu Alam Candi Hitam</t>
  </si>
  <si>
    <t>1 M2 Dinding Batu Alam Candi Hitam Yogyakarta</t>
  </si>
  <si>
    <t>Keramik 15x80 Motif Kayu</t>
  </si>
  <si>
    <t>Ex. Torch 158016</t>
  </si>
  <si>
    <t>torch</t>
  </si>
  <si>
    <t>Pas. Dinding Batu Alam Candi Hitam Yogyakarta</t>
  </si>
  <si>
    <t>SANITAIR</t>
  </si>
  <si>
    <t>&gt; Baja WF</t>
  </si>
  <si>
    <t>Pas. Rangka Besi Hollow</t>
  </si>
  <si>
    <t>Wall Inlet Kolam</t>
  </si>
  <si>
    <t>Pas. Keramik R. ART</t>
  </si>
  <si>
    <t>Pas. Keramik R. Serbaguna</t>
  </si>
  <si>
    <t>Pagar Besi Minimalis</t>
  </si>
  <si>
    <t>Ex. Roman dPortoro Black W63456R</t>
  </si>
  <si>
    <t>Keramik 30x60 Motif Marmer Hitam</t>
  </si>
  <si>
    <t>Semen Tiga Roda /50 kg</t>
  </si>
  <si>
    <t>Gypsum setara Jaya board</t>
  </si>
  <si>
    <t>Setara Dulux wall filler</t>
  </si>
  <si>
    <t>Setara Dulux Weathershield</t>
  </si>
  <si>
    <t>Setara Dulux Easy Clean</t>
  </si>
  <si>
    <t>Setara Dulux Cat Dasar</t>
  </si>
  <si>
    <t>tofu</t>
  </si>
  <si>
    <t>Ex. Induro Biofil BF 03 AT. 1000 Liter</t>
  </si>
  <si>
    <t xml:space="preserve">Biotank </t>
  </si>
  <si>
    <t>TINGGI KOLOM :</t>
  </si>
  <si>
    <t>KLIK UNTUK LOMPAT KE :</t>
  </si>
  <si>
    <t>"KOTAK NOMER 2 DAN 3 ADALAH KOTAK TAMBAHAN. TIDAK DIISI JIKA SELURUH PANJANG DINDING SUDAH DIMASUKKAN KOTAK 1</t>
  </si>
  <si>
    <t>LT. 1</t>
  </si>
  <si>
    <t>LT. 2</t>
  </si>
  <si>
    <t>LT. 3</t>
  </si>
  <si>
    <t>LT. 4</t>
  </si>
  <si>
    <t>LT. 5</t>
  </si>
  <si>
    <t>LT. 6</t>
  </si>
  <si>
    <t>"JIKA BANGUNAN HANYA 2 LANTAI, MAKA ISI BAGIAN INI UNTUK MENGHITUNG ATAP. BEGITU JUGA SETERUSNYA</t>
  </si>
  <si>
    <t>SAKLAR 1</t>
  </si>
  <si>
    <t>SAKLAR 2</t>
  </si>
  <si>
    <t>SAKLAR 3</t>
  </si>
  <si>
    <t>SAKLAR 4</t>
  </si>
  <si>
    <t>KABEL OUTDOOR</t>
  </si>
  <si>
    <t>KABEL INDOOR</t>
  </si>
  <si>
    <t>KABEL STOP KONTAK</t>
  </si>
  <si>
    <t>KETINGGIAN PLAFOND</t>
  </si>
  <si>
    <t xml:space="preserve">Pompa Semi Jet </t>
  </si>
  <si>
    <t>Ex. Shimizu Pompa Semijet JET-100 BIT</t>
  </si>
  <si>
    <t>jet 100 bit</t>
  </si>
  <si>
    <t>Ex. Eglare Lampu Gantung Hias Cyrstal 6l</t>
  </si>
  <si>
    <t>Ex. Roman dBritannia Rhombus W63843R</t>
  </si>
  <si>
    <t>Ex. Niro Granite Bianco Luna GBL01 Silky White</t>
  </si>
  <si>
    <t>Ex. Niro Granite Lux 3.0 GLX83 Carnelia</t>
  </si>
  <si>
    <t>Ex. Roman dBorra Grey G330519</t>
  </si>
  <si>
    <t>1 Buah Pasang Pompa Semi Jet Ex. Shimizu Pompa Semijet JET-100 BIT</t>
  </si>
  <si>
    <t>Gypsum 9 mm setara Jayaboard + rangka Hollo Galvanis</t>
  </si>
  <si>
    <t>Gypsum 9 mm WR setara Jayaboard + rangka Hollo Galvanis</t>
  </si>
  <si>
    <t>Pas. Lantai Carport</t>
  </si>
  <si>
    <t>Lantai 2 dan Mezannine</t>
  </si>
  <si>
    <t>Balok struktur induk dan anak Mezannine</t>
  </si>
  <si>
    <t>Plat lantai Mezannine dan Kanopi</t>
  </si>
  <si>
    <t>P8</t>
  </si>
  <si>
    <t>P9</t>
  </si>
  <si>
    <t>P10</t>
  </si>
  <si>
    <t>P11</t>
  </si>
  <si>
    <t>J1</t>
  </si>
  <si>
    <t>J2</t>
  </si>
  <si>
    <t>J3</t>
  </si>
  <si>
    <t>J4</t>
  </si>
  <si>
    <t>J5</t>
  </si>
  <si>
    <t>J6</t>
  </si>
  <si>
    <t>J7</t>
  </si>
  <si>
    <t>J8</t>
  </si>
  <si>
    <t>BV</t>
  </si>
  <si>
    <t>Kusen Aluminium 4"</t>
  </si>
  <si>
    <t>, Pintu Aluminium 4"</t>
  </si>
  <si>
    <t xml:space="preserve">, Jendela Aluminium 3" </t>
  </si>
  <si>
    <t>Kunci Aluminium Rabuncis</t>
  </si>
  <si>
    <t>Lantai 2 dan Mezzanine</t>
  </si>
  <si>
    <t>#</t>
  </si>
  <si>
    <t xml:space="preserve">Batu Andesit Bintik 50x50 </t>
  </si>
  <si>
    <t>1 M2 Lantai Batu Andesit Bintik uk. 50 x 50 cm Finishing Polished</t>
  </si>
  <si>
    <t>Pas. Keramik Teras</t>
  </si>
  <si>
    <t>Pas. Keramik Foyer, R. Keluarga, R. Makan</t>
  </si>
  <si>
    <t>Pas. Keramik R. Tidur Tamu</t>
  </si>
  <si>
    <t>Pas. Keramik Garasi</t>
  </si>
  <si>
    <t>Pas. Keramik R. Dapur Kotor</t>
  </si>
  <si>
    <t>Pasangan keramik Lantai 2 dan Mezzanine</t>
  </si>
  <si>
    <t>Pas. Keramik R. Kerja/Belajar</t>
  </si>
  <si>
    <t>Pas. Keramik R. Tidur Anak</t>
  </si>
  <si>
    <t>Pas. Keramik R. Duduk</t>
  </si>
  <si>
    <t>Pas. Keramik T. Cuci/Jemur</t>
  </si>
  <si>
    <t>Pasangan Dinding Waterproofing Lantai Atap</t>
  </si>
  <si>
    <t>Lantai 1 dan Mezzanine</t>
  </si>
  <si>
    <t>Pasangan dinding bata ringan</t>
  </si>
  <si>
    <t>Shower Box Europe Enchanting E5007</t>
  </si>
  <si>
    <t>Setara  kran bak mdel toto</t>
  </si>
  <si>
    <t>Floor Drain Stainless Steel 304</t>
  </si>
  <si>
    <t xml:space="preserve">Stainless Kitchen Sink </t>
  </si>
  <si>
    <t xml:space="preserve">Ex.Pool Tile V 4808-7 Mosaic Mozaik Kolam Keramik Kolam Renang </t>
  </si>
  <si>
    <t>BV1</t>
  </si>
  <si>
    <t>BV2</t>
  </si>
  <si>
    <t>: -</t>
  </si>
  <si>
    <t>: Klasik Modern</t>
  </si>
  <si>
    <t>Jakarta, 30 Juni 20…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</si>
</sst>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(* #,##0.000_);_(* \(#,##0.000\);_(* &quot;-&quot;??_);_(@_)"/>
    <numFmt numFmtId="167" formatCode="_(* #,##0.0000_);_(* \(#,##0.0000\);_(* &quot;-&quot;??_);_(@_)"/>
    <numFmt numFmtId="168" formatCode="0.000"/>
    <numFmt numFmtId="169" formatCode="_(* #,##0_);_(* \(#,##0\);_(* &quot;-&quot;??_);_(@_)"/>
    <numFmt numFmtId="170" formatCode="_(* #,##0.00_);_(* \(#,##0.00\);_(* &quot;-&quot;_);_(@_)"/>
    <numFmt numFmtId="171" formatCode="0.0000"/>
    <numFmt numFmtId="172" formatCode="0_)"/>
    <numFmt numFmtId="173" formatCode="#,##0.000"/>
    <numFmt numFmtId="174" formatCode="0.00000"/>
    <numFmt numFmtId="175" formatCode="#,##0.0000"/>
    <numFmt numFmtId="176" formatCode="#,##0.00000"/>
    <numFmt numFmtId="177" formatCode="_-* #,##0.00_-;\-* #,##0.00_-;_-* &quot;-&quot;_-;_-@_-"/>
    <numFmt numFmtId="178" formatCode="[$-F800]dddd\,\ mmmm\ dd\,\ yyyy"/>
    <numFmt numFmtId="179" formatCode="_(* #,##0.0000_);_(* \(#,##0.0000\);_(* &quot;-&quot;????_);_(@_)"/>
    <numFmt numFmtId="180" formatCode="0.0"/>
    <numFmt numFmtId="181" formatCode="_-* #,##0.0000_-;\-* #,##0.0000_-;_-* &quot;-&quot;????_-;_-@_-"/>
    <numFmt numFmtId="182" formatCode="_-* #,##0.000_-;\-* #,##0.000_-;_-* &quot;-&quot;???_-;_-@_-"/>
    <numFmt numFmtId="183" formatCode="_-* #,##0.000_-;\-* #,##0.000_-;_-* &quot;-&quot;_-;_-@_-"/>
    <numFmt numFmtId="184" formatCode="_(* #,##0_);_(* \(#,##0\);_(* &quot;-&quot;????_);_(@_)"/>
    <numFmt numFmtId="185" formatCode="_(* #,##0.0_);_(* \(#,##0.0\);_(* &quot;-&quot;_);_(@_)"/>
    <numFmt numFmtId="186" formatCode="_(* #,##0.000_);_(* \(#,##0.000\);_(* &quot;-&quot;_);_(@_)"/>
    <numFmt numFmtId="187" formatCode="[$-F400]h:mm:ss\ AM/PM"/>
  </numFmts>
  <fonts count="13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</font>
    <font>
      <sz val="10"/>
      <color indexed="8"/>
      <name val="Arial Narrow"/>
      <family val="2"/>
    </font>
    <font>
      <sz val="11"/>
      <color theme="1"/>
      <name val="Calibri"/>
      <family val="2"/>
      <charset val="1"/>
      <scheme val="minor"/>
    </font>
    <font>
      <b/>
      <sz val="12"/>
      <color indexed="8"/>
      <name val="Times New Roman"/>
      <family val="1"/>
    </font>
    <font>
      <b/>
      <sz val="10"/>
      <color indexed="8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indexed="8"/>
      <name val="Calibri"/>
      <family val="2"/>
      <charset val="1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2"/>
      <color indexed="8"/>
      <name val="Times New Roman"/>
      <family val="1"/>
    </font>
    <font>
      <sz val="10"/>
      <color indexed="8"/>
      <name val="Arial"/>
      <family val="2"/>
    </font>
    <font>
      <b/>
      <sz val="16"/>
      <color indexed="8"/>
      <name val="Times New Roman"/>
      <family val="1"/>
    </font>
    <font>
      <sz val="10"/>
      <color indexed="8"/>
      <name val="Symbol"/>
      <family val="1"/>
      <charset val="2"/>
    </font>
    <font>
      <b/>
      <i/>
      <sz val="10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8"/>
      <name val="Times New Roman"/>
      <family val="1"/>
    </font>
    <font>
      <i/>
      <sz val="9"/>
      <color theme="1"/>
      <name val="Times New Roman"/>
      <family val="1"/>
    </font>
    <font>
      <b/>
      <sz val="14"/>
      <name val="Times New Roman"/>
      <family val="1"/>
    </font>
    <font>
      <sz val="11"/>
      <color indexed="8"/>
      <name val="Calibri"/>
      <family val="2"/>
      <charset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charset val="1"/>
      <scheme val="minor"/>
    </font>
    <font>
      <b/>
      <u/>
      <sz val="7"/>
      <name val="Arial"/>
      <family val="2"/>
    </font>
    <font>
      <sz val="7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b/>
      <sz val="7"/>
      <name val="Arial"/>
      <family val="2"/>
    </font>
    <font>
      <sz val="7"/>
      <color indexed="8"/>
      <name val="Arial"/>
      <family val="2"/>
    </font>
    <font>
      <b/>
      <u val="singleAccounting"/>
      <sz val="7"/>
      <name val="Arial"/>
      <family val="2"/>
    </font>
    <font>
      <b/>
      <u val="singleAccounting"/>
      <sz val="7"/>
      <color indexed="8"/>
      <name val="Arial"/>
      <family val="2"/>
    </font>
    <font>
      <b/>
      <sz val="7"/>
      <color indexed="8"/>
      <name val="Arial"/>
      <family val="2"/>
    </font>
    <font>
      <b/>
      <u/>
      <sz val="7"/>
      <color indexed="8"/>
      <name val="Arial"/>
      <family val="2"/>
    </font>
    <font>
      <b/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20"/>
      <color theme="1"/>
      <name val="Times New Roman"/>
      <family val="1"/>
    </font>
    <font>
      <sz val="12"/>
      <color theme="1"/>
      <name val="Arial"/>
      <family val="2"/>
    </font>
    <font>
      <b/>
      <sz val="12"/>
      <color theme="1"/>
      <name val="Times New Roman"/>
      <family val="1"/>
    </font>
    <font>
      <sz val="10"/>
      <name val="Calibri"/>
      <family val="2"/>
    </font>
    <font>
      <b/>
      <sz val="9"/>
      <name val="Calibri"/>
      <family val="2"/>
      <scheme val="minor"/>
    </font>
    <font>
      <u/>
      <sz val="9"/>
      <color theme="1"/>
      <name val="Calibri"/>
      <family val="2"/>
      <scheme val="minor"/>
    </font>
    <font>
      <sz val="10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Arial Rounded MT Bold"/>
      <family val="2"/>
    </font>
    <font>
      <b/>
      <sz val="16"/>
      <name val="Arial Rounded MT Bold"/>
      <family val="2"/>
    </font>
    <font>
      <b/>
      <sz val="10"/>
      <color theme="1"/>
      <name val="Calibri"/>
      <family val="2"/>
      <scheme val="minor"/>
    </font>
    <font>
      <b/>
      <sz val="11"/>
      <color theme="1"/>
      <name val="Arial Rounded MT Bold"/>
      <family val="2"/>
    </font>
    <font>
      <b/>
      <sz val="16"/>
      <color theme="1"/>
      <name val="Arial Rounded MT Bold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theme="1"/>
      <name val="Times New Roman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i/>
      <sz val="20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20"/>
      <name val="Calibri"/>
      <family val="2"/>
      <scheme val="minor"/>
    </font>
    <font>
      <b/>
      <i/>
      <sz val="11"/>
      <color theme="1"/>
      <name val="Times New Roman"/>
      <family val="1"/>
    </font>
    <font>
      <i/>
      <sz val="11"/>
      <color rgb="FFFF0000"/>
      <name val="Times New Roman"/>
      <family val="1"/>
    </font>
    <font>
      <b/>
      <i/>
      <sz val="11"/>
      <color rgb="FFFF0000"/>
      <name val="Times New Roman"/>
      <family val="1"/>
    </font>
    <font>
      <sz val="10"/>
      <color rgb="FF555555"/>
      <name val="Arial"/>
      <family val="2"/>
    </font>
    <font>
      <sz val="11"/>
      <color rgb="FFFFFF00"/>
      <name val="Calibri"/>
      <family val="2"/>
      <scheme val="minor"/>
    </font>
    <font>
      <b/>
      <sz val="11"/>
      <color rgb="FFFFFF00"/>
      <name val="Times New Roman"/>
      <family val="1"/>
    </font>
    <font>
      <b/>
      <sz val="12"/>
      <color rgb="FFFFFF00"/>
      <name val="Times New Roman"/>
      <family val="1"/>
    </font>
    <font>
      <b/>
      <sz val="11"/>
      <color rgb="FFFFFF00"/>
      <name val="Times New Roman"/>
      <family val="1"/>
      <charset val="1"/>
    </font>
    <font>
      <b/>
      <sz val="11"/>
      <color rgb="FFFFFF00"/>
      <name val="Calibri"/>
      <family val="2"/>
    </font>
    <font>
      <b/>
      <i/>
      <sz val="9"/>
      <color theme="1"/>
      <name val="Calibri"/>
      <family val="2"/>
      <scheme val="minor"/>
    </font>
    <font>
      <u/>
      <sz val="11"/>
      <name val="Calibri"/>
      <family val="2"/>
      <scheme val="minor"/>
    </font>
    <font>
      <b/>
      <i/>
      <sz val="11"/>
      <name val="Times New Roman"/>
      <family val="1"/>
    </font>
    <font>
      <b/>
      <sz val="16"/>
      <color rgb="FFFFFF00"/>
      <name val="Times New Roman"/>
      <family val="1"/>
    </font>
    <font>
      <b/>
      <u/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6"/>
      <name val="Times New Roman"/>
      <family val="1"/>
    </font>
    <font>
      <b/>
      <sz val="11"/>
      <name val="Times New Roman"/>
      <family val="2"/>
    </font>
    <font>
      <b/>
      <sz val="11"/>
      <name val="Calibri"/>
      <family val="2"/>
    </font>
    <font>
      <i/>
      <sz val="11"/>
      <name val="Times New Roman"/>
      <family val="1"/>
    </font>
    <font>
      <b/>
      <sz val="11"/>
      <name val="Times New Roman"/>
      <family val="1"/>
      <charset val="1"/>
    </font>
    <font>
      <b/>
      <sz val="20"/>
      <name val="Times New Roman"/>
      <family val="1"/>
    </font>
    <font>
      <sz val="12"/>
      <name val="Arial"/>
      <family val="2"/>
    </font>
    <font>
      <b/>
      <sz val="23"/>
      <color rgb="FF000000"/>
      <name val="Trebuchet MS"/>
      <family val="2"/>
    </font>
    <font>
      <sz val="10"/>
      <color theme="1"/>
      <name val="Calibri"/>
      <family val="2"/>
      <charset val="1"/>
      <scheme val="minor"/>
    </font>
    <font>
      <b/>
      <sz val="11"/>
      <color rgb="FFFFFF00"/>
      <name val="Arial"/>
      <family val="2"/>
    </font>
    <font>
      <sz val="11"/>
      <color indexed="81"/>
      <name val="Tahoma"/>
      <family val="2"/>
    </font>
    <font>
      <sz val="12"/>
      <color indexed="81"/>
      <name val="Tahoma"/>
      <family val="2"/>
    </font>
    <font>
      <sz val="11"/>
      <name val="Calibri Light"/>
      <family val="2"/>
      <scheme val="major"/>
    </font>
    <font>
      <b/>
      <sz val="10"/>
      <color theme="1"/>
      <name val="Times New Roman"/>
      <family val="1"/>
    </font>
    <font>
      <b/>
      <sz val="18"/>
      <color theme="1"/>
      <name val="Times New Roman"/>
      <family val="1"/>
    </font>
    <font>
      <b/>
      <sz val="18"/>
      <color theme="1"/>
      <name val="Copperplate Gothic Bold"/>
      <family val="2"/>
    </font>
    <font>
      <b/>
      <sz val="12"/>
      <color theme="0"/>
      <name val="Times New Roman"/>
      <family val="1"/>
    </font>
    <font>
      <b/>
      <sz val="12"/>
      <color theme="0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TechnicLite"/>
      <charset val="2"/>
    </font>
    <font>
      <sz val="10"/>
      <color theme="0" tint="-0.14999847407452621"/>
      <name val="Times New Roman"/>
      <family val="1"/>
    </font>
    <font>
      <sz val="10"/>
      <color theme="0" tint="-0.14999847407452621"/>
      <name val="Calibri"/>
      <family val="2"/>
      <scheme val="minor"/>
    </font>
    <font>
      <sz val="8"/>
      <color theme="0" tint="-0.1499984740745262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8"/>
      <color theme="1"/>
      <name val="Calibri"/>
      <family val="2"/>
      <charset val="1"/>
      <scheme val="minor"/>
    </font>
    <font>
      <sz val="24"/>
      <color theme="1"/>
      <name val="Calibri"/>
      <family val="2"/>
      <scheme val="minor"/>
    </font>
    <font>
      <sz val="24"/>
      <color theme="0" tint="-4.9989318521683403E-2"/>
      <name val="Calibri"/>
      <family val="2"/>
      <scheme val="minor"/>
    </font>
    <font>
      <sz val="24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8"/>
      <color theme="1"/>
      <name val="Arial"/>
      <family val="2"/>
    </font>
    <font>
      <b/>
      <i/>
      <sz val="12"/>
      <color theme="1"/>
      <name val="Calibri"/>
      <family val="2"/>
      <scheme val="minor"/>
    </font>
    <font>
      <b/>
      <sz val="12"/>
      <color theme="0"/>
      <name val="Arial"/>
      <family val="2"/>
    </font>
    <font>
      <sz val="12"/>
      <color theme="1"/>
      <name val="Times New Roman"/>
      <family val="1"/>
    </font>
    <font>
      <b/>
      <sz val="9"/>
      <color theme="1"/>
      <name val="Times New Roman"/>
      <family val="1"/>
    </font>
    <font>
      <i/>
      <sz val="12"/>
      <color theme="1"/>
      <name val="Times New Roman"/>
      <family val="1"/>
    </font>
    <font>
      <sz val="13"/>
      <color theme="0"/>
      <name val="Times New Roman"/>
      <family val="1"/>
    </font>
    <font>
      <b/>
      <sz val="14"/>
      <color rgb="FFFF0000"/>
      <name val="Times New Roman"/>
      <family val="1"/>
    </font>
    <font>
      <b/>
      <u/>
      <sz val="10"/>
      <color rgb="FF0070C0"/>
      <name val="Arial"/>
      <family val="2"/>
    </font>
    <font>
      <sz val="9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lightTrellis">
        <fgColor indexed="22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DF1EC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A5A5A5"/>
      </patternFill>
    </fill>
  </fills>
  <borders count="612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 style="hair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/>
      <right style="double">
        <color auto="1"/>
      </right>
      <top style="double">
        <color auto="1"/>
      </top>
      <bottom style="hair">
        <color auto="1"/>
      </bottom>
      <diagonal/>
    </border>
    <border>
      <left style="double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/>
      <top style="hair">
        <color auto="1"/>
      </top>
      <bottom style="double">
        <color auto="1"/>
      </bottom>
      <diagonal/>
    </border>
    <border>
      <left/>
      <right/>
      <top style="hair">
        <color auto="1"/>
      </top>
      <bottom style="double">
        <color auto="1"/>
      </bottom>
      <diagonal/>
    </border>
    <border>
      <left/>
      <right style="double">
        <color auto="1"/>
      </right>
      <top style="hair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double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/>
      <right style="double">
        <color auto="1"/>
      </right>
      <top style="hair">
        <color auto="1"/>
      </top>
      <bottom/>
      <diagonal/>
    </border>
    <border>
      <left style="thin">
        <color auto="1"/>
      </left>
      <right/>
      <top style="double">
        <color auto="1"/>
      </top>
      <bottom style="hair">
        <color auto="1"/>
      </bottom>
      <diagonal/>
    </border>
    <border>
      <left/>
      <right style="thin">
        <color auto="1"/>
      </right>
      <top style="double">
        <color auto="1"/>
      </top>
      <bottom style="hair">
        <color auto="1"/>
      </bottom>
      <diagonal/>
    </border>
    <border>
      <left style="double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double">
        <color auto="1"/>
      </bottom>
      <diagonal/>
    </border>
    <border>
      <left/>
      <right style="thin">
        <color auto="1"/>
      </right>
      <top style="hair">
        <color auto="1"/>
      </top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auto="1"/>
      </left>
      <right style="thin">
        <color indexed="64"/>
      </right>
      <top style="double">
        <color auto="1"/>
      </top>
      <bottom/>
      <diagonal/>
    </border>
    <border>
      <left style="thin">
        <color indexed="64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indexed="64"/>
      </right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indexed="64"/>
      </right>
      <top/>
      <bottom style="double">
        <color auto="1"/>
      </bottom>
      <diagonal/>
    </border>
    <border>
      <left style="thin">
        <color indexed="64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indexed="64"/>
      </right>
      <top style="double">
        <color auto="1"/>
      </top>
      <bottom style="hair">
        <color auto="1"/>
      </bottom>
      <diagonal/>
    </border>
    <border>
      <left style="double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 style="thin">
        <color auto="1"/>
      </left>
      <right/>
      <top style="hair">
        <color auto="1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thin">
        <color indexed="64"/>
      </bottom>
      <diagonal/>
    </border>
    <border>
      <left/>
      <right style="double">
        <color auto="1"/>
      </right>
      <top style="hair">
        <color auto="1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hair">
        <color indexed="64"/>
      </bottom>
      <diagonal/>
    </border>
    <border>
      <left style="thin">
        <color indexed="64"/>
      </left>
      <right style="thin">
        <color indexed="8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8"/>
      </right>
      <top style="hair">
        <color indexed="64"/>
      </top>
      <bottom/>
      <diagonal/>
    </border>
    <border>
      <left style="thin">
        <color indexed="64"/>
      </left>
      <right style="thin">
        <color indexed="8"/>
      </right>
      <top style="hair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hair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8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hair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8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8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thin">
        <color indexed="64"/>
      </bottom>
      <diagonal/>
    </border>
    <border>
      <left/>
      <right style="thin">
        <color indexed="8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8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hair">
        <color indexed="8"/>
      </bottom>
      <diagonal/>
    </border>
    <border>
      <left/>
      <right/>
      <top/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indexed="8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/>
      <right style="thin">
        <color indexed="8"/>
      </right>
      <top style="hair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/>
      <right style="thin">
        <color indexed="8"/>
      </right>
      <top/>
      <bottom style="hair">
        <color indexed="64"/>
      </bottom>
      <diagonal/>
    </border>
    <border>
      <left style="thin">
        <color indexed="64"/>
      </left>
      <right style="thin">
        <color indexed="8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double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8"/>
      </right>
      <top style="hair">
        <color indexed="64"/>
      </top>
      <bottom/>
      <diagonal/>
    </border>
    <border>
      <left style="thin">
        <color indexed="64"/>
      </left>
      <right style="thin">
        <color indexed="8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thin">
        <color indexed="8"/>
      </right>
      <top/>
      <bottom style="hair">
        <color indexed="64"/>
      </bottom>
      <diagonal/>
    </border>
    <border>
      <left style="thin">
        <color indexed="8"/>
      </left>
      <right style="thin">
        <color indexed="8"/>
      </right>
      <top/>
      <bottom style="hair">
        <color indexed="64"/>
      </bottom>
      <diagonal/>
    </border>
    <border>
      <left style="thin">
        <color indexed="8"/>
      </left>
      <right style="medium">
        <color indexed="64"/>
      </right>
      <top/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64"/>
      </top>
      <bottom/>
      <diagonal/>
    </border>
    <border>
      <left/>
      <right style="thin">
        <color indexed="8"/>
      </right>
      <top style="hair">
        <color indexed="64"/>
      </top>
      <bottom style="hair">
        <color indexed="64"/>
      </bottom>
      <diagonal/>
    </border>
    <border>
      <left/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/>
      <diagonal/>
    </border>
    <border>
      <left style="thin">
        <color indexed="8"/>
      </left>
      <right style="medium">
        <color indexed="64"/>
      </right>
      <top style="hair">
        <color indexed="8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thin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thin">
        <color indexed="8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8"/>
      </right>
      <top style="hair">
        <color indexed="64"/>
      </top>
      <bottom/>
      <diagonal/>
    </border>
    <border>
      <left style="thin">
        <color indexed="64"/>
      </left>
      <right style="thin">
        <color indexed="8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indexed="8"/>
      </right>
      <top style="hair">
        <color auto="1"/>
      </top>
      <bottom style="hair">
        <color indexed="64"/>
      </bottom>
      <diagonal/>
    </border>
    <border>
      <left style="thin">
        <color indexed="8"/>
      </left>
      <right style="medium">
        <color indexed="64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medium">
        <color indexed="64"/>
      </right>
      <top/>
      <bottom style="hair">
        <color auto="1"/>
      </bottom>
      <diagonal/>
    </border>
    <border>
      <left/>
      <right/>
      <top style="hair">
        <color auto="1"/>
      </top>
      <bottom style="double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hair">
        <color auto="1"/>
      </top>
      <bottom style="double">
        <color auto="1"/>
      </bottom>
      <diagonal/>
    </border>
    <border>
      <left style="medium">
        <color indexed="64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 style="medium">
        <color indexed="64"/>
      </right>
      <top style="hair">
        <color auto="1"/>
      </top>
      <bottom/>
      <diagonal/>
    </border>
    <border>
      <left style="thin">
        <color indexed="64"/>
      </left>
      <right style="double">
        <color auto="1"/>
      </right>
      <top style="double">
        <color auto="1"/>
      </top>
      <bottom/>
      <diagonal/>
    </border>
    <border>
      <left style="thin">
        <color indexed="64"/>
      </left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 style="thin">
        <color indexed="8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hair">
        <color auto="1"/>
      </top>
      <bottom/>
      <diagonal/>
    </border>
    <border>
      <left/>
      <right style="thin">
        <color indexed="8"/>
      </right>
      <top/>
      <bottom style="hair">
        <color indexed="64"/>
      </bottom>
      <diagonal/>
    </border>
    <border>
      <left style="double">
        <color auto="1"/>
      </left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thin">
        <color indexed="8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8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hair">
        <color indexed="8"/>
      </bottom>
      <diagonal/>
    </border>
    <border>
      <left/>
      <right style="thin">
        <color indexed="8"/>
      </right>
      <top style="hair">
        <color indexed="64"/>
      </top>
      <bottom style="hair">
        <color indexed="8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indexed="8"/>
      </right>
      <top style="hair">
        <color auto="1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hair">
        <color indexed="8"/>
      </bottom>
      <diagonal/>
    </border>
    <border>
      <left/>
      <right style="thin">
        <color indexed="8"/>
      </right>
      <top style="hair">
        <color indexed="64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double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double">
        <color auto="1"/>
      </bottom>
      <diagonal/>
    </border>
    <border>
      <left style="thin">
        <color indexed="64"/>
      </left>
      <right style="double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 style="double">
        <color auto="1"/>
      </right>
      <top style="hair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double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auto="1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hair">
        <color auto="1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auto="1"/>
      </bottom>
      <diagonal/>
    </border>
    <border>
      <left style="thin">
        <color auto="1"/>
      </left>
      <right/>
      <top style="hair">
        <color auto="1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auto="1"/>
      </bottom>
      <diagonal/>
    </border>
    <border>
      <left/>
      <right/>
      <top style="hair">
        <color indexed="64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 style="thin">
        <color auto="1"/>
      </bottom>
      <diagonal/>
    </border>
    <border>
      <left/>
      <right/>
      <top style="thin">
        <color rgb="FFFF0000"/>
      </top>
      <bottom style="thin">
        <color auto="1"/>
      </bottom>
      <diagonal/>
    </border>
    <border>
      <left/>
      <right style="thin">
        <color rgb="FFFF0000"/>
      </right>
      <top style="thin">
        <color rgb="FFFF0000"/>
      </top>
      <bottom style="thin">
        <color auto="1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 style="thin">
        <color auto="1"/>
      </right>
      <top style="thin">
        <color rgb="FFFF0000"/>
      </top>
      <bottom style="thin">
        <color rgb="FFFF0000"/>
      </bottom>
      <diagonal/>
    </border>
    <border>
      <left style="thin">
        <color auto="1"/>
      </left>
      <right style="thin">
        <color auto="1"/>
      </right>
      <top style="thin">
        <color rgb="FFFF0000"/>
      </top>
      <bottom style="thin">
        <color rgb="FFFF0000"/>
      </bottom>
      <diagonal/>
    </border>
    <border>
      <left style="thin">
        <color auto="1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 style="thin">
        <color auto="1"/>
      </right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  <border>
      <left style="thin">
        <color rgb="FFFF0000"/>
      </left>
      <right style="thin">
        <color auto="1"/>
      </right>
      <top style="thin">
        <color auto="1"/>
      </top>
      <bottom/>
      <diagonal/>
    </border>
    <border>
      <left style="thin">
        <color rgb="FFFF0000"/>
      </left>
      <right style="thin">
        <color auto="1"/>
      </right>
      <top/>
      <bottom style="thin">
        <color rgb="FFFF0000"/>
      </bottom>
      <diagonal/>
    </border>
    <border>
      <left style="thin">
        <color rgb="FFFF0000"/>
      </left>
      <right style="thin">
        <color auto="1"/>
      </right>
      <top style="thin">
        <color rgb="FFFF0000"/>
      </top>
      <bottom/>
      <diagonal/>
    </border>
    <border>
      <left style="thin">
        <color indexed="64"/>
      </left>
      <right style="thin">
        <color auto="1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 style="thin">
        <color rgb="FFFF0000"/>
      </left>
      <right/>
      <top style="thin">
        <color auto="1"/>
      </top>
      <bottom style="thin">
        <color rgb="FFFF0000"/>
      </bottom>
      <diagonal/>
    </border>
    <border>
      <left/>
      <right style="thin">
        <color auto="1"/>
      </right>
      <top style="thin">
        <color auto="1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/>
      <bottom/>
      <diagonal/>
    </border>
    <border>
      <left/>
      <right style="thin">
        <color rgb="FFFF0000"/>
      </right>
      <top/>
      <bottom/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 style="thin">
        <color rgb="FFFF0000"/>
      </left>
      <right/>
      <top style="thin">
        <color auto="1"/>
      </top>
      <bottom/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/>
      <right style="thin">
        <color indexed="8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8"/>
      </right>
      <top style="hair">
        <color indexed="64"/>
      </top>
      <bottom/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auto="1"/>
      </bottom>
      <diagonal/>
    </border>
    <border>
      <left/>
      <right style="double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thin">
        <color indexed="8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Dashed">
        <color indexed="64"/>
      </left>
      <right style="mediumDashed">
        <color indexed="64"/>
      </right>
      <top style="mediumDashed">
        <color indexed="64"/>
      </top>
      <bottom style="hair">
        <color indexed="64"/>
      </bottom>
      <diagonal/>
    </border>
    <border>
      <left style="mediumDashed">
        <color auto="1"/>
      </left>
      <right style="thin">
        <color auto="1"/>
      </right>
      <top style="mediumDashed">
        <color auto="1"/>
      </top>
      <bottom style="hair">
        <color auto="1"/>
      </bottom>
      <diagonal/>
    </border>
    <border>
      <left style="mediumDashed">
        <color indexed="64"/>
      </left>
      <right style="mediumDashed">
        <color indexed="64"/>
      </right>
      <top style="hair">
        <color indexed="64"/>
      </top>
      <bottom style="hair">
        <color indexed="64"/>
      </bottom>
      <diagonal/>
    </border>
    <border>
      <left style="mediumDashed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Dashed">
        <color indexed="64"/>
      </left>
      <right style="mediumDashed">
        <color indexed="64"/>
      </right>
      <top style="hair">
        <color indexed="64"/>
      </top>
      <bottom style="mediumDashed">
        <color indexed="64"/>
      </bottom>
      <diagonal/>
    </border>
    <border>
      <left style="mediumDashed">
        <color auto="1"/>
      </left>
      <right style="thin">
        <color auto="1"/>
      </right>
      <top style="hair">
        <color auto="1"/>
      </top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Dashed">
        <color auto="1"/>
      </right>
      <top style="mediumDashed">
        <color auto="1"/>
      </top>
      <bottom style="hair">
        <color auto="1"/>
      </bottom>
      <diagonal/>
    </border>
    <border>
      <left style="thin">
        <color auto="1"/>
      </left>
      <right style="mediumDashed">
        <color auto="1"/>
      </right>
      <top style="hair">
        <color auto="1"/>
      </top>
      <bottom style="mediumDashed">
        <color auto="1"/>
      </bottom>
      <diagonal/>
    </border>
    <border>
      <left style="thin">
        <color auto="1"/>
      </left>
      <right style="mediumDashed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FF0000"/>
      </left>
      <right style="thin">
        <color auto="1"/>
      </right>
      <top style="thin">
        <color auto="1"/>
      </top>
      <bottom/>
      <diagonal/>
    </border>
    <border>
      <left style="mediumDashed">
        <color auto="1"/>
      </left>
      <right style="thin">
        <color auto="1"/>
      </right>
      <top style="mediumDashed">
        <color auto="1"/>
      </top>
      <bottom style="mediumDashed">
        <color auto="1"/>
      </bottom>
      <diagonal/>
    </border>
    <border>
      <left style="thin">
        <color auto="1"/>
      </left>
      <right style="mediumDashed">
        <color auto="1"/>
      </right>
      <top style="mediumDashed">
        <color auto="1"/>
      </top>
      <bottom style="mediumDashed">
        <color auto="1"/>
      </bottom>
      <diagonal/>
    </border>
    <border>
      <left/>
      <right style="thin">
        <color auto="1"/>
      </right>
      <top/>
      <bottom style="thin">
        <color rgb="FFFF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rgb="FFFF0000"/>
      </right>
      <top/>
      <bottom style="thin">
        <color rgb="FFFF0000"/>
      </bottom>
      <diagonal/>
    </border>
    <border>
      <left style="mediumDashed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Dashed">
        <color auto="1"/>
      </right>
      <top style="hair">
        <color auto="1"/>
      </top>
      <bottom/>
      <diagonal/>
    </border>
    <border>
      <left style="mediumDashed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Dashed">
        <color auto="1"/>
      </right>
      <top/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double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rgb="FFFF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 diagonalUp="1" diagonalDown="1">
      <left style="thin">
        <color indexed="64"/>
      </left>
      <right style="thin">
        <color auto="1"/>
      </right>
      <top/>
      <bottom/>
      <diagonal style="thin">
        <color indexed="64"/>
      </diagonal>
    </border>
    <border diagonalUp="1" diagonalDown="1">
      <left style="thin">
        <color auto="1"/>
      </left>
      <right/>
      <top/>
      <bottom/>
      <diagonal style="thin">
        <color auto="1"/>
      </diagonal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double">
        <color auto="1"/>
      </right>
      <top style="hair">
        <color auto="1"/>
      </top>
      <bottom style="double">
        <color auto="1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/>
      <right/>
      <top style="thin">
        <color auto="1"/>
      </top>
      <bottom style="thin">
        <color rgb="FFFF0000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theme="0"/>
      </right>
      <top style="medium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indexed="64"/>
      </top>
      <bottom style="thin">
        <color indexed="64"/>
      </bottom>
      <diagonal/>
    </border>
    <border>
      <left style="medium">
        <color theme="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00B050"/>
      </right>
      <top style="thin">
        <color rgb="FFFF000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FF0000"/>
      </top>
      <bottom style="thin">
        <color rgb="FF00B050"/>
      </bottom>
      <diagonal/>
    </border>
    <border>
      <left style="thin">
        <color rgb="FF00B050"/>
      </left>
      <right style="thin">
        <color rgb="FFFF0000"/>
      </right>
      <top style="thin">
        <color rgb="FFFF0000"/>
      </top>
      <bottom style="thin">
        <color rgb="FF00B050"/>
      </bottom>
      <diagonal/>
    </border>
    <border>
      <left style="thin">
        <color rgb="FFFF000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FF0000"/>
      </right>
      <top style="thin">
        <color rgb="FF00B050"/>
      </top>
      <bottom style="thin">
        <color rgb="FF00B050"/>
      </bottom>
      <diagonal/>
    </border>
    <border>
      <left style="thin">
        <color rgb="FFFF0000"/>
      </left>
      <right style="thin">
        <color rgb="FF00B050"/>
      </right>
      <top style="thin">
        <color rgb="FF00B050"/>
      </top>
      <bottom style="thin">
        <color rgb="FFFF000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FF0000"/>
      </bottom>
      <diagonal/>
    </border>
    <border>
      <left style="thin">
        <color rgb="FF00B050"/>
      </left>
      <right style="thin">
        <color rgb="FFFF0000"/>
      </right>
      <top style="thin">
        <color rgb="FF00B050"/>
      </top>
      <bottom style="thin">
        <color rgb="FFFF0000"/>
      </bottom>
      <diagonal/>
    </border>
    <border>
      <left style="double">
        <color rgb="FF0070C0"/>
      </left>
      <right style="double">
        <color rgb="FF0070C0"/>
      </right>
      <top style="double">
        <color rgb="FF0070C0"/>
      </top>
      <bottom style="double">
        <color rgb="FF0070C0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4">
    <xf numFmtId="0" fontId="0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2" fillId="0" borderId="0"/>
    <xf numFmtId="0" fontId="15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24" fillId="0" borderId="0"/>
    <xf numFmtId="165" fontId="12" fillId="0" borderId="0" applyFont="0" applyFill="0" applyBorder="0" applyAlignment="0" applyProtection="0"/>
    <xf numFmtId="0" fontId="12" fillId="0" borderId="0"/>
    <xf numFmtId="0" fontId="12" fillId="0" borderId="0"/>
    <xf numFmtId="164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0" fontId="15" fillId="0" borderId="0"/>
    <xf numFmtId="0" fontId="7" fillId="0" borderId="0"/>
    <xf numFmtId="0" fontId="7" fillId="0" borderId="0"/>
    <xf numFmtId="0" fontId="58" fillId="0" borderId="0" applyNumberFormat="0" applyFill="0" applyBorder="0" applyAlignment="0" applyProtection="0"/>
    <xf numFmtId="0" fontId="6" fillId="0" borderId="0"/>
    <xf numFmtId="0" fontId="4" fillId="0" borderId="0"/>
    <xf numFmtId="0" fontId="75" fillId="23" borderId="611" applyNumberFormat="0" applyAlignment="0" applyProtection="0"/>
  </cellStyleXfs>
  <cellXfs count="2926">
    <xf numFmtId="0" fontId="0" fillId="0" borderId="0" xfId="0"/>
    <xf numFmtId="167" fontId="13" fillId="0" borderId="0" xfId="5" applyNumberFormat="1" applyFont="1"/>
    <xf numFmtId="0" fontId="0" fillId="0" borderId="0" xfId="0" applyAlignment="1">
      <alignment horizontal="center" vertical="center"/>
    </xf>
    <xf numFmtId="0" fontId="14" fillId="3" borderId="0" xfId="6" applyFont="1" applyFill="1"/>
    <xf numFmtId="165" fontId="14" fillId="3" borderId="0" xfId="5" applyFont="1" applyFill="1"/>
    <xf numFmtId="0" fontId="15" fillId="0" borderId="0" xfId="7"/>
    <xf numFmtId="0" fontId="16" fillId="3" borderId="0" xfId="6" applyFont="1" applyFill="1" applyAlignment="1">
      <alignment horizontal="centerContinuous"/>
    </xf>
    <xf numFmtId="0" fontId="13" fillId="3" borderId="0" xfId="6" applyFont="1" applyFill="1"/>
    <xf numFmtId="165" fontId="13" fillId="3" borderId="0" xfId="5" applyFont="1" applyFill="1"/>
    <xf numFmtId="0" fontId="17" fillId="3" borderId="56" xfId="6" applyFont="1" applyFill="1" applyBorder="1" applyAlignment="1">
      <alignment horizontal="center"/>
    </xf>
    <xf numFmtId="0" fontId="17" fillId="3" borderId="56" xfId="6" applyFont="1" applyFill="1" applyBorder="1"/>
    <xf numFmtId="0" fontId="17" fillId="3" borderId="57" xfId="6" applyFont="1" applyFill="1" applyBorder="1" applyAlignment="1">
      <alignment horizontal="center"/>
    </xf>
    <xf numFmtId="0" fontId="17" fillId="3" borderId="58" xfId="6" applyFont="1" applyFill="1" applyBorder="1" applyAlignment="1">
      <alignment horizontal="center"/>
    </xf>
    <xf numFmtId="171" fontId="17" fillId="3" borderId="59" xfId="6" applyNumberFormat="1" applyFont="1" applyFill="1" applyBorder="1" applyAlignment="1">
      <alignment horizontal="center"/>
    </xf>
    <xf numFmtId="0" fontId="17" fillId="3" borderId="59" xfId="6" applyFont="1" applyFill="1" applyBorder="1" applyAlignment="1">
      <alignment horizontal="center"/>
    </xf>
    <xf numFmtId="0" fontId="17" fillId="3" borderId="60" xfId="6" applyFont="1" applyFill="1" applyBorder="1" applyAlignment="1">
      <alignment horizontal="center"/>
    </xf>
    <xf numFmtId="0" fontId="17" fillId="3" borderId="60" xfId="6" applyFont="1" applyFill="1" applyBorder="1"/>
    <xf numFmtId="0" fontId="17" fillId="3" borderId="61" xfId="6" applyFont="1" applyFill="1" applyBorder="1" applyAlignment="1">
      <alignment horizontal="center"/>
    </xf>
    <xf numFmtId="0" fontId="17" fillId="3" borderId="34" xfId="6" applyFont="1" applyFill="1" applyBorder="1" applyAlignment="1">
      <alignment horizontal="center"/>
    </xf>
    <xf numFmtId="171" fontId="17" fillId="3" borderId="35" xfId="6" applyNumberFormat="1" applyFont="1" applyFill="1" applyBorder="1" applyAlignment="1">
      <alignment horizontal="center"/>
    </xf>
    <xf numFmtId="0" fontId="17" fillId="3" borderId="35" xfId="6" applyFont="1" applyFill="1" applyBorder="1" applyAlignment="1">
      <alignment horizontal="center"/>
    </xf>
    <xf numFmtId="0" fontId="17" fillId="3" borderId="14" xfId="6" applyFont="1" applyFill="1" applyBorder="1" applyAlignment="1">
      <alignment horizontal="center"/>
    </xf>
    <xf numFmtId="0" fontId="17" fillId="3" borderId="33" xfId="6" applyFont="1" applyFill="1" applyBorder="1"/>
    <xf numFmtId="0" fontId="13" fillId="3" borderId="33" xfId="6" applyFont="1" applyFill="1" applyBorder="1"/>
    <xf numFmtId="0" fontId="13" fillId="3" borderId="33" xfId="6" applyFont="1" applyFill="1" applyBorder="1" applyAlignment="1">
      <alignment horizontal="center"/>
    </xf>
    <xf numFmtId="166" fontId="13" fillId="3" borderId="33" xfId="5" applyNumberFormat="1" applyFont="1" applyFill="1" applyBorder="1"/>
    <xf numFmtId="39" fontId="13" fillId="3" borderId="33" xfId="6" applyNumberFormat="1" applyFont="1" applyFill="1" applyBorder="1"/>
    <xf numFmtId="39" fontId="13" fillId="3" borderId="62" xfId="6" applyNumberFormat="1" applyFont="1" applyFill="1" applyBorder="1"/>
    <xf numFmtId="0" fontId="17" fillId="3" borderId="19" xfId="6" applyFont="1" applyFill="1" applyBorder="1" applyAlignment="1">
      <alignment horizontal="center"/>
    </xf>
    <xf numFmtId="0" fontId="13" fillId="3" borderId="18" xfId="6" quotePrefix="1" applyFont="1" applyFill="1" applyBorder="1" applyAlignment="1">
      <alignment horizontal="center"/>
    </xf>
    <xf numFmtId="0" fontId="13" fillId="3" borderId="17" xfId="6" applyFont="1" applyFill="1" applyBorder="1"/>
    <xf numFmtId="0" fontId="13" fillId="3" borderId="63" xfId="6" applyFont="1" applyFill="1" applyBorder="1" applyAlignment="1">
      <alignment horizontal="center"/>
    </xf>
    <xf numFmtId="167" fontId="13" fillId="3" borderId="64" xfId="5" applyNumberFormat="1" applyFont="1" applyFill="1" applyBorder="1"/>
    <xf numFmtId="165" fontId="13" fillId="3" borderId="63" xfId="5" applyFont="1" applyFill="1" applyBorder="1"/>
    <xf numFmtId="165" fontId="13" fillId="3" borderId="65" xfId="5" applyFont="1" applyFill="1" applyBorder="1"/>
    <xf numFmtId="0" fontId="17" fillId="3" borderId="23" xfId="6" applyFont="1" applyFill="1" applyBorder="1" applyAlignment="1">
      <alignment horizontal="center"/>
    </xf>
    <xf numFmtId="0" fontId="13" fillId="3" borderId="5" xfId="6" quotePrefix="1" applyFont="1" applyFill="1" applyBorder="1" applyAlignment="1">
      <alignment horizontal="center"/>
    </xf>
    <xf numFmtId="0" fontId="13" fillId="3" borderId="22" xfId="6" applyFont="1" applyFill="1" applyBorder="1"/>
    <xf numFmtId="0" fontId="13" fillId="3" borderId="66" xfId="6" applyFont="1" applyFill="1" applyBorder="1" applyAlignment="1">
      <alignment horizontal="center"/>
    </xf>
    <xf numFmtId="167" fontId="13" fillId="3" borderId="67" xfId="5" applyNumberFormat="1" applyFont="1" applyFill="1" applyBorder="1"/>
    <xf numFmtId="165" fontId="13" fillId="3" borderId="66" xfId="5" applyFont="1" applyFill="1" applyBorder="1"/>
    <xf numFmtId="0" fontId="13" fillId="3" borderId="68" xfId="6" applyFont="1" applyFill="1" applyBorder="1"/>
    <xf numFmtId="0" fontId="17" fillId="3" borderId="26" xfId="6" applyFont="1" applyFill="1" applyBorder="1" applyAlignment="1">
      <alignment horizontal="center"/>
    </xf>
    <xf numFmtId="0" fontId="13" fillId="3" borderId="24" xfId="6" quotePrefix="1" applyFont="1" applyFill="1" applyBorder="1" applyAlignment="1">
      <alignment horizontal="center"/>
    </xf>
    <xf numFmtId="0" fontId="13" fillId="3" borderId="25" xfId="6" applyFont="1" applyFill="1" applyBorder="1"/>
    <xf numFmtId="0" fontId="13" fillId="3" borderId="69" xfId="6" applyFont="1" applyFill="1" applyBorder="1" applyAlignment="1">
      <alignment horizontal="center"/>
    </xf>
    <xf numFmtId="167" fontId="13" fillId="3" borderId="70" xfId="5" applyNumberFormat="1" applyFont="1" applyFill="1" applyBorder="1"/>
    <xf numFmtId="165" fontId="13" fillId="3" borderId="69" xfId="5" applyFont="1" applyFill="1" applyBorder="1"/>
    <xf numFmtId="0" fontId="13" fillId="3" borderId="58" xfId="6" quotePrefix="1" applyFont="1" applyFill="1" applyBorder="1" applyAlignment="1">
      <alignment horizontal="center"/>
    </xf>
    <xf numFmtId="0" fontId="13" fillId="3" borderId="71" xfId="6" applyFont="1" applyFill="1" applyBorder="1"/>
    <xf numFmtId="0" fontId="13" fillId="3" borderId="71" xfId="6" applyFont="1" applyFill="1" applyBorder="1" applyAlignment="1">
      <alignment horizontal="center"/>
    </xf>
    <xf numFmtId="167" fontId="13" fillId="3" borderId="71" xfId="5" applyNumberFormat="1" applyFont="1" applyFill="1" applyBorder="1"/>
    <xf numFmtId="165" fontId="13" fillId="3" borderId="72" xfId="5" applyFont="1" applyFill="1" applyBorder="1"/>
    <xf numFmtId="165" fontId="13" fillId="3" borderId="73" xfId="5" applyFont="1" applyFill="1" applyBorder="1"/>
    <xf numFmtId="0" fontId="18" fillId="0" borderId="60" xfId="7" applyFont="1" applyBorder="1" applyAlignment="1">
      <alignment horizontal="center" vertical="center"/>
    </xf>
    <xf numFmtId="165" fontId="19" fillId="0" borderId="51" xfId="8" applyFont="1" applyBorder="1" applyAlignment="1">
      <alignment vertical="center"/>
    </xf>
    <xf numFmtId="165" fontId="19" fillId="0" borderId="50" xfId="8" applyFont="1" applyBorder="1" applyAlignment="1">
      <alignment vertical="center"/>
    </xf>
    <xf numFmtId="165" fontId="19" fillId="0" borderId="52" xfId="8" applyFont="1" applyBorder="1" applyAlignment="1">
      <alignment vertical="center"/>
    </xf>
    <xf numFmtId="0" fontId="17" fillId="0" borderId="35" xfId="6" applyFont="1" applyBorder="1" applyAlignment="1">
      <alignment horizontal="center"/>
    </xf>
    <xf numFmtId="0" fontId="17" fillId="0" borderId="34" xfId="6" applyFont="1" applyBorder="1"/>
    <xf numFmtId="0" fontId="13" fillId="0" borderId="34" xfId="6" applyFont="1" applyBorder="1"/>
    <xf numFmtId="0" fontId="13" fillId="0" borderId="74" xfId="6" applyFont="1" applyBorder="1" applyAlignment="1">
      <alignment horizontal="center"/>
    </xf>
    <xf numFmtId="167" fontId="13" fillId="0" borderId="34" xfId="5" applyNumberFormat="1" applyFont="1" applyBorder="1"/>
    <xf numFmtId="165" fontId="13" fillId="0" borderId="74" xfId="5" applyFont="1" applyBorder="1"/>
    <xf numFmtId="165" fontId="13" fillId="0" borderId="75" xfId="5" applyFont="1" applyBorder="1"/>
    <xf numFmtId="0" fontId="17" fillId="0" borderId="76" xfId="6" applyFont="1" applyBorder="1" applyAlignment="1">
      <alignment horizontal="center"/>
    </xf>
    <xf numFmtId="0" fontId="13" fillId="0" borderId="18" xfId="6" quotePrefix="1" applyFont="1" applyBorder="1" applyAlignment="1">
      <alignment horizontal="center"/>
    </xf>
    <xf numFmtId="0" fontId="13" fillId="0" borderId="63" xfId="6" applyFont="1" applyBorder="1" applyAlignment="1">
      <alignment horizontal="center"/>
    </xf>
    <xf numFmtId="167" fontId="13" fillId="0" borderId="77" xfId="5" applyNumberFormat="1" applyFont="1" applyBorder="1"/>
    <xf numFmtId="165" fontId="13" fillId="0" borderId="63" xfId="5" applyFont="1" applyBorder="1"/>
    <xf numFmtId="165" fontId="13" fillId="0" borderId="65" xfId="5" applyFont="1" applyBorder="1"/>
    <xf numFmtId="0" fontId="17" fillId="0" borderId="23" xfId="6" applyFont="1" applyBorder="1" applyAlignment="1">
      <alignment horizontal="center"/>
    </xf>
    <xf numFmtId="0" fontId="13" fillId="0" borderId="5" xfId="6" quotePrefix="1" applyFont="1" applyBorder="1" applyAlignment="1">
      <alignment horizontal="center"/>
    </xf>
    <xf numFmtId="0" fontId="13" fillId="0" borderId="66" xfId="6" applyFont="1" applyBorder="1" applyAlignment="1">
      <alignment horizontal="center"/>
    </xf>
    <xf numFmtId="167" fontId="13" fillId="0" borderId="67" xfId="5" applyNumberFormat="1" applyFont="1" applyBorder="1"/>
    <xf numFmtId="165" fontId="13" fillId="0" borderId="66" xfId="5" applyFont="1" applyBorder="1"/>
    <xf numFmtId="0" fontId="13" fillId="0" borderId="68" xfId="6" applyFont="1" applyBorder="1"/>
    <xf numFmtId="0" fontId="17" fillId="0" borderId="26" xfId="6" applyFont="1" applyBorder="1" applyAlignment="1">
      <alignment horizontal="center"/>
    </xf>
    <xf numFmtId="0" fontId="13" fillId="0" borderId="24" xfId="6" quotePrefix="1" applyFont="1" applyBorder="1" applyAlignment="1">
      <alignment horizontal="center"/>
    </xf>
    <xf numFmtId="0" fontId="13" fillId="0" borderId="78" xfId="6" applyFont="1" applyBorder="1"/>
    <xf numFmtId="0" fontId="13" fillId="0" borderId="69" xfId="6" applyFont="1" applyBorder="1" applyAlignment="1">
      <alignment horizontal="center"/>
    </xf>
    <xf numFmtId="167" fontId="13" fillId="0" borderId="79" xfId="5" applyNumberFormat="1" applyFont="1" applyBorder="1"/>
    <xf numFmtId="0" fontId="17" fillId="0" borderId="59" xfId="6" applyFont="1" applyBorder="1" applyAlignment="1">
      <alignment horizontal="center"/>
    </xf>
    <xf numFmtId="0" fontId="13" fillId="0" borderId="58" xfId="6" quotePrefix="1" applyFont="1" applyBorder="1" applyAlignment="1">
      <alignment horizontal="center"/>
    </xf>
    <xf numFmtId="0" fontId="13" fillId="0" borderId="71" xfId="6" applyFont="1" applyBorder="1"/>
    <xf numFmtId="0" fontId="13" fillId="0" borderId="71" xfId="6" applyFont="1" applyBorder="1" applyAlignment="1">
      <alignment horizontal="center"/>
    </xf>
    <xf numFmtId="167" fontId="13" fillId="0" borderId="71" xfId="5" applyNumberFormat="1" applyFont="1" applyBorder="1"/>
    <xf numFmtId="165" fontId="13" fillId="0" borderId="72" xfId="5" applyFont="1" applyBorder="1"/>
    <xf numFmtId="165" fontId="13" fillId="0" borderId="73" xfId="5" applyFont="1" applyBorder="1"/>
    <xf numFmtId="0" fontId="13" fillId="3" borderId="80" xfId="6" applyFont="1" applyFill="1" applyBorder="1" applyAlignment="1">
      <alignment horizontal="center"/>
    </xf>
    <xf numFmtId="167" fontId="13" fillId="3" borderId="81" xfId="5" applyNumberFormat="1" applyFont="1" applyFill="1" applyBorder="1"/>
    <xf numFmtId="165" fontId="13" fillId="3" borderId="80" xfId="5" applyFont="1" applyFill="1" applyBorder="1"/>
    <xf numFmtId="165" fontId="13" fillId="3" borderId="82" xfId="5" applyFont="1" applyFill="1" applyBorder="1"/>
    <xf numFmtId="0" fontId="17" fillId="3" borderId="76" xfId="6" applyFont="1" applyFill="1" applyBorder="1" applyAlignment="1">
      <alignment horizontal="center"/>
    </xf>
    <xf numFmtId="0" fontId="13" fillId="3" borderId="83" xfId="6" applyFont="1" applyFill="1" applyBorder="1"/>
    <xf numFmtId="167" fontId="13" fillId="3" borderId="77" xfId="5" applyNumberFormat="1" applyFont="1" applyFill="1" applyBorder="1"/>
    <xf numFmtId="0" fontId="13" fillId="3" borderId="65" xfId="6" applyFont="1" applyFill="1" applyBorder="1"/>
    <xf numFmtId="0" fontId="18" fillId="3" borderId="68" xfId="6" applyFont="1" applyFill="1" applyBorder="1"/>
    <xf numFmtId="0" fontId="13" fillId="3" borderId="84" xfId="6" applyFont="1" applyFill="1" applyBorder="1"/>
    <xf numFmtId="0" fontId="17" fillId="3" borderId="85" xfId="6" applyFont="1" applyFill="1" applyBorder="1" applyAlignment="1">
      <alignment horizontal="center"/>
    </xf>
    <xf numFmtId="0" fontId="13" fillId="3" borderId="86" xfId="6" quotePrefix="1" applyFont="1" applyFill="1" applyBorder="1" applyAlignment="1">
      <alignment horizontal="center"/>
    </xf>
    <xf numFmtId="0" fontId="13" fillId="3" borderId="86" xfId="6" applyFont="1" applyFill="1" applyBorder="1"/>
    <xf numFmtId="0" fontId="13" fillId="3" borderId="86" xfId="6" applyFont="1" applyFill="1" applyBorder="1" applyAlignment="1">
      <alignment horizontal="center"/>
    </xf>
    <xf numFmtId="167" fontId="13" fillId="3" borderId="86" xfId="5" applyNumberFormat="1" applyFont="1" applyFill="1" applyBorder="1"/>
    <xf numFmtId="165" fontId="13" fillId="3" borderId="87" xfId="5" applyFont="1" applyFill="1" applyBorder="1"/>
    <xf numFmtId="165" fontId="13" fillId="3" borderId="88" xfId="5" applyFont="1" applyFill="1" applyBorder="1"/>
    <xf numFmtId="0" fontId="17" fillId="3" borderId="34" xfId="6" applyFont="1" applyFill="1" applyBorder="1"/>
    <xf numFmtId="0" fontId="13" fillId="3" borderId="34" xfId="6" applyFont="1" applyFill="1" applyBorder="1"/>
    <xf numFmtId="0" fontId="13" fillId="3" borderId="74" xfId="6" applyFont="1" applyFill="1" applyBorder="1" applyAlignment="1">
      <alignment horizontal="center"/>
    </xf>
    <xf numFmtId="167" fontId="13" fillId="3" borderId="34" xfId="5" applyNumberFormat="1" applyFont="1" applyFill="1" applyBorder="1"/>
    <xf numFmtId="165" fontId="13" fillId="3" borderId="74" xfId="5" applyFont="1" applyFill="1" applyBorder="1"/>
    <xf numFmtId="165" fontId="13" fillId="3" borderId="75" xfId="5" applyFont="1" applyFill="1" applyBorder="1"/>
    <xf numFmtId="165" fontId="13" fillId="3" borderId="36" xfId="5" applyFont="1" applyFill="1" applyBorder="1"/>
    <xf numFmtId="0" fontId="17" fillId="3" borderId="89" xfId="6" applyFont="1" applyFill="1" applyBorder="1" applyAlignment="1">
      <alignment horizontal="center"/>
    </xf>
    <xf numFmtId="0" fontId="17" fillId="3" borderId="81" xfId="6" applyFont="1" applyFill="1" applyBorder="1"/>
    <xf numFmtId="0" fontId="13" fillId="3" borderId="81" xfId="6" applyFont="1" applyFill="1" applyBorder="1"/>
    <xf numFmtId="0" fontId="13" fillId="3" borderId="90" xfId="6" applyFont="1" applyFill="1" applyBorder="1" applyAlignment="1">
      <alignment horizontal="center"/>
    </xf>
    <xf numFmtId="165" fontId="13" fillId="3" borderId="90" xfId="5" applyFont="1" applyFill="1" applyBorder="1"/>
    <xf numFmtId="165" fontId="13" fillId="3" borderId="91" xfId="5" applyFont="1" applyFill="1" applyBorder="1"/>
    <xf numFmtId="0" fontId="13" fillId="3" borderId="78" xfId="6" applyFont="1" applyFill="1" applyBorder="1"/>
    <xf numFmtId="167" fontId="13" fillId="3" borderId="79" xfId="5" applyNumberFormat="1" applyFont="1" applyFill="1" applyBorder="1"/>
    <xf numFmtId="0" fontId="13" fillId="3" borderId="92" xfId="6" applyFont="1" applyFill="1" applyBorder="1"/>
    <xf numFmtId="0" fontId="13" fillId="3" borderId="92" xfId="6" applyFont="1" applyFill="1" applyBorder="1" applyAlignment="1">
      <alignment horizontal="center"/>
    </xf>
    <xf numFmtId="167" fontId="13" fillId="3" borderId="92" xfId="5" applyNumberFormat="1" applyFont="1" applyFill="1" applyBorder="1"/>
    <xf numFmtId="165" fontId="13" fillId="3" borderId="93" xfId="5" applyFont="1" applyFill="1" applyBorder="1"/>
    <xf numFmtId="165" fontId="13" fillId="3" borderId="94" xfId="5" applyFont="1" applyFill="1" applyBorder="1"/>
    <xf numFmtId="172" fontId="17" fillId="3" borderId="95" xfId="6" applyNumberFormat="1" applyFont="1" applyFill="1" applyBorder="1"/>
    <xf numFmtId="0" fontId="17" fillId="3" borderId="90" xfId="6" applyFont="1" applyFill="1" applyBorder="1"/>
    <xf numFmtId="168" fontId="13" fillId="3" borderId="90" xfId="6" applyNumberFormat="1" applyFont="1" applyFill="1" applyBorder="1" applyAlignment="1">
      <alignment horizontal="center"/>
    </xf>
    <xf numFmtId="167" fontId="13" fillId="3" borderId="90" xfId="5" applyNumberFormat="1" applyFont="1" applyFill="1" applyBorder="1"/>
    <xf numFmtId="172" fontId="17" fillId="3" borderId="76" xfId="6" applyNumberFormat="1" applyFont="1" applyFill="1" applyBorder="1" applyAlignment="1">
      <alignment horizontal="center"/>
    </xf>
    <xf numFmtId="0" fontId="13" fillId="3" borderId="63" xfId="6" applyFont="1" applyFill="1" applyBorder="1"/>
    <xf numFmtId="168" fontId="13" fillId="3" borderId="63" xfId="6" applyNumberFormat="1" applyFont="1" applyFill="1" applyBorder="1" applyAlignment="1">
      <alignment horizontal="center"/>
    </xf>
    <xf numFmtId="167" fontId="13" fillId="3" borderId="63" xfId="5" applyNumberFormat="1" applyFont="1" applyFill="1" applyBorder="1"/>
    <xf numFmtId="0" fontId="13" fillId="3" borderId="69" xfId="6" applyFont="1" applyFill="1" applyBorder="1"/>
    <xf numFmtId="168" fontId="13" fillId="3" borderId="69" xfId="6" applyNumberFormat="1" applyFont="1" applyFill="1" applyBorder="1" applyAlignment="1">
      <alignment horizontal="center"/>
    </xf>
    <xf numFmtId="167" fontId="13" fillId="3" borderId="69" xfId="5" applyNumberFormat="1" applyFont="1" applyFill="1" applyBorder="1"/>
    <xf numFmtId="172" fontId="17" fillId="3" borderId="85" xfId="6" applyNumberFormat="1" applyFont="1" applyFill="1" applyBorder="1" applyAlignment="1">
      <alignment horizontal="center"/>
    </xf>
    <xf numFmtId="172" fontId="13" fillId="3" borderId="58" xfId="6" applyNumberFormat="1" applyFont="1" applyFill="1" applyBorder="1"/>
    <xf numFmtId="0" fontId="13" fillId="3" borderId="58" xfId="6" applyFont="1" applyFill="1" applyBorder="1"/>
    <xf numFmtId="168" fontId="13" fillId="3" borderId="58" xfId="6" applyNumberFormat="1" applyFont="1" applyFill="1" applyBorder="1" applyAlignment="1">
      <alignment horizontal="center"/>
    </xf>
    <xf numFmtId="167" fontId="13" fillId="3" borderId="58" xfId="5" applyNumberFormat="1" applyFont="1" applyFill="1" applyBorder="1"/>
    <xf numFmtId="165" fontId="13" fillId="3" borderId="96" xfId="5" applyFont="1" applyFill="1" applyBorder="1"/>
    <xf numFmtId="165" fontId="13" fillId="3" borderId="57" xfId="5" applyFont="1" applyFill="1" applyBorder="1"/>
    <xf numFmtId="172" fontId="17" fillId="3" borderId="89" xfId="6" applyNumberFormat="1" applyFont="1" applyFill="1" applyBorder="1" applyAlignment="1">
      <alignment horizontal="center"/>
    </xf>
    <xf numFmtId="0" fontId="17" fillId="3" borderId="97" xfId="6" applyFont="1" applyFill="1" applyBorder="1"/>
    <xf numFmtId="0" fontId="19" fillId="3" borderId="81" xfId="6" applyFont="1" applyFill="1" applyBorder="1"/>
    <xf numFmtId="167" fontId="19" fillId="3" borderId="81" xfId="5" applyNumberFormat="1" applyFont="1" applyFill="1" applyBorder="1"/>
    <xf numFmtId="165" fontId="13" fillId="3" borderId="81" xfId="5" applyFont="1" applyFill="1" applyBorder="1"/>
    <xf numFmtId="165" fontId="13" fillId="3" borderId="98" xfId="5" applyFont="1" applyFill="1" applyBorder="1"/>
    <xf numFmtId="172" fontId="13" fillId="3" borderId="99" xfId="6" applyNumberFormat="1" applyFont="1" applyFill="1" applyBorder="1"/>
    <xf numFmtId="168" fontId="13" fillId="3" borderId="71" xfId="6" applyNumberFormat="1" applyFont="1" applyFill="1" applyBorder="1" applyAlignment="1">
      <alignment horizontal="center"/>
    </xf>
    <xf numFmtId="165" fontId="19" fillId="0" borderId="60" xfId="8" applyFont="1" applyBorder="1" applyAlignment="1">
      <alignment vertical="center"/>
    </xf>
    <xf numFmtId="0" fontId="17" fillId="3" borderId="100" xfId="6" applyFont="1" applyFill="1" applyBorder="1"/>
    <xf numFmtId="0" fontId="19" fillId="3" borderId="101" xfId="6" applyFont="1" applyFill="1" applyBorder="1"/>
    <xf numFmtId="167" fontId="19" fillId="3" borderId="101" xfId="5" applyNumberFormat="1" applyFont="1" applyFill="1" applyBorder="1"/>
    <xf numFmtId="165" fontId="13" fillId="3" borderId="101" xfId="5" applyFont="1" applyFill="1" applyBorder="1"/>
    <xf numFmtId="165" fontId="13" fillId="3" borderId="102" xfId="5" applyFont="1" applyFill="1" applyBorder="1"/>
    <xf numFmtId="172" fontId="17" fillId="3" borderId="103" xfId="6" applyNumberFormat="1" applyFont="1" applyFill="1" applyBorder="1" applyAlignment="1">
      <alignment horizontal="center"/>
    </xf>
    <xf numFmtId="165" fontId="13" fillId="3" borderId="104" xfId="5" applyFont="1" applyFill="1" applyBorder="1"/>
    <xf numFmtId="165" fontId="13" fillId="3" borderId="105" xfId="5" applyFont="1" applyFill="1" applyBorder="1"/>
    <xf numFmtId="172" fontId="17" fillId="3" borderId="97" xfId="6" applyNumberFormat="1" applyFont="1" applyFill="1" applyBorder="1"/>
    <xf numFmtId="168" fontId="13" fillId="3" borderId="81" xfId="6" applyNumberFormat="1" applyFont="1" applyFill="1" applyBorder="1" applyAlignment="1">
      <alignment horizontal="center"/>
    </xf>
    <xf numFmtId="172" fontId="17" fillId="3" borderId="106" xfId="6" applyNumberFormat="1" applyFont="1" applyFill="1" applyBorder="1" applyAlignment="1">
      <alignment horizontal="center"/>
    </xf>
    <xf numFmtId="0" fontId="13" fillId="3" borderId="106" xfId="6" quotePrefix="1" applyFont="1" applyFill="1" applyBorder="1" applyAlignment="1">
      <alignment horizontal="center"/>
    </xf>
    <xf numFmtId="0" fontId="18" fillId="0" borderId="83" xfId="7" applyFont="1" applyBorder="1" applyAlignment="1">
      <alignment vertical="center"/>
    </xf>
    <xf numFmtId="0" fontId="18" fillId="0" borderId="103" xfId="7" applyFont="1" applyBorder="1" applyAlignment="1">
      <alignment horizontal="center" vertical="center"/>
    </xf>
    <xf numFmtId="167" fontId="18" fillId="0" borderId="103" xfId="8" applyNumberFormat="1" applyFont="1" applyBorder="1" applyAlignment="1">
      <alignment vertical="center"/>
    </xf>
    <xf numFmtId="165" fontId="13" fillId="3" borderId="107" xfId="5" applyFont="1" applyFill="1" applyBorder="1"/>
    <xf numFmtId="0" fontId="17" fillId="3" borderId="21" xfId="6" applyFont="1" applyFill="1" applyBorder="1" applyAlignment="1">
      <alignment horizontal="center"/>
    </xf>
    <xf numFmtId="0" fontId="13" fillId="3" borderId="21" xfId="6" quotePrefix="1" applyFont="1" applyFill="1" applyBorder="1" applyAlignment="1">
      <alignment horizontal="center"/>
    </xf>
    <xf numFmtId="0" fontId="18" fillId="0" borderId="68" xfId="7" applyFont="1" applyBorder="1" applyAlignment="1">
      <alignment vertical="center"/>
    </xf>
    <xf numFmtId="0" fontId="18" fillId="0" borderId="23" xfId="7" applyFont="1" applyBorder="1" applyAlignment="1">
      <alignment horizontal="center" vertical="center"/>
    </xf>
    <xf numFmtId="167" fontId="18" fillId="0" borderId="68" xfId="8" applyNumberFormat="1" applyFont="1" applyBorder="1" applyAlignment="1">
      <alignment vertical="center"/>
    </xf>
    <xf numFmtId="0" fontId="13" fillId="3" borderId="108" xfId="6" quotePrefix="1" applyFont="1" applyFill="1" applyBorder="1" applyAlignment="1">
      <alignment horizontal="center"/>
    </xf>
    <xf numFmtId="0" fontId="18" fillId="0" borderId="78" xfId="7" applyFont="1" applyBorder="1" applyAlignment="1">
      <alignment vertical="center"/>
    </xf>
    <xf numFmtId="0" fontId="18" fillId="0" borderId="109" xfId="7" applyFont="1" applyBorder="1" applyAlignment="1">
      <alignment horizontal="center" vertical="center"/>
    </xf>
    <xf numFmtId="167" fontId="18" fillId="0" borderId="78" xfId="8" applyNumberFormat="1" applyFont="1" applyBorder="1" applyAlignment="1">
      <alignment vertical="center"/>
    </xf>
    <xf numFmtId="172" fontId="13" fillId="3" borderId="71" xfId="6" applyNumberFormat="1" applyFont="1" applyFill="1" applyBorder="1"/>
    <xf numFmtId="166" fontId="13" fillId="3" borderId="71" xfId="5" applyNumberFormat="1" applyFont="1" applyFill="1" applyBorder="1"/>
    <xf numFmtId="0" fontId="13" fillId="0" borderId="0" xfId="7" applyFont="1"/>
    <xf numFmtId="0" fontId="20" fillId="0" borderId="0" xfId="7" applyFont="1"/>
    <xf numFmtId="0" fontId="16" fillId="0" borderId="0" xfId="6" applyFont="1" applyAlignment="1">
      <alignment horizontal="centerContinuous"/>
    </xf>
    <xf numFmtId="0" fontId="21" fillId="0" borderId="0" xfId="6" applyFont="1" applyAlignment="1">
      <alignment horizontal="centerContinuous"/>
    </xf>
    <xf numFmtId="0" fontId="22" fillId="0" borderId="0" xfId="6" applyFont="1" applyAlignment="1">
      <alignment horizontal="left"/>
    </xf>
    <xf numFmtId="0" fontId="22" fillId="0" borderId="0" xfId="6" applyFont="1"/>
    <xf numFmtId="0" fontId="22" fillId="0" borderId="0" xfId="6" applyFont="1" applyAlignment="1">
      <alignment horizontal="center"/>
    </xf>
    <xf numFmtId="171" fontId="22" fillId="0" borderId="0" xfId="6" applyNumberFormat="1" applyFont="1"/>
    <xf numFmtId="0" fontId="17" fillId="0" borderId="56" xfId="6" applyFont="1" applyBorder="1" applyAlignment="1">
      <alignment horizontal="center"/>
    </xf>
    <xf numFmtId="0" fontId="17" fillId="0" borderId="56" xfId="6" applyFont="1" applyBorder="1"/>
    <xf numFmtId="0" fontId="17" fillId="0" borderId="57" xfId="6" applyFont="1" applyBorder="1" applyAlignment="1">
      <alignment horizontal="center"/>
    </xf>
    <xf numFmtId="0" fontId="17" fillId="0" borderId="58" xfId="6" applyFont="1" applyBorder="1" applyAlignment="1">
      <alignment horizontal="center"/>
    </xf>
    <xf numFmtId="171" fontId="17" fillId="0" borderId="85" xfId="6" applyNumberFormat="1" applyFont="1" applyBorder="1" applyAlignment="1">
      <alignment horizontal="center"/>
    </xf>
    <xf numFmtId="0" fontId="17" fillId="0" borderId="85" xfId="6" applyFont="1" applyBorder="1" applyAlignment="1">
      <alignment horizontal="center"/>
    </xf>
    <xf numFmtId="0" fontId="17" fillId="0" borderId="60" xfId="6" applyFont="1" applyBorder="1" applyAlignment="1">
      <alignment horizontal="center"/>
    </xf>
    <xf numFmtId="0" fontId="17" fillId="0" borderId="60" xfId="6" applyFont="1" applyBorder="1"/>
    <xf numFmtId="0" fontId="17" fillId="0" borderId="61" xfId="6" applyFont="1" applyBorder="1" applyAlignment="1">
      <alignment horizontal="center"/>
    </xf>
    <xf numFmtId="0" fontId="17" fillId="0" borderId="34" xfId="6" applyFont="1" applyBorder="1" applyAlignment="1">
      <alignment horizontal="center"/>
    </xf>
    <xf numFmtId="171" fontId="17" fillId="0" borderId="35" xfId="6" applyNumberFormat="1" applyFont="1" applyBorder="1" applyAlignment="1">
      <alignment horizontal="center"/>
    </xf>
    <xf numFmtId="0" fontId="17" fillId="0" borderId="110" xfId="6" applyFont="1" applyBorder="1"/>
    <xf numFmtId="0" fontId="13" fillId="0" borderId="105" xfId="6" applyFont="1" applyBorder="1"/>
    <xf numFmtId="166" fontId="13" fillId="0" borderId="111" xfId="9" applyNumberFormat="1" applyFont="1" applyBorder="1"/>
    <xf numFmtId="0" fontId="13" fillId="0" borderId="110" xfId="6" applyFont="1" applyBorder="1" applyAlignment="1">
      <alignment horizontal="center"/>
    </xf>
    <xf numFmtId="39" fontId="13" fillId="0" borderId="34" xfId="6" applyNumberFormat="1" applyFont="1" applyBorder="1"/>
    <xf numFmtId="39" fontId="13" fillId="0" borderId="35" xfId="6" applyNumberFormat="1" applyFont="1" applyBorder="1"/>
    <xf numFmtId="0" fontId="17" fillId="0" borderId="103" xfId="6" applyFont="1" applyBorder="1" applyAlignment="1">
      <alignment horizontal="center"/>
    </xf>
    <xf numFmtId="0" fontId="13" fillId="0" borderId="112" xfId="6" quotePrefix="1" applyFont="1" applyBorder="1" applyAlignment="1">
      <alignment horizontal="center"/>
    </xf>
    <xf numFmtId="0" fontId="13" fillId="0" borderId="83" xfId="6" applyFont="1" applyBorder="1"/>
    <xf numFmtId="0" fontId="13" fillId="0" borderId="107" xfId="6" applyFont="1" applyBorder="1" applyAlignment="1">
      <alignment horizontal="center"/>
    </xf>
    <xf numFmtId="167" fontId="13" fillId="0" borderId="77" xfId="9" applyNumberFormat="1" applyFont="1" applyBorder="1"/>
    <xf numFmtId="165" fontId="13" fillId="0" borderId="113" xfId="9" applyFont="1" applyBorder="1"/>
    <xf numFmtId="165" fontId="13" fillId="0" borderId="66" xfId="9" applyFont="1" applyBorder="1"/>
    <xf numFmtId="0" fontId="17" fillId="0" borderId="114" xfId="6" applyFont="1" applyBorder="1" applyAlignment="1">
      <alignment horizontal="center"/>
    </xf>
    <xf numFmtId="0" fontId="13" fillId="0" borderId="84" xfId="6" applyFont="1" applyBorder="1"/>
    <xf numFmtId="167" fontId="13" fillId="0" borderId="70" xfId="9" applyNumberFormat="1" applyFont="1" applyBorder="1"/>
    <xf numFmtId="165" fontId="13" fillId="0" borderId="115" xfId="9" applyFont="1" applyBorder="1"/>
    <xf numFmtId="0" fontId="17" fillId="0" borderId="37" xfId="6" applyFont="1" applyBorder="1" applyAlignment="1">
      <alignment horizontal="center"/>
    </xf>
    <xf numFmtId="167" fontId="13" fillId="0" borderId="71" xfId="9" applyNumberFormat="1" applyFont="1" applyBorder="1"/>
    <xf numFmtId="165" fontId="13" fillId="0" borderId="72" xfId="9" applyFont="1" applyBorder="1"/>
    <xf numFmtId="165" fontId="13" fillId="0" borderId="73" xfId="9" applyFont="1" applyBorder="1"/>
    <xf numFmtId="167" fontId="13" fillId="0" borderId="34" xfId="9" applyNumberFormat="1" applyFont="1" applyBorder="1"/>
    <xf numFmtId="165" fontId="13" fillId="0" borderId="74" xfId="9" applyFont="1" applyBorder="1"/>
    <xf numFmtId="165" fontId="13" fillId="0" borderId="75" xfId="9" applyFont="1" applyBorder="1"/>
    <xf numFmtId="165" fontId="13" fillId="0" borderId="63" xfId="9" applyFont="1" applyBorder="1"/>
    <xf numFmtId="0" fontId="13" fillId="0" borderId="116" xfId="6" quotePrefix="1" applyFont="1" applyBorder="1" applyAlignment="1">
      <alignment horizontal="center"/>
    </xf>
    <xf numFmtId="165" fontId="13" fillId="0" borderId="69" xfId="9" applyFont="1" applyBorder="1"/>
    <xf numFmtId="0" fontId="17" fillId="0" borderId="89" xfId="6" applyFont="1" applyBorder="1" applyAlignment="1">
      <alignment horizontal="center"/>
    </xf>
    <xf numFmtId="0" fontId="17" fillId="0" borderId="117" xfId="6" applyFont="1" applyBorder="1"/>
    <xf numFmtId="168" fontId="13" fillId="0" borderId="118" xfId="6" applyNumberFormat="1" applyFont="1" applyBorder="1" applyAlignment="1">
      <alignment horizontal="center"/>
    </xf>
    <xf numFmtId="167" fontId="13" fillId="0" borderId="117" xfId="9" applyNumberFormat="1" applyFont="1" applyBorder="1"/>
    <xf numFmtId="165" fontId="13" fillId="0" borderId="117" xfId="9" applyFont="1" applyBorder="1"/>
    <xf numFmtId="165" fontId="13" fillId="0" borderId="98" xfId="9" applyFont="1" applyBorder="1"/>
    <xf numFmtId="172" fontId="17" fillId="0" borderId="76" xfId="6" applyNumberFormat="1" applyFont="1" applyBorder="1" applyAlignment="1">
      <alignment horizontal="center"/>
    </xf>
    <xf numFmtId="0" fontId="13" fillId="0" borderId="65" xfId="6" applyFont="1" applyBorder="1"/>
    <xf numFmtId="167" fontId="13" fillId="0" borderId="63" xfId="9" applyNumberFormat="1" applyFont="1" applyBorder="1"/>
    <xf numFmtId="167" fontId="13" fillId="0" borderId="69" xfId="9" applyNumberFormat="1" applyFont="1" applyBorder="1"/>
    <xf numFmtId="172" fontId="17" fillId="0" borderId="37" xfId="6" applyNumberFormat="1" applyFont="1" applyBorder="1" applyAlignment="1">
      <alignment horizontal="center"/>
    </xf>
    <xf numFmtId="172" fontId="13" fillId="0" borderId="71" xfId="6" applyNumberFormat="1" applyFont="1" applyBorder="1"/>
    <xf numFmtId="168" fontId="13" fillId="0" borderId="71" xfId="6" applyNumberFormat="1" applyFont="1" applyBorder="1" applyAlignment="1">
      <alignment horizontal="center"/>
    </xf>
    <xf numFmtId="172" fontId="17" fillId="0" borderId="35" xfId="6" applyNumberFormat="1" applyFont="1" applyBorder="1" applyAlignment="1">
      <alignment horizontal="center"/>
    </xf>
    <xf numFmtId="0" fontId="17" fillId="0" borderId="111" xfId="6" applyFont="1" applyBorder="1"/>
    <xf numFmtId="0" fontId="17" fillId="0" borderId="119" xfId="6" applyFont="1" applyBorder="1"/>
    <xf numFmtId="168" fontId="13" fillId="0" borderId="119" xfId="6" applyNumberFormat="1" applyFont="1" applyBorder="1" applyAlignment="1">
      <alignment horizontal="center"/>
    </xf>
    <xf numFmtId="167" fontId="13" fillId="0" borderId="119" xfId="9" applyNumberFormat="1" applyFont="1" applyBorder="1"/>
    <xf numFmtId="165" fontId="13" fillId="0" borderId="119" xfId="9" applyFont="1" applyBorder="1"/>
    <xf numFmtId="172" fontId="17" fillId="0" borderId="114" xfId="6" applyNumberFormat="1" applyFont="1" applyBorder="1" applyAlignment="1">
      <alignment horizontal="center"/>
    </xf>
    <xf numFmtId="0" fontId="13" fillId="0" borderId="50" xfId="6" quotePrefix="1" applyFont="1" applyBorder="1" applyAlignment="1">
      <alignment horizontal="center"/>
    </xf>
    <xf numFmtId="0" fontId="13" fillId="0" borderId="52" xfId="6" applyFont="1" applyBorder="1"/>
    <xf numFmtId="0" fontId="13" fillId="0" borderId="120" xfId="6" applyFont="1" applyBorder="1" applyAlignment="1">
      <alignment horizontal="center"/>
    </xf>
    <xf numFmtId="167" fontId="13" fillId="0" borderId="120" xfId="9" applyNumberFormat="1" applyFont="1" applyBorder="1"/>
    <xf numFmtId="165" fontId="13" fillId="0" borderId="120" xfId="9" applyFont="1" applyBorder="1"/>
    <xf numFmtId="172" fontId="17" fillId="0" borderId="85" xfId="6" applyNumberFormat="1" applyFont="1" applyBorder="1" applyAlignment="1">
      <alignment horizontal="center"/>
    </xf>
    <xf numFmtId="172" fontId="13" fillId="0" borderId="58" xfId="6" applyNumberFormat="1" applyFont="1" applyBorder="1"/>
    <xf numFmtId="0" fontId="13" fillId="0" borderId="58" xfId="6" applyFont="1" applyBorder="1"/>
    <xf numFmtId="168" fontId="13" fillId="0" borderId="58" xfId="6" applyNumberFormat="1" applyFont="1" applyBorder="1" applyAlignment="1">
      <alignment horizontal="center"/>
    </xf>
    <xf numFmtId="167" fontId="13" fillId="0" borderId="58" xfId="9" applyNumberFormat="1" applyFont="1" applyBorder="1"/>
    <xf numFmtId="165" fontId="13" fillId="0" borderId="96" xfId="9" applyFont="1" applyBorder="1"/>
    <xf numFmtId="165" fontId="13" fillId="0" borderId="57" xfId="9" applyFont="1" applyBorder="1"/>
    <xf numFmtId="172" fontId="17" fillId="0" borderId="103" xfId="6" applyNumberFormat="1" applyFont="1" applyBorder="1" applyAlignment="1">
      <alignment horizontal="center"/>
    </xf>
    <xf numFmtId="168" fontId="13" fillId="0" borderId="110" xfId="6" applyNumberFormat="1" applyFont="1" applyBorder="1" applyAlignment="1">
      <alignment horizontal="center"/>
    </xf>
    <xf numFmtId="167" fontId="13" fillId="0" borderId="110" xfId="9" applyNumberFormat="1" applyFont="1" applyBorder="1"/>
    <xf numFmtId="165" fontId="13" fillId="0" borderId="110" xfId="9" applyFont="1" applyBorder="1"/>
    <xf numFmtId="165" fontId="13" fillId="0" borderId="61" xfId="9" applyFont="1" applyBorder="1"/>
    <xf numFmtId="0" fontId="13" fillId="0" borderId="107" xfId="6" applyFont="1" applyBorder="1"/>
    <xf numFmtId="168" fontId="13" fillId="0" borderId="107" xfId="6" applyNumberFormat="1" applyFont="1" applyBorder="1" applyAlignment="1">
      <alignment horizontal="center"/>
    </xf>
    <xf numFmtId="167" fontId="13" fillId="0" borderId="107" xfId="9" applyNumberFormat="1" applyFont="1" applyBorder="1"/>
    <xf numFmtId="165" fontId="13" fillId="0" borderId="107" xfId="9" applyFont="1" applyBorder="1"/>
    <xf numFmtId="172" fontId="17" fillId="0" borderId="23" xfId="6" applyNumberFormat="1" applyFont="1" applyBorder="1" applyAlignment="1">
      <alignment horizontal="center"/>
    </xf>
    <xf numFmtId="167" fontId="13" fillId="0" borderId="66" xfId="9" applyNumberFormat="1" applyFont="1" applyBorder="1"/>
    <xf numFmtId="172" fontId="17" fillId="0" borderId="89" xfId="6" applyNumberFormat="1" applyFont="1" applyBorder="1" applyAlignment="1">
      <alignment horizontal="center"/>
    </xf>
    <xf numFmtId="0" fontId="17" fillId="0" borderId="90" xfId="6" applyFont="1" applyBorder="1"/>
    <xf numFmtId="0" fontId="17" fillId="0" borderId="121" xfId="6" applyFont="1" applyBorder="1"/>
    <xf numFmtId="168" fontId="13" fillId="0" borderId="122" xfId="6" applyNumberFormat="1" applyFont="1" applyBorder="1" applyAlignment="1">
      <alignment horizontal="center"/>
    </xf>
    <xf numFmtId="167" fontId="13" fillId="0" borderId="121" xfId="9" applyNumberFormat="1" applyFont="1" applyBorder="1"/>
    <xf numFmtId="165" fontId="13" fillId="0" borderId="121" xfId="9" applyFont="1" applyBorder="1"/>
    <xf numFmtId="165" fontId="13" fillId="0" borderId="91" xfId="9" applyFont="1" applyBorder="1"/>
    <xf numFmtId="0" fontId="18" fillId="0" borderId="18" xfId="6" applyFont="1" applyBorder="1"/>
    <xf numFmtId="168" fontId="13" fillId="0" borderId="123" xfId="6" applyNumberFormat="1" applyFont="1" applyBorder="1" applyAlignment="1">
      <alignment horizontal="center"/>
    </xf>
    <xf numFmtId="165" fontId="13" fillId="0" borderId="68" xfId="9" applyFont="1" applyBorder="1"/>
    <xf numFmtId="0" fontId="13" fillId="0" borderId="66" xfId="6" applyFont="1" applyBorder="1"/>
    <xf numFmtId="168" fontId="13" fillId="0" borderId="66" xfId="6" applyNumberFormat="1" applyFont="1" applyBorder="1" applyAlignment="1">
      <alignment horizontal="center"/>
    </xf>
    <xf numFmtId="0" fontId="13" fillId="0" borderId="69" xfId="6" applyFont="1" applyBorder="1"/>
    <xf numFmtId="168" fontId="13" fillId="0" borderId="69" xfId="6" applyNumberFormat="1" applyFont="1" applyBorder="1" applyAlignment="1">
      <alignment horizontal="center"/>
    </xf>
    <xf numFmtId="0" fontId="23" fillId="0" borderId="0" xfId="6" applyFont="1" applyAlignment="1">
      <alignment horizontal="left"/>
    </xf>
    <xf numFmtId="0" fontId="23" fillId="0" borderId="0" xfId="6" applyFont="1"/>
    <xf numFmtId="0" fontId="23" fillId="0" borderId="0" xfId="6" applyFont="1" applyAlignment="1">
      <alignment horizontal="center"/>
    </xf>
    <xf numFmtId="171" fontId="23" fillId="0" borderId="0" xfId="6" applyNumberFormat="1" applyFont="1"/>
    <xf numFmtId="0" fontId="13" fillId="0" borderId="81" xfId="6" applyFont="1" applyBorder="1"/>
    <xf numFmtId="0" fontId="13" fillId="0" borderId="101" xfId="6" applyFont="1" applyBorder="1" applyAlignment="1">
      <alignment horizontal="center"/>
    </xf>
    <xf numFmtId="167" fontId="13" fillId="0" borderId="81" xfId="10" applyNumberFormat="1" applyFont="1" applyBorder="1"/>
    <xf numFmtId="165" fontId="13" fillId="0" borderId="101" xfId="10" applyFont="1" applyBorder="1"/>
    <xf numFmtId="165" fontId="13" fillId="0" borderId="102" xfId="10" applyFont="1" applyBorder="1"/>
    <xf numFmtId="0" fontId="17" fillId="0" borderId="103" xfId="6" applyFont="1" applyBorder="1" applyAlignment="1" applyProtection="1">
      <alignment horizontal="center"/>
      <protection locked="0"/>
    </xf>
    <xf numFmtId="0" fontId="13" fillId="0" borderId="18" xfId="6" quotePrefix="1" applyFont="1" applyBorder="1" applyAlignment="1" applyProtection="1">
      <alignment horizontal="center"/>
      <protection locked="0"/>
    </xf>
    <xf numFmtId="0" fontId="13" fillId="0" borderId="83" xfId="6" applyFont="1" applyBorder="1" applyProtection="1">
      <protection locked="0"/>
    </xf>
    <xf numFmtId="0" fontId="13" fillId="0" borderId="63" xfId="6" applyFont="1" applyBorder="1" applyAlignment="1" applyProtection="1">
      <alignment horizontal="center"/>
      <protection locked="0"/>
    </xf>
    <xf numFmtId="167" fontId="13" fillId="0" borderId="77" xfId="10" applyNumberFormat="1" applyFont="1" applyBorder="1" applyProtection="1">
      <protection locked="0"/>
    </xf>
    <xf numFmtId="165" fontId="13" fillId="0" borderId="63" xfId="10" applyFont="1" applyBorder="1" applyProtection="1">
      <protection locked="0"/>
    </xf>
    <xf numFmtId="165" fontId="13" fillId="0" borderId="65" xfId="10" applyFont="1" applyBorder="1"/>
    <xf numFmtId="0" fontId="17" fillId="0" borderId="23" xfId="6" applyFont="1" applyBorder="1" applyAlignment="1" applyProtection="1">
      <alignment horizontal="center"/>
      <protection locked="0"/>
    </xf>
    <xf numFmtId="0" fontId="13" fillId="0" borderId="5" xfId="6" quotePrefix="1" applyFont="1" applyBorder="1" applyAlignment="1" applyProtection="1">
      <alignment horizontal="center"/>
      <protection locked="0"/>
    </xf>
    <xf numFmtId="0" fontId="13" fillId="0" borderId="66" xfId="6" applyFont="1" applyBorder="1" applyAlignment="1" applyProtection="1">
      <alignment horizontal="center"/>
      <protection locked="0"/>
    </xf>
    <xf numFmtId="167" fontId="13" fillId="0" borderId="67" xfId="10" applyNumberFormat="1" applyFont="1" applyBorder="1" applyProtection="1">
      <protection locked="0"/>
    </xf>
    <xf numFmtId="0" fontId="13" fillId="0" borderId="68" xfId="6" applyFont="1" applyBorder="1" applyProtection="1">
      <protection locked="0"/>
    </xf>
    <xf numFmtId="167" fontId="13" fillId="0" borderId="67" xfId="10" applyNumberFormat="1" applyFont="1" applyBorder="1"/>
    <xf numFmtId="0" fontId="17" fillId="0" borderId="114" xfId="6" applyFont="1" applyBorder="1" applyAlignment="1" applyProtection="1">
      <alignment horizontal="center"/>
      <protection locked="0"/>
    </xf>
    <xf numFmtId="0" fontId="13" fillId="0" borderId="116" xfId="6" quotePrefix="1" applyFont="1" applyBorder="1" applyAlignment="1" applyProtection="1">
      <alignment horizontal="center"/>
      <protection locked="0"/>
    </xf>
    <xf numFmtId="0" fontId="13" fillId="0" borderId="84" xfId="6" applyFont="1" applyBorder="1" applyProtection="1">
      <protection locked="0"/>
    </xf>
    <xf numFmtId="0" fontId="13" fillId="0" borderId="69" xfId="6" applyFont="1" applyBorder="1" applyAlignment="1" applyProtection="1">
      <alignment horizontal="center"/>
      <protection locked="0"/>
    </xf>
    <xf numFmtId="167" fontId="13" fillId="0" borderId="71" xfId="10" applyNumberFormat="1" applyFont="1" applyBorder="1"/>
    <xf numFmtId="165" fontId="13" fillId="0" borderId="72" xfId="10" applyFont="1" applyBorder="1"/>
    <xf numFmtId="165" fontId="13" fillId="0" borderId="73" xfId="10" applyFont="1" applyBorder="1"/>
    <xf numFmtId="0" fontId="19" fillId="0" borderId="101" xfId="6" applyFont="1" applyBorder="1"/>
    <xf numFmtId="167" fontId="19" fillId="0" borderId="101" xfId="10" applyNumberFormat="1" applyFont="1" applyBorder="1"/>
    <xf numFmtId="165" fontId="13" fillId="0" borderId="90" xfId="10" applyFont="1" applyBorder="1"/>
    <xf numFmtId="167" fontId="18" fillId="0" borderId="63" xfId="10" applyNumberFormat="1" applyFont="1" applyBorder="1"/>
    <xf numFmtId="165" fontId="13" fillId="0" borderId="63" xfId="10" applyFont="1" applyBorder="1"/>
    <xf numFmtId="0" fontId="18" fillId="0" borderId="5" xfId="6" applyFont="1" applyBorder="1"/>
    <xf numFmtId="168" fontId="13" fillId="0" borderId="124" xfId="6" applyNumberFormat="1" applyFont="1" applyBorder="1" applyAlignment="1">
      <alignment horizontal="center"/>
    </xf>
    <xf numFmtId="167" fontId="18" fillId="0" borderId="66" xfId="10" applyNumberFormat="1" applyFont="1" applyBorder="1"/>
    <xf numFmtId="165" fontId="13" fillId="0" borderId="66" xfId="10" applyFont="1" applyBorder="1"/>
    <xf numFmtId="172" fontId="17" fillId="0" borderId="26" xfId="6" applyNumberFormat="1" applyFont="1" applyBorder="1" applyAlignment="1">
      <alignment horizontal="center"/>
    </xf>
    <xf numFmtId="167" fontId="13" fillId="0" borderId="69" xfId="10" applyNumberFormat="1" applyFont="1" applyBorder="1"/>
    <xf numFmtId="165" fontId="13" fillId="0" borderId="69" xfId="10" applyFont="1" applyBorder="1"/>
    <xf numFmtId="165" fontId="13" fillId="0" borderId="105" xfId="10" applyFont="1" applyBorder="1"/>
    <xf numFmtId="167" fontId="13" fillId="0" borderId="58" xfId="10" applyNumberFormat="1" applyFont="1" applyBorder="1"/>
    <xf numFmtId="165" fontId="13" fillId="0" borderId="96" xfId="10" applyFont="1" applyBorder="1"/>
    <xf numFmtId="165" fontId="13" fillId="0" borderId="57" xfId="10" applyFont="1" applyBorder="1"/>
    <xf numFmtId="0" fontId="17" fillId="0" borderId="81" xfId="6" applyFont="1" applyBorder="1"/>
    <xf numFmtId="168" fontId="13" fillId="0" borderId="117" xfId="6" applyNumberFormat="1" applyFont="1" applyBorder="1" applyAlignment="1">
      <alignment horizontal="center"/>
    </xf>
    <xf numFmtId="165" fontId="13" fillId="0" borderId="81" xfId="10" applyFont="1" applyBorder="1"/>
    <xf numFmtId="165" fontId="13" fillId="0" borderId="98" xfId="10" applyFont="1" applyBorder="1"/>
    <xf numFmtId="0" fontId="13" fillId="0" borderId="63" xfId="6" applyFont="1" applyBorder="1"/>
    <xf numFmtId="167" fontId="13" fillId="0" borderId="63" xfId="10" applyNumberFormat="1" applyFont="1" applyBorder="1"/>
    <xf numFmtId="167" fontId="13" fillId="0" borderId="66" xfId="10" applyNumberFormat="1" applyFont="1" applyBorder="1"/>
    <xf numFmtId="0" fontId="18" fillId="0" borderId="23" xfId="11" applyFont="1" applyBorder="1" applyAlignment="1">
      <alignment horizontal="center" vertical="center"/>
    </xf>
    <xf numFmtId="167" fontId="18" fillId="0" borderId="23" xfId="5" applyNumberFormat="1" applyFont="1" applyBorder="1" applyAlignment="1">
      <alignment vertical="center"/>
    </xf>
    <xf numFmtId="167" fontId="18" fillId="0" borderId="114" xfId="5" applyNumberFormat="1" applyFont="1" applyBorder="1" applyAlignment="1">
      <alignment vertical="center"/>
    </xf>
    <xf numFmtId="171" fontId="18" fillId="0" borderId="103" xfId="7" applyNumberFormat="1" applyFont="1" applyBorder="1" applyAlignment="1">
      <alignment vertical="center"/>
    </xf>
    <xf numFmtId="0" fontId="18" fillId="0" borderId="68" xfId="11" applyFont="1" applyBorder="1" applyAlignment="1">
      <alignment horizontal="center" vertical="center"/>
    </xf>
    <xf numFmtId="165" fontId="13" fillId="0" borderId="104" xfId="10" applyFont="1" applyBorder="1"/>
    <xf numFmtId="165" fontId="13" fillId="0" borderId="68" xfId="10" applyFont="1" applyBorder="1"/>
    <xf numFmtId="0" fontId="18" fillId="0" borderId="52" xfId="7" applyFont="1" applyBorder="1" applyAlignment="1">
      <alignment horizontal="center" vertical="center"/>
    </xf>
    <xf numFmtId="0" fontId="18" fillId="0" borderId="83" xfId="7" applyFont="1" applyBorder="1" applyAlignment="1">
      <alignment horizontal="left" vertical="center"/>
    </xf>
    <xf numFmtId="0" fontId="18" fillId="0" borderId="83" xfId="7" applyFont="1" applyBorder="1" applyAlignment="1">
      <alignment horizontal="center" vertical="center"/>
    </xf>
    <xf numFmtId="167" fontId="18" fillId="0" borderId="103" xfId="5" applyNumberFormat="1" applyFont="1" applyBorder="1" applyAlignment="1">
      <alignment vertical="center"/>
    </xf>
    <xf numFmtId="0" fontId="18" fillId="0" borderId="68" xfId="7" applyFont="1" applyBorder="1" applyAlignment="1">
      <alignment horizontal="left" vertical="center"/>
    </xf>
    <xf numFmtId="0" fontId="18" fillId="0" borderId="68" xfId="7" applyFont="1" applyBorder="1" applyAlignment="1">
      <alignment horizontal="center" vertical="center"/>
    </xf>
    <xf numFmtId="4" fontId="18" fillId="0" borderId="23" xfId="7" applyNumberFormat="1" applyFont="1" applyBorder="1" applyAlignment="1">
      <alignment vertical="center"/>
    </xf>
    <xf numFmtId="165" fontId="18" fillId="0" borderId="68" xfId="8" applyFont="1" applyBorder="1" applyAlignment="1">
      <alignment vertical="center"/>
    </xf>
    <xf numFmtId="0" fontId="18" fillId="0" borderId="52" xfId="7" applyFont="1" applyBorder="1" applyAlignment="1">
      <alignment vertical="center"/>
    </xf>
    <xf numFmtId="0" fontId="16" fillId="0" borderId="56" xfId="6" applyFont="1" applyBorder="1" applyAlignment="1">
      <alignment horizontal="centerContinuous"/>
    </xf>
    <xf numFmtId="0" fontId="16" fillId="0" borderId="58" xfId="6" applyFont="1" applyBorder="1" applyAlignment="1">
      <alignment horizontal="centerContinuous"/>
    </xf>
    <xf numFmtId="0" fontId="16" fillId="0" borderId="57" xfId="6" applyFont="1" applyBorder="1" applyAlignment="1">
      <alignment horizontal="centerContinuous"/>
    </xf>
    <xf numFmtId="0" fontId="25" fillId="0" borderId="125" xfId="6" applyFont="1" applyBorder="1" applyAlignment="1">
      <alignment horizontal="centerContinuous"/>
    </xf>
    <xf numFmtId="0" fontId="17" fillId="0" borderId="0" xfId="6" applyFont="1" applyAlignment="1">
      <alignment horizontal="centerContinuous"/>
    </xf>
    <xf numFmtId="0" fontId="16" fillId="0" borderId="36" xfId="6" applyFont="1" applyBorder="1" applyAlignment="1">
      <alignment horizontal="centerContinuous"/>
    </xf>
    <xf numFmtId="0" fontId="17" fillId="0" borderId="74" xfId="6" applyFont="1" applyBorder="1"/>
    <xf numFmtId="168" fontId="13" fillId="0" borderId="74" xfId="6" applyNumberFormat="1" applyFont="1" applyBorder="1" applyAlignment="1">
      <alignment horizontal="center"/>
    </xf>
    <xf numFmtId="167" fontId="13" fillId="0" borderId="74" xfId="12" applyNumberFormat="1" applyFont="1" applyBorder="1"/>
    <xf numFmtId="165" fontId="13" fillId="0" borderId="74" xfId="12" applyFont="1" applyBorder="1"/>
    <xf numFmtId="165" fontId="13" fillId="0" borderId="75" xfId="12" applyFont="1" applyBorder="1"/>
    <xf numFmtId="167" fontId="13" fillId="0" borderId="63" xfId="12" applyNumberFormat="1" applyFont="1" applyBorder="1"/>
    <xf numFmtId="165" fontId="13" fillId="0" borderId="63" xfId="12" applyFont="1" applyBorder="1"/>
    <xf numFmtId="165" fontId="13" fillId="0" borderId="126" xfId="12" applyFont="1" applyBorder="1"/>
    <xf numFmtId="167" fontId="13" fillId="0" borderId="66" xfId="12" applyNumberFormat="1" applyFont="1" applyBorder="1"/>
    <xf numFmtId="165" fontId="13" fillId="0" borderId="66" xfId="12" applyFont="1" applyBorder="1"/>
    <xf numFmtId="165" fontId="13" fillId="0" borderId="127" xfId="12" applyFont="1" applyBorder="1"/>
    <xf numFmtId="0" fontId="13" fillId="0" borderId="128" xfId="6" quotePrefix="1" applyFont="1" applyBorder="1" applyAlignment="1">
      <alignment horizontal="center"/>
    </xf>
    <xf numFmtId="0" fontId="17" fillId="0" borderId="129" xfId="6" applyFont="1" applyBorder="1" applyAlignment="1">
      <alignment horizontal="center"/>
    </xf>
    <xf numFmtId="0" fontId="13" fillId="0" borderId="130" xfId="6" quotePrefix="1" applyFont="1" applyBorder="1" applyAlignment="1">
      <alignment horizontal="center"/>
    </xf>
    <xf numFmtId="0" fontId="13" fillId="0" borderId="131" xfId="6" applyFont="1" applyBorder="1"/>
    <xf numFmtId="168" fontId="13" fillId="0" borderId="131" xfId="6" applyNumberFormat="1" applyFont="1" applyBorder="1" applyAlignment="1">
      <alignment horizontal="center"/>
    </xf>
    <xf numFmtId="167" fontId="13" fillId="0" borderId="131" xfId="12" applyNumberFormat="1" applyFont="1" applyBorder="1"/>
    <xf numFmtId="167" fontId="13" fillId="0" borderId="71" xfId="12" applyNumberFormat="1" applyFont="1" applyBorder="1"/>
    <xf numFmtId="165" fontId="13" fillId="0" borderId="72" xfId="12" applyFont="1" applyBorder="1"/>
    <xf numFmtId="165" fontId="13" fillId="0" borderId="73" xfId="12" applyFont="1" applyBorder="1"/>
    <xf numFmtId="165" fontId="19" fillId="0" borderId="132" xfId="8" applyFont="1" applyBorder="1" applyAlignment="1">
      <alignment vertical="center"/>
    </xf>
    <xf numFmtId="165" fontId="19" fillId="0" borderId="133" xfId="8" applyFont="1" applyBorder="1" applyAlignment="1">
      <alignment vertical="center"/>
    </xf>
    <xf numFmtId="165" fontId="19" fillId="0" borderId="134" xfId="8" applyFont="1" applyBorder="1" applyAlignment="1">
      <alignment vertical="center"/>
    </xf>
    <xf numFmtId="0" fontId="17" fillId="0" borderId="97" xfId="6" applyFont="1" applyBorder="1"/>
    <xf numFmtId="165" fontId="13" fillId="0" borderId="135" xfId="12" applyFont="1" applyBorder="1"/>
    <xf numFmtId="0" fontId="13" fillId="0" borderId="136" xfId="6" quotePrefix="1" applyFont="1" applyBorder="1" applyAlignment="1">
      <alignment horizontal="center"/>
    </xf>
    <xf numFmtId="0" fontId="13" fillId="0" borderId="137" xfId="6" applyFont="1" applyBorder="1"/>
    <xf numFmtId="168" fontId="13" fillId="0" borderId="137" xfId="6" applyNumberFormat="1" applyFont="1" applyBorder="1" applyAlignment="1">
      <alignment horizontal="center"/>
    </xf>
    <xf numFmtId="167" fontId="13" fillId="0" borderId="137" xfId="12" applyNumberFormat="1" applyFont="1" applyBorder="1"/>
    <xf numFmtId="0" fontId="17" fillId="0" borderId="138" xfId="6" applyFont="1" applyBorder="1" applyAlignment="1">
      <alignment horizontal="center"/>
    </xf>
    <xf numFmtId="167" fontId="13" fillId="0" borderId="58" xfId="12" applyNumberFormat="1" applyFont="1" applyBorder="1"/>
    <xf numFmtId="165" fontId="13" fillId="0" borderId="96" xfId="12" applyFont="1" applyBorder="1"/>
    <xf numFmtId="165" fontId="13" fillId="0" borderId="57" xfId="12" applyFont="1" applyBorder="1"/>
    <xf numFmtId="165" fontId="13" fillId="0" borderId="137" xfId="12" applyFont="1" applyBorder="1"/>
    <xf numFmtId="0" fontId="17" fillId="0" borderId="139" xfId="6" applyFont="1" applyBorder="1"/>
    <xf numFmtId="168" fontId="13" fillId="0" borderId="139" xfId="6" applyNumberFormat="1" applyFont="1" applyBorder="1" applyAlignment="1">
      <alignment horizontal="center"/>
    </xf>
    <xf numFmtId="167" fontId="13" fillId="0" borderId="139" xfId="12" applyNumberFormat="1" applyFont="1" applyBorder="1"/>
    <xf numFmtId="165" fontId="13" fillId="0" borderId="139" xfId="12" applyFont="1" applyBorder="1"/>
    <xf numFmtId="165" fontId="13" fillId="0" borderId="140" xfId="12" applyFont="1" applyBorder="1"/>
    <xf numFmtId="0" fontId="18" fillId="0" borderId="141" xfId="7" applyFont="1" applyBorder="1" applyAlignment="1">
      <alignment horizontal="center" vertical="center"/>
    </xf>
    <xf numFmtId="168" fontId="13" fillId="0" borderId="81" xfId="6" applyNumberFormat="1" applyFont="1" applyBorder="1" applyAlignment="1">
      <alignment horizontal="center"/>
    </xf>
    <xf numFmtId="167" fontId="13" fillId="0" borderId="81" xfId="12" applyNumberFormat="1" applyFont="1" applyBorder="1"/>
    <xf numFmtId="165" fontId="13" fillId="0" borderId="81" xfId="12" applyFont="1" applyBorder="1"/>
    <xf numFmtId="165" fontId="13" fillId="0" borderId="98" xfId="12" applyFont="1" applyBorder="1"/>
    <xf numFmtId="165" fontId="13" fillId="0" borderId="142" xfId="12" applyFont="1" applyBorder="1"/>
    <xf numFmtId="172" fontId="17" fillId="0" borderId="143" xfId="6" applyNumberFormat="1" applyFont="1" applyBorder="1" applyAlignment="1">
      <alignment horizontal="center"/>
    </xf>
    <xf numFmtId="168" fontId="13" fillId="0" borderId="90" xfId="6" applyNumberFormat="1" applyFont="1" applyBorder="1" applyAlignment="1">
      <alignment horizontal="center"/>
    </xf>
    <xf numFmtId="167" fontId="13" fillId="0" borderId="90" xfId="12" applyNumberFormat="1" applyFont="1" applyBorder="1"/>
    <xf numFmtId="165" fontId="13" fillId="0" borderId="90" xfId="12" applyFont="1" applyBorder="1"/>
    <xf numFmtId="165" fontId="13" fillId="0" borderId="91" xfId="12" applyFont="1" applyBorder="1"/>
    <xf numFmtId="0" fontId="13" fillId="0" borderId="128" xfId="6" applyFont="1" applyBorder="1" applyAlignment="1">
      <alignment horizontal="center"/>
    </xf>
    <xf numFmtId="165" fontId="13" fillId="0" borderId="104" xfId="12" applyFont="1" applyBorder="1"/>
    <xf numFmtId="2" fontId="16" fillId="0" borderId="0" xfId="6" applyNumberFormat="1" applyFont="1" applyAlignment="1">
      <alignment horizontal="centerContinuous"/>
    </xf>
    <xf numFmtId="0" fontId="14" fillId="0" borderId="0" xfId="6" applyFont="1" applyAlignment="1">
      <alignment horizontal="left"/>
    </xf>
    <xf numFmtId="0" fontId="14" fillId="0" borderId="0" xfId="6" applyFont="1"/>
    <xf numFmtId="0" fontId="14" fillId="0" borderId="0" xfId="6" applyFont="1" applyAlignment="1">
      <alignment horizontal="center"/>
    </xf>
    <xf numFmtId="171" fontId="14" fillId="0" borderId="0" xfId="6" applyNumberFormat="1" applyFont="1"/>
    <xf numFmtId="2" fontId="14" fillId="0" borderId="0" xfId="6" applyNumberFormat="1" applyFont="1"/>
    <xf numFmtId="0" fontId="17" fillId="0" borderId="58" xfId="6" applyFont="1" applyBorder="1"/>
    <xf numFmtId="171" fontId="17" fillId="0" borderId="58" xfId="6" applyNumberFormat="1" applyFont="1" applyBorder="1" applyAlignment="1">
      <alignment horizontal="center"/>
    </xf>
    <xf numFmtId="2" fontId="17" fillId="0" borderId="58" xfId="6" applyNumberFormat="1" applyFont="1" applyBorder="1" applyAlignment="1">
      <alignment horizontal="center"/>
    </xf>
    <xf numFmtId="0" fontId="17" fillId="0" borderId="141" xfId="6" applyFont="1" applyBorder="1" applyAlignment="1">
      <alignment horizontal="center"/>
    </xf>
    <xf numFmtId="0" fontId="17" fillId="0" borderId="144" xfId="6" applyFont="1" applyBorder="1"/>
    <xf numFmtId="0" fontId="17" fillId="0" borderId="144" xfId="6" applyFont="1" applyBorder="1" applyAlignment="1">
      <alignment horizontal="center"/>
    </xf>
    <xf numFmtId="171" fontId="17" fillId="0" borderId="144" xfId="6" applyNumberFormat="1" applyFont="1" applyBorder="1" applyAlignment="1">
      <alignment horizontal="center"/>
    </xf>
    <xf numFmtId="2" fontId="17" fillId="0" borderId="144" xfId="6" applyNumberFormat="1" applyFont="1" applyBorder="1" applyAlignment="1">
      <alignment horizontal="center"/>
    </xf>
    <xf numFmtId="2" fontId="17" fillId="0" borderId="145" xfId="6" applyNumberFormat="1" applyFont="1" applyBorder="1" applyAlignment="1">
      <alignment horizontal="center"/>
    </xf>
    <xf numFmtId="0" fontId="17" fillId="0" borderId="104" xfId="6" applyFont="1" applyBorder="1"/>
    <xf numFmtId="0" fontId="13" fillId="0" borderId="0" xfId="6" applyFont="1"/>
    <xf numFmtId="0" fontId="13" fillId="0" borderId="0" xfId="6" applyFont="1" applyAlignment="1">
      <alignment horizontal="center"/>
    </xf>
    <xf numFmtId="166" fontId="13" fillId="0" borderId="0" xfId="5" applyNumberFormat="1" applyFont="1"/>
    <xf numFmtId="2" fontId="13" fillId="0" borderId="0" xfId="6" applyNumberFormat="1" applyFont="1"/>
    <xf numFmtId="39" fontId="13" fillId="0" borderId="105" xfId="6" applyNumberFormat="1" applyFont="1" applyBorder="1"/>
    <xf numFmtId="165" fontId="13" fillId="0" borderId="107" xfId="5" applyFont="1" applyBorder="1"/>
    <xf numFmtId="165" fontId="13" fillId="0" borderId="57" xfId="5" applyFont="1" applyBorder="1"/>
    <xf numFmtId="165" fontId="13" fillId="0" borderId="126" xfId="5" applyFont="1" applyBorder="1"/>
    <xf numFmtId="0" fontId="13" fillId="0" borderId="133" xfId="6" quotePrefix="1" applyFont="1" applyBorder="1" applyAlignment="1">
      <alignment horizontal="center"/>
    </xf>
    <xf numFmtId="0" fontId="13" fillId="0" borderId="134" xfId="6" applyFont="1" applyBorder="1"/>
    <xf numFmtId="0" fontId="13" fillId="0" borderId="146" xfId="6" applyFont="1" applyBorder="1" applyAlignment="1">
      <alignment horizontal="center"/>
    </xf>
    <xf numFmtId="167" fontId="13" fillId="0" borderId="147" xfId="5" applyNumberFormat="1" applyFont="1" applyBorder="1"/>
    <xf numFmtId="165" fontId="13" fillId="0" borderId="148" xfId="5" applyFont="1" applyBorder="1"/>
    <xf numFmtId="165" fontId="13" fillId="0" borderId="135" xfId="5" applyFont="1" applyBorder="1"/>
    <xf numFmtId="0" fontId="13" fillId="0" borderId="0" xfId="6" quotePrefix="1" applyFont="1" applyAlignment="1">
      <alignment horizontal="center"/>
    </xf>
    <xf numFmtId="165" fontId="13" fillId="0" borderId="0" xfId="5" applyFont="1"/>
    <xf numFmtId="165" fontId="13" fillId="0" borderId="85" xfId="5" applyFont="1" applyBorder="1"/>
    <xf numFmtId="165" fontId="19" fillId="0" borderId="149" xfId="8" applyFont="1" applyBorder="1" applyAlignment="1">
      <alignment vertical="center"/>
    </xf>
    <xf numFmtId="165" fontId="19" fillId="0" borderId="150" xfId="8" applyFont="1" applyBorder="1" applyAlignment="1">
      <alignment vertical="center"/>
    </xf>
    <xf numFmtId="165" fontId="19" fillId="0" borderId="129" xfId="8" applyFont="1" applyBorder="1" applyAlignment="1">
      <alignment vertical="center"/>
    </xf>
    <xf numFmtId="167" fontId="13" fillId="0" borderId="81" xfId="5" applyNumberFormat="1" applyFont="1" applyBorder="1"/>
    <xf numFmtId="165" fontId="13" fillId="0" borderId="101" xfId="5" applyFont="1" applyBorder="1"/>
    <xf numFmtId="165" fontId="13" fillId="0" borderId="102" xfId="5" applyFont="1" applyBorder="1"/>
    <xf numFmtId="0" fontId="13" fillId="0" borderId="151" xfId="6" applyFont="1" applyBorder="1"/>
    <xf numFmtId="0" fontId="13" fillId="0" borderId="137" xfId="6" applyFont="1" applyBorder="1" applyAlignment="1">
      <alignment horizontal="center"/>
    </xf>
    <xf numFmtId="167" fontId="13" fillId="0" borderId="152" xfId="5" applyNumberFormat="1" applyFont="1" applyBorder="1"/>
    <xf numFmtId="0" fontId="18" fillId="0" borderId="125" xfId="7" applyFont="1" applyBorder="1" applyAlignment="1">
      <alignment horizontal="center" vertical="center"/>
    </xf>
    <xf numFmtId="165" fontId="19" fillId="0" borderId="153" xfId="8" applyFont="1" applyBorder="1" applyAlignment="1">
      <alignment vertical="center"/>
    </xf>
    <xf numFmtId="165" fontId="19" fillId="0" borderId="136" xfId="8" applyFont="1" applyBorder="1" applyAlignment="1">
      <alignment vertical="center"/>
    </xf>
    <xf numFmtId="165" fontId="19" fillId="0" borderId="151" xfId="8" applyFont="1" applyBorder="1" applyAlignment="1">
      <alignment vertical="center"/>
    </xf>
    <xf numFmtId="165" fontId="13" fillId="0" borderId="81" xfId="5" applyFont="1" applyBorder="1"/>
    <xf numFmtId="165" fontId="13" fillId="0" borderId="98" xfId="5" applyFont="1" applyBorder="1"/>
    <xf numFmtId="167" fontId="13" fillId="0" borderId="63" xfId="5" applyNumberFormat="1" applyFont="1" applyBorder="1"/>
    <xf numFmtId="165" fontId="13" fillId="0" borderId="154" xfId="5" applyFont="1" applyBorder="1"/>
    <xf numFmtId="167" fontId="13" fillId="0" borderId="66" xfId="5" applyNumberFormat="1" applyFont="1" applyBorder="1"/>
    <xf numFmtId="172" fontId="17" fillId="0" borderId="138" xfId="6" applyNumberFormat="1" applyFont="1" applyBorder="1" applyAlignment="1">
      <alignment horizontal="center"/>
    </xf>
    <xf numFmtId="167" fontId="13" fillId="0" borderId="137" xfId="5" applyNumberFormat="1" applyFont="1" applyBorder="1"/>
    <xf numFmtId="165" fontId="13" fillId="0" borderId="104" xfId="5" applyFont="1" applyBorder="1"/>
    <xf numFmtId="167" fontId="13" fillId="0" borderId="58" xfId="5" applyNumberFormat="1" applyFont="1" applyBorder="1"/>
    <xf numFmtId="165" fontId="13" fillId="0" borderId="96" xfId="5" applyFont="1" applyBorder="1"/>
    <xf numFmtId="0" fontId="13" fillId="0" borderId="155" xfId="6" quotePrefix="1" applyFont="1" applyBorder="1" applyAlignment="1">
      <alignment horizontal="center"/>
    </xf>
    <xf numFmtId="165" fontId="13" fillId="0" borderId="156" xfId="5" applyFont="1" applyBorder="1"/>
    <xf numFmtId="166" fontId="13" fillId="0" borderId="58" xfId="5" applyNumberFormat="1" applyFont="1" applyBorder="1"/>
    <xf numFmtId="0" fontId="19" fillId="0" borderId="81" xfId="6" applyFont="1" applyBorder="1"/>
    <xf numFmtId="0" fontId="18" fillId="0" borderId="81" xfId="6" applyFont="1" applyBorder="1"/>
    <xf numFmtId="0" fontId="18" fillId="0" borderId="81" xfId="6" applyFont="1" applyBorder="1" applyAlignment="1">
      <alignment horizontal="center"/>
    </xf>
    <xf numFmtId="167" fontId="18" fillId="0" borderId="81" xfId="5" applyNumberFormat="1" applyFont="1" applyBorder="1"/>
    <xf numFmtId="165" fontId="18" fillId="0" borderId="81" xfId="5" applyFont="1" applyBorder="1"/>
    <xf numFmtId="165" fontId="18" fillId="0" borderId="98" xfId="5" applyFont="1" applyBorder="1"/>
    <xf numFmtId="0" fontId="19" fillId="0" borderId="76" xfId="6" applyFont="1" applyBorder="1" applyAlignment="1">
      <alignment horizontal="center"/>
    </xf>
    <xf numFmtId="0" fontId="18" fillId="0" borderId="155" xfId="6" quotePrefix="1" applyFont="1" applyBorder="1" applyAlignment="1">
      <alignment horizontal="center"/>
    </xf>
    <xf numFmtId="0" fontId="18" fillId="0" borderId="65" xfId="6" applyFont="1" applyBorder="1"/>
    <xf numFmtId="0" fontId="18" fillId="0" borderId="63" xfId="6" applyFont="1" applyBorder="1" applyAlignment="1">
      <alignment horizontal="center"/>
    </xf>
    <xf numFmtId="167" fontId="18" fillId="0" borderId="64" xfId="5" applyNumberFormat="1" applyFont="1" applyBorder="1"/>
    <xf numFmtId="165" fontId="18" fillId="0" borderId="63" xfId="5" applyFont="1" applyBorder="1"/>
    <xf numFmtId="165" fontId="18" fillId="0" borderId="65" xfId="5" applyFont="1" applyBorder="1"/>
    <xf numFmtId="0" fontId="19" fillId="0" borderId="23" xfId="6" applyFont="1" applyBorder="1" applyAlignment="1">
      <alignment horizontal="center"/>
    </xf>
    <xf numFmtId="0" fontId="18" fillId="0" borderId="128" xfId="6" quotePrefix="1" applyFont="1" applyBorder="1" applyAlignment="1">
      <alignment horizontal="center"/>
    </xf>
    <xf numFmtId="0" fontId="18" fillId="0" borderId="66" xfId="6" applyFont="1" applyBorder="1" applyAlignment="1">
      <alignment horizontal="center"/>
    </xf>
    <xf numFmtId="167" fontId="18" fillId="0" borderId="67" xfId="5" applyNumberFormat="1" applyFont="1" applyBorder="1"/>
    <xf numFmtId="165" fontId="18" fillId="0" borderId="66" xfId="5" applyFont="1" applyBorder="1"/>
    <xf numFmtId="165" fontId="18" fillId="0" borderId="68" xfId="5" applyFont="1" applyBorder="1"/>
    <xf numFmtId="0" fontId="18" fillId="0" borderId="68" xfId="6" applyFont="1" applyBorder="1"/>
    <xf numFmtId="0" fontId="19" fillId="0" borderId="129" xfId="6" applyFont="1" applyBorder="1" applyAlignment="1">
      <alignment horizontal="center"/>
    </xf>
    <xf numFmtId="0" fontId="18" fillId="0" borderId="133" xfId="6" quotePrefix="1" applyFont="1" applyBorder="1" applyAlignment="1">
      <alignment horizontal="center"/>
    </xf>
    <xf numFmtId="0" fontId="18" fillId="0" borderId="157" xfId="6" applyFont="1" applyBorder="1"/>
    <xf numFmtId="0" fontId="18" fillId="0" borderId="146" xfId="6" applyFont="1" applyBorder="1" applyAlignment="1">
      <alignment horizontal="center"/>
    </xf>
    <xf numFmtId="167" fontId="18" fillId="0" borderId="147" xfId="5" applyNumberFormat="1" applyFont="1" applyBorder="1"/>
    <xf numFmtId="165" fontId="18" fillId="0" borderId="157" xfId="5" applyFont="1" applyBorder="1"/>
    <xf numFmtId="0" fontId="19" fillId="0" borderId="85" xfId="6" applyFont="1" applyBorder="1" applyAlignment="1">
      <alignment horizontal="center"/>
    </xf>
    <xf numFmtId="0" fontId="18" fillId="0" borderId="58" xfId="6" quotePrefix="1" applyFont="1" applyBorder="1" applyAlignment="1">
      <alignment horizontal="center"/>
    </xf>
    <xf numFmtId="0" fontId="18" fillId="0" borderId="58" xfId="6" applyFont="1" applyBorder="1"/>
    <xf numFmtId="0" fontId="18" fillId="0" borderId="58" xfId="6" applyFont="1" applyBorder="1" applyAlignment="1">
      <alignment horizontal="center"/>
    </xf>
    <xf numFmtId="167" fontId="18" fillId="0" borderId="58" xfId="5" applyNumberFormat="1" applyFont="1" applyBorder="1"/>
    <xf numFmtId="165" fontId="18" fillId="0" borderId="96" xfId="5" applyFont="1" applyBorder="1"/>
    <xf numFmtId="165" fontId="18" fillId="0" borderId="57" xfId="5" applyFont="1" applyBorder="1"/>
    <xf numFmtId="0" fontId="18" fillId="0" borderId="136" xfId="6" quotePrefix="1" applyFont="1" applyBorder="1" applyAlignment="1">
      <alignment horizontal="center"/>
    </xf>
    <xf numFmtId="0" fontId="18" fillId="0" borderId="158" xfId="6" applyFont="1" applyBorder="1"/>
    <xf numFmtId="0" fontId="18" fillId="0" borderId="137" xfId="6" applyFont="1" applyBorder="1" applyAlignment="1">
      <alignment horizontal="center"/>
    </xf>
    <xf numFmtId="165" fontId="18" fillId="0" borderId="151" xfId="5" applyFont="1" applyBorder="1"/>
    <xf numFmtId="0" fontId="19" fillId="0" borderId="37" xfId="6" applyFont="1" applyBorder="1" applyAlignment="1">
      <alignment horizontal="center"/>
    </xf>
    <xf numFmtId="0" fontId="18" fillId="0" borderId="71" xfId="6" applyFont="1" applyBorder="1"/>
    <xf numFmtId="0" fontId="18" fillId="0" borderId="71" xfId="6" applyFont="1" applyBorder="1" applyAlignment="1">
      <alignment horizontal="center"/>
    </xf>
    <xf numFmtId="167" fontId="18" fillId="0" borderId="71" xfId="5" applyNumberFormat="1" applyFont="1" applyBorder="1"/>
    <xf numFmtId="165" fontId="18" fillId="0" borderId="72" xfId="5" applyFont="1" applyBorder="1"/>
    <xf numFmtId="165" fontId="18" fillId="0" borderId="73" xfId="5" applyFont="1" applyBorder="1"/>
    <xf numFmtId="166" fontId="18" fillId="0" borderId="81" xfId="5" applyNumberFormat="1" applyFont="1" applyBorder="1"/>
    <xf numFmtId="167" fontId="18" fillId="0" borderId="81" xfId="5" applyNumberFormat="1" applyFont="1" applyBorder="1" applyAlignment="1">
      <alignment horizontal="center"/>
    </xf>
    <xf numFmtId="167" fontId="18" fillId="0" borderId="159" xfId="5" applyNumberFormat="1" applyFont="1" applyBorder="1"/>
    <xf numFmtId="0" fontId="19" fillId="0" borderId="138" xfId="6" applyFont="1" applyBorder="1" applyAlignment="1">
      <alignment horizontal="center"/>
    </xf>
    <xf numFmtId="0" fontId="18" fillId="0" borderId="151" xfId="6" applyFont="1" applyBorder="1"/>
    <xf numFmtId="167" fontId="18" fillId="0" borderId="152" xfId="5" applyNumberFormat="1" applyFont="1" applyBorder="1"/>
    <xf numFmtId="166" fontId="18" fillId="0" borderId="58" xfId="5" applyNumberFormat="1" applyFont="1" applyBorder="1"/>
    <xf numFmtId="165" fontId="19" fillId="0" borderId="157" xfId="8" applyFont="1" applyBorder="1" applyAlignment="1">
      <alignment vertical="center"/>
    </xf>
    <xf numFmtId="0" fontId="13" fillId="0" borderId="81" xfId="6" applyFont="1" applyBorder="1" applyAlignment="1">
      <alignment horizontal="center"/>
    </xf>
    <xf numFmtId="167" fontId="13" fillId="0" borderId="64" xfId="5" applyNumberFormat="1" applyFont="1" applyBorder="1"/>
    <xf numFmtId="165" fontId="13" fillId="0" borderId="105" xfId="5" applyFont="1" applyBorder="1"/>
    <xf numFmtId="0" fontId="13" fillId="0" borderId="58" xfId="6" applyFont="1" applyBorder="1" applyAlignment="1">
      <alignment horizontal="center"/>
    </xf>
    <xf numFmtId="172" fontId="19" fillId="0" borderId="89" xfId="6" applyNumberFormat="1" applyFont="1" applyBorder="1" applyAlignment="1">
      <alignment horizontal="center"/>
    </xf>
    <xf numFmtId="165" fontId="18" fillId="0" borderId="105" xfId="5" applyFont="1" applyBorder="1"/>
    <xf numFmtId="0" fontId="16" fillId="0" borderId="0" xfId="6" applyFont="1" applyAlignment="1">
      <alignment horizontal="left"/>
    </xf>
    <xf numFmtId="0" fontId="13" fillId="0" borderId="0" xfId="6" applyFont="1" applyAlignment="1">
      <alignment horizontal="left"/>
    </xf>
    <xf numFmtId="171" fontId="13" fillId="0" borderId="0" xfId="6" applyNumberFormat="1" applyFont="1"/>
    <xf numFmtId="171" fontId="17" fillId="0" borderId="57" xfId="6" applyNumberFormat="1" applyFont="1" applyBorder="1" applyAlignment="1">
      <alignment horizontal="center"/>
    </xf>
    <xf numFmtId="2" fontId="17" fillId="0" borderId="57" xfId="6" applyNumberFormat="1" applyFont="1" applyBorder="1" applyAlignment="1">
      <alignment horizontal="center"/>
    </xf>
    <xf numFmtId="0" fontId="17" fillId="0" borderId="143" xfId="6" applyFont="1" applyBorder="1" applyAlignment="1">
      <alignment horizontal="center"/>
    </xf>
    <xf numFmtId="0" fontId="17" fillId="0" borderId="145" xfId="6" applyFont="1" applyBorder="1" applyAlignment="1">
      <alignment horizontal="center"/>
    </xf>
    <xf numFmtId="171" fontId="17" fillId="0" borderId="145" xfId="6" applyNumberFormat="1" applyFont="1" applyBorder="1" applyAlignment="1">
      <alignment horizontal="center"/>
    </xf>
    <xf numFmtId="167" fontId="13" fillId="0" borderId="117" xfId="5" applyNumberFormat="1" applyFont="1" applyBorder="1"/>
    <xf numFmtId="165" fontId="13" fillId="0" borderId="117" xfId="5" applyFont="1" applyBorder="1"/>
    <xf numFmtId="168" fontId="13" fillId="0" borderId="160" xfId="6" applyNumberFormat="1" applyFont="1" applyBorder="1" applyAlignment="1">
      <alignment horizontal="center"/>
    </xf>
    <xf numFmtId="167" fontId="13" fillId="0" borderId="107" xfId="5" applyNumberFormat="1" applyFont="1" applyBorder="1"/>
    <xf numFmtId="0" fontId="18" fillId="0" borderId="68" xfId="6" quotePrefix="1" applyFont="1" applyBorder="1" applyAlignment="1">
      <alignment horizontal="left"/>
    </xf>
    <xf numFmtId="0" fontId="17" fillId="0" borderId="141" xfId="6" applyFont="1" applyBorder="1"/>
    <xf numFmtId="171" fontId="17" fillId="0" borderId="143" xfId="6" applyNumberFormat="1" applyFont="1" applyBorder="1" applyAlignment="1">
      <alignment horizontal="center"/>
    </xf>
    <xf numFmtId="166" fontId="13" fillId="0" borderId="161" xfId="5" applyNumberFormat="1" applyFont="1" applyBorder="1"/>
    <xf numFmtId="0" fontId="13" fillId="0" borderId="162" xfId="6" applyFont="1" applyBorder="1" applyAlignment="1">
      <alignment horizontal="center"/>
    </xf>
    <xf numFmtId="39" fontId="13" fillId="0" borderId="162" xfId="6" applyNumberFormat="1" applyFont="1" applyBorder="1"/>
    <xf numFmtId="39" fontId="13" fillId="0" borderId="145" xfId="6" applyNumberFormat="1" applyFont="1" applyBorder="1"/>
    <xf numFmtId="165" fontId="13" fillId="0" borderId="83" xfId="5" applyFont="1" applyBorder="1"/>
    <xf numFmtId="165" fontId="13" fillId="0" borderId="68" xfId="5" applyFont="1" applyBorder="1"/>
    <xf numFmtId="165" fontId="13" fillId="0" borderId="137" xfId="5" applyFont="1" applyBorder="1"/>
    <xf numFmtId="165" fontId="13" fillId="0" borderId="151" xfId="5" applyFont="1" applyBorder="1"/>
    <xf numFmtId="0" fontId="13" fillId="0" borderId="117" xfId="6" applyFont="1" applyBorder="1" applyAlignment="1">
      <alignment horizontal="center"/>
    </xf>
    <xf numFmtId="0" fontId="18" fillId="0" borderId="107" xfId="6" applyFont="1" applyBorder="1"/>
    <xf numFmtId="167" fontId="13" fillId="0" borderId="160" xfId="5" applyNumberFormat="1" applyFont="1" applyBorder="1"/>
    <xf numFmtId="167" fontId="13" fillId="0" borderId="124" xfId="5" applyNumberFormat="1" applyFont="1" applyBorder="1"/>
    <xf numFmtId="167" fontId="13" fillId="0" borderId="163" xfId="5" applyNumberFormat="1" applyFont="1" applyBorder="1"/>
    <xf numFmtId="166" fontId="13" fillId="0" borderId="71" xfId="5" applyNumberFormat="1" applyFont="1" applyBorder="1"/>
    <xf numFmtId="167" fontId="13" fillId="0" borderId="71" xfId="5" applyNumberFormat="1" applyFont="1" applyBorder="1" applyAlignment="1">
      <alignment horizontal="center"/>
    </xf>
    <xf numFmtId="0" fontId="13" fillId="0" borderId="98" xfId="6" applyFont="1" applyBorder="1"/>
    <xf numFmtId="166" fontId="13" fillId="0" borderId="164" xfId="5" applyNumberFormat="1" applyFont="1" applyBorder="1"/>
    <xf numFmtId="167" fontId="13" fillId="0" borderId="117" xfId="5" applyNumberFormat="1" applyFont="1" applyBorder="1" applyAlignment="1">
      <alignment horizontal="center"/>
    </xf>
    <xf numFmtId="0" fontId="13" fillId="0" borderId="144" xfId="6" applyFont="1" applyBorder="1"/>
    <xf numFmtId="0" fontId="13" fillId="0" borderId="139" xfId="6" applyFont="1" applyBorder="1" applyAlignment="1">
      <alignment horizontal="center"/>
    </xf>
    <xf numFmtId="167" fontId="13" fillId="0" borderId="144" xfId="5" applyNumberFormat="1" applyFont="1" applyBorder="1"/>
    <xf numFmtId="165" fontId="13" fillId="0" borderId="139" xfId="5" applyFont="1" applyBorder="1"/>
    <xf numFmtId="165" fontId="13" fillId="0" borderId="140" xfId="5" applyFont="1" applyBorder="1"/>
    <xf numFmtId="0" fontId="18" fillId="0" borderId="83" xfId="7" applyFont="1" applyBorder="1"/>
    <xf numFmtId="0" fontId="13" fillId="0" borderId="158" xfId="6" applyFont="1" applyBorder="1"/>
    <xf numFmtId="167" fontId="13" fillId="0" borderId="159" xfId="5" applyNumberFormat="1" applyFont="1" applyBorder="1"/>
    <xf numFmtId="0" fontId="18" fillId="0" borderId="143" xfId="7" applyFont="1" applyBorder="1" applyAlignment="1">
      <alignment horizontal="center" vertical="center"/>
    </xf>
    <xf numFmtId="0" fontId="13" fillId="0" borderId="90" xfId="6" applyFont="1" applyBorder="1" applyAlignment="1">
      <alignment horizontal="center"/>
    </xf>
    <xf numFmtId="165" fontId="13" fillId="0" borderId="90" xfId="5" applyFont="1" applyBorder="1"/>
    <xf numFmtId="165" fontId="13" fillId="0" borderId="91" xfId="5" applyFont="1" applyBorder="1"/>
    <xf numFmtId="0" fontId="15" fillId="0" borderId="0" xfId="7" applyAlignment="1">
      <alignment wrapText="1"/>
    </xf>
    <xf numFmtId="0" fontId="17" fillId="0" borderId="0" xfId="6" applyFont="1" applyAlignment="1">
      <alignment horizontal="centerContinuous" wrapText="1"/>
    </xf>
    <xf numFmtId="0" fontId="13" fillId="0" borderId="145" xfId="6" applyFont="1" applyBorder="1"/>
    <xf numFmtId="39" fontId="17" fillId="0" borderId="162" xfId="6" applyNumberFormat="1" applyFont="1" applyBorder="1" applyAlignment="1">
      <alignment horizontal="center"/>
    </xf>
    <xf numFmtId="39" fontId="17" fillId="0" borderId="145" xfId="6" applyNumberFormat="1" applyFont="1" applyBorder="1" applyAlignment="1">
      <alignment horizontal="center"/>
    </xf>
    <xf numFmtId="0" fontId="19" fillId="0" borderId="143" xfId="6" applyFont="1" applyBorder="1" applyAlignment="1">
      <alignment horizontal="center"/>
    </xf>
    <xf numFmtId="0" fontId="19" fillId="0" borderId="144" xfId="6" applyFont="1" applyBorder="1"/>
    <xf numFmtId="0" fontId="18" fillId="0" borderId="145" xfId="6" applyFont="1" applyBorder="1"/>
    <xf numFmtId="0" fontId="18" fillId="0" borderId="139" xfId="6" applyFont="1" applyBorder="1" applyAlignment="1">
      <alignment horizontal="center"/>
    </xf>
    <xf numFmtId="166" fontId="18" fillId="0" borderId="144" xfId="5" applyNumberFormat="1" applyFont="1" applyBorder="1"/>
    <xf numFmtId="39" fontId="18" fillId="0" borderId="139" xfId="6" applyNumberFormat="1" applyFont="1" applyBorder="1"/>
    <xf numFmtId="39" fontId="18" fillId="0" borderId="140" xfId="6" applyNumberFormat="1" applyFont="1" applyBorder="1"/>
    <xf numFmtId="0" fontId="19" fillId="0" borderId="103" xfId="6" applyFont="1" applyBorder="1" applyAlignment="1">
      <alignment horizontal="center"/>
    </xf>
    <xf numFmtId="0" fontId="18" fillId="0" borderId="18" xfId="6" quotePrefix="1" applyFont="1" applyBorder="1" applyAlignment="1">
      <alignment horizontal="center"/>
    </xf>
    <xf numFmtId="0" fontId="18" fillId="0" borderId="83" xfId="6" applyFont="1" applyBorder="1"/>
    <xf numFmtId="167" fontId="18" fillId="0" borderId="77" xfId="5" applyNumberFormat="1" applyFont="1" applyBorder="1"/>
    <xf numFmtId="165" fontId="18" fillId="0" borderId="137" xfId="5" applyFont="1" applyBorder="1"/>
    <xf numFmtId="0" fontId="19" fillId="3" borderId="89" xfId="6" applyFont="1" applyFill="1" applyBorder="1" applyAlignment="1">
      <alignment horizontal="center"/>
    </xf>
    <xf numFmtId="0" fontId="18" fillId="0" borderId="101" xfId="6" applyFont="1" applyBorder="1" applyAlignment="1">
      <alignment horizontal="center"/>
    </xf>
    <xf numFmtId="165" fontId="18" fillId="0" borderId="101" xfId="5" applyFont="1" applyBorder="1"/>
    <xf numFmtId="165" fontId="18" fillId="0" borderId="102" xfId="5" applyFont="1" applyBorder="1"/>
    <xf numFmtId="0" fontId="19" fillId="0" borderId="89" xfId="6" applyFont="1" applyBorder="1" applyAlignment="1">
      <alignment horizontal="center"/>
    </xf>
    <xf numFmtId="0" fontId="18" fillId="0" borderId="112" xfId="6" quotePrefix="1" applyFont="1" applyBorder="1" applyAlignment="1">
      <alignment horizontal="center"/>
    </xf>
    <xf numFmtId="0" fontId="18" fillId="0" borderId="107" xfId="6" applyFont="1" applyBorder="1" applyAlignment="1">
      <alignment horizontal="center"/>
    </xf>
    <xf numFmtId="165" fontId="18" fillId="0" borderId="107" xfId="5" applyFont="1" applyBorder="1"/>
    <xf numFmtId="165" fontId="18" fillId="0" borderId="83" xfId="5" applyFont="1" applyBorder="1"/>
    <xf numFmtId="0" fontId="18" fillId="0" borderId="98" xfId="6" applyFont="1" applyBorder="1"/>
    <xf numFmtId="166" fontId="18" fillId="0" borderId="164" xfId="5" applyNumberFormat="1" applyFont="1" applyBorder="1"/>
    <xf numFmtId="167" fontId="18" fillId="0" borderId="117" xfId="5" applyNumberFormat="1" applyFont="1" applyBorder="1" applyAlignment="1">
      <alignment horizontal="center"/>
    </xf>
    <xf numFmtId="165" fontId="18" fillId="0" borderId="117" xfId="5" applyFont="1" applyBorder="1"/>
    <xf numFmtId="0" fontId="18" fillId="0" borderId="112" xfId="7" applyFont="1" applyBorder="1" applyAlignment="1">
      <alignment horizontal="left" vertical="center"/>
    </xf>
    <xf numFmtId="0" fontId="18" fillId="0" borderId="103" xfId="6" applyFont="1" applyBorder="1" applyAlignment="1">
      <alignment horizontal="center"/>
    </xf>
    <xf numFmtId="173" fontId="18" fillId="0" borderId="103" xfId="7" applyNumberFormat="1" applyFont="1" applyBorder="1" applyAlignment="1">
      <alignment horizontal="right" vertical="center"/>
    </xf>
    <xf numFmtId="0" fontId="18" fillId="0" borderId="128" xfId="7" applyFont="1" applyBorder="1" applyAlignment="1">
      <alignment vertical="center"/>
    </xf>
    <xf numFmtId="0" fontId="18" fillId="0" borderId="23" xfId="6" applyFont="1" applyBorder="1" applyAlignment="1">
      <alignment horizontal="center"/>
    </xf>
    <xf numFmtId="173" fontId="18" fillId="0" borderId="23" xfId="5" applyNumberFormat="1" applyFont="1" applyBorder="1" applyAlignment="1">
      <alignment horizontal="right" vertical="center"/>
    </xf>
    <xf numFmtId="0" fontId="18" fillId="0" borderId="128" xfId="6" applyFont="1" applyBorder="1"/>
    <xf numFmtId="0" fontId="18" fillId="0" borderId="136" xfId="6" applyFont="1" applyBorder="1"/>
    <xf numFmtId="0" fontId="18" fillId="0" borderId="129" xfId="6" applyFont="1" applyBorder="1" applyAlignment="1">
      <alignment horizontal="center"/>
    </xf>
    <xf numFmtId="174" fontId="18" fillId="0" borderId="129" xfId="5" applyNumberFormat="1" applyFont="1" applyBorder="1" applyAlignment="1">
      <alignment vertical="center"/>
    </xf>
    <xf numFmtId="2" fontId="17" fillId="0" borderId="0" xfId="6" applyNumberFormat="1" applyFont="1" applyAlignment="1">
      <alignment horizontal="centerContinuous"/>
    </xf>
    <xf numFmtId="2" fontId="17" fillId="0" borderId="85" xfId="6" applyNumberFormat="1" applyFont="1" applyBorder="1" applyAlignment="1">
      <alignment horizontal="center"/>
    </xf>
    <xf numFmtId="2" fontId="17" fillId="0" borderId="143" xfId="6" applyNumberFormat="1" applyFont="1" applyBorder="1" applyAlignment="1">
      <alignment horizontal="center"/>
    </xf>
    <xf numFmtId="166" fontId="13" fillId="0" borderId="144" xfId="5" applyNumberFormat="1" applyFont="1" applyBorder="1"/>
    <xf numFmtId="2" fontId="13" fillId="0" borderId="139" xfId="6" applyNumberFormat="1" applyFont="1" applyBorder="1"/>
    <xf numFmtId="39" fontId="13" fillId="0" borderId="140" xfId="6" applyNumberFormat="1" applyFont="1" applyBorder="1"/>
    <xf numFmtId="0" fontId="13" fillId="0" borderId="18" xfId="6" applyFont="1" applyBorder="1" applyAlignment="1">
      <alignment horizontal="center"/>
    </xf>
    <xf numFmtId="167" fontId="19" fillId="0" borderId="101" xfId="5" applyNumberFormat="1" applyFont="1" applyBorder="1"/>
    <xf numFmtId="167" fontId="18" fillId="0" borderId="63" xfId="5" applyNumberFormat="1" applyFont="1" applyBorder="1"/>
    <xf numFmtId="167" fontId="18" fillId="0" borderId="66" xfId="5" applyNumberFormat="1" applyFont="1" applyBorder="1"/>
    <xf numFmtId="172" fontId="17" fillId="0" borderId="129" xfId="6" applyNumberFormat="1" applyFont="1" applyBorder="1" applyAlignment="1">
      <alignment horizontal="center"/>
    </xf>
    <xf numFmtId="0" fontId="19" fillId="0" borderId="56" xfId="6" applyFont="1" applyBorder="1" applyAlignment="1">
      <alignment horizontal="center"/>
    </xf>
    <xf numFmtId="0" fontId="19" fillId="0" borderId="56" xfId="6" applyFont="1" applyBorder="1"/>
    <xf numFmtId="0" fontId="19" fillId="0" borderId="57" xfId="6" applyFont="1" applyBorder="1" applyAlignment="1">
      <alignment horizontal="center"/>
    </xf>
    <xf numFmtId="0" fontId="19" fillId="0" borderId="58" xfId="6" applyFont="1" applyBorder="1" applyAlignment="1">
      <alignment horizontal="center"/>
    </xf>
    <xf numFmtId="171" fontId="19" fillId="0" borderId="85" xfId="6" applyNumberFormat="1" applyFont="1" applyBorder="1" applyAlignment="1">
      <alignment horizontal="center"/>
    </xf>
    <xf numFmtId="0" fontId="19" fillId="0" borderId="141" xfId="6" applyFont="1" applyBorder="1" applyAlignment="1">
      <alignment horizontal="center"/>
    </xf>
    <xf numFmtId="0" fontId="19" fillId="0" borderId="141" xfId="6" applyFont="1" applyBorder="1"/>
    <xf numFmtId="0" fontId="19" fillId="0" borderId="145" xfId="6" applyFont="1" applyBorder="1" applyAlignment="1">
      <alignment horizontal="center"/>
    </xf>
    <xf numFmtId="0" fontId="19" fillId="0" borderId="144" xfId="6" applyFont="1" applyBorder="1" applyAlignment="1">
      <alignment horizontal="center"/>
    </xf>
    <xf numFmtId="171" fontId="19" fillId="0" borderId="143" xfId="6" applyNumberFormat="1" applyFont="1" applyBorder="1" applyAlignment="1">
      <alignment horizontal="center"/>
    </xf>
    <xf numFmtId="0" fontId="18" fillId="0" borderId="117" xfId="6" applyFont="1" applyBorder="1" applyAlignment="1">
      <alignment horizontal="center"/>
    </xf>
    <xf numFmtId="39" fontId="18" fillId="0" borderId="117" xfId="6" applyNumberFormat="1" applyFont="1" applyBorder="1"/>
    <xf numFmtId="39" fontId="18" fillId="0" borderId="98" xfId="6" applyNumberFormat="1" applyFont="1" applyBorder="1"/>
    <xf numFmtId="0" fontId="18" fillId="0" borderId="112" xfId="6" applyFont="1" applyBorder="1" applyAlignment="1">
      <alignment horizontal="center"/>
    </xf>
    <xf numFmtId="0" fontId="18" fillId="0" borderId="112" xfId="7" applyFont="1" applyBorder="1" applyAlignment="1">
      <alignment vertical="center"/>
    </xf>
    <xf numFmtId="0" fontId="18" fillId="0" borderId="103" xfId="11" applyFont="1" applyBorder="1" applyAlignment="1">
      <alignment horizontal="center" vertical="center"/>
    </xf>
    <xf numFmtId="167" fontId="18" fillId="0" borderId="103" xfId="8" applyNumberFormat="1" applyFont="1" applyBorder="1" applyAlignment="1">
      <alignment horizontal="right" vertical="center"/>
    </xf>
    <xf numFmtId="0" fontId="18" fillId="0" borderId="128" xfId="6" applyFont="1" applyBorder="1" applyAlignment="1">
      <alignment horizontal="center"/>
    </xf>
    <xf numFmtId="167" fontId="18" fillId="0" borderId="23" xfId="8" applyNumberFormat="1" applyFont="1" applyBorder="1" applyAlignment="1">
      <alignment horizontal="right" vertical="center"/>
    </xf>
    <xf numFmtId="167" fontId="18" fillId="0" borderId="23" xfId="8" applyNumberFormat="1" applyFont="1" applyBorder="1" applyAlignment="1">
      <alignment vertical="center"/>
    </xf>
    <xf numFmtId="0" fontId="18" fillId="0" borderId="133" xfId="6" applyFont="1" applyBorder="1" applyAlignment="1">
      <alignment horizontal="center"/>
    </xf>
    <xf numFmtId="0" fontId="18" fillId="0" borderId="133" xfId="7" applyFont="1" applyBorder="1" applyAlignment="1">
      <alignment vertical="center"/>
    </xf>
    <xf numFmtId="0" fontId="18" fillId="0" borderId="129" xfId="7" applyFont="1" applyBorder="1" applyAlignment="1">
      <alignment horizontal="center" vertical="center"/>
    </xf>
    <xf numFmtId="167" fontId="18" fillId="0" borderId="129" xfId="8" applyNumberFormat="1" applyFont="1" applyBorder="1" applyAlignment="1">
      <alignment horizontal="right" vertical="center"/>
    </xf>
    <xf numFmtId="0" fontId="18" fillId="0" borderId="90" xfId="6" applyFont="1" applyBorder="1" applyAlignment="1">
      <alignment horizontal="center"/>
    </xf>
    <xf numFmtId="165" fontId="18" fillId="0" borderId="90" xfId="5" applyFont="1" applyBorder="1"/>
    <xf numFmtId="165" fontId="18" fillId="0" borderId="91" xfId="5" applyFont="1" applyBorder="1"/>
    <xf numFmtId="0" fontId="18" fillId="0" borderId="0" xfId="6" quotePrefix="1" applyFont="1" applyAlignment="1">
      <alignment horizontal="center"/>
    </xf>
    <xf numFmtId="0" fontId="18" fillId="0" borderId="104" xfId="6" applyFont="1" applyBorder="1" applyAlignment="1">
      <alignment horizontal="center"/>
    </xf>
    <xf numFmtId="167" fontId="18" fillId="0" borderId="165" xfId="5" applyNumberFormat="1" applyFont="1" applyBorder="1"/>
    <xf numFmtId="165" fontId="18" fillId="0" borderId="104" xfId="5" applyFont="1" applyBorder="1"/>
    <xf numFmtId="167" fontId="18" fillId="0" borderId="166" xfId="5" applyNumberFormat="1" applyFont="1" applyBorder="1"/>
    <xf numFmtId="167" fontId="18" fillId="0" borderId="167" xfId="5" applyNumberFormat="1" applyFont="1" applyBorder="1"/>
    <xf numFmtId="166" fontId="18" fillId="0" borderId="71" xfId="5" applyNumberFormat="1" applyFont="1" applyBorder="1"/>
    <xf numFmtId="0" fontId="18" fillId="0" borderId="65" xfId="7" applyFont="1" applyBorder="1" applyAlignment="1">
      <alignment vertical="center"/>
    </xf>
    <xf numFmtId="0" fontId="13" fillId="0" borderId="112" xfId="6" quotePrefix="1" applyFont="1" applyBorder="1" applyAlignment="1" applyProtection="1">
      <alignment horizontal="center"/>
      <protection locked="0"/>
    </xf>
    <xf numFmtId="0" fontId="13" fillId="0" borderId="107" xfId="6" applyFont="1" applyBorder="1" applyAlignment="1" applyProtection="1">
      <alignment horizontal="center"/>
      <protection locked="0"/>
    </xf>
    <xf numFmtId="167" fontId="13" fillId="0" borderId="77" xfId="5" applyNumberFormat="1" applyFont="1" applyBorder="1" applyProtection="1">
      <protection locked="0"/>
    </xf>
    <xf numFmtId="165" fontId="13" fillId="0" borderId="107" xfId="5" applyFont="1" applyBorder="1" applyProtection="1">
      <protection locked="0"/>
    </xf>
    <xf numFmtId="165" fontId="13" fillId="0" borderId="83" xfId="5" applyFont="1" applyBorder="1" applyProtection="1">
      <protection locked="0"/>
    </xf>
    <xf numFmtId="0" fontId="13" fillId="0" borderId="128" xfId="6" quotePrefix="1" applyFont="1" applyBorder="1" applyAlignment="1" applyProtection="1">
      <alignment horizontal="center"/>
      <protection locked="0"/>
    </xf>
    <xf numFmtId="167" fontId="13" fillId="0" borderId="67" xfId="5" applyNumberFormat="1" applyFont="1" applyBorder="1" applyProtection="1">
      <protection locked="0"/>
    </xf>
    <xf numFmtId="165" fontId="13" fillId="0" borderId="66" xfId="5" applyFont="1" applyBorder="1" applyProtection="1">
      <protection locked="0"/>
    </xf>
    <xf numFmtId="165" fontId="13" fillId="0" borderId="68" xfId="5" applyFont="1" applyBorder="1" applyProtection="1">
      <protection locked="0"/>
    </xf>
    <xf numFmtId="0" fontId="17" fillId="0" borderId="138" xfId="6" applyFont="1" applyBorder="1" applyAlignment="1" applyProtection="1">
      <alignment horizontal="center"/>
      <protection locked="0"/>
    </xf>
    <xf numFmtId="0" fontId="13" fillId="0" borderId="136" xfId="6" quotePrefix="1" applyFont="1" applyBorder="1" applyAlignment="1" applyProtection="1">
      <alignment horizontal="center"/>
      <protection locked="0"/>
    </xf>
    <xf numFmtId="0" fontId="13" fillId="0" borderId="151" xfId="6" applyFont="1" applyBorder="1" applyProtection="1">
      <protection locked="0"/>
    </xf>
    <xf numFmtId="0" fontId="13" fillId="0" borderId="137" xfId="6" applyFont="1" applyBorder="1" applyAlignment="1" applyProtection="1">
      <alignment horizontal="center"/>
      <protection locked="0"/>
    </xf>
    <xf numFmtId="167" fontId="13" fillId="0" borderId="152" xfId="5" applyNumberFormat="1" applyFont="1" applyBorder="1" applyProtection="1">
      <protection locked="0"/>
    </xf>
    <xf numFmtId="165" fontId="13" fillId="0" borderId="137" xfId="5" applyFont="1" applyBorder="1" applyProtection="1">
      <protection locked="0"/>
    </xf>
    <xf numFmtId="165" fontId="13" fillId="0" borderId="151" xfId="5" applyFont="1" applyBorder="1" applyProtection="1">
      <protection locked="0"/>
    </xf>
    <xf numFmtId="0" fontId="18" fillId="0" borderId="0" xfId="7" applyFont="1" applyAlignment="1">
      <alignment vertical="center"/>
    </xf>
    <xf numFmtId="0" fontId="19" fillId="0" borderId="89" xfId="7" applyFont="1" applyBorder="1" applyAlignment="1">
      <alignment horizontal="center" vertical="center"/>
    </xf>
    <xf numFmtId="0" fontId="19" fillId="0" borderId="97" xfId="7" applyFont="1" applyBorder="1" applyAlignment="1">
      <alignment horizontal="center" vertical="center"/>
    </xf>
    <xf numFmtId="0" fontId="19" fillId="0" borderId="81" xfId="7" applyFont="1" applyBorder="1" applyAlignment="1">
      <alignment horizontal="left" vertical="center"/>
    </xf>
    <xf numFmtId="165" fontId="19" fillId="0" borderId="98" xfId="5" applyFont="1" applyBorder="1" applyAlignment="1">
      <alignment vertical="center"/>
    </xf>
    <xf numFmtId="0" fontId="19" fillId="0" borderId="103" xfId="7" applyFont="1" applyBorder="1" applyAlignment="1">
      <alignment horizontal="center" vertical="center"/>
    </xf>
    <xf numFmtId="0" fontId="19" fillId="0" borderId="112" xfId="7" applyFont="1" applyBorder="1" applyAlignment="1">
      <alignment horizontal="center" vertical="center"/>
    </xf>
    <xf numFmtId="4" fontId="18" fillId="0" borderId="103" xfId="5" applyNumberFormat="1" applyFont="1" applyBorder="1" applyAlignment="1">
      <alignment horizontal="right" vertical="center"/>
    </xf>
    <xf numFmtId="4" fontId="18" fillId="0" borderId="83" xfId="11" applyNumberFormat="1" applyFont="1" applyBorder="1" applyAlignment="1">
      <alignment vertical="center"/>
    </xf>
    <xf numFmtId="165" fontId="18" fillId="0" borderId="83" xfId="5" applyFont="1" applyBorder="1" applyAlignment="1">
      <alignment vertical="center"/>
    </xf>
    <xf numFmtId="0" fontId="19" fillId="0" borderId="23" xfId="7" applyFont="1" applyBorder="1" applyAlignment="1">
      <alignment horizontal="center" vertical="center"/>
    </xf>
    <xf numFmtId="0" fontId="19" fillId="0" borderId="128" xfId="7" applyFont="1" applyBorder="1" applyAlignment="1">
      <alignment horizontal="center" vertical="center"/>
    </xf>
    <xf numFmtId="4" fontId="18" fillId="0" borderId="23" xfId="5" applyNumberFormat="1" applyFont="1" applyBorder="1" applyAlignment="1">
      <alignment horizontal="right" vertical="center"/>
    </xf>
    <xf numFmtId="4" fontId="18" fillId="0" borderId="68" xfId="11" applyNumberFormat="1" applyFont="1" applyBorder="1" applyAlignment="1">
      <alignment vertical="center"/>
    </xf>
    <xf numFmtId="165" fontId="18" fillId="0" borderId="68" xfId="5" applyFont="1" applyBorder="1" applyAlignment="1">
      <alignment vertical="center"/>
    </xf>
    <xf numFmtId="0" fontId="18" fillId="0" borderId="128" xfId="7" applyFont="1" applyBorder="1" applyAlignment="1">
      <alignment horizontal="center" vertical="center"/>
    </xf>
    <xf numFmtId="165" fontId="18" fillId="0" borderId="68" xfId="7" applyNumberFormat="1" applyFont="1" applyBorder="1" applyAlignment="1">
      <alignment vertical="center"/>
    </xf>
    <xf numFmtId="0" fontId="18" fillId="0" borderId="168" xfId="7" applyFont="1" applyBorder="1" applyAlignment="1">
      <alignment horizontal="center" vertical="center"/>
    </xf>
    <xf numFmtId="0" fontId="18" fillId="0" borderId="149" xfId="7" applyFont="1" applyBorder="1" applyAlignment="1">
      <alignment horizontal="center" vertical="center"/>
    </xf>
    <xf numFmtId="167" fontId="18" fillId="0" borderId="129" xfId="5" applyNumberFormat="1" applyFont="1" applyBorder="1" applyAlignment="1">
      <alignment vertical="center"/>
    </xf>
    <xf numFmtId="0" fontId="18" fillId="0" borderId="106" xfId="7" applyFont="1" applyBorder="1" applyAlignment="1">
      <alignment horizontal="center" vertical="center"/>
    </xf>
    <xf numFmtId="165" fontId="19" fillId="0" borderId="112" xfId="5" applyFont="1" applyBorder="1" applyAlignment="1">
      <alignment vertical="center"/>
    </xf>
    <xf numFmtId="165" fontId="18" fillId="0" borderId="103" xfId="5" applyFont="1" applyBorder="1" applyAlignment="1">
      <alignment vertical="center"/>
    </xf>
    <xf numFmtId="165" fontId="19" fillId="0" borderId="133" xfId="5" applyFont="1" applyBorder="1" applyAlignment="1">
      <alignment vertical="center"/>
    </xf>
    <xf numFmtId="165" fontId="19" fillId="0" borderId="129" xfId="5" applyFont="1" applyBorder="1" applyAlignment="1">
      <alignment vertical="center"/>
    </xf>
    <xf numFmtId="0" fontId="19" fillId="0" borderId="143" xfId="7" applyFont="1" applyBorder="1" applyAlignment="1">
      <alignment horizontal="center" vertical="center"/>
    </xf>
    <xf numFmtId="0" fontId="19" fillId="0" borderId="141" xfId="7" applyFont="1" applyBorder="1" applyAlignment="1">
      <alignment horizontal="center" vertical="center"/>
    </xf>
    <xf numFmtId="0" fontId="19" fillId="0" borderId="144" xfId="7" applyFont="1" applyBorder="1" applyAlignment="1">
      <alignment horizontal="left" vertical="center"/>
    </xf>
    <xf numFmtId="165" fontId="19" fillId="0" borderId="145" xfId="5" applyFont="1" applyBorder="1" applyAlignment="1">
      <alignment vertical="center"/>
    </xf>
    <xf numFmtId="0" fontId="18" fillId="0" borderId="83" xfId="11" applyFont="1" applyBorder="1" applyAlignment="1">
      <alignment horizontal="center" vertical="center"/>
    </xf>
    <xf numFmtId="4" fontId="18" fillId="0" borderId="112" xfId="11" applyNumberFormat="1" applyFont="1" applyBorder="1" applyAlignment="1">
      <alignment vertical="center"/>
    </xf>
    <xf numFmtId="165" fontId="18" fillId="0" borderId="23" xfId="5" applyFont="1" applyBorder="1" applyAlignment="1">
      <alignment vertical="center"/>
    </xf>
    <xf numFmtId="4" fontId="18" fillId="0" borderId="128" xfId="7" applyNumberFormat="1" applyFont="1" applyBorder="1" applyAlignment="1">
      <alignment vertical="center"/>
    </xf>
    <xf numFmtId="0" fontId="18" fillId="0" borderId="157" xfId="7" applyFont="1" applyBorder="1" applyAlignment="1">
      <alignment horizontal="center" vertical="center"/>
    </xf>
    <xf numFmtId="165" fontId="18" fillId="0" borderId="133" xfId="7" applyNumberFormat="1" applyFont="1" applyBorder="1" applyAlignment="1">
      <alignment vertical="center"/>
    </xf>
    <xf numFmtId="0" fontId="18" fillId="0" borderId="56" xfId="7" applyFont="1" applyBorder="1" applyAlignment="1">
      <alignment horizontal="center" vertical="center"/>
    </xf>
    <xf numFmtId="165" fontId="18" fillId="0" borderId="151" xfId="5" applyFont="1" applyBorder="1" applyAlignment="1">
      <alignment vertical="center"/>
    </xf>
    <xf numFmtId="4" fontId="18" fillId="0" borderId="128" xfId="11" applyNumberFormat="1" applyFont="1" applyBorder="1" applyAlignment="1">
      <alignment vertical="center"/>
    </xf>
    <xf numFmtId="165" fontId="18" fillId="0" borderId="128" xfId="7" applyNumberFormat="1" applyFont="1" applyBorder="1" applyAlignment="1">
      <alignment vertical="center"/>
    </xf>
    <xf numFmtId="165" fontId="18" fillId="0" borderId="128" xfId="11" applyNumberFormat="1" applyFont="1" applyBorder="1" applyAlignment="1">
      <alignment vertical="center"/>
    </xf>
    <xf numFmtId="165" fontId="18" fillId="0" borderId="112" xfId="11" applyNumberFormat="1" applyFont="1" applyBorder="1" applyAlignment="1">
      <alignment vertical="center"/>
    </xf>
    <xf numFmtId="175" fontId="18" fillId="0" borderId="103" xfId="5" applyNumberFormat="1" applyFont="1" applyBorder="1" applyAlignment="1">
      <alignment horizontal="right" vertical="center"/>
    </xf>
    <xf numFmtId="171" fontId="18" fillId="0" borderId="103" xfId="5" applyNumberFormat="1" applyFont="1" applyBorder="1" applyAlignment="1">
      <alignment horizontal="right" vertical="center"/>
    </xf>
    <xf numFmtId="171" fontId="18" fillId="0" borderId="23" xfId="5" applyNumberFormat="1" applyFont="1" applyBorder="1" applyAlignment="1">
      <alignment vertical="center"/>
    </xf>
    <xf numFmtId="171" fontId="18" fillId="0" borderId="129" xfId="5" applyNumberFormat="1" applyFont="1" applyBorder="1" applyAlignment="1">
      <alignment vertical="center"/>
    </xf>
    <xf numFmtId="171" fontId="19" fillId="0" borderId="144" xfId="7" applyNumberFormat="1" applyFont="1" applyBorder="1" applyAlignment="1">
      <alignment horizontal="left" vertical="center"/>
    </xf>
    <xf numFmtId="0" fontId="18" fillId="0" borderId="76" xfId="7" applyFont="1" applyBorder="1" applyAlignment="1">
      <alignment horizontal="center" vertical="center"/>
    </xf>
    <xf numFmtId="171" fontId="18" fillId="0" borderId="23" xfId="5" applyNumberFormat="1" applyFont="1" applyBorder="1" applyAlignment="1">
      <alignment horizontal="right" vertical="center"/>
    </xf>
    <xf numFmtId="176" fontId="18" fillId="0" borderId="103" xfId="5" applyNumberFormat="1" applyFont="1" applyBorder="1" applyAlignment="1">
      <alignment horizontal="right" vertical="center"/>
    </xf>
    <xf numFmtId="0" fontId="19" fillId="0" borderId="168" xfId="7" applyFont="1" applyBorder="1" applyAlignment="1">
      <alignment horizontal="center" vertical="center"/>
    </xf>
    <xf numFmtId="0" fontId="19" fillId="0" borderId="106" xfId="7" applyFont="1" applyBorder="1" applyAlignment="1">
      <alignment horizontal="center" vertical="center"/>
    </xf>
    <xf numFmtId="4" fontId="18" fillId="0" borderId="103" xfId="7" applyNumberFormat="1" applyFont="1" applyBorder="1" applyAlignment="1">
      <alignment horizontal="right" vertical="center"/>
    </xf>
    <xf numFmtId="0" fontId="18" fillId="0" borderId="128" xfId="7" applyFont="1" applyBorder="1" applyAlignment="1">
      <alignment horizontal="left" vertical="center"/>
    </xf>
    <xf numFmtId="173" fontId="18" fillId="0" borderId="23" xfId="7" applyNumberFormat="1" applyFont="1" applyBorder="1" applyAlignment="1">
      <alignment horizontal="right" vertical="center"/>
    </xf>
    <xf numFmtId="4" fontId="18" fillId="0" borderId="23" xfId="7" applyNumberFormat="1" applyFont="1" applyBorder="1" applyAlignment="1">
      <alignment horizontal="right" vertical="center"/>
    </xf>
    <xf numFmtId="4" fontId="18" fillId="0" borderId="68" xfId="11" applyNumberFormat="1" applyFont="1" applyBorder="1" applyAlignment="1">
      <alignment horizontal="right" vertical="center"/>
    </xf>
    <xf numFmtId="4" fontId="18" fillId="0" borderId="68" xfId="7" applyNumberFormat="1" applyFont="1" applyBorder="1" applyAlignment="1">
      <alignment horizontal="right" vertical="center"/>
    </xf>
    <xf numFmtId="173" fontId="18" fillId="0" borderId="129" xfId="5" applyNumberFormat="1" applyFont="1" applyBorder="1" applyAlignment="1">
      <alignment horizontal="right" vertical="center"/>
    </xf>
    <xf numFmtId="4" fontId="18" fillId="0" borderId="157" xfId="7" applyNumberFormat="1" applyFont="1" applyBorder="1" applyAlignment="1">
      <alignment horizontal="right" vertical="center"/>
    </xf>
    <xf numFmtId="4" fontId="18" fillId="0" borderId="112" xfId="7" applyNumberFormat="1" applyFont="1" applyBorder="1" applyAlignment="1">
      <alignment horizontal="right" vertical="center"/>
    </xf>
    <xf numFmtId="4" fontId="18" fillId="0" borderId="133" xfId="7" applyNumberFormat="1" applyFont="1" applyBorder="1" applyAlignment="1">
      <alignment horizontal="right" vertical="center"/>
    </xf>
    <xf numFmtId="0" fontId="21" fillId="0" borderId="56" xfId="6" applyFont="1" applyBorder="1" applyAlignment="1">
      <alignment horizontal="center"/>
    </xf>
    <xf numFmtId="0" fontId="21" fillId="0" borderId="56" xfId="6" applyFont="1" applyBorder="1"/>
    <xf numFmtId="0" fontId="21" fillId="0" borderId="57" xfId="6" applyFont="1" applyBorder="1" applyAlignment="1">
      <alignment horizontal="center"/>
    </xf>
    <xf numFmtId="0" fontId="21" fillId="0" borderId="58" xfId="6" applyFont="1" applyBorder="1" applyAlignment="1">
      <alignment horizontal="center"/>
    </xf>
    <xf numFmtId="171" fontId="21" fillId="0" borderId="85" xfId="6" applyNumberFormat="1" applyFont="1" applyBorder="1" applyAlignment="1">
      <alignment horizontal="center"/>
    </xf>
    <xf numFmtId="0" fontId="21" fillId="0" borderId="85" xfId="6" applyFont="1" applyBorder="1" applyAlignment="1">
      <alignment horizontal="center"/>
    </xf>
    <xf numFmtId="0" fontId="21" fillId="0" borderId="141" xfId="6" applyFont="1" applyBorder="1" applyAlignment="1">
      <alignment horizontal="center"/>
    </xf>
    <xf numFmtId="0" fontId="21" fillId="0" borderId="141" xfId="6" applyFont="1" applyBorder="1"/>
    <xf numFmtId="0" fontId="21" fillId="0" borderId="145" xfId="6" applyFont="1" applyBorder="1" applyAlignment="1">
      <alignment horizontal="center"/>
    </xf>
    <xf numFmtId="0" fontId="21" fillId="0" borderId="144" xfId="6" applyFont="1" applyBorder="1" applyAlignment="1">
      <alignment horizontal="center"/>
    </xf>
    <xf numFmtId="171" fontId="21" fillId="0" borderId="143" xfId="6" applyNumberFormat="1" applyFont="1" applyBorder="1" applyAlignment="1">
      <alignment horizontal="center"/>
    </xf>
    <xf numFmtId="0" fontId="21" fillId="0" borderId="143" xfId="6" applyFont="1" applyBorder="1" applyAlignment="1">
      <alignment horizontal="center"/>
    </xf>
    <xf numFmtId="0" fontId="13" fillId="0" borderId="144" xfId="6" applyFont="1" applyBorder="1" applyAlignment="1">
      <alignment horizontal="center"/>
    </xf>
    <xf numFmtId="39" fontId="13" fillId="0" borderId="144" xfId="6" applyNumberFormat="1" applyFont="1" applyBorder="1"/>
    <xf numFmtId="39" fontId="13" fillId="0" borderId="107" xfId="6" applyNumberFormat="1" applyFont="1" applyBorder="1"/>
    <xf numFmtId="39" fontId="13" fillId="0" borderId="83" xfId="6" applyNumberFormat="1" applyFont="1" applyBorder="1"/>
    <xf numFmtId="39" fontId="13" fillId="0" borderId="66" xfId="6" applyNumberFormat="1" applyFont="1" applyBorder="1"/>
    <xf numFmtId="39" fontId="13" fillId="0" borderId="68" xfId="6" applyNumberFormat="1" applyFont="1" applyBorder="1"/>
    <xf numFmtId="39" fontId="13" fillId="0" borderId="137" xfId="6" applyNumberFormat="1" applyFont="1" applyBorder="1"/>
    <xf numFmtId="39" fontId="13" fillId="0" borderId="151" xfId="6" applyNumberFormat="1" applyFont="1" applyBorder="1"/>
    <xf numFmtId="39" fontId="13" fillId="0" borderId="72" xfId="6" applyNumberFormat="1" applyFont="1" applyBorder="1"/>
    <xf numFmtId="39" fontId="13" fillId="0" borderId="73" xfId="6" applyNumberFormat="1" applyFont="1" applyBorder="1"/>
    <xf numFmtId="39" fontId="13" fillId="0" borderId="101" xfId="6" applyNumberFormat="1" applyFont="1" applyBorder="1"/>
    <xf numFmtId="39" fontId="13" fillId="0" borderId="102" xfId="6" applyNumberFormat="1" applyFont="1" applyBorder="1"/>
    <xf numFmtId="39" fontId="13" fillId="0" borderId="63" xfId="6" applyNumberFormat="1" applyFont="1" applyBorder="1"/>
    <xf numFmtId="39" fontId="13" fillId="0" borderId="65" xfId="6" applyNumberFormat="1" applyFont="1" applyBorder="1"/>
    <xf numFmtId="0" fontId="17" fillId="0" borderId="144" xfId="6" applyFont="1" applyBorder="1" applyAlignment="1">
      <alignment vertical="center" wrapText="1"/>
    </xf>
    <xf numFmtId="0" fontId="17" fillId="0" borderId="145" xfId="6" applyFont="1" applyBorder="1" applyAlignment="1">
      <alignment vertical="center" wrapText="1"/>
    </xf>
    <xf numFmtId="39" fontId="13" fillId="0" borderId="90" xfId="6" applyNumberFormat="1" applyFont="1" applyBorder="1"/>
    <xf numFmtId="39" fontId="13" fillId="0" borderId="91" xfId="6" applyNumberFormat="1" applyFont="1" applyBorder="1"/>
    <xf numFmtId="39" fontId="13" fillId="0" borderId="117" xfId="6" applyNumberFormat="1" applyFont="1" applyBorder="1"/>
    <xf numFmtId="39" fontId="13" fillId="0" borderId="98" xfId="6" applyNumberFormat="1" applyFont="1" applyBorder="1"/>
    <xf numFmtId="166" fontId="13" fillId="0" borderId="81" xfId="5" applyNumberFormat="1" applyFont="1" applyBorder="1"/>
    <xf numFmtId="167" fontId="13" fillId="0" borderId="81" xfId="5" applyNumberFormat="1" applyFont="1" applyBorder="1" applyAlignment="1">
      <alignment horizontal="center"/>
    </xf>
    <xf numFmtId="39" fontId="13" fillId="0" borderId="81" xfId="6" applyNumberFormat="1" applyFont="1" applyBorder="1"/>
    <xf numFmtId="39" fontId="13" fillId="0" borderId="113" xfId="6" applyNumberFormat="1" applyFont="1" applyBorder="1"/>
    <xf numFmtId="39" fontId="13" fillId="0" borderId="96" xfId="6" applyNumberFormat="1" applyFont="1" applyBorder="1"/>
    <xf numFmtId="39" fontId="13" fillId="0" borderId="57" xfId="6" applyNumberFormat="1" applyFont="1" applyBorder="1"/>
    <xf numFmtId="167" fontId="13" fillId="0" borderId="139" xfId="5" applyNumberFormat="1" applyFont="1" applyBorder="1"/>
    <xf numFmtId="39" fontId="13" fillId="0" borderId="139" xfId="6" applyNumberFormat="1" applyFont="1" applyBorder="1"/>
    <xf numFmtId="167" fontId="13" fillId="0" borderId="123" xfId="5" applyNumberFormat="1" applyFont="1" applyBorder="1"/>
    <xf numFmtId="0" fontId="18" fillId="0" borderId="0" xfId="7" applyFont="1" applyAlignment="1">
      <alignment horizontal="center" vertical="center"/>
    </xf>
    <xf numFmtId="165" fontId="19" fillId="0" borderId="0" xfId="5" applyFont="1" applyAlignment="1">
      <alignment vertical="center"/>
    </xf>
    <xf numFmtId="0" fontId="28" fillId="0" borderId="0" xfId="7" applyFont="1" applyAlignment="1">
      <alignment vertical="center"/>
    </xf>
    <xf numFmtId="0" fontId="19" fillId="0" borderId="169" xfId="7" applyFont="1" applyBorder="1" applyAlignment="1">
      <alignment horizontal="centerContinuous" vertical="center"/>
    </xf>
    <xf numFmtId="0" fontId="19" fillId="0" borderId="170" xfId="7" applyFont="1" applyBorder="1" applyAlignment="1">
      <alignment horizontal="centerContinuous" vertical="center"/>
    </xf>
    <xf numFmtId="167" fontId="19" fillId="0" borderId="170" xfId="5" applyNumberFormat="1" applyFont="1" applyBorder="1" applyAlignment="1">
      <alignment horizontal="centerContinuous" vertical="center"/>
    </xf>
    <xf numFmtId="0" fontId="19" fillId="0" borderId="170" xfId="7" applyFont="1" applyBorder="1" applyAlignment="1">
      <alignment horizontal="center" vertical="center"/>
    </xf>
    <xf numFmtId="0" fontId="19" fillId="0" borderId="171" xfId="7" applyFont="1" applyBorder="1" applyAlignment="1">
      <alignment horizontal="centerContinuous" vertical="center"/>
    </xf>
    <xf numFmtId="0" fontId="19" fillId="0" borderId="169" xfId="7" applyFont="1" applyBorder="1" applyAlignment="1">
      <alignment horizontal="center" vertical="center"/>
    </xf>
    <xf numFmtId="0" fontId="29" fillId="0" borderId="172" xfId="7" applyFont="1" applyBorder="1" applyAlignment="1">
      <alignment horizontal="left" vertical="center"/>
    </xf>
    <xf numFmtId="0" fontId="19" fillId="0" borderId="172" xfId="7" applyFont="1" applyBorder="1" applyAlignment="1">
      <alignment horizontal="left" vertical="center"/>
    </xf>
    <xf numFmtId="0" fontId="19" fillId="0" borderId="173" xfId="7" applyFont="1" applyBorder="1" applyAlignment="1">
      <alignment horizontal="left" vertical="center"/>
    </xf>
    <xf numFmtId="0" fontId="19" fillId="0" borderId="174" xfId="7" applyFont="1" applyBorder="1" applyAlignment="1">
      <alignment horizontal="left" vertical="center"/>
    </xf>
    <xf numFmtId="165" fontId="18" fillId="0" borderId="175" xfId="5" applyFont="1" applyBorder="1" applyAlignment="1">
      <alignment vertical="center"/>
    </xf>
    <xf numFmtId="0" fontId="18" fillId="0" borderId="176" xfId="7" applyFont="1" applyBorder="1" applyAlignment="1">
      <alignment horizontal="center" vertical="center"/>
    </xf>
    <xf numFmtId="0" fontId="18" fillId="0" borderId="106" xfId="7" applyFont="1" applyBorder="1" applyAlignment="1">
      <alignment vertical="center"/>
    </xf>
    <xf numFmtId="165" fontId="18" fillId="0" borderId="177" xfId="5" applyFont="1" applyBorder="1" applyAlignment="1">
      <alignment vertical="center"/>
    </xf>
    <xf numFmtId="0" fontId="18" fillId="0" borderId="178" xfId="7" applyFont="1" applyBorder="1" applyAlignment="1">
      <alignment horizontal="center" vertical="center"/>
    </xf>
    <xf numFmtId="0" fontId="18" fillId="0" borderId="168" xfId="7" applyFont="1" applyBorder="1" applyAlignment="1">
      <alignment vertical="center"/>
    </xf>
    <xf numFmtId="165" fontId="18" fillId="0" borderId="179" xfId="5" applyFont="1" applyBorder="1" applyAlignment="1">
      <alignment vertical="center"/>
    </xf>
    <xf numFmtId="0" fontId="18" fillId="0" borderId="180" xfId="7" applyFont="1" applyBorder="1" applyAlignment="1">
      <alignment horizontal="center" vertical="center"/>
    </xf>
    <xf numFmtId="0" fontId="18" fillId="0" borderId="149" xfId="7" applyFont="1" applyBorder="1" applyAlignment="1">
      <alignment vertical="center"/>
    </xf>
    <xf numFmtId="0" fontId="18" fillId="0" borderId="157" xfId="7" applyFont="1" applyBorder="1" applyAlignment="1">
      <alignment vertical="center"/>
    </xf>
    <xf numFmtId="165" fontId="18" fillId="0" borderId="157" xfId="5" applyFont="1" applyBorder="1" applyAlignment="1">
      <alignment vertical="center"/>
    </xf>
    <xf numFmtId="165" fontId="18" fillId="0" borderId="181" xfId="5" applyFont="1" applyBorder="1" applyAlignment="1">
      <alignment vertical="center"/>
    </xf>
    <xf numFmtId="0" fontId="18" fillId="0" borderId="182" xfId="7" applyFont="1" applyBorder="1" applyAlignment="1">
      <alignment horizontal="center" vertical="center"/>
    </xf>
    <xf numFmtId="165" fontId="19" fillId="0" borderId="183" xfId="5" applyFont="1" applyBorder="1" applyAlignment="1">
      <alignment vertical="center"/>
    </xf>
    <xf numFmtId="165" fontId="19" fillId="0" borderId="18" xfId="5" applyFont="1" applyBorder="1" applyAlignment="1">
      <alignment vertical="center"/>
    </xf>
    <xf numFmtId="165" fontId="19" fillId="0" borderId="65" xfId="5" applyFont="1" applyBorder="1" applyAlignment="1">
      <alignment vertical="center"/>
    </xf>
    <xf numFmtId="165" fontId="18" fillId="0" borderId="184" xfId="5" applyFont="1" applyBorder="1" applyAlignment="1">
      <alignment vertical="center"/>
    </xf>
    <xf numFmtId="0" fontId="18" fillId="0" borderId="185" xfId="7" applyFont="1" applyBorder="1" applyAlignment="1">
      <alignment horizontal="center" vertical="center"/>
    </xf>
    <xf numFmtId="165" fontId="19" fillId="0" borderId="186" xfId="5" applyFont="1" applyBorder="1" applyAlignment="1">
      <alignment vertical="center"/>
    </xf>
    <xf numFmtId="165" fontId="19" fillId="0" borderId="187" xfId="5" applyFont="1" applyBorder="1" applyAlignment="1">
      <alignment vertical="center"/>
    </xf>
    <xf numFmtId="165" fontId="19" fillId="0" borderId="188" xfId="5" applyFont="1" applyBorder="1" applyAlignment="1">
      <alignment vertical="center"/>
    </xf>
    <xf numFmtId="165" fontId="19" fillId="0" borderId="189" xfId="5" applyFont="1" applyBorder="1" applyAlignment="1">
      <alignment vertical="center"/>
    </xf>
    <xf numFmtId="165" fontId="18" fillId="0" borderId="129" xfId="5" applyFont="1" applyBorder="1" applyAlignment="1">
      <alignment vertical="center"/>
    </xf>
    <xf numFmtId="165" fontId="19" fillId="0" borderId="16" xfId="5" applyFont="1" applyBorder="1" applyAlignment="1">
      <alignment vertical="center"/>
    </xf>
    <xf numFmtId="0" fontId="18" fillId="0" borderId="151" xfId="7" applyFont="1" applyBorder="1" applyAlignment="1">
      <alignment horizontal="center" vertical="center"/>
    </xf>
    <xf numFmtId="0" fontId="18" fillId="0" borderId="190" xfId="7" applyFont="1" applyBorder="1" applyAlignment="1">
      <alignment horizontal="center" vertical="center"/>
    </xf>
    <xf numFmtId="0" fontId="18" fillId="0" borderId="136" xfId="7" applyFont="1" applyBorder="1" applyAlignment="1">
      <alignment vertical="center"/>
    </xf>
    <xf numFmtId="0" fontId="18" fillId="0" borderId="151" xfId="7" applyFont="1" applyBorder="1" applyAlignment="1">
      <alignment vertical="center"/>
    </xf>
    <xf numFmtId="167" fontId="18" fillId="0" borderId="138" xfId="5" applyNumberFormat="1" applyFont="1" applyBorder="1" applyAlignment="1">
      <alignment vertical="center"/>
    </xf>
    <xf numFmtId="167" fontId="18" fillId="0" borderId="129" xfId="5" applyNumberFormat="1" applyFont="1" applyBorder="1" applyAlignment="1">
      <alignment horizontal="center" vertical="center"/>
    </xf>
    <xf numFmtId="0" fontId="22" fillId="0" borderId="89" xfId="7" applyFont="1" applyBorder="1" applyAlignment="1">
      <alignment horizontal="center" vertical="center"/>
    </xf>
    <xf numFmtId="0" fontId="22" fillId="0" borderId="89" xfId="7" applyFont="1" applyBorder="1" applyAlignment="1">
      <alignment vertical="center"/>
    </xf>
    <xf numFmtId="0" fontId="30" fillId="0" borderId="89" xfId="7" applyFont="1" applyBorder="1" applyAlignment="1">
      <alignment horizontal="center" vertical="center" wrapText="1"/>
    </xf>
    <xf numFmtId="0" fontId="15" fillId="0" borderId="89" xfId="7" applyBorder="1" applyAlignment="1">
      <alignment vertical="center"/>
    </xf>
    <xf numFmtId="0" fontId="17" fillId="0" borderId="89" xfId="7" applyFont="1" applyBorder="1" applyAlignment="1">
      <alignment horizontal="center" vertical="center"/>
    </xf>
    <xf numFmtId="0" fontId="17" fillId="0" borderId="89" xfId="7" applyFont="1" applyBorder="1" applyAlignment="1">
      <alignment horizontal="center" vertical="center" wrapText="1"/>
    </xf>
    <xf numFmtId="0" fontId="19" fillId="2" borderId="89" xfId="7" applyFont="1" applyFill="1" applyBorder="1" applyAlignment="1">
      <alignment horizontal="center" vertical="center"/>
    </xf>
    <xf numFmtId="0" fontId="19" fillId="2" borderId="89" xfId="7" applyFont="1" applyFill="1" applyBorder="1" applyAlignment="1">
      <alignment vertical="center"/>
    </xf>
    <xf numFmtId="0" fontId="22" fillId="2" borderId="89" xfId="7" applyFont="1" applyFill="1" applyBorder="1" applyAlignment="1">
      <alignment vertical="center"/>
    </xf>
    <xf numFmtId="0" fontId="30" fillId="2" borderId="97" xfId="7" applyFont="1" applyFill="1" applyBorder="1" applyAlignment="1">
      <alignment horizontal="center" vertical="center" wrapText="1"/>
    </xf>
    <xf numFmtId="0" fontId="15" fillId="2" borderId="89" xfId="7" applyFill="1" applyBorder="1" applyAlignment="1">
      <alignment vertical="center"/>
    </xf>
    <xf numFmtId="0" fontId="31" fillId="0" borderId="0" xfId="7" applyFont="1"/>
    <xf numFmtId="0" fontId="15" fillId="0" borderId="0" xfId="7" applyAlignment="1">
      <alignment horizontal="center" vertical="center"/>
    </xf>
    <xf numFmtId="0" fontId="15" fillId="0" borderId="0" xfId="7" applyAlignment="1">
      <alignment vertical="center"/>
    </xf>
    <xf numFmtId="4" fontId="15" fillId="0" borderId="0" xfId="7" applyNumberFormat="1" applyAlignment="1">
      <alignment vertical="center"/>
    </xf>
    <xf numFmtId="0" fontId="30" fillId="0" borderId="0" xfId="7" applyFont="1" applyAlignment="1">
      <alignment horizontal="center" vertical="center" wrapText="1"/>
    </xf>
    <xf numFmtId="0" fontId="33" fillId="0" borderId="0" xfId="7" applyFont="1" applyAlignment="1">
      <alignment horizontal="left" vertical="center"/>
    </xf>
    <xf numFmtId="164" fontId="15" fillId="0" borderId="0" xfId="15" applyFont="1"/>
    <xf numFmtId="0" fontId="36" fillId="0" borderId="0" xfId="7" applyFont="1"/>
    <xf numFmtId="0" fontId="36" fillId="4" borderId="191" xfId="7" applyFont="1" applyFill="1" applyBorder="1"/>
    <xf numFmtId="0" fontId="36" fillId="4" borderId="192" xfId="7" applyFont="1" applyFill="1" applyBorder="1"/>
    <xf numFmtId="0" fontId="36" fillId="4" borderId="193" xfId="7" applyFont="1" applyFill="1" applyBorder="1"/>
    <xf numFmtId="0" fontId="36" fillId="4" borderId="194" xfId="7" applyFont="1" applyFill="1" applyBorder="1"/>
    <xf numFmtId="0" fontId="37" fillId="4" borderId="195" xfId="7" applyFont="1" applyFill="1" applyBorder="1" applyAlignment="1">
      <alignment horizontal="center"/>
    </xf>
    <xf numFmtId="0" fontId="37" fillId="4" borderId="105" xfId="7" applyFont="1" applyFill="1" applyBorder="1" applyAlignment="1">
      <alignment horizontal="center"/>
    </xf>
    <xf numFmtId="0" fontId="37" fillId="4" borderId="37" xfId="7" applyFont="1" applyFill="1" applyBorder="1" applyAlignment="1">
      <alignment horizontal="center"/>
    </xf>
    <xf numFmtId="0" fontId="37" fillId="4" borderId="196" xfId="7" applyFont="1" applyFill="1" applyBorder="1" applyAlignment="1">
      <alignment horizontal="center"/>
    </xf>
    <xf numFmtId="0" fontId="36" fillId="4" borderId="197" xfId="7" applyFont="1" applyFill="1" applyBorder="1"/>
    <xf numFmtId="0" fontId="36" fillId="4" borderId="46" xfId="7" applyFont="1" applyFill="1" applyBorder="1"/>
    <xf numFmtId="0" fontId="36" fillId="4" borderId="55" xfId="7" applyFont="1" applyFill="1" applyBorder="1"/>
    <xf numFmtId="0" fontId="36" fillId="4" borderId="198" xfId="7" applyFont="1" applyFill="1" applyBorder="1"/>
    <xf numFmtId="0" fontId="36" fillId="0" borderId="54" xfId="7" applyFont="1" applyBorder="1"/>
    <xf numFmtId="0" fontId="36" fillId="0" borderId="199" xfId="7" applyFont="1" applyBorder="1"/>
    <xf numFmtId="0" fontId="36" fillId="0" borderId="200" xfId="7" applyFont="1" applyBorder="1"/>
    <xf numFmtId="0" fontId="36" fillId="0" borderId="195" xfId="7" applyFont="1" applyBorder="1" applyAlignment="1">
      <alignment horizontal="center"/>
    </xf>
    <xf numFmtId="0" fontId="36" fillId="0" borderId="37" xfId="7" applyFont="1" applyBorder="1" applyAlignment="1">
      <alignment horizontal="left" indent="1"/>
    </xf>
    <xf numFmtId="0" fontId="36" fillId="0" borderId="37" xfId="7" applyFont="1" applyBorder="1" applyAlignment="1">
      <alignment horizontal="center"/>
    </xf>
    <xf numFmtId="165" fontId="36" fillId="0" borderId="196" xfId="7" applyNumberFormat="1" applyFont="1" applyBorder="1"/>
    <xf numFmtId="0" fontId="36" fillId="0" borderId="201" xfId="7" applyFont="1" applyBorder="1"/>
    <xf numFmtId="0" fontId="36" fillId="0" borderId="202" xfId="7" applyFont="1" applyBorder="1"/>
    <xf numFmtId="0" fontId="36" fillId="0" borderId="203" xfId="7" applyFont="1" applyBorder="1"/>
    <xf numFmtId="0" fontId="33" fillId="0" borderId="0" xfId="7" applyFont="1"/>
    <xf numFmtId="0" fontId="37" fillId="0" borderId="0" xfId="7" applyFont="1" applyAlignment="1">
      <alignment vertical="center"/>
    </xf>
    <xf numFmtId="0" fontId="38" fillId="0" borderId="0" xfId="7" applyFont="1"/>
    <xf numFmtId="0" fontId="19" fillId="0" borderId="0" xfId="7" applyFont="1" applyAlignment="1">
      <alignment vertical="center"/>
    </xf>
    <xf numFmtId="0" fontId="38" fillId="0" borderId="0" xfId="7" applyFont="1" applyAlignment="1">
      <alignment horizontal="center"/>
    </xf>
    <xf numFmtId="0" fontId="18" fillId="0" borderId="18" xfId="7" applyFont="1" applyBorder="1"/>
    <xf numFmtId="0" fontId="17" fillId="0" borderId="205" xfId="6" applyFont="1" applyBorder="1" applyAlignment="1">
      <alignment horizontal="center"/>
    </xf>
    <xf numFmtId="165" fontId="13" fillId="0" borderId="206" xfId="5" applyFont="1" applyBorder="1"/>
    <xf numFmtId="0" fontId="13" fillId="0" borderId="92" xfId="6" applyFont="1" applyBorder="1"/>
    <xf numFmtId="0" fontId="17" fillId="0" borderId="208" xfId="6" applyFont="1" applyBorder="1" applyAlignment="1">
      <alignment horizontal="center"/>
    </xf>
    <xf numFmtId="165" fontId="19" fillId="0" borderId="211" xfId="8" applyFont="1" applyBorder="1" applyAlignment="1">
      <alignment vertical="center"/>
    </xf>
    <xf numFmtId="165" fontId="19" fillId="0" borderId="212" xfId="8" applyFont="1" applyBorder="1" applyAlignment="1">
      <alignment vertical="center"/>
    </xf>
    <xf numFmtId="165" fontId="19" fillId="0" borderId="213" xfId="8" applyFont="1" applyBorder="1" applyAlignment="1">
      <alignment vertical="center"/>
    </xf>
    <xf numFmtId="0" fontId="13" fillId="0" borderId="214" xfId="6" quotePrefix="1" applyFont="1" applyBorder="1" applyAlignment="1">
      <alignment horizontal="center"/>
    </xf>
    <xf numFmtId="0" fontId="17" fillId="0" borderId="217" xfId="6" applyFont="1" applyBorder="1" applyAlignment="1">
      <alignment horizontal="center"/>
    </xf>
    <xf numFmtId="0" fontId="13" fillId="0" borderId="218" xfId="6" applyFont="1" applyBorder="1" applyAlignment="1">
      <alignment horizontal="center"/>
    </xf>
    <xf numFmtId="167" fontId="13" fillId="0" borderId="219" xfId="5" applyNumberFormat="1" applyFont="1" applyBorder="1"/>
    <xf numFmtId="165" fontId="13" fillId="0" borderId="218" xfId="5" applyFont="1" applyBorder="1"/>
    <xf numFmtId="165" fontId="13" fillId="0" borderId="220" xfId="5" applyFont="1" applyBorder="1"/>
    <xf numFmtId="0" fontId="13" fillId="0" borderId="220" xfId="6" applyFont="1" applyBorder="1"/>
    <xf numFmtId="0" fontId="17" fillId="0" borderId="221" xfId="6" applyFont="1" applyBorder="1" applyAlignment="1">
      <alignment horizontal="center"/>
    </xf>
    <xf numFmtId="0" fontId="13" fillId="0" borderId="209" xfId="6" applyFont="1" applyBorder="1" applyAlignment="1">
      <alignment horizontal="center"/>
    </xf>
    <xf numFmtId="167" fontId="13" fillId="0" borderId="222" xfId="5" applyNumberFormat="1" applyFont="1" applyBorder="1"/>
    <xf numFmtId="165" fontId="13" fillId="0" borderId="223" xfId="5" applyFont="1" applyBorder="1"/>
    <xf numFmtId="0" fontId="13" fillId="0" borderId="86" xfId="6" quotePrefix="1" applyFont="1" applyBorder="1" applyAlignment="1">
      <alignment horizontal="center"/>
    </xf>
    <xf numFmtId="0" fontId="13" fillId="0" borderId="92" xfId="6" applyFont="1" applyBorder="1" applyAlignment="1">
      <alignment horizontal="center"/>
    </xf>
    <xf numFmtId="166" fontId="13" fillId="0" borderId="92" xfId="5" applyNumberFormat="1" applyFont="1" applyBorder="1"/>
    <xf numFmtId="165" fontId="13" fillId="0" borderId="93" xfId="5" applyFont="1" applyBorder="1"/>
    <xf numFmtId="165" fontId="13" fillId="0" borderId="94" xfId="5" applyFont="1" applyBorder="1"/>
    <xf numFmtId="0" fontId="13" fillId="0" borderId="223" xfId="6" applyFont="1" applyBorder="1"/>
    <xf numFmtId="0" fontId="13" fillId="0" borderId="225" xfId="6" applyFont="1" applyBorder="1" applyAlignment="1">
      <alignment horizontal="center"/>
    </xf>
    <xf numFmtId="165" fontId="19" fillId="0" borderId="226" xfId="8" applyFont="1" applyBorder="1" applyAlignment="1">
      <alignment vertical="center"/>
    </xf>
    <xf numFmtId="0" fontId="17" fillId="0" borderId="232" xfId="6" applyFont="1" applyBorder="1" applyAlignment="1">
      <alignment horizontal="center"/>
    </xf>
    <xf numFmtId="0" fontId="13" fillId="0" borderId="17" xfId="6" applyFont="1" applyBorder="1"/>
    <xf numFmtId="0" fontId="13" fillId="0" borderId="233" xfId="6" applyFont="1" applyBorder="1" applyAlignment="1">
      <alignment horizontal="center"/>
    </xf>
    <xf numFmtId="167" fontId="13" fillId="0" borderId="234" xfId="5" applyNumberFormat="1" applyFont="1" applyBorder="1"/>
    <xf numFmtId="165" fontId="13" fillId="0" borderId="233" xfId="5" applyFont="1" applyBorder="1"/>
    <xf numFmtId="165" fontId="13" fillId="0" borderId="235" xfId="5" applyFont="1" applyBorder="1"/>
    <xf numFmtId="0" fontId="17" fillId="0" borderId="224" xfId="6" applyFont="1" applyBorder="1" applyAlignment="1">
      <alignment horizontal="center"/>
    </xf>
    <xf numFmtId="0" fontId="13" fillId="0" borderId="230" xfId="6" quotePrefix="1" applyFont="1" applyBorder="1" applyAlignment="1">
      <alignment horizontal="center"/>
    </xf>
    <xf numFmtId="0" fontId="13" fillId="0" borderId="229" xfId="6" applyFont="1" applyBorder="1"/>
    <xf numFmtId="167" fontId="13" fillId="0" borderId="236" xfId="5" applyNumberFormat="1" applyFont="1" applyBorder="1"/>
    <xf numFmtId="165" fontId="13" fillId="0" borderId="225" xfId="5" applyFont="1" applyBorder="1"/>
    <xf numFmtId="0" fontId="13" fillId="0" borderId="237" xfId="6" applyFont="1" applyBorder="1"/>
    <xf numFmtId="0" fontId="13" fillId="0" borderId="25" xfId="6" applyFont="1" applyBorder="1"/>
    <xf numFmtId="167" fontId="13" fillId="0" borderId="238" xfId="5" applyNumberFormat="1" applyFont="1" applyBorder="1"/>
    <xf numFmtId="0" fontId="13" fillId="0" borderId="86" xfId="6" applyFont="1" applyBorder="1"/>
    <xf numFmtId="0" fontId="13" fillId="0" borderId="86" xfId="6" applyFont="1" applyBorder="1" applyAlignment="1">
      <alignment horizontal="center"/>
    </xf>
    <xf numFmtId="166" fontId="13" fillId="0" borderId="86" xfId="5" applyNumberFormat="1" applyFont="1" applyBorder="1"/>
    <xf numFmtId="165" fontId="13" fillId="0" borderId="88" xfId="5" applyFont="1" applyBorder="1"/>
    <xf numFmtId="165" fontId="19" fillId="0" borderId="239" xfId="8" applyFont="1" applyBorder="1" applyAlignment="1">
      <alignment vertical="center"/>
    </xf>
    <xf numFmtId="165" fontId="19" fillId="0" borderId="240" xfId="8" applyFont="1" applyBorder="1" applyAlignment="1">
      <alignment vertical="center"/>
    </xf>
    <xf numFmtId="165" fontId="15" fillId="0" borderId="0" xfId="7" applyNumberFormat="1"/>
    <xf numFmtId="168" fontId="13" fillId="0" borderId="0" xfId="6" applyNumberFormat="1" applyFont="1" applyAlignment="1">
      <alignment horizontal="center"/>
    </xf>
    <xf numFmtId="164" fontId="40" fillId="0" borderId="0" xfId="2" applyFont="1" applyAlignment="1">
      <alignment vertical="center"/>
    </xf>
    <xf numFmtId="164" fontId="41" fillId="0" borderId="0" xfId="2" applyFont="1"/>
    <xf numFmtId="177" fontId="41" fillId="0" borderId="0" xfId="2" applyNumberFormat="1" applyFont="1"/>
    <xf numFmtId="164" fontId="40" fillId="0" borderId="0" xfId="2" applyFont="1"/>
    <xf numFmtId="164" fontId="40" fillId="2" borderId="247" xfId="2" applyFont="1" applyFill="1" applyBorder="1" applyAlignment="1">
      <alignment vertical="center"/>
    </xf>
    <xf numFmtId="164" fontId="40" fillId="2" borderId="172" xfId="2" applyFont="1" applyFill="1" applyBorder="1" applyAlignment="1">
      <alignment vertical="center"/>
    </xf>
    <xf numFmtId="164" fontId="43" fillId="2" borderId="248" xfId="2" applyFont="1" applyFill="1" applyBorder="1" applyAlignment="1">
      <alignment horizontal="center" vertical="center"/>
    </xf>
    <xf numFmtId="164" fontId="43" fillId="2" borderId="0" xfId="2" applyFont="1" applyFill="1" applyAlignment="1">
      <alignment horizontal="center" vertical="center"/>
    </xf>
    <xf numFmtId="164" fontId="42" fillId="2" borderId="250" xfId="2" applyFont="1" applyFill="1" applyBorder="1" applyAlignment="1">
      <alignment horizontal="center"/>
    </xf>
    <xf numFmtId="164" fontId="40" fillId="2" borderId="252" xfId="2" applyFont="1" applyFill="1" applyBorder="1" applyAlignment="1">
      <alignment vertical="center"/>
    </xf>
    <xf numFmtId="164" fontId="43" fillId="2" borderId="254" xfId="2" applyFont="1" applyFill="1" applyBorder="1" applyAlignment="1">
      <alignment horizontal="center"/>
    </xf>
    <xf numFmtId="164" fontId="42" fillId="2" borderId="255" xfId="2" applyFont="1" applyFill="1" applyBorder="1" applyAlignment="1">
      <alignment horizontal="center"/>
    </xf>
    <xf numFmtId="164" fontId="40" fillId="0" borderId="256" xfId="2" applyFont="1" applyBorder="1" applyAlignment="1">
      <alignment horizontal="left" vertical="center"/>
    </xf>
    <xf numFmtId="164" fontId="40" fillId="0" borderId="257" xfId="2" applyFont="1" applyBorder="1" applyAlignment="1">
      <alignment vertical="center"/>
    </xf>
    <xf numFmtId="164" fontId="40" fillId="0" borderId="143" xfId="2" applyFont="1" applyBorder="1" applyAlignment="1">
      <alignment horizontal="center" vertical="center"/>
    </xf>
    <xf numFmtId="164" fontId="41" fillId="0" borderId="259" xfId="2" applyFont="1" applyBorder="1"/>
    <xf numFmtId="164" fontId="40" fillId="0" borderId="143" xfId="2" applyFont="1" applyBorder="1"/>
    <xf numFmtId="164" fontId="43" fillId="0" borderId="260" xfId="2" applyFont="1" applyBorder="1" applyAlignment="1">
      <alignment horizontal="left" vertical="center"/>
    </xf>
    <xf numFmtId="164" fontId="39" fillId="0" borderId="261" xfId="2" applyFont="1" applyBorder="1" applyAlignment="1">
      <alignment vertical="center"/>
    </xf>
    <xf numFmtId="164" fontId="41" fillId="0" borderId="250" xfId="2" applyFont="1" applyBorder="1"/>
    <xf numFmtId="164" fontId="40" fillId="0" borderId="260" xfId="2" applyFont="1" applyBorder="1" applyAlignment="1">
      <alignment horizontal="left" vertical="center"/>
    </xf>
    <xf numFmtId="164" fontId="40" fillId="0" borderId="261" xfId="2" applyFont="1" applyBorder="1" applyAlignment="1">
      <alignment vertical="center"/>
    </xf>
    <xf numFmtId="164" fontId="41" fillId="0" borderId="261" xfId="2" applyFont="1" applyBorder="1" applyAlignment="1">
      <alignment vertical="center"/>
    </xf>
    <xf numFmtId="165" fontId="41" fillId="0" borderId="0" xfId="2" applyNumberFormat="1" applyFont="1"/>
    <xf numFmtId="164" fontId="40" fillId="0" borderId="262" xfId="2" applyFont="1" applyBorder="1" applyAlignment="1">
      <alignment horizontal="left" vertical="center"/>
    </xf>
    <xf numFmtId="164" fontId="45" fillId="2" borderId="265" xfId="2" applyFont="1" applyFill="1" applyBorder="1" applyAlignment="1">
      <alignment horizontal="center" vertical="center"/>
    </xf>
    <xf numFmtId="164" fontId="43" fillId="2" borderId="267" xfId="2" applyFont="1" applyFill="1" applyBorder="1" applyAlignment="1">
      <alignment horizontal="center" vertical="center"/>
    </xf>
    <xf numFmtId="164" fontId="42" fillId="2" borderId="268" xfId="2" applyFont="1" applyFill="1" applyBorder="1"/>
    <xf numFmtId="164" fontId="43" fillId="2" borderId="267" xfId="2" applyFont="1" applyFill="1" applyBorder="1"/>
    <xf numFmtId="164" fontId="44" fillId="0" borderId="261" xfId="2" applyFont="1" applyBorder="1" applyAlignment="1">
      <alignment vertical="center"/>
    </xf>
    <xf numFmtId="164" fontId="46" fillId="2" borderId="265" xfId="2" applyFont="1" applyFill="1" applyBorder="1" applyAlignment="1">
      <alignment horizontal="center" vertical="center"/>
    </xf>
    <xf numFmtId="164" fontId="47" fillId="2" borderId="267" xfId="2" applyFont="1" applyFill="1" applyBorder="1" applyAlignment="1">
      <alignment horizontal="center" vertical="center"/>
    </xf>
    <xf numFmtId="164" fontId="44" fillId="0" borderId="257" xfId="2" applyFont="1" applyBorder="1" applyAlignment="1">
      <alignment vertical="center"/>
    </xf>
    <xf numFmtId="164" fontId="44" fillId="0" borderId="143" xfId="2" applyFont="1" applyBorder="1" applyAlignment="1">
      <alignment horizontal="center" vertical="center"/>
    </xf>
    <xf numFmtId="164" fontId="48" fillId="0" borderId="261" xfId="2" applyFont="1" applyBorder="1" applyAlignment="1">
      <alignment vertical="center"/>
    </xf>
    <xf numFmtId="164" fontId="43" fillId="2" borderId="267" xfId="2" applyFont="1" applyFill="1" applyBorder="1" applyAlignment="1">
      <alignment vertical="center"/>
    </xf>
    <xf numFmtId="164" fontId="40" fillId="0" borderId="143" xfId="2" applyFont="1" applyBorder="1" applyAlignment="1">
      <alignment vertical="center"/>
    </xf>
    <xf numFmtId="164" fontId="40" fillId="0" borderId="182" xfId="2" applyFont="1" applyBorder="1" applyAlignment="1">
      <alignment horizontal="left" vertical="center"/>
    </xf>
    <xf numFmtId="164" fontId="40" fillId="0" borderId="248" xfId="2" applyFont="1" applyBorder="1" applyAlignment="1">
      <alignment vertical="center"/>
    </xf>
    <xf numFmtId="164" fontId="41" fillId="0" borderId="196" xfId="2" applyFont="1" applyBorder="1"/>
    <xf numFmtId="164" fontId="40" fillId="0" borderId="0" xfId="2" applyFont="1" applyAlignment="1">
      <alignment horizontal="left"/>
    </xf>
    <xf numFmtId="164" fontId="42" fillId="0" borderId="0" xfId="2" applyFont="1" applyAlignment="1">
      <alignment vertical="center" wrapText="1"/>
    </xf>
    <xf numFmtId="179" fontId="15" fillId="0" borderId="0" xfId="7" applyNumberFormat="1"/>
    <xf numFmtId="167" fontId="15" fillId="0" borderId="0" xfId="7" applyNumberFormat="1"/>
    <xf numFmtId="164" fontId="44" fillId="0" borderId="248" xfId="2" applyFont="1" applyBorder="1" applyAlignment="1">
      <alignment vertical="center"/>
    </xf>
    <xf numFmtId="164" fontId="40" fillId="0" borderId="261" xfId="2" applyFont="1" applyBorder="1" applyAlignment="1">
      <alignment horizontal="left" vertical="center"/>
    </xf>
    <xf numFmtId="0" fontId="13" fillId="0" borderId="0" xfId="7" applyFont="1" applyAlignment="1">
      <alignment wrapText="1"/>
    </xf>
    <xf numFmtId="0" fontId="13" fillId="0" borderId="0" xfId="7" applyFont="1" applyAlignment="1">
      <alignment horizontal="center" vertical="center"/>
    </xf>
    <xf numFmtId="164" fontId="44" fillId="0" borderId="254" xfId="2" applyFont="1" applyBorder="1" applyAlignment="1">
      <alignment horizontal="center" vertical="center"/>
    </xf>
    <xf numFmtId="164" fontId="40" fillId="0" borderId="254" xfId="2" applyFont="1" applyBorder="1"/>
    <xf numFmtId="164" fontId="41" fillId="0" borderId="255" xfId="2" applyFont="1" applyBorder="1"/>
    <xf numFmtId="164" fontId="40" fillId="0" borderId="275" xfId="2" applyFont="1" applyBorder="1" applyAlignment="1">
      <alignment horizontal="left" vertical="center"/>
    </xf>
    <xf numFmtId="164" fontId="40" fillId="0" borderId="275" xfId="2" applyFont="1" applyBorder="1" applyAlignment="1">
      <alignment vertical="center"/>
    </xf>
    <xf numFmtId="164" fontId="40" fillId="0" borderId="254" xfId="2" applyFont="1" applyBorder="1" applyAlignment="1">
      <alignment horizontal="center" vertical="center"/>
    </xf>
    <xf numFmtId="0" fontId="17" fillId="2" borderId="143" xfId="6" applyFont="1" applyFill="1" applyBorder="1" applyAlignment="1">
      <alignment horizontal="center"/>
    </xf>
    <xf numFmtId="0" fontId="17" fillId="2" borderId="89" xfId="6" applyFont="1" applyFill="1" applyBorder="1" applyAlignment="1">
      <alignment horizontal="center"/>
    </xf>
    <xf numFmtId="0" fontId="13" fillId="0" borderId="235" xfId="6" applyFont="1" applyBorder="1"/>
    <xf numFmtId="0" fontId="17" fillId="0" borderId="279" xfId="6" applyFont="1" applyBorder="1" applyAlignment="1">
      <alignment horizontal="center"/>
    </xf>
    <xf numFmtId="0" fontId="13" fillId="0" borderId="280" xfId="6" quotePrefix="1" applyFont="1" applyBorder="1" applyAlignment="1">
      <alignment horizontal="center"/>
    </xf>
    <xf numFmtId="0" fontId="13" fillId="0" borderId="281" xfId="6" applyFont="1" applyBorder="1"/>
    <xf numFmtId="0" fontId="13" fillId="0" borderId="282" xfId="6" applyFont="1" applyBorder="1" applyAlignment="1">
      <alignment horizontal="center"/>
    </xf>
    <xf numFmtId="167" fontId="13" fillId="0" borderId="283" xfId="5" applyNumberFormat="1" applyFont="1" applyBorder="1"/>
    <xf numFmtId="165" fontId="13" fillId="0" borderId="281" xfId="5" applyFont="1" applyBorder="1"/>
    <xf numFmtId="0" fontId="17" fillId="0" borderId="284" xfId="6" applyFont="1" applyBorder="1" applyAlignment="1">
      <alignment horizontal="center"/>
    </xf>
    <xf numFmtId="0" fontId="13" fillId="0" borderId="285" xfId="6" applyFont="1" applyBorder="1" applyAlignment="1">
      <alignment horizontal="center"/>
    </xf>
    <xf numFmtId="167" fontId="13" fillId="0" borderId="286" xfId="5" applyNumberFormat="1" applyFont="1" applyBorder="1"/>
    <xf numFmtId="165" fontId="13" fillId="0" borderId="287" xfId="5" applyFont="1" applyBorder="1"/>
    <xf numFmtId="167" fontId="13" fillId="0" borderId="92" xfId="5" applyNumberFormat="1" applyFont="1" applyBorder="1"/>
    <xf numFmtId="165" fontId="19" fillId="0" borderId="288" xfId="8" applyFont="1" applyBorder="1" applyAlignment="1">
      <alignment vertical="center"/>
    </xf>
    <xf numFmtId="165" fontId="19" fillId="0" borderId="289" xfId="8" applyFont="1" applyBorder="1" applyAlignment="1">
      <alignment vertical="center"/>
    </xf>
    <xf numFmtId="165" fontId="19" fillId="0" borderId="290" xfId="8" applyFont="1" applyBorder="1" applyAlignment="1">
      <alignment vertical="center"/>
    </xf>
    <xf numFmtId="0" fontId="13" fillId="0" borderId="282" xfId="6" applyFont="1" applyBorder="1"/>
    <xf numFmtId="167" fontId="13" fillId="0" borderId="291" xfId="5" applyNumberFormat="1" applyFont="1" applyBorder="1"/>
    <xf numFmtId="167" fontId="13" fillId="0" borderId="292" xfId="5" applyNumberFormat="1" applyFont="1" applyBorder="1"/>
    <xf numFmtId="167" fontId="13" fillId="0" borderId="92" xfId="5" applyNumberFormat="1" applyFont="1" applyBorder="1" applyAlignment="1">
      <alignment horizontal="center"/>
    </xf>
    <xf numFmtId="0" fontId="17" fillId="0" borderId="269" xfId="6" applyFont="1" applyBorder="1"/>
    <xf numFmtId="168" fontId="13" fillId="0" borderId="269" xfId="6" applyNumberFormat="1" applyFont="1" applyBorder="1" applyAlignment="1">
      <alignment horizontal="center"/>
    </xf>
    <xf numFmtId="167" fontId="13" fillId="0" borderId="269" xfId="12" applyNumberFormat="1" applyFont="1" applyBorder="1"/>
    <xf numFmtId="165" fontId="13" fillId="0" borderId="269" xfId="12" applyFont="1" applyBorder="1"/>
    <xf numFmtId="165" fontId="13" fillId="0" borderId="270" xfId="12" applyFont="1" applyBorder="1"/>
    <xf numFmtId="165" fontId="19" fillId="0" borderId="24" xfId="8" applyFont="1" applyBorder="1" applyAlignment="1">
      <alignment vertical="center"/>
    </xf>
    <xf numFmtId="0" fontId="17" fillId="0" borderId="265" xfId="6" applyFont="1" applyBorder="1" applyAlignment="1">
      <alignment horizontal="center"/>
    </xf>
    <xf numFmtId="0" fontId="13" fillId="0" borderId="296" xfId="6" quotePrefix="1" applyFont="1" applyBorder="1" applyAlignment="1">
      <alignment horizontal="center"/>
    </xf>
    <xf numFmtId="165" fontId="13" fillId="0" borderId="297" xfId="12" applyFont="1" applyBorder="1"/>
    <xf numFmtId="175" fontId="18" fillId="0" borderId="23" xfId="7" applyNumberFormat="1" applyFont="1" applyBorder="1" applyAlignment="1">
      <alignment vertical="center"/>
    </xf>
    <xf numFmtId="164" fontId="44" fillId="0" borderId="275" xfId="2" applyFont="1" applyBorder="1" applyAlignment="1">
      <alignment vertical="center"/>
    </xf>
    <xf numFmtId="0" fontId="10" fillId="0" borderId="272" xfId="0" applyFont="1" applyBorder="1" applyAlignment="1">
      <alignment horizontal="center" vertical="center"/>
    </xf>
    <xf numFmtId="0" fontId="18" fillId="0" borderId="301" xfId="7" applyFont="1" applyBorder="1" applyAlignment="1">
      <alignment vertical="center"/>
    </xf>
    <xf numFmtId="0" fontId="18" fillId="0" borderId="25" xfId="7" applyFont="1" applyBorder="1" applyAlignment="1">
      <alignment horizontal="center" vertical="center"/>
    </xf>
    <xf numFmtId="0" fontId="18" fillId="0" borderId="302" xfId="7" applyFont="1" applyBorder="1" applyAlignment="1">
      <alignment horizontal="center" vertical="center"/>
    </xf>
    <xf numFmtId="0" fontId="18" fillId="0" borderId="299" xfId="7" applyFont="1" applyBorder="1" applyAlignment="1">
      <alignment vertical="center"/>
    </xf>
    <xf numFmtId="0" fontId="18" fillId="0" borderId="300" xfId="7" applyFont="1" applyBorder="1" applyAlignment="1">
      <alignment vertical="center"/>
    </xf>
    <xf numFmtId="167" fontId="18" fillId="0" borderId="298" xfId="5" applyNumberFormat="1" applyFont="1" applyBorder="1" applyAlignment="1">
      <alignment vertical="center"/>
    </xf>
    <xf numFmtId="165" fontId="18" fillId="0" borderId="300" xfId="5" applyFont="1" applyBorder="1" applyAlignment="1">
      <alignment vertical="center"/>
    </xf>
    <xf numFmtId="165" fontId="18" fillId="0" borderId="303" xfId="5" applyFont="1" applyBorder="1" applyAlignment="1">
      <alignment vertical="center"/>
    </xf>
    <xf numFmtId="0" fontId="18" fillId="0" borderId="304" xfId="7" applyFont="1" applyBorder="1" applyAlignment="1">
      <alignment horizontal="center" vertical="center"/>
    </xf>
    <xf numFmtId="0" fontId="18" fillId="0" borderId="24" xfId="7" applyFont="1" applyBorder="1" applyAlignment="1">
      <alignment vertical="center"/>
    </xf>
    <xf numFmtId="0" fontId="18" fillId="0" borderId="25" xfId="7" applyFont="1" applyBorder="1" applyAlignment="1">
      <alignment vertical="center"/>
    </xf>
    <xf numFmtId="165" fontId="18" fillId="0" borderId="305" xfId="5" applyFont="1" applyBorder="1" applyAlignment="1">
      <alignment vertical="center"/>
    </xf>
    <xf numFmtId="0" fontId="18" fillId="0" borderId="306" xfId="7" applyFont="1" applyBorder="1" applyAlignment="1">
      <alignment horizontal="center" vertical="center"/>
    </xf>
    <xf numFmtId="0" fontId="18" fillId="0" borderId="307" xfId="7" applyFont="1" applyBorder="1" applyAlignment="1">
      <alignment vertical="center"/>
    </xf>
    <xf numFmtId="0" fontId="18" fillId="0" borderId="305" xfId="7" applyFont="1" applyBorder="1" applyAlignment="1">
      <alignment vertical="center"/>
    </xf>
    <xf numFmtId="167" fontId="18" fillId="0" borderId="308" xfId="5" applyNumberFormat="1" applyFont="1" applyBorder="1" applyAlignment="1">
      <alignment vertical="center"/>
    </xf>
    <xf numFmtId="167" fontId="18" fillId="0" borderId="308" xfId="5" applyNumberFormat="1" applyFont="1" applyBorder="1" applyAlignment="1">
      <alignment horizontal="center" vertical="center"/>
    </xf>
    <xf numFmtId="165" fontId="18" fillId="0" borderId="309" xfId="5" applyFont="1" applyBorder="1" applyAlignment="1">
      <alignment vertical="center"/>
    </xf>
    <xf numFmtId="165" fontId="19" fillId="0" borderId="310" xfId="5" applyFont="1" applyBorder="1" applyAlignment="1">
      <alignment vertical="center"/>
    </xf>
    <xf numFmtId="165" fontId="19" fillId="0" borderId="311" xfId="5" applyFont="1" applyBorder="1" applyAlignment="1">
      <alignment vertical="center"/>
    </xf>
    <xf numFmtId="165" fontId="18" fillId="0" borderId="312" xfId="5" applyFont="1" applyBorder="1" applyAlignment="1">
      <alignment vertical="center"/>
    </xf>
    <xf numFmtId="165" fontId="19" fillId="0" borderId="313" xfId="5" applyFont="1" applyBorder="1" applyAlignment="1">
      <alignment vertical="center"/>
    </xf>
    <xf numFmtId="165" fontId="19" fillId="0" borderId="314" xfId="5" applyFont="1" applyBorder="1" applyAlignment="1">
      <alignment vertical="center"/>
    </xf>
    <xf numFmtId="165" fontId="19" fillId="0" borderId="315" xfId="5" applyFont="1" applyBorder="1" applyAlignment="1">
      <alignment vertical="center"/>
    </xf>
    <xf numFmtId="165" fontId="19" fillId="0" borderId="316" xfId="5" applyFont="1" applyBorder="1" applyAlignment="1">
      <alignment vertical="center"/>
    </xf>
    <xf numFmtId="172" fontId="17" fillId="0" borderId="318" xfId="6" applyNumberFormat="1" applyFont="1" applyBorder="1" applyAlignment="1">
      <alignment horizontal="center"/>
    </xf>
    <xf numFmtId="0" fontId="18" fillId="0" borderId="319" xfId="7" applyFont="1" applyBorder="1" applyAlignment="1">
      <alignment horizontal="center" vertical="center"/>
    </xf>
    <xf numFmtId="0" fontId="13" fillId="0" borderId="320" xfId="6" applyFont="1" applyBorder="1"/>
    <xf numFmtId="168" fontId="13" fillId="0" borderId="321" xfId="6" applyNumberFormat="1" applyFont="1" applyBorder="1" applyAlignment="1">
      <alignment horizontal="center"/>
    </xf>
    <xf numFmtId="167" fontId="13" fillId="0" borderId="320" xfId="12" applyNumberFormat="1" applyFont="1" applyBorder="1"/>
    <xf numFmtId="165" fontId="13" fillId="0" borderId="322" xfId="12" applyFont="1" applyBorder="1"/>
    <xf numFmtId="165" fontId="13" fillId="0" borderId="323" xfId="12" applyFont="1" applyBorder="1"/>
    <xf numFmtId="167" fontId="13" fillId="0" borderId="324" xfId="12" applyNumberFormat="1" applyFont="1" applyBorder="1"/>
    <xf numFmtId="165" fontId="13" fillId="0" borderId="325" xfId="12" applyFont="1" applyBorder="1"/>
    <xf numFmtId="0" fontId="13" fillId="0" borderId="326" xfId="6" applyFont="1" applyBorder="1"/>
    <xf numFmtId="168" fontId="13" fillId="0" borderId="326" xfId="6" applyNumberFormat="1" applyFont="1" applyBorder="1" applyAlignment="1">
      <alignment horizontal="center"/>
    </xf>
    <xf numFmtId="167" fontId="13" fillId="0" borderId="326" xfId="12" applyNumberFormat="1" applyFont="1" applyBorder="1"/>
    <xf numFmtId="165" fontId="13" fillId="0" borderId="327" xfId="12" applyFont="1" applyBorder="1"/>
    <xf numFmtId="0" fontId="13" fillId="0" borderId="328" xfId="6" applyFont="1" applyBorder="1" applyAlignment="1">
      <alignment horizontal="center"/>
    </xf>
    <xf numFmtId="165" fontId="13" fillId="0" borderId="329" xfId="12" applyFont="1" applyBorder="1"/>
    <xf numFmtId="0" fontId="13" fillId="0" borderId="330" xfId="6" quotePrefix="1" applyFont="1" applyBorder="1" applyAlignment="1">
      <alignment horizontal="center"/>
    </xf>
    <xf numFmtId="165" fontId="13" fillId="0" borderId="331" xfId="12" applyFont="1" applyBorder="1"/>
    <xf numFmtId="0" fontId="13" fillId="0" borderId="332" xfId="6" applyFont="1" applyBorder="1"/>
    <xf numFmtId="168" fontId="13" fillId="0" borderId="332" xfId="6" applyNumberFormat="1" applyFont="1" applyBorder="1" applyAlignment="1">
      <alignment horizontal="center"/>
    </xf>
    <xf numFmtId="167" fontId="13" fillId="0" borderId="332" xfId="12" applyNumberFormat="1" applyFont="1" applyBorder="1"/>
    <xf numFmtId="165" fontId="19" fillId="0" borderId="333" xfId="8" applyFont="1" applyBorder="1" applyAlignment="1">
      <alignment vertical="center"/>
    </xf>
    <xf numFmtId="165" fontId="19" fillId="0" borderId="334" xfId="8" applyFont="1" applyBorder="1" applyAlignment="1">
      <alignment vertical="center"/>
    </xf>
    <xf numFmtId="165" fontId="19" fillId="0" borderId="335" xfId="8" applyFont="1" applyBorder="1" applyAlignment="1">
      <alignment vertical="center"/>
    </xf>
    <xf numFmtId="172" fontId="17" fillId="0" borderId="336" xfId="6" applyNumberFormat="1" applyFont="1" applyBorder="1" applyAlignment="1">
      <alignment horizontal="center"/>
    </xf>
    <xf numFmtId="0" fontId="17" fillId="0" borderId="337" xfId="6" applyFont="1" applyBorder="1" applyAlignment="1">
      <alignment horizontal="center"/>
    </xf>
    <xf numFmtId="0" fontId="17" fillId="0" borderId="336" xfId="6" applyFont="1" applyBorder="1" applyAlignment="1">
      <alignment horizontal="center"/>
    </xf>
    <xf numFmtId="165" fontId="13" fillId="0" borderId="332" xfId="12" applyFont="1" applyBorder="1"/>
    <xf numFmtId="165" fontId="13" fillId="0" borderId="338" xfId="12" applyFont="1" applyBorder="1"/>
    <xf numFmtId="172" fontId="13" fillId="0" borderId="294" xfId="6" applyNumberFormat="1" applyFont="1" applyBorder="1"/>
    <xf numFmtId="0" fontId="13" fillId="0" borderId="172" xfId="6" applyFont="1" applyBorder="1"/>
    <xf numFmtId="168" fontId="13" fillId="0" borderId="172" xfId="6" applyNumberFormat="1" applyFont="1" applyBorder="1" applyAlignment="1">
      <alignment horizontal="center"/>
    </xf>
    <xf numFmtId="167" fontId="13" fillId="0" borderId="172" xfId="12" applyNumberFormat="1" applyFont="1" applyBorder="1"/>
    <xf numFmtId="165" fontId="13" fillId="0" borderId="339" xfId="12" applyFont="1" applyBorder="1"/>
    <xf numFmtId="165" fontId="13" fillId="0" borderId="295" xfId="12" applyFont="1" applyBorder="1"/>
    <xf numFmtId="165" fontId="19" fillId="0" borderId="340" xfId="8" applyFont="1" applyBorder="1" applyAlignment="1">
      <alignment vertical="center"/>
    </xf>
    <xf numFmtId="165" fontId="19" fillId="0" borderId="341" xfId="8" applyFont="1" applyBorder="1" applyAlignment="1">
      <alignment vertical="center"/>
    </xf>
    <xf numFmtId="165" fontId="19" fillId="0" borderId="342" xfId="8" applyFont="1" applyBorder="1" applyAlignment="1">
      <alignment vertical="center"/>
    </xf>
    <xf numFmtId="165" fontId="19" fillId="0" borderId="343" xfId="8" applyFont="1" applyBorder="1" applyAlignment="1">
      <alignment vertical="center"/>
    </xf>
    <xf numFmtId="0" fontId="18" fillId="0" borderId="320" xfId="6" applyFont="1" applyBorder="1" applyAlignment="1">
      <alignment horizontal="center"/>
    </xf>
    <xf numFmtId="165" fontId="18" fillId="0" borderId="320" xfId="5" applyFont="1" applyBorder="1"/>
    <xf numFmtId="165" fontId="18" fillId="0" borderId="311" xfId="5" applyFont="1" applyBorder="1"/>
    <xf numFmtId="0" fontId="19" fillId="0" borderId="344" xfId="6" applyFont="1" applyBorder="1" applyAlignment="1">
      <alignment horizontal="center"/>
    </xf>
    <xf numFmtId="0" fontId="18" fillId="0" borderId="330" xfId="6" quotePrefix="1" applyFont="1" applyBorder="1" applyAlignment="1">
      <alignment horizontal="center"/>
    </xf>
    <xf numFmtId="0" fontId="18" fillId="0" borderId="345" xfId="7" applyFont="1" applyBorder="1" applyAlignment="1">
      <alignment vertical="center"/>
    </xf>
    <xf numFmtId="0" fontId="18" fillId="0" borderId="346" xfId="6" applyFont="1" applyBorder="1" applyAlignment="1">
      <alignment horizontal="center"/>
    </xf>
    <xf numFmtId="167" fontId="18" fillId="0" borderId="347" xfId="5" applyNumberFormat="1" applyFont="1" applyBorder="1"/>
    <xf numFmtId="165" fontId="18" fillId="0" borderId="346" xfId="5" applyFont="1" applyBorder="1"/>
    <xf numFmtId="165" fontId="18" fillId="0" borderId="345" xfId="5" applyFont="1" applyBorder="1"/>
    <xf numFmtId="0" fontId="18" fillId="0" borderId="345" xfId="6" applyFont="1" applyBorder="1"/>
    <xf numFmtId="0" fontId="19" fillId="0" borderId="348" xfId="6" applyFont="1" applyBorder="1" applyAlignment="1">
      <alignment horizontal="center"/>
    </xf>
    <xf numFmtId="0" fontId="18" fillId="0" borderId="349" xfId="6" quotePrefix="1" applyFont="1" applyBorder="1" applyAlignment="1">
      <alignment horizontal="center"/>
    </xf>
    <xf numFmtId="0" fontId="18" fillId="0" borderId="350" xfId="6" applyFont="1" applyBorder="1"/>
    <xf numFmtId="0" fontId="18" fillId="0" borderId="332" xfId="6" applyFont="1" applyBorder="1" applyAlignment="1">
      <alignment horizontal="center"/>
    </xf>
    <xf numFmtId="167" fontId="18" fillId="0" borderId="351" xfId="5" applyNumberFormat="1" applyFont="1" applyBorder="1"/>
    <xf numFmtId="165" fontId="18" fillId="0" borderId="352" xfId="5" applyFont="1" applyBorder="1"/>
    <xf numFmtId="0" fontId="18" fillId="0" borderId="86" xfId="6" quotePrefix="1" applyFont="1" applyBorder="1" applyAlignment="1">
      <alignment horizontal="center"/>
    </xf>
    <xf numFmtId="0" fontId="18" fillId="0" borderId="92" xfId="6" applyFont="1" applyBorder="1"/>
    <xf numFmtId="0" fontId="18" fillId="0" borderId="92" xfId="6" applyFont="1" applyBorder="1" applyAlignment="1">
      <alignment horizontal="center"/>
    </xf>
    <xf numFmtId="166" fontId="18" fillId="0" borderId="92" xfId="5" applyNumberFormat="1" applyFont="1" applyBorder="1"/>
    <xf numFmtId="165" fontId="18" fillId="0" borderId="93" xfId="5" applyFont="1" applyBorder="1"/>
    <xf numFmtId="165" fontId="18" fillId="0" borderId="94" xfId="5" applyFont="1" applyBorder="1"/>
    <xf numFmtId="164" fontId="43" fillId="0" borderId="182" xfId="2" applyFont="1" applyBorder="1" applyAlignment="1">
      <alignment horizontal="left" vertical="center"/>
    </xf>
    <xf numFmtId="164" fontId="40" fillId="0" borderId="248" xfId="2" applyFont="1" applyBorder="1" applyAlignment="1">
      <alignment horizontal="center" vertical="center"/>
    </xf>
    <xf numFmtId="164" fontId="48" fillId="0" borderId="353" xfId="2" applyFont="1" applyBorder="1" applyAlignment="1">
      <alignment vertical="center"/>
    </xf>
    <xf numFmtId="164" fontId="43" fillId="0" borderId="261" xfId="2" applyFont="1" applyBorder="1" applyAlignment="1">
      <alignment horizontal="left" vertical="center"/>
    </xf>
    <xf numFmtId="164" fontId="43" fillId="2" borderId="251" xfId="2" applyFont="1" applyFill="1" applyBorder="1" applyAlignment="1">
      <alignment horizontal="left" vertical="center"/>
    </xf>
    <xf numFmtId="0" fontId="18" fillId="0" borderId="355" xfId="7" applyFont="1" applyBorder="1"/>
    <xf numFmtId="0" fontId="18" fillId="0" borderId="357" xfId="7" applyFont="1" applyBorder="1"/>
    <xf numFmtId="0" fontId="13" fillId="0" borderId="311" xfId="6" applyFont="1" applyBorder="1"/>
    <xf numFmtId="0" fontId="13" fillId="0" borderId="320" xfId="6" applyFont="1" applyBorder="1" applyAlignment="1">
      <alignment horizontal="center"/>
    </xf>
    <xf numFmtId="165" fontId="13" fillId="0" borderId="320" xfId="5" applyFont="1" applyBorder="1"/>
    <xf numFmtId="165" fontId="13" fillId="0" borderId="311" xfId="5" applyFont="1" applyBorder="1"/>
    <xf numFmtId="0" fontId="17" fillId="0" borderId="358" xfId="6" applyFont="1" applyBorder="1" applyAlignment="1">
      <alignment horizontal="center"/>
    </xf>
    <xf numFmtId="0" fontId="13" fillId="0" borderId="355" xfId="6" quotePrefix="1" applyFont="1" applyBorder="1" applyAlignment="1">
      <alignment horizontal="center"/>
    </xf>
    <xf numFmtId="0" fontId="13" fillId="0" borderId="357" xfId="6" applyFont="1" applyBorder="1"/>
    <xf numFmtId="0" fontId="13" fillId="0" borderId="360" xfId="6" applyFont="1" applyBorder="1" applyAlignment="1">
      <alignment horizontal="center"/>
    </xf>
    <xf numFmtId="167" fontId="13" fillId="0" borderId="361" xfId="5" applyNumberFormat="1" applyFont="1" applyBorder="1"/>
    <xf numFmtId="165" fontId="13" fillId="0" borderId="362" xfId="5" applyFont="1" applyBorder="1"/>
    <xf numFmtId="0" fontId="13" fillId="0" borderId="362" xfId="6" applyFont="1" applyBorder="1"/>
    <xf numFmtId="0" fontId="17" fillId="0" borderId="363" xfId="6" applyFont="1" applyBorder="1" applyAlignment="1">
      <alignment horizontal="center"/>
    </xf>
    <xf numFmtId="0" fontId="13" fillId="0" borderId="364" xfId="6" applyFont="1" applyBorder="1" applyAlignment="1">
      <alignment horizontal="center"/>
    </xf>
    <xf numFmtId="167" fontId="13" fillId="0" borderId="365" xfId="5" applyNumberFormat="1" applyFont="1" applyBorder="1"/>
    <xf numFmtId="165" fontId="13" fillId="0" borderId="366" xfId="5" applyFont="1" applyBorder="1"/>
    <xf numFmtId="165" fontId="19" fillId="0" borderId="367" xfId="8" applyFont="1" applyBorder="1" applyAlignment="1">
      <alignment vertical="center"/>
    </xf>
    <xf numFmtId="165" fontId="19" fillId="0" borderId="368" xfId="8" applyFont="1" applyBorder="1" applyAlignment="1">
      <alignment vertical="center"/>
    </xf>
    <xf numFmtId="165" fontId="19" fillId="0" borderId="369" xfId="8" applyFont="1" applyBorder="1" applyAlignment="1">
      <alignment vertical="center"/>
    </xf>
    <xf numFmtId="0" fontId="13" fillId="0" borderId="360" xfId="6" applyFont="1" applyBorder="1"/>
    <xf numFmtId="167" fontId="13" fillId="0" borderId="370" xfId="5" applyNumberFormat="1" applyFont="1" applyBorder="1"/>
    <xf numFmtId="167" fontId="13" fillId="0" borderId="371" xfId="5" applyNumberFormat="1" applyFont="1" applyBorder="1"/>
    <xf numFmtId="164" fontId="43" fillId="2" borderId="264" xfId="2" applyFont="1" applyFill="1" applyBorder="1" applyAlignment="1">
      <alignment horizontal="left" vertical="center"/>
    </xf>
    <xf numFmtId="164" fontId="43" fillId="2" borderId="264" xfId="2" applyFont="1" applyFill="1" applyBorder="1"/>
    <xf numFmtId="164" fontId="39" fillId="2" borderId="265" xfId="2" applyFont="1" applyFill="1" applyBorder="1" applyAlignment="1">
      <alignment horizontal="center" vertical="center"/>
    </xf>
    <xf numFmtId="0" fontId="17" fillId="0" borderId="372" xfId="6" applyFont="1" applyBorder="1" applyAlignment="1">
      <alignment horizontal="center"/>
    </xf>
    <xf numFmtId="0" fontId="18" fillId="0" borderId="355" xfId="7" applyFont="1" applyBorder="1" applyAlignment="1">
      <alignment horizontal="left" vertical="center"/>
    </xf>
    <xf numFmtId="0" fontId="18" fillId="0" borderId="357" xfId="7" applyFont="1" applyBorder="1" applyAlignment="1">
      <alignment horizontal="left" vertical="center"/>
    </xf>
    <xf numFmtId="172" fontId="17" fillId="0" borderId="373" xfId="6" applyNumberFormat="1" applyFont="1" applyBorder="1" applyAlignment="1">
      <alignment horizontal="center"/>
    </xf>
    <xf numFmtId="0" fontId="13" fillId="0" borderId="375" xfId="6" applyFont="1" applyBorder="1"/>
    <xf numFmtId="0" fontId="13" fillId="0" borderId="375" xfId="6" applyFont="1" applyBorder="1" applyAlignment="1">
      <alignment horizontal="center"/>
    </xf>
    <xf numFmtId="0" fontId="13" fillId="0" borderId="359" xfId="6" quotePrefix="1" applyFont="1" applyBorder="1" applyAlignment="1">
      <alignment horizontal="center"/>
    </xf>
    <xf numFmtId="165" fontId="13" fillId="0" borderId="376" xfId="12" applyFont="1" applyBorder="1"/>
    <xf numFmtId="168" fontId="49" fillId="0" borderId="0" xfId="0" applyNumberFormat="1" applyFont="1" applyAlignment="1">
      <alignment horizontal="center" vertical="center"/>
    </xf>
    <xf numFmtId="2" fontId="49" fillId="0" borderId="0" xfId="0" applyNumberFormat="1" applyFont="1" applyAlignment="1">
      <alignment horizontal="center" vertical="center"/>
    </xf>
    <xf numFmtId="0" fontId="49" fillId="7" borderId="0" xfId="0" applyFont="1" applyFill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53" fillId="0" borderId="0" xfId="0" applyFont="1" applyAlignment="1">
      <alignment horizontal="center" vertical="center"/>
    </xf>
    <xf numFmtId="180" fontId="53" fillId="0" borderId="0" xfId="0" applyNumberFormat="1" applyFont="1" applyAlignment="1">
      <alignment horizontal="center" vertical="center"/>
    </xf>
    <xf numFmtId="2" fontId="53" fillId="0" borderId="0" xfId="0" applyNumberFormat="1" applyFont="1" applyAlignment="1">
      <alignment horizontal="center" vertical="center"/>
    </xf>
    <xf numFmtId="0" fontId="28" fillId="0" borderId="0" xfId="7" applyFont="1" applyAlignment="1">
      <alignment horizontal="center" vertical="center"/>
    </xf>
    <xf numFmtId="0" fontId="18" fillId="0" borderId="311" xfId="7" applyFont="1" applyBorder="1"/>
    <xf numFmtId="171" fontId="13" fillId="0" borderId="63" xfId="5" applyNumberFormat="1" applyFont="1" applyBorder="1"/>
    <xf numFmtId="0" fontId="18" fillId="0" borderId="0" xfId="11" applyFont="1" applyAlignment="1">
      <alignment horizontal="center" vertical="center"/>
    </xf>
    <xf numFmtId="0" fontId="19" fillId="0" borderId="106" xfId="7" applyFont="1" applyBorder="1"/>
    <xf numFmtId="0" fontId="37" fillId="0" borderId="112" xfId="7" applyFont="1" applyBorder="1" applyAlignment="1">
      <alignment horizontal="center" vertical="center"/>
    </xf>
    <xf numFmtId="0" fontId="37" fillId="0" borderId="83" xfId="7" applyFont="1" applyBorder="1" applyAlignment="1">
      <alignment horizontal="center" vertical="center" wrapText="1"/>
    </xf>
    <xf numFmtId="0" fontId="18" fillId="0" borderId="356" xfId="7" applyFont="1" applyBorder="1"/>
    <xf numFmtId="0" fontId="37" fillId="0" borderId="355" xfId="7" applyFont="1" applyBorder="1" applyAlignment="1">
      <alignment horizontal="center" vertical="center"/>
    </xf>
    <xf numFmtId="0" fontId="37" fillId="0" borderId="357" xfId="7" applyFont="1" applyBorder="1" applyAlignment="1">
      <alignment horizontal="center" vertical="center" wrapText="1"/>
    </xf>
    <xf numFmtId="0" fontId="19" fillId="0" borderId="356" xfId="7" applyFont="1" applyBorder="1"/>
    <xf numFmtId="0" fontId="18" fillId="0" borderId="356" xfId="7" applyFont="1" applyBorder="1" applyAlignment="1">
      <alignment horizontal="left" vertical="center"/>
    </xf>
    <xf numFmtId="0" fontId="18" fillId="0" borderId="367" xfId="7" applyFont="1" applyBorder="1"/>
    <xf numFmtId="0" fontId="18" fillId="0" borderId="368" xfId="7" applyFont="1" applyBorder="1"/>
    <xf numFmtId="0" fontId="18" fillId="0" borderId="369" xfId="7" applyFont="1" applyBorder="1"/>
    <xf numFmtId="0" fontId="19" fillId="0" borderId="310" xfId="7" applyFont="1" applyBorder="1"/>
    <xf numFmtId="0" fontId="37" fillId="5" borderId="191" xfId="7" applyFont="1" applyFill="1" applyBorder="1" applyAlignment="1">
      <alignment horizontal="center" vertical="center" wrapText="1"/>
    </xf>
    <xf numFmtId="0" fontId="37" fillId="5" borderId="295" xfId="7" applyFont="1" applyFill="1" applyBorder="1" applyAlignment="1">
      <alignment horizontal="center" vertical="center" wrapText="1"/>
    </xf>
    <xf numFmtId="0" fontId="37" fillId="0" borderId="378" xfId="7" applyFont="1" applyBorder="1" applyAlignment="1">
      <alignment horizontal="center" vertical="center" wrapText="1"/>
    </xf>
    <xf numFmtId="0" fontId="37" fillId="0" borderId="379" xfId="7" applyFont="1" applyBorder="1" applyAlignment="1">
      <alignment horizontal="center" vertical="center" wrapText="1"/>
    </xf>
    <xf numFmtId="0" fontId="36" fillId="0" borderId="380" xfId="7" applyFont="1" applyBorder="1" applyAlignment="1">
      <alignment horizontal="center" vertical="center" wrapText="1"/>
    </xf>
    <xf numFmtId="0" fontId="18" fillId="0" borderId="380" xfId="7" applyFont="1" applyBorder="1" applyAlignment="1">
      <alignment horizontal="center"/>
    </xf>
    <xf numFmtId="165" fontId="18" fillId="0" borderId="381" xfId="7" applyNumberFormat="1" applyFont="1" applyBorder="1" applyAlignment="1">
      <alignment horizontal="center"/>
    </xf>
    <xf numFmtId="0" fontId="18" fillId="0" borderId="382" xfId="7" applyFont="1" applyBorder="1" applyAlignment="1">
      <alignment horizontal="center"/>
    </xf>
    <xf numFmtId="165" fontId="18" fillId="0" borderId="383" xfId="7" applyNumberFormat="1" applyFont="1" applyBorder="1" applyAlignment="1">
      <alignment horizontal="center"/>
    </xf>
    <xf numFmtId="0" fontId="19" fillId="0" borderId="384" xfId="7" applyFont="1" applyBorder="1" applyAlignment="1">
      <alignment horizontal="center"/>
    </xf>
    <xf numFmtId="165" fontId="18" fillId="0" borderId="385" xfId="7" applyNumberFormat="1" applyFont="1" applyBorder="1" applyAlignment="1">
      <alignment horizontal="center"/>
    </xf>
    <xf numFmtId="0" fontId="19" fillId="0" borderId="380" xfId="7" applyFont="1" applyBorder="1" applyAlignment="1">
      <alignment horizontal="center"/>
    </xf>
    <xf numFmtId="3" fontId="18" fillId="0" borderId="381" xfId="7" applyNumberFormat="1" applyFont="1" applyBorder="1" applyAlignment="1">
      <alignment horizontal="right"/>
    </xf>
    <xf numFmtId="0" fontId="17" fillId="3" borderId="0" xfId="6" applyFont="1" applyFill="1" applyAlignment="1">
      <alignment horizontal="center"/>
    </xf>
    <xf numFmtId="39" fontId="13" fillId="3" borderId="0" xfId="6" applyNumberFormat="1" applyFont="1" applyFill="1"/>
    <xf numFmtId="165" fontId="19" fillId="0" borderId="0" xfId="8" applyFont="1" applyAlignment="1">
      <alignment vertical="center"/>
    </xf>
    <xf numFmtId="0" fontId="17" fillId="0" borderId="0" xfId="6" applyFont="1" applyAlignment="1">
      <alignment horizontal="center"/>
    </xf>
    <xf numFmtId="39" fontId="13" fillId="0" borderId="0" xfId="6" applyNumberFormat="1" applyFont="1"/>
    <xf numFmtId="165" fontId="13" fillId="0" borderId="0" xfId="9" applyFont="1"/>
    <xf numFmtId="165" fontId="13" fillId="0" borderId="0" xfId="10" applyFont="1"/>
    <xf numFmtId="165" fontId="13" fillId="0" borderId="0" xfId="12" applyFont="1"/>
    <xf numFmtId="2" fontId="17" fillId="0" borderId="0" xfId="6" applyNumberFormat="1" applyFont="1" applyAlignment="1">
      <alignment horizontal="center"/>
    </xf>
    <xf numFmtId="165" fontId="18" fillId="0" borderId="0" xfId="5" applyFont="1"/>
    <xf numFmtId="39" fontId="17" fillId="0" borderId="0" xfId="6" applyNumberFormat="1" applyFont="1" applyAlignment="1">
      <alignment horizontal="center"/>
    </xf>
    <xf numFmtId="39" fontId="18" fillId="0" borderId="0" xfId="6" applyNumberFormat="1" applyFont="1"/>
    <xf numFmtId="165" fontId="18" fillId="0" borderId="0" xfId="5" applyFont="1" applyAlignment="1">
      <alignment vertical="center"/>
    </xf>
    <xf numFmtId="0" fontId="21" fillId="0" borderId="0" xfId="6" applyFont="1" applyAlignment="1">
      <alignment horizontal="center"/>
    </xf>
    <xf numFmtId="0" fontId="17" fillId="0" borderId="0" xfId="6" applyFont="1" applyAlignment="1">
      <alignment vertical="center" wrapText="1"/>
    </xf>
    <xf numFmtId="0" fontId="19" fillId="0" borderId="0" xfId="7" applyFont="1" applyAlignment="1">
      <alignment horizontal="centerContinuous" vertical="center"/>
    </xf>
    <xf numFmtId="0" fontId="19" fillId="0" borderId="171" xfId="7" applyFont="1" applyBorder="1" applyAlignment="1">
      <alignment horizontal="center" vertical="center"/>
    </xf>
    <xf numFmtId="165" fontId="13" fillId="0" borderId="0" xfId="5" applyFont="1" applyProtection="1">
      <protection locked="0"/>
    </xf>
    <xf numFmtId="0" fontId="18" fillId="0" borderId="390" xfId="7" applyFont="1" applyBorder="1" applyAlignment="1">
      <alignment horizontal="center"/>
    </xf>
    <xf numFmtId="0" fontId="18" fillId="0" borderId="388" xfId="7" applyFont="1" applyBorder="1"/>
    <xf numFmtId="0" fontId="18" fillId="0" borderId="24" xfId="7" applyFont="1" applyBorder="1"/>
    <xf numFmtId="0" fontId="18" fillId="0" borderId="25" xfId="7" applyFont="1" applyBorder="1"/>
    <xf numFmtId="165" fontId="18" fillId="0" borderId="391" xfId="7" applyNumberFormat="1" applyFont="1" applyBorder="1" applyAlignment="1">
      <alignment horizontal="center"/>
    </xf>
    <xf numFmtId="0" fontId="17" fillId="0" borderId="377" xfId="6" applyFont="1" applyBorder="1" applyAlignment="1">
      <alignment horizontal="center"/>
    </xf>
    <xf numFmtId="165" fontId="13" fillId="0" borderId="375" xfId="5" applyFont="1" applyBorder="1"/>
    <xf numFmtId="0" fontId="13" fillId="0" borderId="366" xfId="6" applyFont="1" applyBorder="1"/>
    <xf numFmtId="0" fontId="17" fillId="0" borderId="374" xfId="6" applyFont="1" applyBorder="1" applyAlignment="1">
      <alignment horizontal="center"/>
    </xf>
    <xf numFmtId="0" fontId="19" fillId="0" borderId="377" xfId="6" applyFont="1" applyBorder="1" applyAlignment="1">
      <alignment horizontal="center"/>
    </xf>
    <xf numFmtId="0" fontId="18" fillId="0" borderId="355" xfId="6" applyFont="1" applyBorder="1" applyAlignment="1">
      <alignment horizontal="center"/>
    </xf>
    <xf numFmtId="0" fontId="18" fillId="0" borderId="355" xfId="17" applyFont="1" applyBorder="1" applyAlignment="1">
      <alignment vertical="center"/>
    </xf>
    <xf numFmtId="0" fontId="18" fillId="0" borderId="377" xfId="11" applyFont="1" applyBorder="1" applyAlignment="1">
      <alignment horizontal="center" vertical="center"/>
    </xf>
    <xf numFmtId="165" fontId="18" fillId="0" borderId="362" xfId="5" applyFont="1" applyBorder="1"/>
    <xf numFmtId="0" fontId="18" fillId="0" borderId="377" xfId="17" applyFont="1" applyBorder="1" applyAlignment="1">
      <alignment horizontal="center" vertical="center"/>
    </xf>
    <xf numFmtId="0" fontId="19" fillId="0" borderId="363" xfId="6" applyFont="1" applyBorder="1" applyAlignment="1">
      <alignment horizontal="center"/>
    </xf>
    <xf numFmtId="0" fontId="18" fillId="0" borderId="368" xfId="6" applyFont="1" applyBorder="1" applyAlignment="1">
      <alignment horizontal="center"/>
    </xf>
    <xf numFmtId="0" fontId="18" fillId="0" borderId="368" xfId="17" applyFont="1" applyBorder="1" applyAlignment="1">
      <alignment vertical="center"/>
    </xf>
    <xf numFmtId="0" fontId="18" fillId="0" borderId="363" xfId="17" applyFont="1" applyBorder="1" applyAlignment="1">
      <alignment horizontal="center" vertical="center"/>
    </xf>
    <xf numFmtId="0" fontId="18" fillId="0" borderId="141" xfId="17" applyFont="1" applyBorder="1" applyAlignment="1">
      <alignment horizontal="center" vertical="center"/>
    </xf>
    <xf numFmtId="164" fontId="40" fillId="0" borderId="263" xfId="2" applyFont="1" applyBorder="1" applyAlignment="1">
      <alignment vertical="center"/>
    </xf>
    <xf numFmtId="0" fontId="10" fillId="0" borderId="30" xfId="0" applyFont="1" applyBorder="1" applyAlignment="1">
      <alignment horizontal="center" vertical="center"/>
    </xf>
    <xf numFmtId="0" fontId="10" fillId="0" borderId="354" xfId="0" applyFont="1" applyBorder="1" applyAlignment="1">
      <alignment horizontal="center" vertical="center"/>
    </xf>
    <xf numFmtId="0" fontId="10" fillId="0" borderId="216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center"/>
    </xf>
    <xf numFmtId="0" fontId="18" fillId="0" borderId="366" xfId="7" applyFont="1" applyBorder="1"/>
    <xf numFmtId="0" fontId="18" fillId="0" borderId="394" xfId="7" applyFont="1" applyBorder="1" applyAlignment="1">
      <alignment horizontal="center" vertical="center"/>
    </xf>
    <xf numFmtId="0" fontId="18" fillId="0" borderId="394" xfId="7" applyFont="1" applyBorder="1" applyAlignment="1">
      <alignment vertical="center" wrapText="1"/>
    </xf>
    <xf numFmtId="4" fontId="18" fillId="0" borderId="394" xfId="5" applyNumberFormat="1" applyFont="1" applyBorder="1" applyAlignment="1">
      <alignment vertical="center"/>
    </xf>
    <xf numFmtId="0" fontId="30" fillId="0" borderId="394" xfId="7" applyFont="1" applyBorder="1" applyAlignment="1">
      <alignment horizontal="center" vertical="center" wrapText="1"/>
    </xf>
    <xf numFmtId="0" fontId="15" fillId="0" borderId="394" xfId="7" applyBorder="1" applyAlignment="1">
      <alignment vertical="center"/>
    </xf>
    <xf numFmtId="164" fontId="41" fillId="0" borderId="395" xfId="2" applyFont="1" applyBorder="1"/>
    <xf numFmtId="0" fontId="15" fillId="0" borderId="394" xfId="7" applyBorder="1"/>
    <xf numFmtId="164" fontId="40" fillId="0" borderId="394" xfId="2" applyFont="1" applyBorder="1" applyAlignment="1">
      <alignment horizontal="center" vertical="center"/>
    </xf>
    <xf numFmtId="164" fontId="40" fillId="0" borderId="394" xfId="2" applyFont="1" applyBorder="1"/>
    <xf numFmtId="4" fontId="18" fillId="0" borderId="394" xfId="14" applyNumberFormat="1" applyFont="1" applyBorder="1" applyAlignment="1">
      <alignment horizontal="right" vertical="center"/>
    </xf>
    <xf numFmtId="0" fontId="18" fillId="0" borderId="387" xfId="7" applyFont="1" applyBorder="1"/>
    <xf numFmtId="0" fontId="18" fillId="0" borderId="362" xfId="7" applyFont="1" applyBorder="1"/>
    <xf numFmtId="172" fontId="17" fillId="7" borderId="265" xfId="6" applyNumberFormat="1" applyFont="1" applyFill="1" applyBorder="1" applyAlignment="1">
      <alignment horizontal="center"/>
    </xf>
    <xf numFmtId="0" fontId="18" fillId="0" borderId="412" xfId="7" applyFont="1" applyBorder="1"/>
    <xf numFmtId="0" fontId="18" fillId="0" borderId="413" xfId="7" applyFont="1" applyBorder="1" applyAlignment="1">
      <alignment horizontal="center"/>
    </xf>
    <xf numFmtId="0" fontId="0" fillId="0" borderId="0" xfId="0"/>
    <xf numFmtId="165" fontId="7" fillId="0" borderId="0" xfId="19" applyNumberFormat="1"/>
    <xf numFmtId="0" fontId="17" fillId="0" borderId="406" xfId="6" applyFont="1" applyBorder="1"/>
    <xf numFmtId="0" fontId="17" fillId="0" borderId="408" xfId="6" applyFont="1" applyBorder="1" applyAlignment="1">
      <alignment horizontal="center"/>
    </xf>
    <xf numFmtId="0" fontId="13" fillId="0" borderId="407" xfId="6" quotePrefix="1" applyFont="1" applyBorder="1" applyAlignment="1">
      <alignment horizontal="center"/>
    </xf>
    <xf numFmtId="0" fontId="13" fillId="0" borderId="397" xfId="6" applyFont="1" applyBorder="1"/>
    <xf numFmtId="165" fontId="19" fillId="0" borderId="409" xfId="8" applyFont="1" applyBorder="1" applyAlignment="1">
      <alignment vertical="center"/>
    </xf>
    <xf numFmtId="165" fontId="19" fillId="0" borderId="410" xfId="8" applyFont="1" applyBorder="1" applyAlignment="1">
      <alignment vertical="center"/>
    </xf>
    <xf numFmtId="165" fontId="19" fillId="0" borderId="411" xfId="8" applyFont="1" applyBorder="1" applyAlignment="1">
      <alignment vertical="center"/>
    </xf>
    <xf numFmtId="172" fontId="17" fillId="0" borderId="89" xfId="6" applyNumberFormat="1" applyFont="1" applyBorder="1" applyAlignment="1">
      <alignment horizontal="center"/>
    </xf>
    <xf numFmtId="0" fontId="17" fillId="0" borderId="400" xfId="6" applyFont="1" applyBorder="1"/>
    <xf numFmtId="168" fontId="13" fillId="0" borderId="400" xfId="6" applyNumberFormat="1" applyFont="1" applyBorder="1" applyAlignment="1">
      <alignment horizontal="center"/>
    </xf>
    <xf numFmtId="167" fontId="13" fillId="0" borderId="406" xfId="10" applyNumberFormat="1" applyFont="1" applyBorder="1"/>
    <xf numFmtId="165" fontId="13" fillId="0" borderId="406" xfId="10" applyFont="1" applyBorder="1"/>
    <xf numFmtId="165" fontId="13" fillId="0" borderId="399" xfId="10" applyFont="1" applyBorder="1"/>
    <xf numFmtId="0" fontId="18" fillId="0" borderId="83" xfId="19" applyFont="1" applyBorder="1" applyAlignment="1">
      <alignment horizontal="left" vertical="center"/>
    </xf>
    <xf numFmtId="0" fontId="18" fillId="0" borderId="83" xfId="19" applyFont="1" applyBorder="1" applyAlignment="1">
      <alignment horizontal="center" vertical="center"/>
    </xf>
    <xf numFmtId="167" fontId="18" fillId="0" borderId="103" xfId="5" applyNumberFormat="1" applyFont="1" applyBorder="1" applyAlignment="1">
      <alignment vertical="center"/>
    </xf>
    <xf numFmtId="165" fontId="13" fillId="0" borderId="402" xfId="10" applyFont="1" applyBorder="1"/>
    <xf numFmtId="165" fontId="13" fillId="0" borderId="403" xfId="10" applyFont="1" applyBorder="1"/>
    <xf numFmtId="172" fontId="17" fillId="0" borderId="405" xfId="6" applyNumberFormat="1" applyFont="1" applyBorder="1" applyAlignment="1">
      <alignment horizontal="center"/>
    </xf>
    <xf numFmtId="172" fontId="13" fillId="0" borderId="397" xfId="6" applyNumberFormat="1" applyFont="1" applyBorder="1"/>
    <xf numFmtId="168" fontId="13" fillId="0" borderId="397" xfId="6" applyNumberFormat="1" applyFont="1" applyBorder="1" applyAlignment="1">
      <alignment horizontal="center"/>
    </xf>
    <xf numFmtId="167" fontId="13" fillId="0" borderId="397" xfId="10" applyNumberFormat="1" applyFont="1" applyBorder="1"/>
    <xf numFmtId="165" fontId="13" fillId="0" borderId="398" xfId="10" applyFont="1" applyBorder="1"/>
    <xf numFmtId="165" fontId="13" fillId="0" borderId="404" xfId="10" applyFont="1" applyBorder="1"/>
    <xf numFmtId="0" fontId="18" fillId="0" borderId="141" xfId="19" applyFont="1" applyBorder="1" applyAlignment="1">
      <alignment horizontal="center" vertical="center"/>
    </xf>
    <xf numFmtId="0" fontId="10" fillId="0" borderId="415" xfId="0" applyFont="1" applyBorder="1" applyAlignment="1">
      <alignment horizontal="right" vertical="center"/>
    </xf>
    <xf numFmtId="0" fontId="17" fillId="0" borderId="37" xfId="6" applyFont="1" applyBorder="1" applyAlignment="1">
      <alignment horizontal="center"/>
    </xf>
    <xf numFmtId="0" fontId="18" fillId="0" borderId="401" xfId="7" applyFont="1" applyBorder="1"/>
    <xf numFmtId="0" fontId="18" fillId="0" borderId="417" xfId="7" applyFont="1" applyBorder="1"/>
    <xf numFmtId="164" fontId="40" fillId="0" borderId="405" xfId="2" applyFont="1" applyBorder="1" applyAlignment="1">
      <alignment horizontal="center" vertical="center"/>
    </xf>
    <xf numFmtId="0" fontId="18" fillId="0" borderId="422" xfId="6" applyFont="1" applyBorder="1"/>
    <xf numFmtId="0" fontId="18" fillId="0" borderId="414" xfId="6" applyFont="1" applyBorder="1" applyAlignment="1">
      <alignment horizontal="center"/>
    </xf>
    <xf numFmtId="165" fontId="18" fillId="0" borderId="414" xfId="5" applyFont="1" applyBorder="1"/>
    <xf numFmtId="165" fontId="18" fillId="0" borderId="403" xfId="5" applyFont="1" applyBorder="1"/>
    <xf numFmtId="0" fontId="19" fillId="0" borderId="416" xfId="6" applyFont="1" applyBorder="1" applyAlignment="1">
      <alignment horizontal="center"/>
    </xf>
    <xf numFmtId="0" fontId="18" fillId="0" borderId="417" xfId="6" quotePrefix="1" applyFont="1" applyBorder="1" applyAlignment="1">
      <alignment horizontal="center"/>
    </xf>
    <xf numFmtId="0" fontId="18" fillId="0" borderId="420" xfId="6" applyFont="1" applyBorder="1"/>
    <xf numFmtId="0" fontId="18" fillId="0" borderId="418" xfId="6" applyFont="1" applyBorder="1" applyAlignment="1">
      <alignment horizontal="center"/>
    </xf>
    <xf numFmtId="167" fontId="18" fillId="0" borderId="419" xfId="5" applyNumberFormat="1" applyFont="1" applyBorder="1"/>
    <xf numFmtId="165" fontId="18" fillId="0" borderId="418" xfId="5" applyFont="1" applyBorder="1"/>
    <xf numFmtId="165" fontId="18" fillId="0" borderId="420" xfId="5" applyFont="1" applyBorder="1"/>
    <xf numFmtId="0" fontId="18" fillId="0" borderId="24" xfId="6" quotePrefix="1" applyFont="1" applyBorder="1" applyAlignment="1">
      <alignment horizontal="center"/>
    </xf>
    <xf numFmtId="0" fontId="18" fillId="0" borderId="423" xfId="6" applyFont="1" applyBorder="1"/>
    <xf numFmtId="0" fontId="18" fillId="0" borderId="364" xfId="6" applyFont="1" applyBorder="1" applyAlignment="1">
      <alignment horizontal="center"/>
    </xf>
    <xf numFmtId="167" fontId="18" fillId="0" borderId="424" xfId="5" applyNumberFormat="1" applyFont="1" applyBorder="1"/>
    <xf numFmtId="165" fontId="18" fillId="0" borderId="366" xfId="5" applyFont="1" applyBorder="1"/>
    <xf numFmtId="0" fontId="18" fillId="0" borderId="397" xfId="6" quotePrefix="1" applyFont="1" applyBorder="1" applyAlignment="1">
      <alignment horizontal="center"/>
    </xf>
    <xf numFmtId="167" fontId="18" fillId="0" borderId="92" xfId="5" applyNumberFormat="1" applyFont="1" applyBorder="1"/>
    <xf numFmtId="0" fontId="18" fillId="0" borderId="425" xfId="7" applyFont="1" applyBorder="1"/>
    <xf numFmtId="172" fontId="17" fillId="0" borderId="394" xfId="6" applyNumberFormat="1" applyFont="1" applyBorder="1" applyAlignment="1">
      <alignment horizontal="center"/>
    </xf>
    <xf numFmtId="0" fontId="19" fillId="0" borderId="406" xfId="6" applyFont="1" applyBorder="1"/>
    <xf numFmtId="0" fontId="18" fillId="0" borderId="406" xfId="6" applyFont="1" applyBorder="1"/>
    <xf numFmtId="0" fontId="18" fillId="0" borderId="406" xfId="6" applyFont="1" applyBorder="1" applyAlignment="1">
      <alignment horizontal="center"/>
    </xf>
    <xf numFmtId="167" fontId="18" fillId="0" borderId="406" xfId="5" applyNumberFormat="1" applyFont="1" applyBorder="1"/>
    <xf numFmtId="165" fontId="18" fillId="0" borderId="406" xfId="5" applyFont="1" applyBorder="1"/>
    <xf numFmtId="165" fontId="18" fillId="0" borderId="399" xfId="5" applyFont="1" applyBorder="1"/>
    <xf numFmtId="0" fontId="19" fillId="0" borderId="232" xfId="6" applyFont="1" applyBorder="1" applyAlignment="1">
      <alignment horizontal="center"/>
    </xf>
    <xf numFmtId="0" fontId="18" fillId="0" borderId="403" xfId="6" applyFont="1" applyBorder="1"/>
    <xf numFmtId="167" fontId="18" fillId="0" borderId="234" xfId="5" applyNumberFormat="1" applyFont="1" applyBorder="1"/>
    <xf numFmtId="0" fontId="13" fillId="0" borderId="414" xfId="6" applyFont="1" applyBorder="1"/>
    <xf numFmtId="0" fontId="18" fillId="0" borderId="410" xfId="6" quotePrefix="1" applyFont="1" applyBorder="1" applyAlignment="1">
      <alignment horizontal="center"/>
    </xf>
    <xf numFmtId="0" fontId="18" fillId="0" borderId="411" xfId="6" applyFont="1" applyBorder="1"/>
    <xf numFmtId="0" fontId="18" fillId="0" borderId="426" xfId="6" applyFont="1" applyBorder="1" applyAlignment="1">
      <alignment horizontal="center"/>
    </xf>
    <xf numFmtId="167" fontId="18" fillId="0" borderId="427" xfId="5" applyNumberFormat="1" applyFont="1" applyBorder="1"/>
    <xf numFmtId="165" fontId="18" fillId="0" borderId="411" xfId="5" applyFont="1" applyBorder="1"/>
    <xf numFmtId="0" fontId="19" fillId="0" borderId="405" xfId="6" applyFont="1" applyBorder="1" applyAlignment="1">
      <alignment horizontal="center"/>
    </xf>
    <xf numFmtId="0" fontId="18" fillId="0" borderId="397" xfId="6" applyFont="1" applyBorder="1"/>
    <xf numFmtId="0" fontId="18" fillId="0" borderId="397" xfId="6" applyFont="1" applyBorder="1" applyAlignment="1">
      <alignment horizontal="center"/>
    </xf>
    <xf numFmtId="167" fontId="18" fillId="0" borderId="397" xfId="5" applyNumberFormat="1" applyFont="1" applyBorder="1"/>
    <xf numFmtId="165" fontId="18" fillId="0" borderId="398" xfId="5" applyFont="1" applyBorder="1"/>
    <xf numFmtId="165" fontId="18" fillId="0" borderId="404" xfId="5" applyFont="1" applyBorder="1"/>
    <xf numFmtId="165" fontId="19" fillId="0" borderId="412" xfId="8" applyFont="1" applyBorder="1" applyAlignment="1">
      <alignment vertical="center"/>
    </xf>
    <xf numFmtId="165" fontId="19" fillId="0" borderId="366" xfId="8" applyFont="1" applyBorder="1" applyAlignment="1">
      <alignment vertical="center"/>
    </xf>
    <xf numFmtId="0" fontId="58" fillId="0" borderId="0" xfId="20" applyAlignment="1">
      <alignment wrapText="1"/>
    </xf>
    <xf numFmtId="165" fontId="36" fillId="0" borderId="0" xfId="16" applyFont="1" applyAlignment="1">
      <alignment vertical="center"/>
    </xf>
    <xf numFmtId="0" fontId="49" fillId="0" borderId="0" xfId="0" applyFont="1" applyAlignment="1">
      <alignment horizontal="center" vertical="center"/>
    </xf>
    <xf numFmtId="0" fontId="0" fillId="0" borderId="0" xfId="0" applyFill="1" applyAlignment="1">
      <alignment vertical="center"/>
    </xf>
    <xf numFmtId="0" fontId="59" fillId="0" borderId="0" xfId="0" applyFont="1" applyFill="1" applyAlignment="1">
      <alignment vertical="center"/>
    </xf>
    <xf numFmtId="0" fontId="59" fillId="0" borderId="168" xfId="7" applyFont="1" applyFill="1" applyBorder="1" applyAlignment="1">
      <alignment vertical="center"/>
    </xf>
    <xf numFmtId="0" fontId="59" fillId="0" borderId="299" xfId="7" applyFont="1" applyFill="1" applyBorder="1" applyAlignment="1">
      <alignment vertical="center"/>
    </xf>
    <xf numFmtId="0" fontId="49" fillId="0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9" fillId="0" borderId="0" xfId="0" applyFont="1" applyAlignment="1">
      <alignment vertical="center"/>
    </xf>
    <xf numFmtId="2" fontId="0" fillId="0" borderId="0" xfId="0" applyNumberFormat="1" applyAlignment="1">
      <alignment vertical="center"/>
    </xf>
    <xf numFmtId="0" fontId="0" fillId="7" borderId="0" xfId="0" applyFill="1" applyAlignment="1">
      <alignment vertical="center"/>
    </xf>
    <xf numFmtId="165" fontId="0" fillId="7" borderId="0" xfId="0" applyNumberForma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1" xfId="0" applyFont="1" applyFill="1" applyBorder="1" applyAlignment="1">
      <alignment vertical="center"/>
    </xf>
    <xf numFmtId="0" fontId="59" fillId="0" borderId="2" xfId="0" applyFont="1" applyFill="1" applyBorder="1" applyAlignment="1">
      <alignment vertical="center"/>
    </xf>
    <xf numFmtId="0" fontId="59" fillId="0" borderId="2" xfId="0" applyFont="1" applyFill="1" applyBorder="1" applyAlignment="1">
      <alignment horizontal="center" vertical="center"/>
    </xf>
    <xf numFmtId="165" fontId="59" fillId="0" borderId="3" xfId="1" applyFont="1" applyFill="1" applyBorder="1" applyAlignment="1">
      <alignment horizontal="right" vertical="center"/>
    </xf>
    <xf numFmtId="0" fontId="59" fillId="0" borderId="4" xfId="0" applyFont="1" applyFill="1" applyBorder="1" applyAlignment="1">
      <alignment vertical="center"/>
    </xf>
    <xf numFmtId="0" fontId="59" fillId="0" borderId="5" xfId="0" applyFont="1" applyFill="1" applyBorder="1" applyAlignment="1">
      <alignment vertical="center"/>
    </xf>
    <xf numFmtId="0" fontId="59" fillId="0" borderId="5" xfId="0" applyFont="1" applyFill="1" applyBorder="1" applyAlignment="1">
      <alignment horizontal="center" vertical="center"/>
    </xf>
    <xf numFmtId="0" fontId="59" fillId="0" borderId="355" xfId="0" applyFont="1" applyFill="1" applyBorder="1" applyAlignment="1">
      <alignment vertical="center"/>
    </xf>
    <xf numFmtId="166" fontId="59" fillId="0" borderId="6" xfId="1" applyNumberFormat="1" applyFont="1" applyFill="1" applyBorder="1" applyAlignment="1">
      <alignment horizontal="left" vertical="center"/>
    </xf>
    <xf numFmtId="0" fontId="59" fillId="0" borderId="7" xfId="0" applyFont="1" applyFill="1" applyBorder="1" applyAlignment="1">
      <alignment vertical="center"/>
    </xf>
    <xf numFmtId="0" fontId="59" fillId="0" borderId="8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386" xfId="0" applyFont="1" applyFill="1" applyBorder="1" applyAlignment="1">
      <alignment vertical="center"/>
    </xf>
    <xf numFmtId="166" fontId="59" fillId="0" borderId="9" xfId="1" applyNumberFormat="1" applyFont="1" applyFill="1" applyBorder="1" applyAlignment="1">
      <alignment vertical="center"/>
    </xf>
    <xf numFmtId="0" fontId="60" fillId="0" borderId="0" xfId="0" applyFont="1" applyFill="1" applyAlignment="1">
      <alignment horizontal="center" vertical="center"/>
    </xf>
    <xf numFmtId="0" fontId="60" fillId="0" borderId="0" xfId="0" applyFont="1" applyFill="1" applyAlignment="1">
      <alignment vertical="center"/>
    </xf>
    <xf numFmtId="0" fontId="60" fillId="0" borderId="199" xfId="0" applyFont="1" applyFill="1" applyBorder="1" applyAlignment="1">
      <alignment horizontal="center" vertical="center" wrapText="1"/>
    </xf>
    <xf numFmtId="0" fontId="60" fillId="0" borderId="392" xfId="0" applyFont="1" applyFill="1" applyBorder="1" applyAlignment="1">
      <alignment horizontal="center" vertical="center" wrapText="1"/>
    </xf>
    <xf numFmtId="0" fontId="60" fillId="0" borderId="393" xfId="0" applyFont="1" applyFill="1" applyBorder="1" applyAlignment="1">
      <alignment horizontal="center" vertical="center"/>
    </xf>
    <xf numFmtId="0" fontId="60" fillId="0" borderId="277" xfId="0" applyFont="1" applyFill="1" applyBorder="1" applyAlignment="1">
      <alignment vertical="center"/>
    </xf>
    <xf numFmtId="0" fontId="60" fillId="0" borderId="278" xfId="0" applyFont="1" applyFill="1" applyBorder="1" applyAlignment="1">
      <alignment vertical="center"/>
    </xf>
    <xf numFmtId="0" fontId="59" fillId="0" borderId="4" xfId="0" applyFont="1" applyFill="1" applyBorder="1" applyAlignment="1">
      <alignment horizontal="center" vertical="center"/>
    </xf>
    <xf numFmtId="0" fontId="59" fillId="0" borderId="21" xfId="0" applyFont="1" applyFill="1" applyBorder="1" applyAlignment="1">
      <alignment vertical="center"/>
    </xf>
    <xf numFmtId="0" fontId="59" fillId="0" borderId="22" xfId="0" applyFont="1" applyFill="1" applyBorder="1" applyAlignment="1">
      <alignment vertical="center"/>
    </xf>
    <xf numFmtId="165" fontId="59" fillId="0" borderId="224" xfId="1" applyFont="1" applyFill="1" applyBorder="1" applyAlignment="1">
      <alignment vertical="center"/>
    </xf>
    <xf numFmtId="0" fontId="59" fillId="0" borderId="23" xfId="0" applyFont="1" applyFill="1" applyBorder="1" applyAlignment="1">
      <alignment horizontal="center" vertical="center"/>
    </xf>
    <xf numFmtId="165" fontId="59" fillId="0" borderId="23" xfId="1" applyFont="1" applyFill="1" applyBorder="1" applyAlignment="1">
      <alignment vertical="center"/>
    </xf>
    <xf numFmtId="165" fontId="59" fillId="0" borderId="377" xfId="1" applyFont="1" applyFill="1" applyBorder="1" applyAlignment="1">
      <alignment vertical="center"/>
    </xf>
    <xf numFmtId="0" fontId="59" fillId="0" borderId="24" xfId="0" applyFont="1" applyFill="1" applyBorder="1" applyAlignment="1">
      <alignment vertical="center"/>
    </xf>
    <xf numFmtId="165" fontId="60" fillId="0" borderId="13" xfId="0" applyNumberFormat="1" applyFont="1" applyFill="1" applyBorder="1" applyAlignment="1">
      <alignment vertical="center"/>
    </xf>
    <xf numFmtId="0" fontId="60" fillId="0" borderId="4" xfId="0" applyFont="1" applyFill="1" applyBorder="1" applyAlignment="1">
      <alignment horizontal="center" vertical="center"/>
    </xf>
    <xf numFmtId="0" fontId="60" fillId="0" borderId="21" xfId="0" applyFont="1" applyFill="1" applyBorder="1" applyAlignment="1">
      <alignment vertical="center"/>
    </xf>
    <xf numFmtId="0" fontId="60" fillId="0" borderId="22" xfId="0" applyFont="1" applyFill="1" applyBorder="1" applyAlignment="1">
      <alignment vertical="center"/>
    </xf>
    <xf numFmtId="0" fontId="60" fillId="0" borderId="5" xfId="0" applyFont="1" applyFill="1" applyBorder="1" applyAlignment="1">
      <alignment vertical="center"/>
    </xf>
    <xf numFmtId="0" fontId="60" fillId="0" borderId="23" xfId="0" applyFont="1" applyFill="1" applyBorder="1" applyAlignment="1">
      <alignment vertical="center"/>
    </xf>
    <xf numFmtId="0" fontId="60" fillId="0" borderId="23" xfId="0" applyFont="1" applyFill="1" applyBorder="1" applyAlignment="1">
      <alignment horizontal="center" vertical="center"/>
    </xf>
    <xf numFmtId="0" fontId="59" fillId="0" borderId="168" xfId="0" applyFont="1" applyFill="1" applyBorder="1" applyAlignment="1">
      <alignment vertical="center"/>
    </xf>
    <xf numFmtId="0" fontId="59" fillId="0" borderId="68" xfId="0" applyFont="1" applyFill="1" applyBorder="1" applyAlignment="1">
      <alignment vertical="center"/>
    </xf>
    <xf numFmtId="0" fontId="59" fillId="0" borderId="128" xfId="0" applyFont="1" applyFill="1" applyBorder="1" applyAlignment="1">
      <alignment vertical="center"/>
    </xf>
    <xf numFmtId="165" fontId="59" fillId="0" borderId="389" xfId="1" applyFont="1" applyFill="1" applyBorder="1" applyAlignment="1">
      <alignment vertical="center"/>
    </xf>
    <xf numFmtId="0" fontId="60" fillId="0" borderId="377" xfId="0" applyFont="1" applyFill="1" applyBorder="1" applyAlignment="1">
      <alignment vertical="center"/>
    </xf>
    <xf numFmtId="0" fontId="59" fillId="0" borderId="227" xfId="0" applyFont="1" applyFill="1" applyBorder="1" applyAlignment="1">
      <alignment horizontal="center" vertical="center"/>
    </xf>
    <xf numFmtId="0" fontId="59" fillId="0" borderId="228" xfId="0" applyFont="1" applyFill="1" applyBorder="1" applyAlignment="1">
      <alignment vertical="center"/>
    </xf>
    <xf numFmtId="0" fontId="59" fillId="0" borderId="229" xfId="0" applyFont="1" applyFill="1" applyBorder="1" applyAlignment="1">
      <alignment vertical="center"/>
    </xf>
    <xf numFmtId="0" fontId="59" fillId="0" borderId="230" xfId="0" applyFont="1" applyFill="1" applyBorder="1" applyAlignment="1">
      <alignment vertical="center"/>
    </xf>
    <xf numFmtId="0" fontId="59" fillId="0" borderId="224" xfId="0" applyFont="1" applyFill="1" applyBorder="1" applyAlignment="1">
      <alignment horizontal="center" vertical="center"/>
    </xf>
    <xf numFmtId="0" fontId="59" fillId="0" borderId="229" xfId="0" quotePrefix="1" applyFont="1" applyFill="1" applyBorder="1" applyAlignment="1">
      <alignment horizontal="right" vertical="center"/>
    </xf>
    <xf numFmtId="165" fontId="59" fillId="0" borderId="244" xfId="1" applyFont="1" applyFill="1" applyBorder="1" applyAlignment="1">
      <alignment vertical="center"/>
    </xf>
    <xf numFmtId="0" fontId="59" fillId="0" borderId="243" xfId="0" applyFont="1" applyFill="1" applyBorder="1" applyAlignment="1">
      <alignment vertical="center"/>
    </xf>
    <xf numFmtId="0" fontId="59" fillId="0" borderId="246" xfId="0" applyFont="1" applyFill="1" applyBorder="1" applyAlignment="1">
      <alignment vertical="center"/>
    </xf>
    <xf numFmtId="0" fontId="59" fillId="0" borderId="245" xfId="0" applyFont="1" applyFill="1" applyBorder="1" applyAlignment="1">
      <alignment vertical="center"/>
    </xf>
    <xf numFmtId="0" fontId="59" fillId="0" borderId="244" xfId="0" applyFont="1" applyFill="1" applyBorder="1" applyAlignment="1">
      <alignment horizontal="center" vertical="center"/>
    </xf>
    <xf numFmtId="0" fontId="60" fillId="0" borderId="30" xfId="0" applyFont="1" applyFill="1" applyBorder="1" applyAlignment="1">
      <alignment horizontal="center" vertical="center"/>
    </xf>
    <xf numFmtId="0" fontId="59" fillId="0" borderId="231" xfId="0" applyFont="1" applyFill="1" applyBorder="1" applyAlignment="1">
      <alignment horizontal="center" vertical="center"/>
    </xf>
    <xf numFmtId="165" fontId="59" fillId="0" borderId="242" xfId="1" applyFont="1" applyFill="1" applyBorder="1" applyAlignment="1">
      <alignment vertical="center"/>
    </xf>
    <xf numFmtId="0" fontId="59" fillId="0" borderId="242" xfId="0" applyFont="1" applyFill="1" applyBorder="1" applyAlignment="1">
      <alignment horizontal="center" vertical="center"/>
    </xf>
    <xf numFmtId="0" fontId="59" fillId="0" borderId="272" xfId="0" applyFont="1" applyFill="1" applyBorder="1" applyAlignment="1">
      <alignment horizontal="center" vertical="center"/>
    </xf>
    <xf numFmtId="0" fontId="59" fillId="0" borderId="25" xfId="0" applyFont="1" applyFill="1" applyBorder="1" applyAlignment="1">
      <alignment vertical="center"/>
    </xf>
    <xf numFmtId="0" fontId="59" fillId="0" borderId="357" xfId="0" applyFont="1" applyFill="1" applyBorder="1" applyAlignment="1">
      <alignment vertical="center"/>
    </xf>
    <xf numFmtId="0" fontId="60" fillId="0" borderId="28" xfId="0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0" fontId="59" fillId="0" borderId="417" xfId="0" applyFont="1" applyFill="1" applyBorder="1" applyAlignment="1">
      <alignment vertical="center"/>
    </xf>
    <xf numFmtId="0" fontId="59" fillId="0" borderId="204" xfId="0" applyFont="1" applyFill="1" applyBorder="1" applyAlignment="1">
      <alignment vertical="center"/>
    </xf>
    <xf numFmtId="0" fontId="60" fillId="0" borderId="245" xfId="0" applyFont="1" applyFill="1" applyBorder="1" applyAlignment="1">
      <alignment vertical="center"/>
    </xf>
    <xf numFmtId="0" fontId="60" fillId="0" borderId="246" xfId="0" applyFont="1" applyFill="1" applyBorder="1" applyAlignment="1">
      <alignment vertical="center"/>
    </xf>
    <xf numFmtId="0" fontId="60" fillId="0" borderId="244" xfId="0" applyFont="1" applyFill="1" applyBorder="1" applyAlignment="1">
      <alignment horizontal="center" vertical="center"/>
    </xf>
    <xf numFmtId="0" fontId="60" fillId="0" borderId="244" xfId="0" applyFont="1" applyFill="1" applyBorder="1" applyAlignment="1">
      <alignment vertical="center"/>
    </xf>
    <xf numFmtId="0" fontId="59" fillId="0" borderId="362" xfId="0" applyFont="1" applyFill="1" applyBorder="1" applyAlignment="1">
      <alignment vertical="center"/>
    </xf>
    <xf numFmtId="0" fontId="60" fillId="0" borderId="48" xfId="0" applyFont="1" applyFill="1" applyBorder="1" applyAlignment="1">
      <alignment horizontal="center" vertical="center"/>
    </xf>
    <xf numFmtId="0" fontId="59" fillId="0" borderId="26" xfId="0" applyFont="1" applyFill="1" applyBorder="1" applyAlignment="1">
      <alignment horizontal="center" vertical="center"/>
    </xf>
    <xf numFmtId="0" fontId="59" fillId="0" borderId="207" xfId="0" applyFont="1" applyFill="1" applyBorder="1" applyAlignment="1">
      <alignment vertical="center"/>
    </xf>
    <xf numFmtId="165" fontId="59" fillId="0" borderId="205" xfId="1" applyFont="1" applyFill="1" applyBorder="1" applyAlignment="1">
      <alignment vertical="center"/>
    </xf>
    <xf numFmtId="0" fontId="59" fillId="0" borderId="299" xfId="0" applyFont="1" applyFill="1" applyBorder="1" applyAlignment="1">
      <alignment vertical="center"/>
    </xf>
    <xf numFmtId="0" fontId="59" fillId="0" borderId="300" xfId="0" applyFont="1" applyFill="1" applyBorder="1" applyAlignment="1">
      <alignment vertical="center"/>
    </xf>
    <xf numFmtId="165" fontId="59" fillId="0" borderId="298" xfId="1" applyFont="1" applyFill="1" applyBorder="1" applyAlignment="1">
      <alignment vertical="center"/>
    </xf>
    <xf numFmtId="0" fontId="59" fillId="0" borderId="298" xfId="0" applyFont="1" applyFill="1" applyBorder="1" applyAlignment="1">
      <alignment horizontal="center" vertical="center"/>
    </xf>
    <xf numFmtId="165" fontId="59" fillId="0" borderId="377" xfId="1" applyFont="1" applyFill="1" applyBorder="1" applyAlignment="1">
      <alignment horizontal="center" vertical="center"/>
    </xf>
    <xf numFmtId="0" fontId="59" fillId="0" borderId="210" xfId="0" applyFont="1" applyFill="1" applyBorder="1" applyAlignment="1">
      <alignment vertical="center"/>
    </xf>
    <xf numFmtId="0" fontId="59" fillId="0" borderId="241" xfId="0" applyFont="1" applyFill="1" applyBorder="1" applyAlignment="1">
      <alignment vertical="center"/>
    </xf>
    <xf numFmtId="0" fontId="59" fillId="0" borderId="317" xfId="0" applyFont="1" applyFill="1" applyBorder="1" applyAlignment="1">
      <alignment horizontal="center" vertical="center"/>
    </xf>
    <xf numFmtId="165" fontId="59" fillId="0" borderId="0" xfId="0" applyNumberFormat="1" applyFont="1" applyFill="1" applyAlignment="1">
      <alignment vertical="center"/>
    </xf>
    <xf numFmtId="0" fontId="15" fillId="0" borderId="0" xfId="7" applyBorder="1"/>
    <xf numFmtId="165" fontId="15" fillId="0" borderId="0" xfId="7" applyNumberFormat="1" applyBorder="1"/>
    <xf numFmtId="0" fontId="13" fillId="0" borderId="0" xfId="6" applyFont="1" applyBorder="1" applyAlignment="1">
      <alignment horizontal="center"/>
    </xf>
    <xf numFmtId="0" fontId="18" fillId="0" borderId="0" xfId="6" applyFont="1" applyBorder="1" applyAlignment="1">
      <alignment horizontal="center"/>
    </xf>
    <xf numFmtId="0" fontId="7" fillId="0" borderId="394" xfId="19" applyBorder="1" applyAlignment="1">
      <alignment vertical="center"/>
    </xf>
    <xf numFmtId="0" fontId="7" fillId="0" borderId="0" xfId="19"/>
    <xf numFmtId="0" fontId="18" fillId="0" borderId="394" xfId="19" applyFont="1" applyBorder="1" applyAlignment="1">
      <alignment horizontal="center" vertical="center"/>
    </xf>
    <xf numFmtId="0" fontId="18" fillId="0" borderId="394" xfId="19" applyFont="1" applyBorder="1" applyAlignment="1">
      <alignment vertical="center" wrapText="1"/>
    </xf>
    <xf numFmtId="0" fontId="30" fillId="0" borderId="394" xfId="19" applyFont="1" applyBorder="1" applyAlignment="1">
      <alignment horizontal="center" vertical="center" wrapText="1"/>
    </xf>
    <xf numFmtId="0" fontId="7" fillId="0" borderId="394" xfId="19" applyBorder="1"/>
    <xf numFmtId="168" fontId="13" fillId="0" borderId="0" xfId="6" applyNumberFormat="1" applyFont="1" applyBorder="1" applyAlignment="1">
      <alignment horizontal="center"/>
    </xf>
    <xf numFmtId="179" fontId="15" fillId="0" borderId="0" xfId="7" applyNumberFormat="1" applyBorder="1"/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10" fillId="0" borderId="18" xfId="0" applyFont="1" applyBorder="1" applyAlignment="1">
      <alignment horizontal="right" vertical="center"/>
    </xf>
    <xf numFmtId="0" fontId="0" fillId="0" borderId="0" xfId="0" applyFill="1" applyAlignment="1">
      <alignment horizontal="center" vertical="center"/>
    </xf>
    <xf numFmtId="165" fontId="0" fillId="0" borderId="0" xfId="0" applyNumberFormat="1" applyFill="1" applyAlignment="1">
      <alignment vertical="center"/>
    </xf>
    <xf numFmtId="165" fontId="15" fillId="0" borderId="0" xfId="7" applyNumberFormat="1"/>
    <xf numFmtId="167" fontId="18" fillId="0" borderId="232" xfId="8" applyNumberFormat="1" applyFont="1" applyBorder="1" applyAlignment="1">
      <alignment horizontal="right" vertical="center"/>
    </xf>
    <xf numFmtId="167" fontId="13" fillId="0" borderId="428" xfId="5" applyNumberFormat="1" applyFont="1" applyBorder="1"/>
    <xf numFmtId="165" fontId="13" fillId="0" borderId="429" xfId="5" applyFont="1" applyBorder="1"/>
    <xf numFmtId="0" fontId="10" fillId="0" borderId="0" xfId="0" applyFont="1" applyAlignment="1">
      <alignment vertical="center"/>
    </xf>
    <xf numFmtId="169" fontId="10" fillId="0" borderId="0" xfId="1" applyNumberFormat="1" applyFont="1" applyAlignment="1">
      <alignment vertical="center"/>
    </xf>
    <xf numFmtId="164" fontId="10" fillId="0" borderId="0" xfId="2" applyFont="1" applyAlignment="1">
      <alignment vertical="center"/>
    </xf>
    <xf numFmtId="0" fontId="10" fillId="0" borderId="2" xfId="0" applyFont="1" applyFill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5" xfId="0" applyFont="1" applyFill="1" applyBorder="1" applyAlignment="1">
      <alignment vertical="center"/>
    </xf>
    <xf numFmtId="0" fontId="10" fillId="0" borderId="8" xfId="0" applyFont="1" applyFill="1" applyBorder="1" applyAlignment="1">
      <alignment vertical="center"/>
    </xf>
    <xf numFmtId="166" fontId="10" fillId="0" borderId="0" xfId="1" applyNumberFormat="1" applyFont="1" applyAlignment="1">
      <alignment vertical="center"/>
    </xf>
    <xf numFmtId="0" fontId="10" fillId="0" borderId="21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165" fontId="10" fillId="0" borderId="18" xfId="0" applyNumberFormat="1" applyFont="1" applyBorder="1" applyAlignment="1">
      <alignment vertical="center"/>
    </xf>
    <xf numFmtId="0" fontId="10" fillId="0" borderId="17" xfId="0" applyFont="1" applyBorder="1" applyAlignment="1">
      <alignment vertical="center"/>
    </xf>
    <xf numFmtId="165" fontId="10" fillId="0" borderId="5" xfId="0" applyNumberFormat="1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177" fontId="10" fillId="0" borderId="6" xfId="2" applyNumberFormat="1" applyFont="1" applyBorder="1" applyAlignment="1">
      <alignment vertical="center"/>
    </xf>
    <xf numFmtId="164" fontId="10" fillId="0" borderId="5" xfId="2" applyFont="1" applyBorder="1" applyAlignment="1">
      <alignment vertical="center"/>
    </xf>
    <xf numFmtId="164" fontId="10" fillId="0" borderId="6" xfId="2" applyFont="1" applyBorder="1" applyAlignment="1">
      <alignment vertical="center"/>
    </xf>
    <xf numFmtId="0" fontId="10" fillId="0" borderId="355" xfId="0" applyFont="1" applyBorder="1" applyAlignment="1">
      <alignment vertical="center"/>
    </xf>
    <xf numFmtId="0" fontId="10" fillId="0" borderId="357" xfId="0" applyFont="1" applyBorder="1" applyAlignment="1">
      <alignment vertical="center"/>
    </xf>
    <xf numFmtId="165" fontId="10" fillId="0" borderId="0" xfId="0" applyNumberFormat="1" applyFont="1" applyAlignment="1">
      <alignment vertical="center"/>
    </xf>
    <xf numFmtId="0" fontId="10" fillId="0" borderId="245" xfId="0" applyFont="1" applyBorder="1" applyAlignment="1">
      <alignment vertical="center"/>
    </xf>
    <xf numFmtId="0" fontId="10" fillId="0" borderId="246" xfId="0" applyFont="1" applyBorder="1" applyAlignment="1">
      <alignment vertical="center"/>
    </xf>
    <xf numFmtId="0" fontId="10" fillId="0" borderId="214" xfId="0" applyFont="1" applyBorder="1" applyAlignment="1">
      <alignment vertical="center"/>
    </xf>
    <xf numFmtId="0" fontId="10" fillId="0" borderId="215" xfId="0" applyFont="1" applyBorder="1" applyAlignment="1">
      <alignment vertical="center"/>
    </xf>
    <xf numFmtId="164" fontId="10" fillId="0" borderId="245" xfId="2" applyFont="1" applyBorder="1" applyAlignment="1">
      <alignment vertical="center"/>
    </xf>
    <xf numFmtId="164" fontId="10" fillId="0" borderId="271" xfId="2" applyFont="1" applyBorder="1" applyAlignment="1">
      <alignment vertical="center"/>
    </xf>
    <xf numFmtId="0" fontId="10" fillId="0" borderId="50" xfId="0" applyFont="1" applyBorder="1" applyAlignment="1">
      <alignment vertical="center"/>
    </xf>
    <xf numFmtId="0" fontId="10" fillId="0" borderId="51" xfId="0" applyFont="1" applyBorder="1" applyAlignment="1">
      <alignment vertical="center"/>
    </xf>
    <xf numFmtId="0" fontId="10" fillId="0" borderId="52" xfId="0" applyFont="1" applyBorder="1" applyAlignment="1">
      <alignment vertical="center"/>
    </xf>
    <xf numFmtId="164" fontId="10" fillId="0" borderId="50" xfId="2" applyFont="1" applyBorder="1" applyAlignment="1">
      <alignment vertical="center"/>
    </xf>
    <xf numFmtId="164" fontId="10" fillId="0" borderId="53" xfId="2" applyFont="1" applyBorder="1" applyAlignment="1">
      <alignment vertical="center"/>
    </xf>
    <xf numFmtId="177" fontId="10" fillId="0" borderId="20" xfId="2" applyNumberFormat="1" applyFont="1" applyBorder="1" applyAlignment="1">
      <alignment vertical="center"/>
    </xf>
    <xf numFmtId="0" fontId="10" fillId="0" borderId="396" xfId="0" applyFont="1" applyBorder="1" applyAlignment="1">
      <alignment vertical="center"/>
    </xf>
    <xf numFmtId="0" fontId="10" fillId="0" borderId="18" xfId="0" applyFont="1" applyBorder="1" applyAlignment="1">
      <alignment vertical="center"/>
    </xf>
    <xf numFmtId="177" fontId="10" fillId="0" borderId="421" xfId="2" applyNumberFormat="1" applyFont="1" applyBorder="1" applyAlignment="1">
      <alignment vertical="center"/>
    </xf>
    <xf numFmtId="165" fontId="10" fillId="0" borderId="5" xfId="1" applyFont="1" applyBorder="1" applyAlignment="1">
      <alignment horizontal="right" vertical="center"/>
    </xf>
    <xf numFmtId="164" fontId="10" fillId="0" borderId="18" xfId="2" applyFont="1" applyBorder="1" applyAlignment="1">
      <alignment vertical="center"/>
    </xf>
    <xf numFmtId="165" fontId="10" fillId="0" borderId="24" xfId="1" applyFont="1" applyBorder="1" applyAlignment="1">
      <alignment horizontal="right" vertical="center"/>
    </xf>
    <xf numFmtId="0" fontId="10" fillId="0" borderId="25" xfId="0" applyFont="1" applyBorder="1" applyAlignment="1">
      <alignment vertical="center"/>
    </xf>
    <xf numFmtId="164" fontId="10" fillId="0" borderId="21" xfId="2" applyFont="1" applyBorder="1" applyAlignment="1">
      <alignment vertical="center"/>
    </xf>
    <xf numFmtId="164" fontId="10" fillId="0" borderId="27" xfId="2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165" fontId="55" fillId="0" borderId="8" xfId="1" applyNumberFormat="1" applyFont="1" applyBorder="1" applyAlignment="1">
      <alignment vertical="center"/>
    </xf>
    <xf numFmtId="0" fontId="10" fillId="0" borderId="32" xfId="0" applyFont="1" applyBorder="1" applyAlignment="1">
      <alignment vertical="center"/>
    </xf>
    <xf numFmtId="164" fontId="10" fillId="0" borderId="8" xfId="2" applyFont="1" applyBorder="1" applyAlignment="1">
      <alignment vertical="center"/>
    </xf>
    <xf numFmtId="177" fontId="10" fillId="0" borderId="9" xfId="2" applyNumberFormat="1" applyFont="1" applyBorder="1" applyAlignment="1">
      <alignment vertical="center"/>
    </xf>
    <xf numFmtId="165" fontId="10" fillId="0" borderId="0" xfId="0" applyNumberFormat="1" applyFont="1" applyAlignment="1">
      <alignment vertical="center"/>
    </xf>
    <xf numFmtId="0" fontId="56" fillId="0" borderId="0" xfId="0" applyFont="1" applyAlignment="1">
      <alignment vertical="center"/>
    </xf>
    <xf numFmtId="0" fontId="63" fillId="0" borderId="0" xfId="0" applyFont="1" applyAlignment="1">
      <alignment vertical="center"/>
    </xf>
    <xf numFmtId="169" fontId="63" fillId="0" borderId="0" xfId="1" applyNumberFormat="1" applyFont="1" applyAlignment="1">
      <alignment vertical="center"/>
    </xf>
    <xf numFmtId="164" fontId="63" fillId="0" borderId="0" xfId="2" applyFont="1" applyAlignment="1">
      <alignment vertical="center"/>
    </xf>
    <xf numFmtId="39" fontId="13" fillId="0" borderId="0" xfId="6" applyNumberFormat="1" applyFont="1" applyBorder="1"/>
    <xf numFmtId="0" fontId="21" fillId="0" borderId="0" xfId="6" applyFont="1" applyBorder="1" applyAlignment="1">
      <alignment vertical="center" wrapText="1"/>
    </xf>
    <xf numFmtId="165" fontId="15" fillId="0" borderId="0" xfId="7" applyNumberFormat="1" applyBorder="1"/>
    <xf numFmtId="0" fontId="30" fillId="0" borderId="394" xfId="7" applyFont="1" applyBorder="1" applyAlignment="1">
      <alignment horizontal="center" wrapText="1"/>
    </xf>
    <xf numFmtId="0" fontId="30" fillId="0" borderId="394" xfId="7" applyFont="1" applyBorder="1"/>
    <xf numFmtId="0" fontId="18" fillId="0" borderId="394" xfId="7" applyFont="1" applyBorder="1" applyAlignment="1">
      <alignment horizontal="center" vertical="center" wrapText="1"/>
    </xf>
    <xf numFmtId="0" fontId="19" fillId="2" borderId="394" xfId="7" applyFont="1" applyFill="1" applyBorder="1" applyAlignment="1">
      <alignment horizontal="center" vertical="center"/>
    </xf>
    <xf numFmtId="0" fontId="19" fillId="2" borderId="394" xfId="7" applyFont="1" applyFill="1" applyBorder="1" applyAlignment="1">
      <alignment vertical="center"/>
    </xf>
    <xf numFmtId="0" fontId="18" fillId="2" borderId="394" xfId="7" applyFont="1" applyFill="1" applyBorder="1" applyAlignment="1">
      <alignment vertical="center"/>
    </xf>
    <xf numFmtId="4" fontId="18" fillId="2" borderId="394" xfId="7" applyNumberFormat="1" applyFont="1" applyFill="1" applyBorder="1" applyAlignment="1">
      <alignment vertical="center"/>
    </xf>
    <xf numFmtId="0" fontId="30" fillId="2" borderId="394" xfId="7" applyFont="1" applyFill="1" applyBorder="1" applyAlignment="1">
      <alignment horizontal="center" vertical="center" wrapText="1"/>
    </xf>
    <xf numFmtId="0" fontId="15" fillId="2" borderId="394" xfId="7" applyFill="1" applyBorder="1" applyAlignment="1">
      <alignment vertical="center"/>
    </xf>
    <xf numFmtId="4" fontId="32" fillId="2" borderId="394" xfId="7" applyNumberFormat="1" applyFont="1" applyFill="1" applyBorder="1" applyAlignment="1">
      <alignment vertical="center"/>
    </xf>
    <xf numFmtId="0" fontId="18" fillId="0" borderId="394" xfId="13" applyFont="1" applyBorder="1" applyAlignment="1">
      <alignment vertical="center" wrapText="1"/>
    </xf>
    <xf numFmtId="0" fontId="18" fillId="2" borderId="394" xfId="7" applyFont="1" applyFill="1" applyBorder="1" applyAlignment="1">
      <alignment horizontal="center" vertical="center"/>
    </xf>
    <xf numFmtId="0" fontId="0" fillId="0" borderId="394" xfId="0" applyBorder="1"/>
    <xf numFmtId="0" fontId="19" fillId="2" borderId="394" xfId="14" applyFont="1" applyFill="1" applyBorder="1" applyAlignment="1">
      <alignment vertical="center"/>
    </xf>
    <xf numFmtId="4" fontId="18" fillId="2" borderId="394" xfId="5" applyNumberFormat="1" applyFont="1" applyFill="1" applyBorder="1" applyAlignment="1">
      <alignment vertical="center"/>
    </xf>
    <xf numFmtId="0" fontId="18" fillId="0" borderId="394" xfId="14" applyFont="1" applyBorder="1" applyAlignment="1">
      <alignment horizontal="center" vertical="center"/>
    </xf>
    <xf numFmtId="0" fontId="18" fillId="0" borderId="394" xfId="14" applyFont="1" applyBorder="1" applyAlignment="1">
      <alignment vertical="center" wrapText="1"/>
    </xf>
    <xf numFmtId="0" fontId="17" fillId="0" borderId="431" xfId="6" applyFont="1" applyBorder="1" applyAlignment="1">
      <alignment horizontal="center"/>
    </xf>
    <xf numFmtId="0" fontId="13" fillId="0" borderId="430" xfId="6" applyFont="1" applyBorder="1"/>
    <xf numFmtId="0" fontId="13" fillId="0" borderId="432" xfId="6" applyFont="1" applyBorder="1" applyAlignment="1">
      <alignment horizontal="center"/>
    </xf>
    <xf numFmtId="167" fontId="13" fillId="0" borderId="433" xfId="5" applyNumberFormat="1" applyFont="1" applyBorder="1"/>
    <xf numFmtId="165" fontId="13" fillId="0" borderId="432" xfId="5" applyFont="1" applyBorder="1"/>
    <xf numFmtId="165" fontId="13" fillId="0" borderId="430" xfId="5" applyFont="1" applyBorder="1"/>
    <xf numFmtId="0" fontId="18" fillId="0" borderId="0" xfId="7" applyFont="1" applyBorder="1" applyAlignment="1">
      <alignment horizontal="center" vertical="center"/>
    </xf>
    <xf numFmtId="0" fontId="13" fillId="0" borderId="434" xfId="6" applyFont="1" applyBorder="1"/>
    <xf numFmtId="165" fontId="7" fillId="0" borderId="0" xfId="19" applyNumberFormat="1"/>
    <xf numFmtId="165" fontId="13" fillId="0" borderId="414" xfId="5" applyFont="1" applyBorder="1"/>
    <xf numFmtId="167" fontId="13" fillId="0" borderId="435" xfId="5" applyNumberFormat="1" applyFont="1" applyBorder="1"/>
    <xf numFmtId="165" fontId="13" fillId="0" borderId="436" xfId="5" applyFont="1" applyBorder="1"/>
    <xf numFmtId="165" fontId="13" fillId="0" borderId="434" xfId="5" applyFont="1" applyBorder="1"/>
    <xf numFmtId="0" fontId="19" fillId="0" borderId="431" xfId="6" applyFont="1" applyBorder="1" applyAlignment="1">
      <alignment horizontal="center"/>
    </xf>
    <xf numFmtId="0" fontId="18" fillId="0" borderId="330" xfId="6" applyFont="1" applyBorder="1" applyAlignment="1">
      <alignment horizontal="center"/>
    </xf>
    <xf numFmtId="0" fontId="18" fillId="0" borderId="330" xfId="19" applyFont="1" applyBorder="1" applyAlignment="1">
      <alignment vertical="center"/>
    </xf>
    <xf numFmtId="0" fontId="18" fillId="0" borderId="431" xfId="11" applyFont="1" applyBorder="1" applyAlignment="1">
      <alignment horizontal="center" vertical="center"/>
    </xf>
    <xf numFmtId="167" fontId="18" fillId="0" borderId="437" xfId="8" applyNumberFormat="1" applyFont="1" applyBorder="1" applyAlignment="1">
      <alignment horizontal="right" vertical="center"/>
    </xf>
    <xf numFmtId="165" fontId="18" fillId="0" borderId="434" xfId="5" applyFont="1" applyBorder="1"/>
    <xf numFmtId="167" fontId="18" fillId="0" borderId="431" xfId="8" applyNumberFormat="1" applyFont="1" applyBorder="1" applyAlignment="1">
      <alignment horizontal="right" vertical="center"/>
    </xf>
    <xf numFmtId="165" fontId="18" fillId="0" borderId="430" xfId="5" applyFont="1" applyBorder="1"/>
    <xf numFmtId="0" fontId="18" fillId="0" borderId="431" xfId="19" applyFont="1" applyBorder="1" applyAlignment="1">
      <alignment horizontal="center" vertical="center"/>
    </xf>
    <xf numFmtId="167" fontId="18" fillId="0" borderId="431" xfId="8" applyNumberFormat="1" applyFont="1" applyBorder="1" applyAlignment="1">
      <alignment vertical="center"/>
    </xf>
    <xf numFmtId="0" fontId="19" fillId="0" borderId="308" xfId="6" applyFont="1" applyBorder="1" applyAlignment="1">
      <alignment horizontal="center"/>
    </xf>
    <xf numFmtId="0" fontId="18" fillId="0" borderId="307" xfId="6" applyFont="1" applyBorder="1" applyAlignment="1">
      <alignment horizontal="center"/>
    </xf>
    <xf numFmtId="0" fontId="18" fillId="0" borderId="307" xfId="19" applyFont="1" applyBorder="1" applyAlignment="1">
      <alignment vertical="center"/>
    </xf>
    <xf numFmtId="0" fontId="18" fillId="0" borderId="308" xfId="19" applyFont="1" applyBorder="1" applyAlignment="1">
      <alignment horizontal="center" vertical="center"/>
    </xf>
    <xf numFmtId="167" fontId="18" fillId="0" borderId="308" xfId="8" applyNumberFormat="1" applyFont="1" applyBorder="1" applyAlignment="1">
      <alignment horizontal="right" vertical="center"/>
    </xf>
    <xf numFmtId="0" fontId="17" fillId="0" borderId="405" xfId="6" applyFont="1" applyBorder="1" applyAlignment="1">
      <alignment horizontal="center"/>
    </xf>
    <xf numFmtId="0" fontId="13" fillId="0" borderId="397" xfId="6" quotePrefix="1" applyFont="1" applyBorder="1" applyAlignment="1">
      <alignment horizontal="center"/>
    </xf>
    <xf numFmtId="0" fontId="13" fillId="0" borderId="397" xfId="6" applyFont="1" applyBorder="1" applyAlignment="1">
      <alignment horizontal="center"/>
    </xf>
    <xf numFmtId="166" fontId="13" fillId="0" borderId="397" xfId="5" applyNumberFormat="1" applyFont="1" applyBorder="1"/>
    <xf numFmtId="165" fontId="13" fillId="0" borderId="398" xfId="5" applyFont="1" applyBorder="1"/>
    <xf numFmtId="165" fontId="13" fillId="0" borderId="404" xfId="5" applyFont="1" applyBorder="1"/>
    <xf numFmtId="0" fontId="18" fillId="0" borderId="143" xfId="19" applyFont="1" applyBorder="1" applyAlignment="1">
      <alignment horizontal="center" vertical="center"/>
    </xf>
    <xf numFmtId="165" fontId="19" fillId="0" borderId="438" xfId="8" applyFont="1" applyBorder="1" applyAlignment="1">
      <alignment vertical="center"/>
    </xf>
    <xf numFmtId="165" fontId="19" fillId="0" borderId="307" xfId="8" applyFont="1" applyBorder="1" applyAlignment="1">
      <alignment vertical="center"/>
    </xf>
    <xf numFmtId="165" fontId="19" fillId="0" borderId="305" xfId="8" applyFont="1" applyBorder="1" applyAlignment="1">
      <alignment vertical="center"/>
    </xf>
    <xf numFmtId="165" fontId="0" fillId="0" borderId="0" xfId="0" applyNumberFormat="1" applyFill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59" fillId="0" borderId="439" xfId="0" applyFont="1" applyFill="1" applyBorder="1" applyAlignment="1">
      <alignment vertical="center"/>
    </xf>
    <xf numFmtId="165" fontId="59" fillId="0" borderId="440" xfId="1" applyFont="1" applyFill="1" applyBorder="1" applyAlignment="1">
      <alignment vertical="center"/>
    </xf>
    <xf numFmtId="0" fontId="59" fillId="0" borderId="440" xfId="0" applyFont="1" applyFill="1" applyBorder="1" applyAlignment="1">
      <alignment horizontal="center" vertical="center"/>
    </xf>
    <xf numFmtId="0" fontId="59" fillId="0" borderId="442" xfId="0" applyFont="1" applyFill="1" applyBorder="1" applyAlignment="1">
      <alignment horizontal="center" vertical="center"/>
    </xf>
    <xf numFmtId="0" fontId="59" fillId="0" borderId="443" xfId="0" applyFont="1" applyFill="1" applyBorder="1" applyAlignment="1">
      <alignment vertical="center"/>
    </xf>
    <xf numFmtId="165" fontId="59" fillId="0" borderId="441" xfId="0" applyNumberFormat="1" applyFont="1" applyFill="1" applyBorder="1" applyAlignment="1">
      <alignment vertical="center"/>
    </xf>
    <xf numFmtId="165" fontId="19" fillId="0" borderId="144" xfId="8" applyFont="1" applyBorder="1" applyAlignment="1">
      <alignment vertical="center"/>
    </xf>
    <xf numFmtId="167" fontId="18" fillId="0" borderId="112" xfId="8" applyNumberFormat="1" applyFont="1" applyBorder="1" applyAlignment="1">
      <alignment horizontal="right" vertical="center"/>
    </xf>
    <xf numFmtId="0" fontId="68" fillId="0" borderId="0" xfId="0" applyFont="1" applyAlignment="1">
      <alignment horizontal="center" vertical="center"/>
    </xf>
    <xf numFmtId="0" fontId="59" fillId="0" borderId="444" xfId="0" applyFont="1" applyFill="1" applyBorder="1" applyAlignment="1">
      <alignment horizontal="center" vertical="center"/>
    </xf>
    <xf numFmtId="0" fontId="60" fillId="0" borderId="2" xfId="0" applyFont="1" applyFill="1" applyBorder="1" applyAlignment="1">
      <alignment vertical="center"/>
    </xf>
    <xf numFmtId="165" fontId="59" fillId="0" borderId="277" xfId="1" applyFont="1" applyFill="1" applyBorder="1" applyAlignment="1">
      <alignment vertical="center"/>
    </xf>
    <xf numFmtId="0" fontId="60" fillId="0" borderId="277" xfId="0" applyFont="1" applyFill="1" applyBorder="1" applyAlignment="1">
      <alignment horizontal="center" vertical="center"/>
    </xf>
    <xf numFmtId="165" fontId="59" fillId="0" borderId="446" xfId="0" applyNumberFormat="1" applyFont="1" applyFill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165" fontId="60" fillId="0" borderId="11" xfId="0" applyNumberFormat="1" applyFont="1" applyFill="1" applyBorder="1" applyAlignment="1">
      <alignment horizontal="right" vertical="center"/>
    </xf>
    <xf numFmtId="165" fontId="60" fillId="0" borderId="12" xfId="0" applyNumberFormat="1" applyFont="1" applyFill="1" applyBorder="1" applyAlignment="1">
      <alignment horizontal="right" vertical="center"/>
    </xf>
    <xf numFmtId="165" fontId="60" fillId="0" borderId="447" xfId="0" applyNumberFormat="1" applyFont="1" applyFill="1" applyBorder="1" applyAlignment="1">
      <alignment vertical="center"/>
    </xf>
    <xf numFmtId="165" fontId="60" fillId="0" borderId="11" xfId="1" applyFont="1" applyFill="1" applyBorder="1" applyAlignment="1">
      <alignment vertical="center"/>
    </xf>
    <xf numFmtId="0" fontId="59" fillId="0" borderId="448" xfId="0" applyFont="1" applyFill="1" applyBorder="1" applyAlignment="1">
      <alignment vertical="center"/>
    </xf>
    <xf numFmtId="0" fontId="59" fillId="0" borderId="449" xfId="0" applyFont="1" applyFill="1" applyBorder="1" applyAlignment="1">
      <alignment vertical="center"/>
    </xf>
    <xf numFmtId="165" fontId="59" fillId="0" borderId="450" xfId="1" applyFont="1" applyFill="1" applyBorder="1" applyAlignment="1">
      <alignment vertical="center"/>
    </xf>
    <xf numFmtId="0" fontId="59" fillId="0" borderId="450" xfId="0" applyFont="1" applyFill="1" applyBorder="1" applyAlignment="1">
      <alignment horizontal="center" vertical="center"/>
    </xf>
    <xf numFmtId="165" fontId="59" fillId="0" borderId="451" xfId="0" applyNumberFormat="1" applyFont="1" applyFill="1" applyBorder="1" applyAlignment="1">
      <alignment vertical="center"/>
    </xf>
    <xf numFmtId="0" fontId="59" fillId="0" borderId="11" xfId="0" applyFont="1" applyFill="1" applyBorder="1" applyAlignment="1">
      <alignment vertical="center"/>
    </xf>
    <xf numFmtId="0" fontId="60" fillId="0" borderId="11" xfId="0" applyFont="1" applyFill="1" applyBorder="1" applyAlignment="1">
      <alignment horizontal="right" vertical="center"/>
    </xf>
    <xf numFmtId="0" fontId="60" fillId="0" borderId="55" xfId="0" applyFont="1" applyFill="1" applyBorder="1" applyAlignment="1">
      <alignment horizontal="center" vertical="center"/>
    </xf>
    <xf numFmtId="0" fontId="49" fillId="0" borderId="0" xfId="0" applyFont="1" applyAlignment="1">
      <alignment horizontal="center" vertical="center"/>
    </xf>
    <xf numFmtId="165" fontId="59" fillId="0" borderId="0" xfId="0" applyNumberFormat="1" applyFont="1" applyFill="1" applyAlignment="1">
      <alignment vertical="center"/>
    </xf>
    <xf numFmtId="0" fontId="10" fillId="0" borderId="397" xfId="0" applyFont="1" applyBorder="1" applyAlignment="1">
      <alignment vertical="center"/>
    </xf>
    <xf numFmtId="0" fontId="18" fillId="0" borderId="454" xfId="7" applyFont="1" applyBorder="1" applyAlignment="1">
      <alignment horizontal="center" vertical="center"/>
    </xf>
    <xf numFmtId="0" fontId="9" fillId="0" borderId="453" xfId="0" applyFont="1" applyBorder="1" applyAlignment="1">
      <alignment horizontal="center"/>
    </xf>
    <xf numFmtId="0" fontId="59" fillId="0" borderId="40" xfId="0" applyFont="1" applyFill="1" applyBorder="1" applyAlignment="1">
      <alignment horizontal="center" vertical="center"/>
    </xf>
    <xf numFmtId="0" fontId="59" fillId="0" borderId="40" xfId="0" applyFont="1" applyFill="1" applyBorder="1" applyAlignment="1">
      <alignment vertical="center"/>
    </xf>
    <xf numFmtId="165" fontId="59" fillId="0" borderId="40" xfId="0" applyNumberFormat="1" applyFont="1" applyFill="1" applyBorder="1" applyAlignment="1">
      <alignment vertical="center"/>
    </xf>
    <xf numFmtId="166" fontId="59" fillId="0" borderId="455" xfId="1" applyNumberFormat="1" applyFont="1" applyFill="1" applyBorder="1" applyAlignment="1">
      <alignment horizontal="left" vertical="center"/>
    </xf>
    <xf numFmtId="0" fontId="60" fillId="0" borderId="441" xfId="0" applyFont="1" applyFill="1" applyBorder="1" applyAlignment="1">
      <alignment vertical="center"/>
    </xf>
    <xf numFmtId="0" fontId="7" fillId="0" borderId="0" xfId="7" applyFont="1" applyBorder="1"/>
    <xf numFmtId="0" fontId="60" fillId="0" borderId="11" xfId="0" applyFont="1" applyFill="1" applyBorder="1" applyAlignment="1">
      <alignment horizontal="right" vertical="center"/>
    </xf>
    <xf numFmtId="0" fontId="11" fillId="0" borderId="0" xfId="0" applyFont="1" applyBorder="1" applyAlignment="1">
      <alignment horizontal="center" vertical="center"/>
    </xf>
    <xf numFmtId="0" fontId="60" fillId="0" borderId="5" xfId="0" applyFont="1" applyFill="1" applyBorder="1" applyAlignment="1">
      <alignment horizontal="right" vertical="center"/>
    </xf>
    <xf numFmtId="0" fontId="60" fillId="0" borderId="19" xfId="0" applyFont="1" applyFill="1" applyBorder="1" applyAlignment="1">
      <alignment horizontal="center" vertical="center"/>
    </xf>
    <xf numFmtId="0" fontId="60" fillId="0" borderId="19" xfId="0" applyFont="1" applyFill="1" applyBorder="1" applyAlignment="1">
      <alignment horizontal="right" vertical="center"/>
    </xf>
    <xf numFmtId="0" fontId="60" fillId="0" borderId="277" xfId="0" applyFont="1" applyFill="1" applyBorder="1" applyAlignment="1">
      <alignment horizontal="right" vertical="center"/>
    </xf>
    <xf numFmtId="165" fontId="60" fillId="0" borderId="278" xfId="0" applyNumberFormat="1" applyFont="1" applyFill="1" applyBorder="1" applyAlignment="1">
      <alignment vertical="center"/>
    </xf>
    <xf numFmtId="0" fontId="49" fillId="0" borderId="0" xfId="0" applyFont="1" applyAlignment="1">
      <alignment horizontal="center" vertical="center"/>
    </xf>
    <xf numFmtId="0" fontId="17" fillId="0" borderId="457" xfId="6" applyFont="1" applyBorder="1" applyAlignment="1">
      <alignment horizontal="center"/>
    </xf>
    <xf numFmtId="167" fontId="13" fillId="0" borderId="458" xfId="12" applyNumberFormat="1" applyFont="1" applyBorder="1"/>
    <xf numFmtId="165" fontId="59" fillId="0" borderId="459" xfId="1" applyFont="1" applyFill="1" applyBorder="1" applyAlignment="1">
      <alignment vertical="center"/>
    </xf>
    <xf numFmtId="0" fontId="49" fillId="0" borderId="0" xfId="0" applyFont="1" applyAlignment="1">
      <alignment horizontal="center" vertical="center"/>
    </xf>
    <xf numFmtId="0" fontId="0" fillId="0" borderId="0" xfId="0" applyBorder="1"/>
    <xf numFmtId="0" fontId="0" fillId="0" borderId="0" xfId="0" applyBorder="1" applyAlignment="1"/>
    <xf numFmtId="0" fontId="0" fillId="0" borderId="0" xfId="0" applyFill="1" applyBorder="1" applyAlignment="1"/>
    <xf numFmtId="0" fontId="0" fillId="0" borderId="0" xfId="0" applyFill="1" applyBorder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394" xfId="0" applyBorder="1" applyAlignment="1">
      <alignment vertical="center"/>
    </xf>
    <xf numFmtId="0" fontId="0" fillId="0" borderId="0" xfId="0" applyFill="1"/>
    <xf numFmtId="0" fontId="74" fillId="9" borderId="394" xfId="0" applyFont="1" applyFill="1" applyBorder="1"/>
    <xf numFmtId="0" fontId="9" fillId="9" borderId="394" xfId="0" applyFont="1" applyFill="1" applyBorder="1"/>
    <xf numFmtId="0" fontId="9" fillId="6" borderId="394" xfId="0" applyFont="1" applyFill="1" applyBorder="1"/>
    <xf numFmtId="0" fontId="9" fillId="0" borderId="394" xfId="0" applyFont="1" applyBorder="1"/>
    <xf numFmtId="0" fontId="75" fillId="10" borderId="394" xfId="0" applyFont="1" applyFill="1" applyBorder="1"/>
    <xf numFmtId="0" fontId="71" fillId="0" borderId="394" xfId="0" applyFont="1" applyBorder="1"/>
    <xf numFmtId="0" fontId="9" fillId="0" borderId="394" xfId="0" applyFont="1" applyFill="1" applyBorder="1" applyAlignment="1"/>
    <xf numFmtId="0" fontId="71" fillId="0" borderId="394" xfId="0" applyFont="1" applyFill="1" applyBorder="1" applyAlignment="1"/>
    <xf numFmtId="0" fontId="71" fillId="0" borderId="394" xfId="0" applyFont="1" applyFill="1" applyBorder="1"/>
    <xf numFmtId="0" fontId="76" fillId="0" borderId="0" xfId="0" applyFont="1" applyFill="1" applyBorder="1" applyAlignment="1">
      <alignment horizontal="center" vertical="center"/>
    </xf>
    <xf numFmtId="168" fontId="49" fillId="0" borderId="0" xfId="0" applyNumberFormat="1" applyFont="1" applyFill="1" applyAlignment="1">
      <alignment horizontal="center" vertical="center"/>
    </xf>
    <xf numFmtId="0" fontId="49" fillId="0" borderId="394" xfId="0" applyFont="1" applyBorder="1" applyAlignment="1">
      <alignment horizontal="center" vertical="center"/>
    </xf>
    <xf numFmtId="0" fontId="49" fillId="2" borderId="394" xfId="0" applyFont="1" applyFill="1" applyBorder="1" applyAlignment="1">
      <alignment horizontal="center" vertical="center"/>
    </xf>
    <xf numFmtId="0" fontId="49" fillId="7" borderId="394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68" fillId="0" borderId="394" xfId="0" applyFont="1" applyBorder="1" applyAlignment="1">
      <alignment horizontal="center" vertical="center"/>
    </xf>
    <xf numFmtId="168" fontId="49" fillId="0" borderId="394" xfId="0" applyNumberFormat="1" applyFont="1" applyBorder="1" applyAlignment="1">
      <alignment horizontal="center" vertical="center"/>
    </xf>
    <xf numFmtId="2" fontId="49" fillId="0" borderId="394" xfId="0" applyNumberFormat="1" applyFont="1" applyBorder="1" applyAlignment="1">
      <alignment horizontal="center" vertical="center"/>
    </xf>
    <xf numFmtId="2" fontId="49" fillId="8" borderId="394" xfId="0" applyNumberFormat="1" applyFont="1" applyFill="1" applyBorder="1" applyAlignment="1">
      <alignment horizontal="center" vertical="center"/>
    </xf>
    <xf numFmtId="2" fontId="49" fillId="2" borderId="394" xfId="0" applyNumberFormat="1" applyFont="1" applyFill="1" applyBorder="1" applyAlignment="1">
      <alignment horizontal="center" vertical="center"/>
    </xf>
    <xf numFmtId="2" fontId="49" fillId="7" borderId="394" xfId="0" applyNumberFormat="1" applyFont="1" applyFill="1" applyBorder="1" applyAlignment="1">
      <alignment horizontal="center" vertical="center"/>
    </xf>
    <xf numFmtId="0" fontId="50" fillId="0" borderId="0" xfId="0" applyFont="1" applyFill="1" applyAlignment="1">
      <alignment horizontal="center" vertical="center"/>
    </xf>
    <xf numFmtId="0" fontId="68" fillId="0" borderId="0" xfId="0" applyFont="1" applyFill="1" applyAlignment="1">
      <alignment horizontal="center" vertical="center"/>
    </xf>
    <xf numFmtId="2" fontId="49" fillId="0" borderId="0" xfId="0" applyNumberFormat="1" applyFont="1" applyFill="1" applyAlignment="1">
      <alignment horizontal="center" vertical="center"/>
    </xf>
    <xf numFmtId="0" fontId="50" fillId="0" borderId="0" xfId="0" applyFont="1" applyFill="1" applyBorder="1" applyAlignment="1">
      <alignment horizontal="right" vertical="center"/>
    </xf>
    <xf numFmtId="0" fontId="49" fillId="0" borderId="0" xfId="0" applyFont="1" applyFill="1" applyBorder="1" applyAlignment="1">
      <alignment horizontal="center" vertical="center"/>
    </xf>
    <xf numFmtId="0" fontId="79" fillId="0" borderId="0" xfId="0" applyFont="1" applyFill="1" applyBorder="1" applyAlignment="1">
      <alignment horizontal="right" vertical="center"/>
    </xf>
    <xf numFmtId="0" fontId="49" fillId="0" borderId="394" xfId="0" applyFont="1" applyBorder="1" applyAlignment="1">
      <alignment horizontal="center" vertical="center"/>
    </xf>
    <xf numFmtId="0" fontId="58" fillId="0" borderId="0" xfId="20"/>
    <xf numFmtId="165" fontId="58" fillId="0" borderId="0" xfId="20" applyNumberFormat="1"/>
    <xf numFmtId="181" fontId="15" fillId="0" borderId="0" xfId="7" applyNumberFormat="1"/>
    <xf numFmtId="172" fontId="17" fillId="0" borderId="336" xfId="6" applyNumberFormat="1" applyFont="1" applyFill="1" applyBorder="1" applyAlignment="1">
      <alignment horizontal="center"/>
    </xf>
    <xf numFmtId="0" fontId="13" fillId="0" borderId="330" xfId="6" quotePrefix="1" applyFont="1" applyFill="1" applyBorder="1" applyAlignment="1">
      <alignment horizontal="center"/>
    </xf>
    <xf numFmtId="0" fontId="70" fillId="0" borderId="0" xfId="21" applyFont="1" applyAlignment="1">
      <alignment vertical="center"/>
    </xf>
    <xf numFmtId="0" fontId="58" fillId="0" borderId="0" xfId="20" applyAlignment="1">
      <alignment vertical="center"/>
    </xf>
    <xf numFmtId="0" fontId="9" fillId="0" borderId="394" xfId="0" applyFont="1" applyBorder="1" applyAlignment="1">
      <alignment horizontal="center" vertical="center"/>
    </xf>
    <xf numFmtId="0" fontId="49" fillId="0" borderId="394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0" fillId="0" borderId="394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9" fillId="0" borderId="394" xfId="0" applyFont="1" applyBorder="1" applyAlignment="1">
      <alignment vertical="center"/>
    </xf>
    <xf numFmtId="0" fontId="11" fillId="0" borderId="394" xfId="0" applyFont="1" applyBorder="1" applyAlignment="1">
      <alignment horizontal="center" vertical="center"/>
    </xf>
    <xf numFmtId="0" fontId="0" fillId="2" borderId="394" xfId="0" applyFill="1" applyBorder="1" applyAlignment="1">
      <alignment horizontal="center"/>
    </xf>
    <xf numFmtId="0" fontId="0" fillId="0" borderId="394" xfId="0" applyBorder="1" applyAlignment="1">
      <alignment horizontal="center"/>
    </xf>
    <xf numFmtId="165" fontId="58" fillId="0" borderId="0" xfId="20" applyNumberFormat="1"/>
    <xf numFmtId="0" fontId="49" fillId="0" borderId="394" xfId="0" applyFont="1" applyBorder="1" applyAlignment="1">
      <alignment horizontal="center" vertical="center"/>
    </xf>
    <xf numFmtId="0" fontId="19" fillId="0" borderId="459" xfId="6" applyFont="1" applyBorder="1" applyAlignment="1">
      <alignment horizontal="center"/>
    </xf>
    <xf numFmtId="0" fontId="80" fillId="12" borderId="0" xfId="0" applyFont="1" applyFill="1" applyAlignment="1">
      <alignment vertical="center" wrapText="1"/>
    </xf>
    <xf numFmtId="1" fontId="80" fillId="12" borderId="0" xfId="0" applyNumberFormat="1" applyFont="1" applyFill="1" applyAlignment="1">
      <alignment vertical="center" wrapText="1"/>
    </xf>
    <xf numFmtId="0" fontId="5" fillId="0" borderId="0" xfId="7" applyFont="1"/>
    <xf numFmtId="0" fontId="18" fillId="0" borderId="439" xfId="19" applyFont="1" applyBorder="1" applyAlignment="1">
      <alignment vertical="center"/>
    </xf>
    <xf numFmtId="165" fontId="58" fillId="0" borderId="0" xfId="20" applyNumberFormat="1" applyBorder="1"/>
    <xf numFmtId="164" fontId="44" fillId="0" borderId="405" xfId="2" applyFont="1" applyBorder="1" applyAlignment="1">
      <alignment horizontal="center" vertical="center"/>
    </xf>
    <xf numFmtId="164" fontId="40" fillId="0" borderId="405" xfId="2" applyFont="1" applyBorder="1"/>
    <xf numFmtId="0" fontId="9" fillId="6" borderId="0" xfId="0" applyFont="1" applyFill="1" applyAlignment="1">
      <alignment vertical="center"/>
    </xf>
    <xf numFmtId="0" fontId="0" fillId="6" borderId="0" xfId="0" applyFill="1" applyAlignment="1">
      <alignment vertical="center"/>
    </xf>
    <xf numFmtId="0" fontId="69" fillId="6" borderId="0" xfId="0" applyFont="1" applyFill="1" applyAlignment="1">
      <alignment vertical="center"/>
    </xf>
    <xf numFmtId="0" fontId="11" fillId="0" borderId="394" xfId="0" applyFont="1" applyFill="1" applyBorder="1" applyAlignment="1">
      <alignment horizontal="center" vertical="center"/>
    </xf>
    <xf numFmtId="0" fontId="18" fillId="0" borderId="461" xfId="7" applyFont="1" applyBorder="1"/>
    <xf numFmtId="0" fontId="18" fillId="0" borderId="456" xfId="7" applyFont="1" applyBorder="1"/>
    <xf numFmtId="0" fontId="18" fillId="0" borderId="439" xfId="7" applyFont="1" applyBorder="1"/>
    <xf numFmtId="165" fontId="18" fillId="0" borderId="462" xfId="7" applyNumberFormat="1" applyFont="1" applyBorder="1" applyAlignment="1">
      <alignment horizontal="center"/>
    </xf>
    <xf numFmtId="182" fontId="15" fillId="0" borderId="0" xfId="7" applyNumberFormat="1" applyBorder="1"/>
    <xf numFmtId="0" fontId="70" fillId="0" borderId="0" xfId="21" applyFont="1" applyBorder="1" applyAlignment="1">
      <alignment vertical="center"/>
    </xf>
    <xf numFmtId="0" fontId="49" fillId="0" borderId="394" xfId="0" applyFont="1" applyBorder="1" applyAlignment="1">
      <alignment horizontal="center" vertical="center"/>
    </xf>
    <xf numFmtId="0" fontId="53" fillId="0" borderId="394" xfId="0" applyFont="1" applyBorder="1" applyAlignment="1">
      <alignment horizontal="center" vertical="center"/>
    </xf>
    <xf numFmtId="4" fontId="9" fillId="0" borderId="394" xfId="0" applyNumberFormat="1" applyFont="1" applyBorder="1"/>
    <xf numFmtId="0" fontId="49" fillId="11" borderId="0" xfId="0" applyFont="1" applyFill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60" fillId="0" borderId="11" xfId="0" applyFont="1" applyFill="1" applyBorder="1" applyAlignment="1">
      <alignment horizontal="right" vertical="center"/>
    </xf>
    <xf numFmtId="2" fontId="53" fillId="6" borderId="0" xfId="0" applyNumberFormat="1" applyFont="1" applyFill="1" applyAlignment="1">
      <alignment horizontal="center" vertical="center"/>
    </xf>
    <xf numFmtId="0" fontId="49" fillId="8" borderId="0" xfId="0" applyFont="1" applyFill="1" applyAlignment="1">
      <alignment horizontal="center" vertical="center"/>
    </xf>
    <xf numFmtId="2" fontId="49" fillId="2" borderId="0" xfId="0" applyNumberFormat="1" applyFont="1" applyFill="1" applyAlignment="1">
      <alignment horizontal="center" vertical="center"/>
    </xf>
    <xf numFmtId="2" fontId="49" fillId="9" borderId="0" xfId="0" applyNumberFormat="1" applyFont="1" applyFill="1" applyAlignment="1">
      <alignment horizontal="center" vertical="center"/>
    </xf>
    <xf numFmtId="0" fontId="59" fillId="0" borderId="276" xfId="0" applyFont="1" applyFill="1" applyBorder="1" applyAlignment="1">
      <alignment vertical="center"/>
    </xf>
    <xf numFmtId="0" fontId="59" fillId="0" borderId="273" xfId="0" applyFont="1" applyFill="1" applyBorder="1" applyAlignment="1">
      <alignment vertical="center"/>
    </xf>
    <xf numFmtId="165" fontId="59" fillId="0" borderId="274" xfId="1" applyFont="1" applyFill="1" applyBorder="1" applyAlignment="1">
      <alignment vertical="center"/>
    </xf>
    <xf numFmtId="0" fontId="59" fillId="0" borderId="274" xfId="0" applyFont="1" applyFill="1" applyBorder="1" applyAlignment="1">
      <alignment horizontal="center" vertical="center"/>
    </xf>
    <xf numFmtId="0" fontId="60" fillId="0" borderId="11" xfId="0" applyFont="1" applyFill="1" applyBorder="1" applyAlignment="1">
      <alignment horizontal="right" vertical="center"/>
    </xf>
    <xf numFmtId="0" fontId="0" fillId="0" borderId="394" xfId="0" applyBorder="1" applyAlignment="1">
      <alignment horizontal="center" vertical="center"/>
    </xf>
    <xf numFmtId="0" fontId="49" fillId="0" borderId="394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8" fillId="0" borderId="396" xfId="7" applyFont="1" applyBorder="1"/>
    <xf numFmtId="0" fontId="18" fillId="0" borderId="469" xfId="7" applyFont="1" applyBorder="1"/>
    <xf numFmtId="0" fontId="18" fillId="0" borderId="463" xfId="7" applyFont="1" applyBorder="1"/>
    <xf numFmtId="0" fontId="18" fillId="0" borderId="466" xfId="7" applyFont="1" applyBorder="1"/>
    <xf numFmtId="0" fontId="19" fillId="0" borderId="378" xfId="7" applyFont="1" applyBorder="1" applyAlignment="1">
      <alignment horizontal="center"/>
    </xf>
    <xf numFmtId="0" fontId="15" fillId="13" borderId="0" xfId="7" applyFill="1"/>
    <xf numFmtId="0" fontId="49" fillId="0" borderId="0" xfId="0" applyFont="1" applyAlignment="1">
      <alignment vertical="center"/>
    </xf>
    <xf numFmtId="0" fontId="82" fillId="10" borderId="405" xfId="0" applyFont="1" applyFill="1" applyBorder="1" applyAlignment="1">
      <alignment horizontal="center" vertical="center"/>
    </xf>
    <xf numFmtId="0" fontId="82" fillId="10" borderId="0" xfId="0" applyFont="1" applyFill="1" applyAlignment="1">
      <alignment horizontal="center" vertical="center"/>
    </xf>
    <xf numFmtId="0" fontId="81" fillId="10" borderId="394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65" fontId="13" fillId="0" borderId="471" xfId="12" applyFont="1" applyBorder="1"/>
    <xf numFmtId="0" fontId="15" fillId="0" borderId="470" xfId="7" applyBorder="1"/>
    <xf numFmtId="165" fontId="13" fillId="0" borderId="470" xfId="12" applyFont="1" applyBorder="1"/>
    <xf numFmtId="0" fontId="17" fillId="7" borderId="23" xfId="6" applyFont="1" applyFill="1" applyBorder="1" applyAlignment="1">
      <alignment horizontal="center"/>
    </xf>
    <xf numFmtId="0" fontId="13" fillId="7" borderId="5" xfId="6" quotePrefix="1" applyFont="1" applyFill="1" applyBorder="1" applyAlignment="1">
      <alignment horizontal="center"/>
    </xf>
    <xf numFmtId="0" fontId="13" fillId="7" borderId="68" xfId="6" applyFont="1" applyFill="1" applyBorder="1"/>
    <xf numFmtId="0" fontId="13" fillId="7" borderId="66" xfId="6" applyFont="1" applyFill="1" applyBorder="1" applyAlignment="1">
      <alignment horizontal="center"/>
    </xf>
    <xf numFmtId="167" fontId="13" fillId="7" borderId="67" xfId="5" applyNumberFormat="1" applyFont="1" applyFill="1" applyBorder="1"/>
    <xf numFmtId="165" fontId="13" fillId="7" borderId="66" xfId="5" applyFont="1" applyFill="1" applyBorder="1"/>
    <xf numFmtId="165" fontId="13" fillId="7" borderId="65" xfId="5" applyFont="1" applyFill="1" applyBorder="1"/>
    <xf numFmtId="165" fontId="13" fillId="7" borderId="0" xfId="5" applyFont="1" applyFill="1"/>
    <xf numFmtId="0" fontId="15" fillId="7" borderId="0" xfId="7" applyFill="1"/>
    <xf numFmtId="179" fontId="15" fillId="7" borderId="0" xfId="7" applyNumberFormat="1" applyFill="1"/>
    <xf numFmtId="172" fontId="17" fillId="7" borderId="76" xfId="6" applyNumberFormat="1" applyFont="1" applyFill="1" applyBorder="1" applyAlignment="1">
      <alignment horizontal="center"/>
    </xf>
    <xf numFmtId="0" fontId="13" fillId="7" borderId="155" xfId="6" quotePrefix="1" applyFont="1" applyFill="1" applyBorder="1" applyAlignment="1">
      <alignment horizontal="center"/>
    </xf>
    <xf numFmtId="0" fontId="13" fillId="7" borderId="65" xfId="6" applyFont="1" applyFill="1" applyBorder="1"/>
    <xf numFmtId="0" fontId="13" fillId="7" borderId="63" xfId="6" applyFont="1" applyFill="1" applyBorder="1" applyAlignment="1">
      <alignment horizontal="center"/>
    </xf>
    <xf numFmtId="167" fontId="13" fillId="7" borderId="63" xfId="5" applyNumberFormat="1" applyFont="1" applyFill="1" applyBorder="1"/>
    <xf numFmtId="165" fontId="13" fillId="7" borderId="63" xfId="5" applyFont="1" applyFill="1" applyBorder="1"/>
    <xf numFmtId="165" fontId="13" fillId="7" borderId="154" xfId="5" applyFont="1" applyFill="1" applyBorder="1"/>
    <xf numFmtId="0" fontId="15" fillId="7" borderId="0" xfId="7" applyFill="1" applyBorder="1"/>
    <xf numFmtId="0" fontId="11" fillId="0" borderId="0" xfId="0" applyFont="1" applyBorder="1" applyAlignment="1">
      <alignment horizontal="center" vertical="center"/>
    </xf>
    <xf numFmtId="0" fontId="83" fillId="10" borderId="394" xfId="0" applyFont="1" applyFill="1" applyBorder="1" applyAlignment="1">
      <alignment horizontal="center" vertical="center"/>
    </xf>
    <xf numFmtId="165" fontId="18" fillId="0" borderId="475" xfId="7" applyNumberFormat="1" applyFont="1" applyBorder="1" applyAlignment="1">
      <alignment horizontal="center"/>
    </xf>
    <xf numFmtId="0" fontId="18" fillId="0" borderId="454" xfId="7" applyFont="1" applyBorder="1" applyAlignment="1">
      <alignment horizontal="center"/>
    </xf>
    <xf numFmtId="0" fontId="38" fillId="0" borderId="0" xfId="7" applyFont="1" applyBorder="1"/>
    <xf numFmtId="0" fontId="49" fillId="0" borderId="394" xfId="0" applyFont="1" applyBorder="1" applyAlignment="1">
      <alignment horizontal="center" vertical="center"/>
    </xf>
    <xf numFmtId="0" fontId="0" fillId="0" borderId="0" xfId="0" applyFill="1" applyAlignment="1">
      <alignment horizontal="right" vertical="center"/>
    </xf>
    <xf numFmtId="0" fontId="60" fillId="0" borderId="11" xfId="0" applyFont="1" applyFill="1" applyBorder="1" applyAlignment="1">
      <alignment horizontal="right" vertical="center"/>
    </xf>
    <xf numFmtId="172" fontId="17" fillId="0" borderId="457" xfId="6" applyNumberFormat="1" applyFont="1" applyBorder="1" applyAlignment="1">
      <alignment horizontal="center"/>
    </xf>
    <xf numFmtId="0" fontId="59" fillId="0" borderId="18" xfId="0" applyFont="1" applyFill="1" applyBorder="1" applyAlignment="1">
      <alignment vertical="center"/>
    </xf>
    <xf numFmtId="165" fontId="59" fillId="0" borderId="244" xfId="0" applyNumberFormat="1" applyFont="1" applyFill="1" applyBorder="1" applyAlignment="1">
      <alignment horizontal="right" vertical="center"/>
    </xf>
    <xf numFmtId="0" fontId="59" fillId="0" borderId="243" xfId="0" applyFont="1" applyFill="1" applyBorder="1" applyAlignment="1">
      <alignment horizontal="left" vertical="center"/>
    </xf>
    <xf numFmtId="0" fontId="59" fillId="0" borderId="245" xfId="0" applyFont="1" applyFill="1" applyBorder="1" applyAlignment="1">
      <alignment horizontal="right" vertical="center"/>
    </xf>
    <xf numFmtId="0" fontId="59" fillId="0" borderId="0" xfId="0" applyFont="1" applyFill="1" applyAlignment="1">
      <alignment horizontal="right" vertical="center"/>
    </xf>
    <xf numFmtId="0" fontId="59" fillId="0" borderId="443" xfId="0" applyFont="1" applyFill="1" applyBorder="1" applyAlignment="1">
      <alignment horizontal="left" vertical="center"/>
    </xf>
    <xf numFmtId="0" fontId="59" fillId="0" borderId="417" xfId="0" applyFont="1" applyFill="1" applyBorder="1" applyAlignment="1">
      <alignment horizontal="right" vertical="center"/>
    </xf>
    <xf numFmtId="0" fontId="59" fillId="0" borderId="445" xfId="0" applyFont="1" applyFill="1" applyBorder="1" applyAlignment="1">
      <alignment horizontal="left" vertical="center"/>
    </xf>
    <xf numFmtId="0" fontId="59" fillId="0" borderId="386" xfId="0" applyFont="1" applyFill="1" applyBorder="1" applyAlignment="1">
      <alignment horizontal="right" vertical="center"/>
    </xf>
    <xf numFmtId="0" fontId="49" fillId="0" borderId="0" xfId="0" applyFont="1" applyAlignment="1">
      <alignment horizontal="center" vertical="center"/>
    </xf>
    <xf numFmtId="0" fontId="49" fillId="0" borderId="394" xfId="0" applyFont="1" applyBorder="1" applyAlignment="1">
      <alignment horizontal="center" vertical="center"/>
    </xf>
    <xf numFmtId="0" fontId="49" fillId="0" borderId="405" xfId="0" applyFont="1" applyBorder="1" applyAlignment="1">
      <alignment horizontal="center" vertical="center"/>
    </xf>
    <xf numFmtId="0" fontId="49" fillId="0" borderId="143" xfId="0" applyFont="1" applyBorder="1" applyAlignment="1">
      <alignment horizontal="center" vertical="center"/>
    </xf>
    <xf numFmtId="0" fontId="49" fillId="0" borderId="452" xfId="0" applyFont="1" applyBorder="1" applyAlignment="1">
      <alignment horizontal="center" vertical="center"/>
    </xf>
    <xf numFmtId="0" fontId="49" fillId="0" borderId="460" xfId="0" applyFont="1" applyBorder="1" applyAlignment="1">
      <alignment horizontal="center" vertical="center"/>
    </xf>
    <xf numFmtId="0" fontId="86" fillId="0" borderId="397" xfId="0" applyFont="1" applyBorder="1" applyAlignment="1">
      <alignment vertical="center"/>
    </xf>
    <xf numFmtId="0" fontId="49" fillId="0" borderId="394" xfId="0" applyFont="1" applyBorder="1" applyAlignment="1">
      <alignment horizontal="center" vertical="center"/>
    </xf>
    <xf numFmtId="0" fontId="49" fillId="0" borderId="143" xfId="0" applyFont="1" applyBorder="1" applyAlignment="1">
      <alignment horizontal="center" vertical="center"/>
    </xf>
    <xf numFmtId="0" fontId="87" fillId="6" borderId="394" xfId="20" applyFont="1" applyFill="1" applyBorder="1"/>
    <xf numFmtId="165" fontId="58" fillId="3" borderId="0" xfId="20" applyNumberFormat="1" applyFill="1"/>
    <xf numFmtId="0" fontId="88" fillId="0" borderId="0" xfId="0" applyFont="1" applyFill="1" applyBorder="1" applyAlignment="1">
      <alignment vertical="center"/>
    </xf>
    <xf numFmtId="0" fontId="49" fillId="2" borderId="143" xfId="0" applyFont="1" applyFill="1" applyBorder="1" applyAlignment="1">
      <alignment horizontal="center" vertical="center"/>
    </xf>
    <xf numFmtId="0" fontId="49" fillId="0" borderId="143" xfId="0" applyFont="1" applyFill="1" applyBorder="1" applyAlignment="1">
      <alignment horizontal="center" vertical="center"/>
    </xf>
    <xf numFmtId="0" fontId="82" fillId="10" borderId="490" xfId="0" applyFont="1" applyFill="1" applyBorder="1" applyAlignment="1">
      <alignment horizontal="center" vertical="center"/>
    </xf>
    <xf numFmtId="0" fontId="82" fillId="10" borderId="479" xfId="0" applyFont="1" applyFill="1" applyBorder="1" applyAlignment="1">
      <alignment horizontal="center" vertical="center"/>
    </xf>
    <xf numFmtId="0" fontId="49" fillId="0" borderId="141" xfId="0" applyFont="1" applyBorder="1" applyAlignment="1">
      <alignment horizontal="center" vertical="center"/>
    </xf>
    <xf numFmtId="0" fontId="68" fillId="0" borderId="143" xfId="0" applyFont="1" applyBorder="1" applyAlignment="1">
      <alignment horizontal="center" vertical="center"/>
    </xf>
    <xf numFmtId="0" fontId="49" fillId="2" borderId="460" xfId="0" applyFont="1" applyFill="1" applyBorder="1" applyAlignment="1">
      <alignment horizontal="center" vertical="center"/>
    </xf>
    <xf numFmtId="0" fontId="77" fillId="0" borderId="143" xfId="0" applyFont="1" applyBorder="1" applyAlignment="1">
      <alignment horizontal="center" vertical="center"/>
    </xf>
    <xf numFmtId="2" fontId="49" fillId="7" borderId="460" xfId="0" applyNumberFormat="1" applyFont="1" applyFill="1" applyBorder="1" applyAlignment="1">
      <alignment horizontal="center" vertical="center"/>
    </xf>
    <xf numFmtId="2" fontId="49" fillId="8" borderId="405" xfId="0" applyNumberFormat="1" applyFont="1" applyFill="1" applyBorder="1" applyAlignment="1">
      <alignment horizontal="center" vertical="center"/>
    </xf>
    <xf numFmtId="0" fontId="79" fillId="10" borderId="479" xfId="0" applyFont="1" applyFill="1" applyBorder="1" applyAlignment="1">
      <alignment horizontal="center" vertical="center" wrapText="1"/>
    </xf>
    <xf numFmtId="0" fontId="79" fillId="10" borderId="491" xfId="0" applyFont="1" applyFill="1" applyBorder="1" applyAlignment="1">
      <alignment horizontal="center" vertical="center" wrapText="1"/>
    </xf>
    <xf numFmtId="0" fontId="79" fillId="10" borderId="491" xfId="0" applyFont="1" applyFill="1" applyBorder="1" applyAlignment="1">
      <alignment horizontal="right" vertical="center" wrapText="1"/>
    </xf>
    <xf numFmtId="0" fontId="68" fillId="0" borderId="452" xfId="0" applyFont="1" applyBorder="1" applyAlignment="1">
      <alignment horizontal="center" vertical="center"/>
    </xf>
    <xf numFmtId="0" fontId="82" fillId="10" borderId="480" xfId="0" applyFont="1" applyFill="1" applyBorder="1" applyAlignment="1">
      <alignment horizontal="center" vertical="center"/>
    </xf>
    <xf numFmtId="0" fontId="82" fillId="10" borderId="481" xfId="0" applyFont="1" applyFill="1" applyBorder="1" applyAlignment="1">
      <alignment horizontal="center" vertical="center"/>
    </xf>
    <xf numFmtId="0" fontId="82" fillId="10" borderId="482" xfId="0" applyFont="1" applyFill="1" applyBorder="1" applyAlignment="1">
      <alignment horizontal="center" vertical="center"/>
    </xf>
    <xf numFmtId="0" fontId="68" fillId="0" borderId="0" xfId="0" applyFont="1" applyFill="1" applyBorder="1" applyAlignment="1">
      <alignment horizontal="center" vertical="center"/>
    </xf>
    <xf numFmtId="0" fontId="49" fillId="0" borderId="0" xfId="0" applyFont="1" applyFill="1" applyAlignment="1">
      <alignment horizontal="left" vertical="center"/>
    </xf>
    <xf numFmtId="0" fontId="67" fillId="0" borderId="143" xfId="0" applyFont="1" applyBorder="1" applyAlignment="1">
      <alignment horizontal="center" vertical="center"/>
    </xf>
    <xf numFmtId="0" fontId="58" fillId="7" borderId="394" xfId="20" applyFill="1" applyBorder="1" applyAlignment="1">
      <alignment horizontal="center" vertical="center"/>
    </xf>
    <xf numFmtId="0" fontId="58" fillId="7" borderId="0" xfId="20" applyFill="1" applyAlignment="1">
      <alignment horizontal="center" vertical="center"/>
    </xf>
    <xf numFmtId="0" fontId="58" fillId="2" borderId="394" xfId="20" applyFill="1" applyBorder="1" applyAlignment="1">
      <alignment horizontal="center" vertical="center"/>
    </xf>
    <xf numFmtId="0" fontId="58" fillId="7" borderId="405" xfId="20" applyFill="1" applyBorder="1" applyAlignment="1">
      <alignment vertical="center"/>
    </xf>
    <xf numFmtId="0" fontId="58" fillId="7" borderId="394" xfId="20" applyFill="1" applyBorder="1" applyAlignment="1">
      <alignment horizontal="center" vertical="center"/>
    </xf>
    <xf numFmtId="0" fontId="60" fillId="0" borderId="442" xfId="0" applyFont="1" applyBorder="1" applyAlignment="1">
      <alignment horizontal="center" vertical="center"/>
    </xf>
    <xf numFmtId="0" fontId="60" fillId="0" borderId="474" xfId="0" applyFont="1" applyBorder="1" applyAlignment="1">
      <alignment vertical="center"/>
    </xf>
    <xf numFmtId="0" fontId="60" fillId="0" borderId="476" xfId="0" applyFont="1" applyBorder="1" applyAlignment="1">
      <alignment vertical="center"/>
    </xf>
    <xf numFmtId="0" fontId="60" fillId="0" borderId="465" xfId="0" applyFont="1" applyBorder="1" applyAlignment="1">
      <alignment horizontal="center" vertical="center"/>
    </xf>
    <xf numFmtId="0" fontId="60" fillId="0" borderId="465" xfId="0" applyFont="1" applyBorder="1" applyAlignment="1">
      <alignment vertical="center"/>
    </xf>
    <xf numFmtId="0" fontId="60" fillId="0" borderId="277" xfId="0" applyFont="1" applyBorder="1" applyAlignment="1">
      <alignment vertical="center"/>
    </xf>
    <xf numFmtId="0" fontId="60" fillId="0" borderId="278" xfId="0" applyFont="1" applyBorder="1" applyAlignment="1">
      <alignment vertical="center"/>
    </xf>
    <xf numFmtId="0" fontId="59" fillId="0" borderId="0" xfId="0" applyFont="1" applyAlignment="1">
      <alignment vertical="center"/>
    </xf>
    <xf numFmtId="0" fontId="59" fillId="0" borderId="444" xfId="0" applyFont="1" applyBorder="1" applyAlignment="1">
      <alignment horizontal="center" vertical="center"/>
    </xf>
    <xf numFmtId="0" fontId="59" fillId="0" borderId="477" xfId="0" applyFont="1" applyBorder="1" applyAlignment="1">
      <alignment vertical="center"/>
    </xf>
    <xf numFmtId="0" fontId="59" fillId="0" borderId="476" xfId="0" applyFont="1" applyBorder="1" applyAlignment="1">
      <alignment vertical="center"/>
    </xf>
    <xf numFmtId="165" fontId="59" fillId="0" borderId="465" xfId="1" applyFont="1" applyFill="1" applyBorder="1" applyAlignment="1">
      <alignment vertical="center"/>
    </xf>
    <xf numFmtId="0" fontId="59" fillId="0" borderId="465" xfId="0" applyFont="1" applyBorder="1" applyAlignment="1">
      <alignment horizontal="center" vertical="center"/>
    </xf>
    <xf numFmtId="165" fontId="59" fillId="0" borderId="441" xfId="0" applyNumberFormat="1" applyFont="1" applyBorder="1" applyAlignment="1">
      <alignment vertical="center"/>
    </xf>
    <xf numFmtId="0" fontId="59" fillId="0" borderId="467" xfId="0" applyFont="1" applyBorder="1" applyAlignment="1">
      <alignment horizontal="center" vertical="center"/>
    </xf>
    <xf numFmtId="0" fontId="59" fillId="0" borderId="448" xfId="0" applyFont="1" applyBorder="1" applyAlignment="1">
      <alignment vertical="center"/>
    </xf>
    <xf numFmtId="0" fontId="59" fillId="0" borderId="449" xfId="0" applyFont="1" applyBorder="1" applyAlignment="1">
      <alignment vertical="center"/>
    </xf>
    <xf numFmtId="165" fontId="59" fillId="0" borderId="473" xfId="1" applyFont="1" applyFill="1" applyBorder="1" applyAlignment="1">
      <alignment vertical="center"/>
    </xf>
    <xf numFmtId="0" fontId="60" fillId="0" borderId="11" xfId="0" applyFont="1" applyBorder="1" applyAlignment="1">
      <alignment horizontal="right" vertical="center"/>
    </xf>
    <xf numFmtId="165" fontId="60" fillId="0" borderId="12" xfId="0" applyNumberFormat="1" applyFont="1" applyBorder="1" applyAlignment="1">
      <alignment horizontal="right" vertical="center"/>
    </xf>
    <xf numFmtId="165" fontId="60" fillId="0" borderId="13" xfId="0" applyNumberFormat="1" applyFont="1" applyBorder="1" applyAlignment="1">
      <alignment vertical="center"/>
    </xf>
    <xf numFmtId="0" fontId="13" fillId="0" borderId="104" xfId="6" applyFont="1" applyBorder="1"/>
    <xf numFmtId="0" fontId="18" fillId="0" borderId="0" xfId="6" applyFont="1" applyAlignment="1">
      <alignment horizontal="center"/>
    </xf>
    <xf numFmtId="0" fontId="19" fillId="0" borderId="465" xfId="6" applyFont="1" applyBorder="1" applyAlignment="1">
      <alignment horizontal="center"/>
    </xf>
    <xf numFmtId="0" fontId="18" fillId="0" borderId="477" xfId="6" quotePrefix="1" applyFont="1" applyBorder="1" applyAlignment="1">
      <alignment horizontal="center"/>
    </xf>
    <xf numFmtId="0" fontId="18" fillId="0" borderId="476" xfId="6" applyFont="1" applyBorder="1"/>
    <xf numFmtId="167" fontId="18" fillId="0" borderId="508" xfId="5" applyNumberFormat="1" applyFont="1" applyBorder="1"/>
    <xf numFmtId="165" fontId="18" fillId="0" borderId="476" xfId="5" applyFont="1" applyBorder="1"/>
    <xf numFmtId="0" fontId="18" fillId="0" borderId="448" xfId="6" quotePrefix="1" applyFont="1" applyBorder="1" applyAlignment="1">
      <alignment horizontal="center"/>
    </xf>
    <xf numFmtId="0" fontId="18" fillId="0" borderId="509" xfId="6" applyFont="1" applyBorder="1" applyAlignment="1">
      <alignment horizontal="center"/>
    </xf>
    <xf numFmtId="165" fontId="18" fillId="0" borderId="509" xfId="5" applyFont="1" applyBorder="1"/>
    <xf numFmtId="165" fontId="18" fillId="0" borderId="510" xfId="5" applyFont="1" applyBorder="1"/>
    <xf numFmtId="0" fontId="7" fillId="0" borderId="394" xfId="19" applyBorder="1" applyAlignment="1">
      <alignment horizontal="center" vertical="center"/>
    </xf>
    <xf numFmtId="0" fontId="18" fillId="0" borderId="511" xfId="7" applyFont="1" applyBorder="1" applyAlignment="1">
      <alignment horizontal="left" vertical="center"/>
    </xf>
    <xf numFmtId="0" fontId="18" fillId="0" borderId="448" xfId="7" applyFont="1" applyBorder="1" applyAlignment="1">
      <alignment horizontal="left" vertical="center"/>
    </xf>
    <xf numFmtId="0" fontId="18" fillId="0" borderId="510" xfId="7" applyFont="1" applyBorder="1" applyAlignment="1">
      <alignment horizontal="left" vertical="center"/>
    </xf>
    <xf numFmtId="0" fontId="10" fillId="0" borderId="444" xfId="0" applyFont="1" applyBorder="1" applyAlignment="1">
      <alignment horizontal="center" vertical="center"/>
    </xf>
    <xf numFmtId="0" fontId="10" fillId="0" borderId="477" xfId="0" applyFont="1" applyBorder="1" applyAlignment="1">
      <alignment vertical="center"/>
    </xf>
    <xf numFmtId="165" fontId="10" fillId="0" borderId="477" xfId="0" applyNumberFormat="1" applyFont="1" applyBorder="1" applyAlignment="1">
      <alignment vertical="center"/>
    </xf>
    <xf numFmtId="0" fontId="10" fillId="0" borderId="476" xfId="0" applyFont="1" applyBorder="1" applyAlignment="1">
      <alignment vertical="center"/>
    </xf>
    <xf numFmtId="177" fontId="10" fillId="0" borderId="455" xfId="2" applyNumberFormat="1" applyFont="1" applyBorder="1" applyAlignment="1">
      <alignment vertical="center"/>
    </xf>
    <xf numFmtId="0" fontId="59" fillId="0" borderId="464" xfId="0" applyFont="1" applyBorder="1" applyAlignment="1">
      <alignment horizontal="center" vertical="center"/>
    </xf>
    <xf numFmtId="0" fontId="59" fillId="0" borderId="510" xfId="0" applyFont="1" applyBorder="1" applyAlignment="1">
      <alignment vertical="center"/>
    </xf>
    <xf numFmtId="0" fontId="59" fillId="0" borderId="445" xfId="0" applyFont="1" applyBorder="1" applyAlignment="1">
      <alignment vertical="center"/>
    </xf>
    <xf numFmtId="0" fontId="59" fillId="0" borderId="472" xfId="0" applyFont="1" applyBorder="1" applyAlignment="1">
      <alignment vertical="center"/>
    </xf>
    <xf numFmtId="0" fontId="59" fillId="0" borderId="473" xfId="0" applyFont="1" applyBorder="1" applyAlignment="1">
      <alignment horizontal="center" vertical="center"/>
    </xf>
    <xf numFmtId="165" fontId="59" fillId="0" borderId="446" xfId="0" applyNumberFormat="1" applyFont="1" applyBorder="1" applyAlignment="1">
      <alignment vertical="center"/>
    </xf>
    <xf numFmtId="0" fontId="58" fillId="7" borderId="394" xfId="20" applyFill="1" applyBorder="1" applyAlignment="1">
      <alignment horizontal="center" vertical="center"/>
    </xf>
    <xf numFmtId="2" fontId="49" fillId="7" borderId="394" xfId="0" applyNumberFormat="1" applyFont="1" applyFill="1" applyBorder="1" applyAlignment="1">
      <alignment horizontal="right" vertical="center"/>
    </xf>
    <xf numFmtId="0" fontId="60" fillId="0" borderId="11" xfId="0" applyFont="1" applyFill="1" applyBorder="1" applyAlignment="1">
      <alignment horizontal="right" vertical="center"/>
    </xf>
    <xf numFmtId="0" fontId="60" fillId="0" borderId="476" xfId="0" applyFont="1" applyFill="1" applyBorder="1" applyAlignment="1">
      <alignment vertical="center"/>
    </xf>
    <xf numFmtId="0" fontId="59" fillId="0" borderId="0" xfId="0" applyFont="1" applyFill="1" applyBorder="1" applyAlignment="1">
      <alignment vertical="center"/>
    </xf>
    <xf numFmtId="165" fontId="18" fillId="0" borderId="66" xfId="5" applyFont="1" applyBorder="1" applyAlignment="1">
      <alignment wrapText="1"/>
    </xf>
    <xf numFmtId="0" fontId="49" fillId="0" borderId="0" xfId="0" applyFont="1" applyFill="1" applyBorder="1" applyAlignment="1">
      <alignment horizontal="center" vertical="center"/>
    </xf>
    <xf numFmtId="4" fontId="18" fillId="0" borderId="394" xfId="5" applyNumberFormat="1" applyFont="1" applyBorder="1" applyAlignment="1">
      <alignment horizontal="center" vertical="center" wrapText="1"/>
    </xf>
    <xf numFmtId="4" fontId="18" fillId="0" borderId="394" xfId="5" applyNumberFormat="1" applyFont="1" applyBorder="1" applyAlignment="1">
      <alignment horizontal="center" vertical="center"/>
    </xf>
    <xf numFmtId="165" fontId="19" fillId="0" borderId="0" xfId="5" applyFont="1" applyBorder="1" applyAlignment="1">
      <alignment vertical="center"/>
    </xf>
    <xf numFmtId="165" fontId="19" fillId="0" borderId="105" xfId="5" applyFont="1" applyBorder="1" applyAlignment="1">
      <alignment vertical="center"/>
    </xf>
    <xf numFmtId="165" fontId="18" fillId="0" borderId="293" xfId="5" applyFont="1" applyBorder="1" applyAlignment="1">
      <alignment vertical="center"/>
    </xf>
    <xf numFmtId="0" fontId="19" fillId="0" borderId="168" xfId="7" applyFont="1" applyBorder="1" applyAlignment="1">
      <alignment vertical="center"/>
    </xf>
    <xf numFmtId="0" fontId="18" fillId="0" borderId="513" xfId="7" applyFont="1" applyBorder="1" applyAlignment="1">
      <alignment horizontal="center"/>
    </xf>
    <xf numFmtId="0" fontId="18" fillId="0" borderId="514" xfId="7" applyFont="1" applyBorder="1"/>
    <xf numFmtId="0" fontId="18" fillId="0" borderId="512" xfId="7" applyFont="1" applyBorder="1"/>
    <xf numFmtId="0" fontId="18" fillId="0" borderId="515" xfId="7" applyFont="1" applyBorder="1"/>
    <xf numFmtId="165" fontId="18" fillId="0" borderId="516" xfId="7" applyNumberFormat="1" applyFont="1" applyBorder="1" applyAlignment="1">
      <alignment horizontal="center"/>
    </xf>
    <xf numFmtId="0" fontId="59" fillId="0" borderId="512" xfId="0" applyFont="1" applyFill="1" applyBorder="1" applyAlignment="1">
      <alignment vertical="center"/>
    </xf>
    <xf numFmtId="0" fontId="59" fillId="0" borderId="515" xfId="0" applyFont="1" applyFill="1" applyBorder="1" applyAlignment="1">
      <alignment vertical="center"/>
    </xf>
    <xf numFmtId="165" fontId="59" fillId="0" borderId="517" xfId="1" applyFont="1" applyFill="1" applyBorder="1" applyAlignment="1">
      <alignment vertical="center"/>
    </xf>
    <xf numFmtId="0" fontId="59" fillId="0" borderId="517" xfId="0" applyFont="1" applyFill="1" applyBorder="1" applyAlignment="1">
      <alignment horizontal="center" vertical="center"/>
    </xf>
    <xf numFmtId="165" fontId="59" fillId="0" borderId="518" xfId="0" applyNumberFormat="1" applyFont="1" applyFill="1" applyBorder="1" applyAlignment="1">
      <alignment vertical="center"/>
    </xf>
    <xf numFmtId="0" fontId="60" fillId="0" borderId="515" xfId="0" applyFont="1" applyFill="1" applyBorder="1" applyAlignment="1">
      <alignment vertical="center"/>
    </xf>
    <xf numFmtId="0" fontId="15" fillId="0" borderId="0" xfId="7" applyFill="1"/>
    <xf numFmtId="0" fontId="49" fillId="0" borderId="0" xfId="0" applyFont="1" applyFill="1" applyBorder="1" applyAlignment="1">
      <alignment horizontal="center" vertical="center"/>
    </xf>
    <xf numFmtId="0" fontId="49" fillId="0" borderId="394" xfId="0" applyFont="1" applyFill="1" applyBorder="1" applyAlignment="1">
      <alignment horizontal="center" vertical="center"/>
    </xf>
    <xf numFmtId="0" fontId="59" fillId="0" borderId="519" xfId="0" applyFont="1" applyFill="1" applyBorder="1" applyAlignment="1">
      <alignment horizontal="center" vertical="center"/>
    </xf>
    <xf numFmtId="0" fontId="59" fillId="0" borderId="514" xfId="0" applyFont="1" applyFill="1" applyBorder="1" applyAlignment="1">
      <alignment vertical="center"/>
    </xf>
    <xf numFmtId="181" fontId="15" fillId="0" borderId="0" xfId="7" applyNumberFormat="1" applyBorder="1"/>
    <xf numFmtId="0" fontId="59" fillId="0" borderId="515" xfId="0" quotePrefix="1" applyFont="1" applyFill="1" applyBorder="1" applyAlignment="1">
      <alignment horizontal="right" vertical="center"/>
    </xf>
    <xf numFmtId="172" fontId="17" fillId="0" borderId="103" xfId="6" applyNumberFormat="1" applyFont="1" applyFill="1" applyBorder="1" applyAlignment="1">
      <alignment horizontal="center"/>
    </xf>
    <xf numFmtId="0" fontId="13" fillId="0" borderId="18" xfId="6" quotePrefix="1" applyFont="1" applyFill="1" applyBorder="1" applyAlignment="1">
      <alignment horizontal="center"/>
    </xf>
    <xf numFmtId="0" fontId="13" fillId="0" borderId="63" xfId="6" applyFont="1" applyFill="1" applyBorder="1"/>
    <xf numFmtId="168" fontId="13" fillId="0" borderId="123" xfId="6" applyNumberFormat="1" applyFont="1" applyFill="1" applyBorder="1" applyAlignment="1">
      <alignment horizontal="center"/>
    </xf>
    <xf numFmtId="167" fontId="13" fillId="0" borderId="63" xfId="12" applyNumberFormat="1" applyFont="1" applyFill="1" applyBorder="1"/>
    <xf numFmtId="165" fontId="13" fillId="0" borderId="63" xfId="12" applyFont="1" applyFill="1" applyBorder="1"/>
    <xf numFmtId="165" fontId="13" fillId="0" borderId="126" xfId="12" applyFont="1" applyFill="1" applyBorder="1"/>
    <xf numFmtId="165" fontId="13" fillId="0" borderId="0" xfId="12" applyFont="1" applyFill="1"/>
    <xf numFmtId="165" fontId="15" fillId="0" borderId="0" xfId="7" applyNumberFormat="1" applyFill="1" applyBorder="1"/>
    <xf numFmtId="168" fontId="13" fillId="0" borderId="0" xfId="6" applyNumberFormat="1" applyFont="1" applyFill="1" applyBorder="1" applyAlignment="1">
      <alignment horizontal="center"/>
    </xf>
    <xf numFmtId="0" fontId="15" fillId="0" borderId="0" xfId="7" applyFill="1" applyBorder="1"/>
    <xf numFmtId="0" fontId="68" fillId="0" borderId="143" xfId="0" applyFont="1" applyFill="1" applyBorder="1" applyAlignment="1">
      <alignment horizontal="center" vertical="center"/>
    </xf>
    <xf numFmtId="0" fontId="67" fillId="0" borderId="143" xfId="0" applyFont="1" applyFill="1" applyBorder="1" applyAlignment="1">
      <alignment horizontal="center" vertical="center"/>
    </xf>
    <xf numFmtId="172" fontId="17" fillId="0" borderId="35" xfId="6" applyNumberFormat="1" applyFont="1" applyFill="1" applyBorder="1" applyAlignment="1">
      <alignment horizontal="center"/>
    </xf>
    <xf numFmtId="0" fontId="17" fillId="0" borderId="60" xfId="6" applyFont="1" applyFill="1" applyBorder="1"/>
    <xf numFmtId="0" fontId="17" fillId="0" borderId="74" xfId="6" applyFont="1" applyFill="1" applyBorder="1"/>
    <xf numFmtId="168" fontId="13" fillId="0" borderId="74" xfId="6" applyNumberFormat="1" applyFont="1" applyFill="1" applyBorder="1" applyAlignment="1">
      <alignment horizontal="center"/>
    </xf>
    <xf numFmtId="167" fontId="13" fillId="0" borderId="74" xfId="12" applyNumberFormat="1" applyFont="1" applyFill="1" applyBorder="1"/>
    <xf numFmtId="165" fontId="13" fillId="0" borderId="74" xfId="12" applyFont="1" applyFill="1" applyBorder="1"/>
    <xf numFmtId="165" fontId="13" fillId="0" borderId="75" xfId="12" applyFont="1" applyFill="1" applyBorder="1"/>
    <xf numFmtId="0" fontId="19" fillId="0" borderId="169" xfId="7" applyFont="1" applyFill="1" applyBorder="1" applyAlignment="1">
      <alignment horizontal="center" vertical="center"/>
    </xf>
    <xf numFmtId="0" fontId="29" fillId="0" borderId="172" xfId="7" applyFont="1" applyFill="1" applyBorder="1" applyAlignment="1">
      <alignment horizontal="left" vertical="center"/>
    </xf>
    <xf numFmtId="0" fontId="19" fillId="0" borderId="172" xfId="7" applyFont="1" applyFill="1" applyBorder="1" applyAlignment="1">
      <alignment horizontal="left" vertical="center"/>
    </xf>
    <xf numFmtId="0" fontId="19" fillId="0" borderId="173" xfId="7" applyFont="1" applyFill="1" applyBorder="1" applyAlignment="1">
      <alignment horizontal="left" vertical="center"/>
    </xf>
    <xf numFmtId="0" fontId="19" fillId="0" borderId="174" xfId="7" applyFont="1" applyFill="1" applyBorder="1" applyAlignment="1">
      <alignment horizontal="left" vertical="center"/>
    </xf>
    <xf numFmtId="165" fontId="18" fillId="0" borderId="175" xfId="5" applyFont="1" applyFill="1" applyBorder="1" applyAlignment="1">
      <alignment vertical="center"/>
    </xf>
    <xf numFmtId="165" fontId="18" fillId="0" borderId="0" xfId="5" applyFont="1" applyFill="1" applyAlignment="1">
      <alignment vertical="center"/>
    </xf>
    <xf numFmtId="164" fontId="40" fillId="0" borderId="261" xfId="2" applyFont="1" applyFill="1" applyBorder="1" applyAlignment="1">
      <alignment vertical="center"/>
    </xf>
    <xf numFmtId="164" fontId="41" fillId="0" borderId="250" xfId="2" applyFont="1" applyFill="1" applyBorder="1"/>
    <xf numFmtId="164" fontId="41" fillId="0" borderId="0" xfId="2" applyFont="1" applyFill="1"/>
    <xf numFmtId="177" fontId="41" fillId="0" borderId="0" xfId="2" applyNumberFormat="1" applyFont="1" applyFill="1"/>
    <xf numFmtId="164" fontId="44" fillId="0" borderId="394" xfId="2" applyFont="1" applyBorder="1" applyAlignment="1">
      <alignment horizontal="center" vertical="center"/>
    </xf>
    <xf numFmtId="164" fontId="40" fillId="0" borderId="256" xfId="2" applyFont="1" applyFill="1" applyBorder="1" applyAlignment="1">
      <alignment horizontal="left" vertical="center"/>
    </xf>
    <xf numFmtId="164" fontId="40" fillId="0" borderId="257" xfId="2" applyFont="1" applyFill="1" applyBorder="1" applyAlignment="1">
      <alignment vertical="center"/>
    </xf>
    <xf numFmtId="164" fontId="40" fillId="0" borderId="143" xfId="2" applyFont="1" applyFill="1" applyBorder="1" applyAlignment="1">
      <alignment horizontal="center" vertical="center"/>
    </xf>
    <xf numFmtId="164" fontId="40" fillId="0" borderId="143" xfId="2" applyFont="1" applyFill="1" applyBorder="1"/>
    <xf numFmtId="164" fontId="41" fillId="0" borderId="259" xfId="2" applyFont="1" applyFill="1" applyBorder="1"/>
    <xf numFmtId="0" fontId="60" fillId="0" borderId="11" xfId="0" applyFont="1" applyFill="1" applyBorder="1" applyAlignment="1">
      <alignment horizontal="right" vertical="center"/>
    </xf>
    <xf numFmtId="164" fontId="42" fillId="0" borderId="0" xfId="2" applyFont="1" applyAlignment="1">
      <alignment vertical="center"/>
    </xf>
    <xf numFmtId="164" fontId="43" fillId="0" borderId="0" xfId="2" applyFont="1" applyAlignment="1">
      <alignment vertical="center"/>
    </xf>
    <xf numFmtId="0" fontId="59" fillId="0" borderId="521" xfId="0" applyFont="1" applyFill="1" applyBorder="1" applyAlignment="1">
      <alignment vertical="center"/>
    </xf>
    <xf numFmtId="165" fontId="59" fillId="0" borderId="520" xfId="1" applyFont="1" applyFill="1" applyBorder="1" applyAlignment="1">
      <alignment vertical="center"/>
    </xf>
    <xf numFmtId="0" fontId="59" fillId="0" borderId="520" xfId="0" applyFont="1" applyFill="1" applyBorder="1" applyAlignment="1">
      <alignment horizontal="center" vertical="center"/>
    </xf>
    <xf numFmtId="165" fontId="59" fillId="0" borderId="522" xfId="0" applyNumberFormat="1" applyFont="1" applyFill="1" applyBorder="1" applyAlignment="1">
      <alignment vertical="center"/>
    </xf>
    <xf numFmtId="0" fontId="49" fillId="0" borderId="394" xfId="0" applyFont="1" applyBorder="1" applyAlignment="1">
      <alignment horizontal="center" vertical="center"/>
    </xf>
    <xf numFmtId="0" fontId="59" fillId="0" borderId="5" xfId="0" applyFont="1" applyFill="1" applyBorder="1" applyAlignment="1">
      <alignment horizontal="left"/>
    </xf>
    <xf numFmtId="0" fontId="59" fillId="0" borderId="523" xfId="0" applyFont="1" applyFill="1" applyBorder="1" applyAlignment="1">
      <alignment horizontal="center" vertical="center"/>
    </xf>
    <xf numFmtId="0" fontId="59" fillId="0" borderId="524" xfId="0" applyFont="1" applyFill="1" applyBorder="1" applyAlignment="1">
      <alignment vertical="center"/>
    </xf>
    <xf numFmtId="0" fontId="59" fillId="0" borderId="521" xfId="0" quotePrefix="1" applyFont="1" applyFill="1" applyBorder="1" applyAlignment="1">
      <alignment horizontal="right" vertical="center"/>
    </xf>
    <xf numFmtId="2" fontId="58" fillId="7" borderId="394" xfId="20" applyNumberFormat="1" applyFill="1" applyBorder="1" applyAlignment="1">
      <alignment horizontal="center" vertical="center"/>
    </xf>
    <xf numFmtId="2" fontId="58" fillId="2" borderId="394" xfId="20" applyNumberFormat="1" applyFill="1" applyBorder="1" applyAlignment="1">
      <alignment horizontal="center" vertical="center"/>
    </xf>
    <xf numFmtId="2" fontId="74" fillId="9" borderId="394" xfId="0" applyNumberFormat="1" applyFont="1" applyFill="1" applyBorder="1"/>
    <xf numFmtId="164" fontId="43" fillId="2" borderId="394" xfId="2" applyFont="1" applyFill="1" applyBorder="1" applyAlignment="1">
      <alignment horizontal="center"/>
    </xf>
    <xf numFmtId="164" fontId="41" fillId="0" borderId="258" xfId="2" applyFont="1" applyBorder="1"/>
    <xf numFmtId="164" fontId="41" fillId="0" borderId="249" xfId="2" applyFont="1" applyBorder="1"/>
    <xf numFmtId="164" fontId="41" fillId="0" borderId="249" xfId="2" applyNumberFormat="1" applyFont="1" applyBorder="1"/>
    <xf numFmtId="183" fontId="41" fillId="0" borderId="249" xfId="2" applyNumberFormat="1" applyFont="1" applyFill="1" applyBorder="1"/>
    <xf numFmtId="164" fontId="40" fillId="0" borderId="394" xfId="2" applyFont="1" applyFill="1" applyBorder="1" applyAlignment="1">
      <alignment horizontal="center" vertical="center"/>
    </xf>
    <xf numFmtId="164" fontId="40" fillId="0" borderId="394" xfId="2" applyFont="1" applyFill="1" applyBorder="1"/>
    <xf numFmtId="164" fontId="41" fillId="0" borderId="249" xfId="2" applyFont="1" applyFill="1" applyBorder="1"/>
    <xf numFmtId="164" fontId="41" fillId="0" borderId="253" xfId="2" applyFont="1" applyBorder="1"/>
    <xf numFmtId="164" fontId="42" fillId="2" borderId="266" xfId="2" applyFont="1" applyFill="1" applyBorder="1"/>
    <xf numFmtId="164" fontId="40" fillId="0" borderId="394" xfId="2" applyFont="1" applyBorder="1" applyAlignment="1">
      <alignment vertical="center"/>
    </xf>
    <xf numFmtId="164" fontId="42" fillId="2" borderId="201" xfId="2" applyFont="1" applyFill="1" applyBorder="1"/>
    <xf numFmtId="164" fontId="41" fillId="0" borderId="195" xfId="2" applyFont="1" applyBorder="1"/>
    <xf numFmtId="164" fontId="40" fillId="0" borderId="478" xfId="2" applyFont="1" applyBorder="1" applyAlignment="1">
      <alignment horizontal="center" vertical="center"/>
    </xf>
    <xf numFmtId="164" fontId="40" fillId="0" borderId="478" xfId="2" applyFont="1" applyBorder="1"/>
    <xf numFmtId="164" fontId="41" fillId="0" borderId="394" xfId="2" applyFont="1" applyBorder="1"/>
    <xf numFmtId="164" fontId="41" fillId="0" borderId="254" xfId="2" applyFont="1" applyBorder="1"/>
    <xf numFmtId="164" fontId="41" fillId="0" borderId="258" xfId="2" applyFont="1" applyFill="1" applyBorder="1"/>
    <xf numFmtId="164" fontId="44" fillId="0" borderId="478" xfId="2" applyFont="1" applyBorder="1" applyAlignment="1">
      <alignment horizontal="center" vertical="center"/>
    </xf>
    <xf numFmtId="0" fontId="59" fillId="0" borderId="512" xfId="0" applyFont="1" applyBorder="1" applyAlignment="1">
      <alignment vertical="center"/>
    </xf>
    <xf numFmtId="0" fontId="3" fillId="0" borderId="0" xfId="7" applyFont="1"/>
    <xf numFmtId="0" fontId="0" fillId="0" borderId="394" xfId="0" applyFill="1" applyBorder="1" applyAlignment="1">
      <alignment horizontal="center"/>
    </xf>
    <xf numFmtId="0" fontId="59" fillId="0" borderId="524" xfId="0" applyFont="1" applyFill="1" applyBorder="1" applyAlignment="1">
      <alignment horizontal="left" vertical="center"/>
    </xf>
    <xf numFmtId="0" fontId="59" fillId="0" borderId="473" xfId="0" applyFont="1" applyFill="1" applyBorder="1" applyAlignment="1">
      <alignment horizontal="center" vertical="center"/>
    </xf>
    <xf numFmtId="165" fontId="54" fillId="0" borderId="520" xfId="1" applyFont="1" applyFill="1" applyBorder="1" applyAlignment="1">
      <alignment vertical="center"/>
    </xf>
    <xf numFmtId="165" fontId="54" fillId="0" borderId="520" xfId="1" applyFont="1" applyFill="1" applyBorder="1" applyAlignment="1">
      <alignment horizontal="right" vertical="center"/>
    </xf>
    <xf numFmtId="165" fontId="59" fillId="0" borderId="467" xfId="1" applyFont="1" applyFill="1" applyBorder="1" applyAlignment="1">
      <alignment vertical="center"/>
    </xf>
    <xf numFmtId="165" fontId="59" fillId="0" borderId="520" xfId="0" applyNumberFormat="1" applyFont="1" applyFill="1" applyBorder="1" applyAlignment="1">
      <alignment horizontal="right" vertical="center"/>
    </xf>
    <xf numFmtId="165" fontId="59" fillId="0" borderId="524" xfId="0" applyNumberFormat="1" applyFont="1" applyFill="1" applyBorder="1" applyAlignment="1">
      <alignment horizontal="right" vertical="center"/>
    </xf>
    <xf numFmtId="165" fontId="59" fillId="0" borderId="467" xfId="0" applyNumberFormat="1" applyFont="1" applyFill="1" applyBorder="1" applyAlignment="1">
      <alignment horizontal="right" vertical="center"/>
    </xf>
    <xf numFmtId="165" fontId="59" fillId="0" borderId="520" xfId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64" fontId="42" fillId="0" borderId="0" xfId="2" applyFont="1" applyAlignment="1">
      <alignment vertical="center"/>
    </xf>
    <xf numFmtId="164" fontId="43" fillId="0" borderId="0" xfId="2" applyFont="1" applyAlignment="1">
      <alignment vertical="center"/>
    </xf>
    <xf numFmtId="0" fontId="49" fillId="0" borderId="143" xfId="0" applyFont="1" applyBorder="1" applyAlignment="1">
      <alignment horizontal="center" vertical="center"/>
    </xf>
    <xf numFmtId="0" fontId="49" fillId="0" borderId="394" xfId="0" applyFont="1" applyBorder="1" applyAlignment="1">
      <alignment horizontal="center" vertical="center"/>
    </xf>
    <xf numFmtId="0" fontId="49" fillId="0" borderId="0" xfId="0" applyFont="1" applyFill="1" applyBorder="1" applyAlignment="1">
      <alignment horizontal="center" vertical="center"/>
    </xf>
    <xf numFmtId="0" fontId="59" fillId="0" borderId="0" xfId="0" applyFont="1" applyAlignment="1">
      <alignment horizontal="right" vertical="center"/>
    </xf>
    <xf numFmtId="0" fontId="59" fillId="0" borderId="524" xfId="0" applyFont="1" applyBorder="1" applyAlignment="1">
      <alignment vertical="center"/>
    </xf>
    <xf numFmtId="0" fontId="59" fillId="0" borderId="520" xfId="0" applyFont="1" applyBorder="1" applyAlignment="1">
      <alignment horizontal="center" vertical="center"/>
    </xf>
    <xf numFmtId="0" fontId="2" fillId="0" borderId="0" xfId="7" applyFont="1"/>
    <xf numFmtId="0" fontId="13" fillId="0" borderId="418" xfId="6" applyFont="1" applyFill="1" applyBorder="1" applyAlignment="1">
      <alignment horizontal="left"/>
    </xf>
    <xf numFmtId="0" fontId="13" fillId="0" borderId="418" xfId="6" applyFont="1" applyFill="1" applyBorder="1" applyAlignment="1">
      <alignment horizontal="center"/>
    </xf>
    <xf numFmtId="167" fontId="13" fillId="0" borderId="324" xfId="12" applyNumberFormat="1" applyFont="1" applyFill="1" applyBorder="1"/>
    <xf numFmtId="165" fontId="13" fillId="0" borderId="325" xfId="12" applyFont="1" applyFill="1" applyBorder="1"/>
    <xf numFmtId="0" fontId="13" fillId="0" borderId="394" xfId="6" applyFont="1" applyFill="1" applyBorder="1" applyAlignment="1">
      <alignment horizontal="left"/>
    </xf>
    <xf numFmtId="0" fontId="13" fillId="0" borderId="394" xfId="6" applyFont="1" applyFill="1" applyBorder="1" applyAlignment="1">
      <alignment horizontal="center"/>
    </xf>
    <xf numFmtId="0" fontId="0" fillId="2" borderId="394" xfId="0" applyFill="1" applyBorder="1" applyAlignment="1">
      <alignment horizontal="left"/>
    </xf>
    <xf numFmtId="0" fontId="49" fillId="7" borderId="507" xfId="0" applyFont="1" applyFill="1" applyBorder="1" applyAlignment="1">
      <alignment vertical="center"/>
    </xf>
    <xf numFmtId="0" fontId="49" fillId="7" borderId="499" xfId="0" applyFont="1" applyFill="1" applyBorder="1" applyAlignment="1">
      <alignment vertical="center"/>
    </xf>
    <xf numFmtId="0" fontId="49" fillId="15" borderId="0" xfId="0" applyFont="1" applyFill="1" applyAlignment="1">
      <alignment horizontal="center" vertical="center"/>
    </xf>
    <xf numFmtId="0" fontId="82" fillId="15" borderId="479" xfId="0" applyFont="1" applyFill="1" applyBorder="1" applyAlignment="1">
      <alignment horizontal="center" vertical="center"/>
    </xf>
    <xf numFmtId="0" fontId="82" fillId="15" borderId="480" xfId="0" applyFont="1" applyFill="1" applyBorder="1" applyAlignment="1">
      <alignment horizontal="center" vertical="center"/>
    </xf>
    <xf numFmtId="0" fontId="82" fillId="15" borderId="481" xfId="0" applyFont="1" applyFill="1" applyBorder="1" applyAlignment="1">
      <alignment horizontal="center" vertical="center"/>
    </xf>
    <xf numFmtId="0" fontId="82" fillId="15" borderId="482" xfId="0" applyFont="1" applyFill="1" applyBorder="1" applyAlignment="1">
      <alignment horizontal="center" vertical="center"/>
    </xf>
    <xf numFmtId="0" fontId="49" fillId="15" borderId="0" xfId="0" applyFont="1" applyFill="1" applyBorder="1" applyAlignment="1">
      <alignment horizontal="center" vertical="center"/>
    </xf>
    <xf numFmtId="165" fontId="59" fillId="14" borderId="0" xfId="0" applyNumberFormat="1" applyFont="1" applyFill="1" applyAlignment="1">
      <alignment vertical="center"/>
    </xf>
    <xf numFmtId="164" fontId="39" fillId="0" borderId="0" xfId="2" applyFont="1" applyAlignment="1">
      <alignment vertical="center"/>
    </xf>
    <xf numFmtId="0" fontId="43" fillId="0" borderId="0" xfId="2" applyNumberFormat="1" applyFont="1" applyAlignment="1">
      <alignment horizontal="left" vertical="center"/>
    </xf>
    <xf numFmtId="0" fontId="49" fillId="0" borderId="143" xfId="0" applyFont="1" applyBorder="1" applyAlignment="1">
      <alignment horizontal="center" vertical="center"/>
    </xf>
    <xf numFmtId="0" fontId="49" fillId="0" borderId="405" xfId="0" applyFont="1" applyBorder="1" applyAlignment="1">
      <alignment horizontal="center" vertical="center"/>
    </xf>
    <xf numFmtId="0" fontId="49" fillId="0" borderId="0" xfId="0" applyFont="1" applyFill="1" applyBorder="1" applyAlignment="1">
      <alignment horizontal="center" vertical="center"/>
    </xf>
    <xf numFmtId="0" fontId="49" fillId="0" borderId="394" xfId="0" applyFont="1" applyBorder="1" applyAlignment="1">
      <alignment horizontal="center" vertical="center"/>
    </xf>
    <xf numFmtId="0" fontId="0" fillId="0" borderId="0" xfId="0" applyFill="1" applyBorder="1" applyAlignment="1">
      <alignment horizontal="left"/>
    </xf>
    <xf numFmtId="0" fontId="84" fillId="10" borderId="486" xfId="0" applyFont="1" applyFill="1" applyBorder="1" applyAlignment="1">
      <alignment vertical="center"/>
    </xf>
    <xf numFmtId="0" fontId="84" fillId="10" borderId="487" xfId="0" applyFont="1" applyFill="1" applyBorder="1" applyAlignment="1">
      <alignment vertical="center"/>
    </xf>
    <xf numFmtId="0" fontId="84" fillId="10" borderId="488" xfId="0" applyFont="1" applyFill="1" applyBorder="1" applyAlignment="1">
      <alignment vertical="center"/>
    </xf>
    <xf numFmtId="0" fontId="79" fillId="10" borderId="492" xfId="0" applyFont="1" applyFill="1" applyBorder="1" applyAlignment="1">
      <alignment vertical="center"/>
    </xf>
    <xf numFmtId="0" fontId="60" fillId="0" borderId="11" xfId="0" applyFont="1" applyFill="1" applyBorder="1" applyAlignment="1">
      <alignment horizontal="right" vertical="center"/>
    </xf>
    <xf numFmtId="0" fontId="49" fillId="0" borderId="143" xfId="0" applyFont="1" applyBorder="1" applyAlignment="1">
      <alignment horizontal="center" vertical="center"/>
    </xf>
    <xf numFmtId="0" fontId="49" fillId="0" borderId="394" xfId="0" applyFont="1" applyBorder="1" applyAlignment="1">
      <alignment horizontal="center" vertical="center"/>
    </xf>
    <xf numFmtId="0" fontId="60" fillId="0" borderId="11" xfId="0" applyFont="1" applyFill="1" applyBorder="1" applyAlignment="1">
      <alignment horizontal="right" vertical="center"/>
    </xf>
    <xf numFmtId="0" fontId="60" fillId="0" borderId="11" xfId="0" applyFont="1" applyBorder="1" applyAlignment="1">
      <alignment horizontal="right" vertical="center"/>
    </xf>
    <xf numFmtId="0" fontId="49" fillId="0" borderId="394" xfId="0" applyFont="1" applyBorder="1" applyAlignment="1">
      <alignment horizontal="center" vertical="center"/>
    </xf>
    <xf numFmtId="169" fontId="15" fillId="0" borderId="394" xfId="7" applyNumberFormat="1" applyBorder="1"/>
    <xf numFmtId="184" fontId="15" fillId="0" borderId="0" xfId="7" applyNumberFormat="1"/>
    <xf numFmtId="0" fontId="79" fillId="10" borderId="493" xfId="0" applyFont="1" applyFill="1" applyBorder="1" applyAlignment="1">
      <alignment vertical="center"/>
    </xf>
    <xf numFmtId="0" fontId="79" fillId="10" borderId="494" xfId="0" applyFont="1" applyFill="1" applyBorder="1" applyAlignment="1">
      <alignment vertical="center"/>
    </xf>
    <xf numFmtId="0" fontId="60" fillId="0" borderId="11" xfId="0" applyFont="1" applyFill="1" applyBorder="1" applyAlignment="1">
      <alignment horizontal="right" vertical="center"/>
    </xf>
    <xf numFmtId="0" fontId="49" fillId="2" borderId="0" xfId="0" applyFont="1" applyFill="1" applyAlignment="1">
      <alignment horizontal="center" vertical="center"/>
    </xf>
    <xf numFmtId="0" fontId="49" fillId="0" borderId="0" xfId="0" applyFont="1" applyAlignment="1">
      <alignment horizontal="left" vertical="center"/>
    </xf>
    <xf numFmtId="0" fontId="13" fillId="0" borderId="448" xfId="6" quotePrefix="1" applyFont="1" applyBorder="1" applyAlignment="1">
      <alignment horizontal="center"/>
    </xf>
    <xf numFmtId="0" fontId="60" fillId="0" borderId="11" xfId="0" applyFont="1" applyFill="1" applyBorder="1" applyAlignment="1">
      <alignment horizontal="right" vertical="center"/>
    </xf>
    <xf numFmtId="0" fontId="82" fillId="10" borderId="490" xfId="0" applyFont="1" applyFill="1" applyBorder="1" applyAlignment="1">
      <alignment horizontal="center" vertical="center"/>
    </xf>
    <xf numFmtId="0" fontId="82" fillId="10" borderId="479" xfId="0" applyFont="1" applyFill="1" applyBorder="1" applyAlignment="1">
      <alignment horizontal="center" vertical="center"/>
    </xf>
    <xf numFmtId="0" fontId="49" fillId="0" borderId="394" xfId="0" applyFont="1" applyBorder="1" applyAlignment="1">
      <alignment horizontal="center" vertical="center"/>
    </xf>
    <xf numFmtId="0" fontId="49" fillId="0" borderId="405" xfId="0" applyFont="1" applyBorder="1" applyAlignment="1">
      <alignment horizontal="center" vertical="center"/>
    </xf>
    <xf numFmtId="0" fontId="49" fillId="0" borderId="0" xfId="0" applyFont="1" applyFill="1" applyBorder="1" applyAlignment="1">
      <alignment horizontal="center" vertical="center"/>
    </xf>
    <xf numFmtId="0" fontId="82" fillId="10" borderId="480" xfId="0" applyFont="1" applyFill="1" applyBorder="1" applyAlignment="1">
      <alignment horizontal="center" vertical="center"/>
    </xf>
    <xf numFmtId="0" fontId="82" fillId="10" borderId="481" xfId="0" applyFont="1" applyFill="1" applyBorder="1" applyAlignment="1">
      <alignment horizontal="center" vertical="center"/>
    </xf>
    <xf numFmtId="0" fontId="58" fillId="7" borderId="394" xfId="20" applyFill="1" applyBorder="1" applyAlignment="1">
      <alignment horizontal="center" vertical="center"/>
    </xf>
    <xf numFmtId="0" fontId="49" fillId="0" borderId="143" xfId="0" applyFont="1" applyBorder="1" applyAlignment="1">
      <alignment horizontal="center" vertical="center"/>
    </xf>
    <xf numFmtId="0" fontId="82" fillId="10" borderId="482" xfId="0" applyFont="1" applyFill="1" applyBorder="1" applyAlignment="1">
      <alignment horizontal="center" vertical="center"/>
    </xf>
    <xf numFmtId="0" fontId="79" fillId="10" borderId="495" xfId="0" applyFont="1" applyFill="1" applyBorder="1" applyAlignment="1">
      <alignment vertical="center" wrapText="1"/>
    </xf>
    <xf numFmtId="0" fontId="90" fillId="7" borderId="405" xfId="20" applyFont="1" applyFill="1" applyBorder="1" applyAlignment="1">
      <alignment vertical="center"/>
    </xf>
    <xf numFmtId="0" fontId="79" fillId="10" borderId="496" xfId="0" applyFont="1" applyFill="1" applyBorder="1" applyAlignment="1">
      <alignment vertical="center" wrapText="1"/>
    </xf>
    <xf numFmtId="0" fontId="90" fillId="7" borderId="143" xfId="20" applyFont="1" applyFill="1" applyBorder="1" applyAlignment="1">
      <alignment vertical="center"/>
    </xf>
    <xf numFmtId="0" fontId="58" fillId="7" borderId="394" xfId="20" applyFill="1" applyBorder="1" applyAlignment="1">
      <alignment vertical="center"/>
    </xf>
    <xf numFmtId="0" fontId="49" fillId="14" borderId="249" xfId="0" applyFont="1" applyFill="1" applyBorder="1" applyAlignment="1">
      <alignment horizontal="center" vertical="center"/>
    </xf>
    <xf numFmtId="0" fontId="49" fillId="14" borderId="250" xfId="0" applyFont="1" applyFill="1" applyBorder="1" applyAlignment="1">
      <alignment horizontal="center" vertical="center"/>
    </xf>
    <xf numFmtId="0" fontId="49" fillId="0" borderId="249" xfId="0" applyFont="1" applyFill="1" applyBorder="1" applyAlignment="1">
      <alignment horizontal="center" vertical="center"/>
    </xf>
    <xf numFmtId="0" fontId="49" fillId="0" borderId="250" xfId="0" applyFont="1" applyFill="1" applyBorder="1" applyAlignment="1">
      <alignment horizontal="left" vertical="center"/>
    </xf>
    <xf numFmtId="0" fontId="49" fillId="0" borderId="250" xfId="0" applyFont="1" applyFill="1" applyBorder="1" applyAlignment="1">
      <alignment horizontal="center" vertical="center"/>
    </xf>
    <xf numFmtId="0" fontId="49" fillId="0" borderId="253" xfId="0" applyFont="1" applyFill="1" applyBorder="1" applyAlignment="1">
      <alignment horizontal="center" vertical="center"/>
    </xf>
    <xf numFmtId="0" fontId="49" fillId="0" borderId="255" xfId="0" applyFont="1" applyFill="1" applyBorder="1" applyAlignment="1">
      <alignment horizontal="left" vertical="center"/>
    </xf>
    <xf numFmtId="2" fontId="53" fillId="0" borderId="394" xfId="0" applyNumberFormat="1" applyFont="1" applyBorder="1" applyAlignment="1">
      <alignment horizontal="center" vertical="center"/>
    </xf>
    <xf numFmtId="0" fontId="49" fillId="0" borderId="394" xfId="0" applyFont="1" applyBorder="1" applyAlignment="1">
      <alignment horizontal="center" vertical="center"/>
    </xf>
    <xf numFmtId="0" fontId="49" fillId="0" borderId="143" xfId="0" applyFont="1" applyBorder="1" applyAlignment="1">
      <alignment horizontal="center" vertical="center"/>
    </xf>
    <xf numFmtId="0" fontId="0" fillId="0" borderId="0" xfId="0" applyFill="1" applyBorder="1" applyAlignment="1">
      <alignment horizontal="right"/>
    </xf>
    <xf numFmtId="0" fontId="49" fillId="0" borderId="0" xfId="0" applyFont="1" applyAlignment="1">
      <alignment horizontal="right" vertical="center"/>
    </xf>
    <xf numFmtId="0" fontId="79" fillId="10" borderId="483" xfId="0" applyFont="1" applyFill="1" applyBorder="1" applyAlignment="1">
      <alignment vertical="center"/>
    </xf>
    <xf numFmtId="0" fontId="49" fillId="7" borderId="405" xfId="0" applyFont="1" applyFill="1" applyBorder="1" applyAlignment="1">
      <alignment vertical="center"/>
    </xf>
    <xf numFmtId="0" fontId="79" fillId="10" borderId="500" xfId="0" applyFont="1" applyFill="1" applyBorder="1" applyAlignment="1">
      <alignment vertical="center"/>
    </xf>
    <xf numFmtId="0" fontId="49" fillId="7" borderId="143" xfId="0" applyFont="1" applyFill="1" applyBorder="1" applyAlignment="1">
      <alignment vertical="center"/>
    </xf>
    <xf numFmtId="172" fontId="17" fillId="0" borderId="527" xfId="6" applyNumberFormat="1" applyFont="1" applyBorder="1" applyAlignment="1">
      <alignment horizontal="center"/>
    </xf>
    <xf numFmtId="172" fontId="17" fillId="0" borderId="528" xfId="6" applyNumberFormat="1" applyFont="1" applyBorder="1" applyAlignment="1">
      <alignment horizontal="center"/>
    </xf>
    <xf numFmtId="0" fontId="13" fillId="0" borderId="529" xfId="6" quotePrefix="1" applyFont="1" applyBorder="1" applyAlignment="1">
      <alignment horizontal="center"/>
    </xf>
    <xf numFmtId="0" fontId="49" fillId="0" borderId="394" xfId="0" applyFont="1" applyBorder="1" applyAlignment="1">
      <alignment horizontal="center" vertical="center"/>
    </xf>
    <xf numFmtId="0" fontId="49" fillId="0" borderId="143" xfId="0" applyFont="1" applyBorder="1" applyAlignment="1">
      <alignment horizontal="center" vertical="center"/>
    </xf>
    <xf numFmtId="0" fontId="82" fillId="15" borderId="480" xfId="0" applyFont="1" applyFill="1" applyBorder="1" applyAlignment="1">
      <alignment horizontal="center" vertical="center"/>
    </xf>
    <xf numFmtId="0" fontId="82" fillId="15" borderId="481" xfId="0" applyFont="1" applyFill="1" applyBorder="1" applyAlignment="1">
      <alignment horizontal="center" vertical="center"/>
    </xf>
    <xf numFmtId="0" fontId="82" fillId="15" borderId="482" xfId="0" applyFont="1" applyFill="1" applyBorder="1" applyAlignment="1">
      <alignment horizontal="center" vertical="center"/>
    </xf>
    <xf numFmtId="0" fontId="58" fillId="7" borderId="394" xfId="20" applyFill="1" applyBorder="1" applyAlignment="1">
      <alignment horizontal="center" vertical="center"/>
    </xf>
    <xf numFmtId="0" fontId="49" fillId="0" borderId="182" xfId="0" applyFont="1" applyBorder="1" applyAlignment="1">
      <alignment horizontal="center" vertical="center"/>
    </xf>
    <xf numFmtId="0" fontId="49" fillId="0" borderId="293" xfId="0" applyFont="1" applyBorder="1" applyAlignment="1">
      <alignment horizontal="center" vertical="center"/>
    </xf>
    <xf numFmtId="0" fontId="49" fillId="2" borderId="249" xfId="0" applyFont="1" applyFill="1" applyBorder="1" applyAlignment="1">
      <alignment horizontal="center" vertical="center"/>
    </xf>
    <xf numFmtId="0" fontId="49" fillId="2" borderId="250" xfId="0" applyFont="1" applyFill="1" applyBorder="1" applyAlignment="1">
      <alignment horizontal="center" vertical="center"/>
    </xf>
    <xf numFmtId="0" fontId="49" fillId="0" borderId="249" xfId="0" applyFont="1" applyBorder="1" applyAlignment="1">
      <alignment horizontal="center" vertical="center"/>
    </xf>
    <xf numFmtId="0" fontId="49" fillId="0" borderId="250" xfId="0" applyFont="1" applyBorder="1" applyAlignment="1">
      <alignment horizontal="center" vertical="center"/>
    </xf>
    <xf numFmtId="0" fontId="49" fillId="0" borderId="253" xfId="0" applyFont="1" applyBorder="1" applyAlignment="1">
      <alignment horizontal="center" vertical="center"/>
    </xf>
    <xf numFmtId="0" fontId="49" fillId="0" borderId="255" xfId="0" applyFont="1" applyBorder="1" applyAlignment="1">
      <alignment horizontal="center" vertical="center"/>
    </xf>
    <xf numFmtId="0" fontId="49" fillId="17" borderId="394" xfId="0" applyFont="1" applyFill="1" applyBorder="1" applyAlignment="1">
      <alignment horizontal="center" vertical="center"/>
    </xf>
    <xf numFmtId="0" fontId="49" fillId="17" borderId="405" xfId="0" applyFont="1" applyFill="1" applyBorder="1" applyAlignment="1">
      <alignment horizontal="center" vertical="center"/>
    </xf>
    <xf numFmtId="0" fontId="59" fillId="0" borderId="529" xfId="0" applyFont="1" applyBorder="1" applyAlignment="1">
      <alignment vertical="center"/>
    </xf>
    <xf numFmtId="0" fontId="59" fillId="0" borderId="521" xfId="0" applyFont="1" applyBorder="1" applyAlignment="1">
      <alignment vertical="center"/>
    </xf>
    <xf numFmtId="0" fontId="49" fillId="0" borderId="143" xfId="0" applyFont="1" applyBorder="1" applyAlignment="1">
      <alignment horizontal="center" vertical="center"/>
    </xf>
    <xf numFmtId="0" fontId="49" fillId="0" borderId="394" xfId="0" applyFont="1" applyBorder="1" applyAlignment="1">
      <alignment horizontal="center" vertical="center"/>
    </xf>
    <xf numFmtId="0" fontId="59" fillId="0" borderId="394" xfId="0" applyFont="1" applyFill="1" applyBorder="1" applyAlignment="1">
      <alignment vertical="center"/>
    </xf>
    <xf numFmtId="0" fontId="59" fillId="0" borderId="249" xfId="0" applyFont="1" applyFill="1" applyBorder="1" applyAlignment="1">
      <alignment vertical="center"/>
    </xf>
    <xf numFmtId="0" fontId="59" fillId="0" borderId="250" xfId="0" applyFont="1" applyFill="1" applyBorder="1" applyAlignment="1">
      <alignment vertical="center"/>
    </xf>
    <xf numFmtId="0" fontId="59" fillId="0" borderId="249" xfId="0" applyFont="1" applyFill="1" applyBorder="1" applyAlignment="1">
      <alignment horizontal="right" vertical="center"/>
    </xf>
    <xf numFmtId="165" fontId="59" fillId="0" borderId="250" xfId="1" applyFont="1" applyFill="1" applyBorder="1" applyAlignment="1">
      <alignment vertical="center"/>
    </xf>
    <xf numFmtId="165" fontId="59" fillId="0" borderId="250" xfId="0" applyNumberFormat="1" applyFont="1" applyFill="1" applyBorder="1" applyAlignment="1">
      <alignment vertical="center"/>
    </xf>
    <xf numFmtId="0" fontId="59" fillId="0" borderId="253" xfId="0" applyFont="1" applyFill="1" applyBorder="1" applyAlignment="1">
      <alignment horizontal="right" vertical="center"/>
    </xf>
    <xf numFmtId="165" fontId="59" fillId="0" borderId="255" xfId="1" applyFont="1" applyFill="1" applyBorder="1" applyAlignment="1">
      <alignment vertical="center"/>
    </xf>
    <xf numFmtId="2" fontId="59" fillId="14" borderId="394" xfId="0" applyNumberFormat="1" applyFont="1" applyFill="1" applyBorder="1" applyAlignment="1">
      <alignment vertical="center"/>
    </xf>
    <xf numFmtId="165" fontId="13" fillId="0" borderId="0" xfId="10" applyFont="1" applyBorder="1" applyProtection="1">
      <protection locked="0"/>
    </xf>
    <xf numFmtId="0" fontId="13" fillId="0" borderId="0" xfId="6" applyFont="1" applyBorder="1"/>
    <xf numFmtId="0" fontId="13" fillId="0" borderId="249" xfId="6" applyFont="1" applyBorder="1" applyProtection="1">
      <protection locked="0"/>
    </xf>
    <xf numFmtId="0" fontId="15" fillId="0" borderId="250" xfId="7" applyBorder="1"/>
    <xf numFmtId="0" fontId="13" fillId="3" borderId="249" xfId="6" applyFont="1" applyFill="1" applyBorder="1"/>
    <xf numFmtId="0" fontId="18" fillId="0" borderId="249" xfId="6" applyFont="1" applyBorder="1"/>
    <xf numFmtId="0" fontId="13" fillId="0" borderId="249" xfId="6" applyFont="1" applyBorder="1"/>
    <xf numFmtId="0" fontId="13" fillId="0" borderId="253" xfId="6" applyFont="1" applyBorder="1"/>
    <xf numFmtId="0" fontId="15" fillId="0" borderId="255" xfId="7" applyBorder="1"/>
    <xf numFmtId="0" fontId="13" fillId="3" borderId="253" xfId="6" applyFont="1" applyFill="1" applyBorder="1"/>
    <xf numFmtId="0" fontId="18" fillId="0" borderId="253" xfId="6" applyFont="1" applyBorder="1"/>
    <xf numFmtId="0" fontId="20" fillId="0" borderId="255" xfId="7" applyFont="1" applyBorder="1"/>
    <xf numFmtId="0" fontId="49" fillId="0" borderId="394" xfId="0" applyFont="1" applyBorder="1" applyAlignment="1">
      <alignment horizontal="center" vertical="center"/>
    </xf>
    <xf numFmtId="0" fontId="49" fillId="0" borderId="143" xfId="0" applyFont="1" applyBorder="1" applyAlignment="1">
      <alignment horizontal="center" vertical="center"/>
    </xf>
    <xf numFmtId="168" fontId="13" fillId="0" borderId="530" xfId="6" applyNumberFormat="1" applyFont="1" applyBorder="1" applyAlignment="1">
      <alignment horizontal="center"/>
    </xf>
    <xf numFmtId="0" fontId="0" fillId="16" borderId="394" xfId="0" applyFill="1" applyBorder="1" applyAlignment="1">
      <alignment horizontal="center"/>
    </xf>
    <xf numFmtId="0" fontId="60" fillId="0" borderId="11" xfId="0" applyFont="1" applyFill="1" applyBorder="1" applyAlignment="1">
      <alignment horizontal="right" vertical="center"/>
    </xf>
    <xf numFmtId="0" fontId="49" fillId="0" borderId="394" xfId="0" applyFont="1" applyBorder="1" applyAlignment="1">
      <alignment horizontal="center" vertical="center"/>
    </xf>
    <xf numFmtId="0" fontId="49" fillId="0" borderId="143" xfId="0" applyFont="1" applyBorder="1" applyAlignment="1">
      <alignment horizontal="center" vertical="center"/>
    </xf>
    <xf numFmtId="0" fontId="49" fillId="0" borderId="394" xfId="0" applyFont="1" applyBorder="1" applyAlignment="1">
      <alignment horizontal="center" vertical="center"/>
    </xf>
    <xf numFmtId="165" fontId="13" fillId="0" borderId="531" xfId="12" applyFont="1" applyBorder="1"/>
    <xf numFmtId="165" fontId="1" fillId="0" borderId="0" xfId="7" applyNumberFormat="1" applyFont="1" applyBorder="1"/>
    <xf numFmtId="165" fontId="59" fillId="2" borderId="0" xfId="0" applyNumberFormat="1" applyFont="1" applyFill="1" applyAlignment="1">
      <alignment vertical="center"/>
    </xf>
    <xf numFmtId="0" fontId="59" fillId="0" borderId="229" xfId="0" applyFont="1" applyFill="1" applyBorder="1" applyAlignment="1">
      <alignment horizontal="right" vertical="center"/>
    </xf>
    <xf numFmtId="177" fontId="10" fillId="0" borderId="534" xfId="2" applyNumberFormat="1" applyFont="1" applyBorder="1" applyAlignment="1">
      <alignment vertical="center"/>
    </xf>
    <xf numFmtId="0" fontId="49" fillId="0" borderId="394" xfId="0" applyFont="1" applyBorder="1" applyAlignment="1">
      <alignment horizontal="center" vertical="center"/>
    </xf>
    <xf numFmtId="0" fontId="49" fillId="0" borderId="143" xfId="0" applyFont="1" applyBorder="1" applyAlignment="1">
      <alignment horizontal="center" vertical="center"/>
    </xf>
    <xf numFmtId="0" fontId="58" fillId="7" borderId="394" xfId="20" applyFill="1" applyBorder="1" applyAlignment="1">
      <alignment horizontal="center" vertical="center"/>
    </xf>
    <xf numFmtId="165" fontId="59" fillId="0" borderId="535" xfId="1" applyFont="1" applyFill="1" applyBorder="1" applyAlignment="1">
      <alignment vertical="center"/>
    </xf>
    <xf numFmtId="0" fontId="60" fillId="0" borderId="535" xfId="0" applyFont="1" applyFill="1" applyBorder="1" applyAlignment="1">
      <alignment vertical="center"/>
    </xf>
    <xf numFmtId="0" fontId="59" fillId="0" borderId="2" xfId="0" applyFont="1" applyFill="1" applyBorder="1" applyAlignment="1">
      <alignment horizontal="right" vertical="center"/>
    </xf>
    <xf numFmtId="0" fontId="59" fillId="0" borderId="5" xfId="0" applyFont="1" applyFill="1" applyBorder="1" applyAlignment="1">
      <alignment horizontal="right" vertical="center"/>
    </xf>
    <xf numFmtId="0" fontId="59" fillId="0" borderId="277" xfId="0" applyFont="1" applyFill="1" applyBorder="1" applyAlignment="1">
      <alignment vertical="center"/>
    </xf>
    <xf numFmtId="0" fontId="0" fillId="0" borderId="394" xfId="0" applyFill="1" applyBorder="1" applyAlignment="1">
      <alignment horizontal="left"/>
    </xf>
    <xf numFmtId="172" fontId="17" fillId="0" borderId="536" xfId="6" applyNumberFormat="1" applyFont="1" applyBorder="1" applyAlignment="1">
      <alignment horizontal="center"/>
    </xf>
    <xf numFmtId="0" fontId="13" fillId="0" borderId="532" xfId="6" quotePrefix="1" applyFont="1" applyBorder="1" applyAlignment="1">
      <alignment horizontal="center"/>
    </xf>
    <xf numFmtId="170" fontId="15" fillId="0" borderId="0" xfId="2" applyNumberFormat="1" applyFont="1"/>
    <xf numFmtId="43" fontId="59" fillId="0" borderId="0" xfId="0" applyNumberFormat="1" applyFont="1" applyFill="1" applyAlignment="1">
      <alignment vertical="center"/>
    </xf>
    <xf numFmtId="165" fontId="60" fillId="0" borderId="538" xfId="0" applyNumberFormat="1" applyFont="1" applyFill="1" applyBorder="1" applyAlignment="1">
      <alignment vertical="center"/>
    </xf>
    <xf numFmtId="165" fontId="60" fillId="0" borderId="12" xfId="0" applyNumberFormat="1" applyFont="1" applyFill="1" applyBorder="1" applyAlignment="1">
      <alignment vertical="center"/>
    </xf>
    <xf numFmtId="165" fontId="60" fillId="0" borderId="447" xfId="0" applyNumberFormat="1" applyFont="1" applyFill="1" applyBorder="1" applyAlignment="1">
      <alignment horizontal="right" vertical="center"/>
    </xf>
    <xf numFmtId="0" fontId="10" fillId="0" borderId="539" xfId="0" applyFont="1" applyBorder="1" applyAlignment="1">
      <alignment vertical="center"/>
    </xf>
    <xf numFmtId="0" fontId="10" fillId="0" borderId="40" xfId="0" applyFont="1" applyBorder="1" applyAlignment="1">
      <alignment vertical="center"/>
    </xf>
    <xf numFmtId="0" fontId="10" fillId="0" borderId="42" xfId="0" applyFont="1" applyBorder="1" applyAlignment="1">
      <alignment vertical="center"/>
    </xf>
    <xf numFmtId="0" fontId="10" fillId="0" borderId="54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541" xfId="0" applyFont="1" applyBorder="1" applyAlignment="1">
      <alignment vertical="center"/>
    </xf>
    <xf numFmtId="0" fontId="10" fillId="0" borderId="542" xfId="0" applyFont="1" applyBorder="1" applyAlignment="1">
      <alignment vertical="center"/>
    </xf>
    <xf numFmtId="0" fontId="10" fillId="0" borderId="45" xfId="0" applyFont="1" applyBorder="1" applyAlignment="1">
      <alignment vertical="center"/>
    </xf>
    <xf numFmtId="0" fontId="10" fillId="0" borderId="47" xfId="0" applyFont="1" applyBorder="1" applyAlignment="1">
      <alignment vertical="center"/>
    </xf>
    <xf numFmtId="164" fontId="42" fillId="2" borderId="264" xfId="2" applyFont="1" applyFill="1" applyBorder="1" applyAlignment="1"/>
    <xf numFmtId="164" fontId="42" fillId="2" borderId="269" xfId="2" applyFont="1" applyFill="1" applyBorder="1" applyAlignment="1"/>
    <xf numFmtId="164" fontId="42" fillId="2" borderId="270" xfId="2" applyFont="1" applyFill="1" applyBorder="1" applyAlignment="1"/>
    <xf numFmtId="0" fontId="12" fillId="0" borderId="0" xfId="3"/>
    <xf numFmtId="0" fontId="10" fillId="0" borderId="3" xfId="0" applyFont="1" applyFill="1" applyBorder="1" applyAlignment="1">
      <alignment horizontal="right" vertical="center"/>
    </xf>
    <xf numFmtId="0" fontId="79" fillId="10" borderId="491" xfId="0" applyFont="1" applyFill="1" applyBorder="1" applyAlignment="1">
      <alignment horizontal="right" vertical="center"/>
    </xf>
    <xf numFmtId="0" fontId="13" fillId="0" borderId="543" xfId="6" applyFont="1" applyBorder="1" applyAlignment="1">
      <alignment horizontal="center"/>
    </xf>
    <xf numFmtId="0" fontId="37" fillId="0" borderId="0" xfId="0" applyFont="1" applyFill="1" applyAlignment="1">
      <alignment horizontal="center" vertical="center"/>
    </xf>
    <xf numFmtId="0" fontId="37" fillId="0" borderId="525" xfId="0" applyFont="1" applyFill="1" applyBorder="1" applyAlignment="1">
      <alignment horizontal="center" vertical="center"/>
    </xf>
    <xf numFmtId="0" fontId="94" fillId="0" borderId="525" xfId="0" applyFont="1" applyFill="1" applyBorder="1" applyAlignment="1">
      <alignment horizontal="center" vertical="center"/>
    </xf>
    <xf numFmtId="0" fontId="94" fillId="0" borderId="0" xfId="0" applyFont="1" applyFill="1" applyAlignment="1">
      <alignment horizontal="center" vertical="center"/>
    </xf>
    <xf numFmtId="0" fontId="37" fillId="0" borderId="394" xfId="0" applyFont="1" applyFill="1" applyBorder="1" applyAlignment="1">
      <alignment horizontal="center" vertical="center"/>
    </xf>
    <xf numFmtId="168" fontId="37" fillId="0" borderId="394" xfId="0" applyNumberFormat="1" applyFont="1" applyFill="1" applyBorder="1" applyAlignment="1">
      <alignment horizontal="center" vertical="center"/>
    </xf>
    <xf numFmtId="2" fontId="37" fillId="0" borderId="394" xfId="0" applyNumberFormat="1" applyFont="1" applyFill="1" applyBorder="1" applyAlignment="1">
      <alignment horizontal="center" vertical="center"/>
    </xf>
    <xf numFmtId="2" fontId="37" fillId="0" borderId="0" xfId="0" applyNumberFormat="1" applyFont="1" applyFill="1" applyAlignment="1">
      <alignment horizontal="center" vertical="center"/>
    </xf>
    <xf numFmtId="168" fontId="37" fillId="0" borderId="0" xfId="0" applyNumberFormat="1" applyFont="1" applyFill="1" applyAlignment="1">
      <alignment horizontal="center" vertical="center"/>
    </xf>
    <xf numFmtId="0" fontId="37" fillId="0" borderId="405" xfId="0" applyFont="1" applyFill="1" applyBorder="1" applyAlignment="1">
      <alignment horizontal="center" vertical="center"/>
    </xf>
    <xf numFmtId="2" fontId="37" fillId="0" borderId="405" xfId="0" applyNumberFormat="1" applyFont="1" applyFill="1" applyBorder="1" applyAlignment="1">
      <alignment horizontal="center" vertical="center"/>
    </xf>
    <xf numFmtId="2" fontId="37" fillId="2" borderId="460" xfId="0" applyNumberFormat="1" applyFont="1" applyFill="1" applyBorder="1" applyAlignment="1">
      <alignment horizontal="center" vertical="center"/>
    </xf>
    <xf numFmtId="2" fontId="37" fillId="2" borderId="394" xfId="0" applyNumberFormat="1" applyFont="1" applyFill="1" applyBorder="1" applyAlignment="1">
      <alignment horizontal="center" vertical="center"/>
    </xf>
    <xf numFmtId="0" fontId="37" fillId="0" borderId="0" xfId="0" applyFont="1" applyFill="1" applyAlignment="1">
      <alignment horizontal="left" vertical="center"/>
    </xf>
    <xf numFmtId="0" fontId="37" fillId="2" borderId="0" xfId="0" applyFont="1" applyFill="1" applyAlignment="1">
      <alignment horizontal="right" vertical="center"/>
    </xf>
    <xf numFmtId="0" fontId="37" fillId="2" borderId="0" xfId="0" applyFont="1" applyFill="1" applyAlignment="1">
      <alignment horizontal="left" vertical="center"/>
    </xf>
    <xf numFmtId="0" fontId="37" fillId="2" borderId="525" xfId="0" applyFont="1" applyFill="1" applyBorder="1" applyAlignment="1">
      <alignment horizontal="center" vertical="center"/>
    </xf>
    <xf numFmtId="0" fontId="37" fillId="0" borderId="0" xfId="0" applyFont="1" applyFill="1" applyAlignment="1">
      <alignment horizontal="right" vertical="center"/>
    </xf>
    <xf numFmtId="0" fontId="37" fillId="2" borderId="394" xfId="0" applyFont="1" applyFill="1" applyBorder="1" applyAlignment="1">
      <alignment horizontal="center" vertical="center"/>
    </xf>
    <xf numFmtId="2" fontId="37" fillId="2" borderId="394" xfId="0" applyNumberFormat="1" applyFont="1" applyFill="1" applyBorder="1" applyAlignment="1">
      <alignment horizontal="right" vertical="center"/>
    </xf>
    <xf numFmtId="0" fontId="88" fillId="2" borderId="525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center" vertical="center"/>
    </xf>
    <xf numFmtId="0" fontId="97" fillId="2" borderId="486" xfId="0" applyFont="1" applyFill="1" applyBorder="1" applyAlignment="1">
      <alignment vertical="center"/>
    </xf>
    <xf numFmtId="0" fontId="97" fillId="2" borderId="487" xfId="0" applyFont="1" applyFill="1" applyBorder="1" applyAlignment="1">
      <alignment vertical="center"/>
    </xf>
    <xf numFmtId="0" fontId="97" fillId="0" borderId="487" xfId="0" applyFont="1" applyFill="1" applyBorder="1" applyAlignment="1">
      <alignment vertical="center"/>
    </xf>
    <xf numFmtId="0" fontId="97" fillId="0" borderId="488" xfId="0" applyFont="1" applyFill="1" applyBorder="1" applyAlignment="1">
      <alignment vertical="center"/>
    </xf>
    <xf numFmtId="0" fontId="88" fillId="0" borderId="491" xfId="0" applyFont="1" applyFill="1" applyBorder="1" applyAlignment="1">
      <alignment horizontal="right" vertical="center"/>
    </xf>
    <xf numFmtId="0" fontId="37" fillId="0" borderId="0" xfId="0" applyFont="1" applyFill="1" applyBorder="1" applyAlignment="1">
      <alignment horizontal="right" vertical="center"/>
    </xf>
    <xf numFmtId="0" fontId="88" fillId="0" borderId="0" xfId="0" applyFont="1" applyFill="1" applyBorder="1" applyAlignment="1">
      <alignment horizontal="right" vertical="center"/>
    </xf>
    <xf numFmtId="0" fontId="37" fillId="0" borderId="544" xfId="0" applyFont="1" applyFill="1" applyBorder="1" applyAlignment="1">
      <alignment horizontal="center" vertical="center"/>
    </xf>
    <xf numFmtId="0" fontId="37" fillId="2" borderId="479" xfId="0" applyFont="1" applyFill="1" applyBorder="1" applyAlignment="1">
      <alignment horizontal="center" vertical="center"/>
    </xf>
    <xf numFmtId="0" fontId="37" fillId="2" borderId="493" xfId="0" applyFont="1" applyFill="1" applyBorder="1" applyAlignment="1">
      <alignment horizontal="center" vertical="center"/>
    </xf>
    <xf numFmtId="0" fontId="37" fillId="2" borderId="56" xfId="0" applyFont="1" applyFill="1" applyBorder="1" applyAlignment="1">
      <alignment horizontal="center" vertical="center"/>
    </xf>
    <xf numFmtId="0" fontId="37" fillId="0" borderId="141" xfId="0" applyFont="1" applyFill="1" applyBorder="1" applyAlignment="1">
      <alignment horizontal="center" vertical="center"/>
    </xf>
    <xf numFmtId="0" fontId="37" fillId="0" borderId="545" xfId="0" applyFont="1" applyFill="1" applyBorder="1" applyAlignment="1">
      <alignment horizontal="center" vertical="center"/>
    </xf>
    <xf numFmtId="0" fontId="37" fillId="0" borderId="422" xfId="0" applyFont="1" applyFill="1" applyBorder="1" applyAlignment="1">
      <alignment horizontal="center" vertical="center"/>
    </xf>
    <xf numFmtId="0" fontId="37" fillId="0" borderId="546" xfId="0" applyFont="1" applyFill="1" applyBorder="1" applyAlignment="1">
      <alignment horizontal="center" vertical="center"/>
    </xf>
    <xf numFmtId="0" fontId="37" fillId="0" borderId="452" xfId="0" applyFont="1" applyFill="1" applyBorder="1" applyAlignment="1">
      <alignment horizontal="center" vertical="center"/>
    </xf>
    <xf numFmtId="0" fontId="37" fillId="0" borderId="547" xfId="0" applyFont="1" applyFill="1" applyBorder="1" applyAlignment="1">
      <alignment horizontal="center" vertical="center"/>
    </xf>
    <xf numFmtId="0" fontId="37" fillId="0" borderId="548" xfId="0" applyFont="1" applyFill="1" applyBorder="1" applyAlignment="1">
      <alignment horizontal="center" vertical="center"/>
    </xf>
    <xf numFmtId="0" fontId="37" fillId="0" borderId="549" xfId="0" applyFont="1" applyFill="1" applyBorder="1" applyAlignment="1">
      <alignment horizontal="center" vertical="center"/>
    </xf>
    <xf numFmtId="0" fontId="37" fillId="0" borderId="550" xfId="0" applyFont="1" applyFill="1" applyBorder="1" applyAlignment="1">
      <alignment horizontal="center" vertical="center"/>
    </xf>
    <xf numFmtId="0" fontId="88" fillId="0" borderId="394" xfId="0" applyFont="1" applyFill="1" applyBorder="1" applyAlignment="1">
      <alignment vertical="center"/>
    </xf>
    <xf numFmtId="0" fontId="37" fillId="2" borderId="394" xfId="0" applyFont="1" applyFill="1" applyBorder="1" applyAlignment="1">
      <alignment vertical="center"/>
    </xf>
    <xf numFmtId="0" fontId="88" fillId="0" borderId="494" xfId="0" applyFont="1" applyFill="1" applyBorder="1" applyAlignment="1">
      <alignment vertical="center"/>
    </xf>
    <xf numFmtId="0" fontId="37" fillId="0" borderId="499" xfId="0" applyFont="1" applyFill="1" applyBorder="1" applyAlignment="1">
      <alignment vertical="center"/>
    </xf>
    <xf numFmtId="0" fontId="37" fillId="0" borderId="551" xfId="0" applyFont="1" applyFill="1" applyBorder="1" applyAlignment="1">
      <alignment horizontal="center" vertical="center"/>
    </xf>
    <xf numFmtId="0" fontId="37" fillId="0" borderId="552" xfId="0" applyFont="1" applyFill="1" applyBorder="1" applyAlignment="1">
      <alignment horizontal="center" vertical="center"/>
    </xf>
    <xf numFmtId="0" fontId="37" fillId="0" borderId="553" xfId="0" applyFont="1" applyFill="1" applyBorder="1" applyAlignment="1">
      <alignment horizontal="center" vertical="center"/>
    </xf>
    <xf numFmtId="0" fontId="37" fillId="0" borderId="554" xfId="0" applyFont="1" applyFill="1" applyBorder="1" applyAlignment="1">
      <alignment horizontal="center" vertical="center"/>
    </xf>
    <xf numFmtId="0" fontId="37" fillId="0" borderId="555" xfId="0" applyFont="1" applyFill="1" applyBorder="1" applyAlignment="1">
      <alignment horizontal="center" vertical="center"/>
    </xf>
    <xf numFmtId="0" fontId="37" fillId="0" borderId="556" xfId="0" applyFont="1" applyFill="1" applyBorder="1" applyAlignment="1">
      <alignment horizontal="center" vertical="center"/>
    </xf>
    <xf numFmtId="0" fontId="88" fillId="0" borderId="479" xfId="0" applyFont="1" applyFill="1" applyBorder="1" applyAlignment="1">
      <alignment horizontal="center" vertical="center" wrapText="1"/>
    </xf>
    <xf numFmtId="2" fontId="37" fillId="2" borderId="552" xfId="0" applyNumberFormat="1" applyFont="1" applyFill="1" applyBorder="1" applyAlignment="1">
      <alignment horizontal="right" vertical="center"/>
    </xf>
    <xf numFmtId="0" fontId="37" fillId="2" borderId="0" xfId="0" applyFont="1" applyFill="1" applyAlignment="1">
      <alignment horizontal="center" vertical="center"/>
    </xf>
    <xf numFmtId="0" fontId="37" fillId="2" borderId="37" xfId="0" applyFont="1" applyFill="1" applyBorder="1" applyAlignment="1">
      <alignment horizontal="center" vertical="center"/>
    </xf>
    <xf numFmtId="0" fontId="94" fillId="2" borderId="37" xfId="0" applyFont="1" applyFill="1" applyBorder="1" applyAlignment="1">
      <alignment horizontal="center" vertical="center"/>
    </xf>
    <xf numFmtId="0" fontId="37" fillId="2" borderId="125" xfId="0" applyFont="1" applyFill="1" applyBorder="1" applyAlignment="1">
      <alignment horizontal="center" vertical="center"/>
    </xf>
    <xf numFmtId="0" fontId="37" fillId="0" borderId="557" xfId="0" applyFont="1" applyFill="1" applyBorder="1" applyAlignment="1">
      <alignment horizontal="center" vertical="center"/>
    </xf>
    <xf numFmtId="0" fontId="37" fillId="0" borderId="558" xfId="0" applyFont="1" applyFill="1" applyBorder="1" applyAlignment="1">
      <alignment horizontal="center" vertical="center"/>
    </xf>
    <xf numFmtId="0" fontId="88" fillId="0" borderId="559" xfId="0" applyFont="1" applyFill="1" applyBorder="1" applyAlignment="1">
      <alignment vertical="center" wrapText="1"/>
    </xf>
    <xf numFmtId="0" fontId="90" fillId="2" borderId="558" xfId="20" applyFont="1" applyFill="1" applyBorder="1" applyAlignment="1">
      <alignment vertical="center"/>
    </xf>
    <xf numFmtId="0" fontId="88" fillId="0" borderId="496" xfId="0" applyFont="1" applyFill="1" applyBorder="1" applyAlignment="1">
      <alignment vertical="center" wrapText="1"/>
    </xf>
    <xf numFmtId="0" fontId="90" fillId="0" borderId="525" xfId="20" applyFont="1" applyFill="1" applyBorder="1" applyAlignment="1">
      <alignment vertical="center"/>
    </xf>
    <xf numFmtId="0" fontId="87" fillId="2" borderId="0" xfId="20" applyFont="1" applyFill="1" applyAlignment="1">
      <alignment horizontal="center" vertical="center"/>
    </xf>
    <xf numFmtId="0" fontId="37" fillId="2" borderId="485" xfId="0" applyFont="1" applyFill="1" applyBorder="1" applyAlignment="1">
      <alignment horizontal="center" vertical="center"/>
    </xf>
    <xf numFmtId="0" fontId="37" fillId="2" borderId="490" xfId="0" applyFont="1" applyFill="1" applyBorder="1" applyAlignment="1">
      <alignment horizontal="center" vertical="center"/>
    </xf>
    <xf numFmtId="0" fontId="37" fillId="0" borderId="36" xfId="0" applyFont="1" applyFill="1" applyBorder="1" applyAlignment="1">
      <alignment horizontal="center" vertical="center"/>
    </xf>
    <xf numFmtId="0" fontId="37" fillId="0" borderId="37" xfId="0" applyFont="1" applyFill="1" applyBorder="1" applyAlignment="1">
      <alignment horizontal="center" vertical="center"/>
    </xf>
    <xf numFmtId="0" fontId="37" fillId="0" borderId="125" xfId="0" applyFont="1" applyFill="1" applyBorder="1" applyAlignment="1">
      <alignment horizontal="center" vertical="center"/>
    </xf>
    <xf numFmtId="0" fontId="88" fillId="0" borderId="491" xfId="0" applyFont="1" applyFill="1" applyBorder="1" applyAlignment="1">
      <alignment horizontal="right" vertical="center" wrapText="1"/>
    </xf>
    <xf numFmtId="0" fontId="87" fillId="2" borderId="552" xfId="20" applyFont="1" applyFill="1" applyBorder="1" applyAlignment="1">
      <alignment horizontal="center" vertical="center"/>
    </xf>
    <xf numFmtId="0" fontId="37" fillId="2" borderId="552" xfId="0" applyFont="1" applyFill="1" applyBorder="1" applyAlignment="1">
      <alignment horizontal="center" vertical="center"/>
    </xf>
    <xf numFmtId="0" fontId="87" fillId="0" borderId="552" xfId="20" applyFont="1" applyFill="1" applyBorder="1" applyAlignment="1">
      <alignment horizontal="center" vertical="center"/>
    </xf>
    <xf numFmtId="0" fontId="37" fillId="2" borderId="480" xfId="0" applyFont="1" applyFill="1" applyBorder="1" applyAlignment="1">
      <alignment horizontal="center" vertical="center"/>
    </xf>
    <xf numFmtId="0" fontId="37" fillId="2" borderId="481" xfId="0" applyFont="1" applyFill="1" applyBorder="1" applyAlignment="1">
      <alignment horizontal="center" vertical="center"/>
    </xf>
    <xf numFmtId="0" fontId="37" fillId="2" borderId="482" xfId="0" applyFont="1" applyFill="1" applyBorder="1" applyAlignment="1">
      <alignment horizontal="center" vertical="center"/>
    </xf>
    <xf numFmtId="0" fontId="37" fillId="2" borderId="558" xfId="0" applyFont="1" applyFill="1" applyBorder="1" applyAlignment="1">
      <alignment horizontal="center" vertical="center"/>
    </xf>
    <xf numFmtId="0" fontId="94" fillId="2" borderId="552" xfId="0" applyFont="1" applyFill="1" applyBorder="1" applyAlignment="1">
      <alignment horizontal="center" vertical="center"/>
    </xf>
    <xf numFmtId="0" fontId="94" fillId="2" borderId="553" xfId="0" applyFont="1" applyFill="1" applyBorder="1" applyAlignment="1">
      <alignment horizontal="center" vertical="center"/>
    </xf>
    <xf numFmtId="0" fontId="37" fillId="0" borderId="480" xfId="0" applyFont="1" applyFill="1" applyBorder="1" applyAlignment="1">
      <alignment horizontal="center" vertical="center"/>
    </xf>
    <xf numFmtId="0" fontId="37" fillId="0" borderId="481" xfId="0" applyFont="1" applyFill="1" applyBorder="1" applyAlignment="1">
      <alignment horizontal="center" vertical="center"/>
    </xf>
    <xf numFmtId="0" fontId="37" fillId="0" borderId="482" xfId="0" applyFont="1" applyFill="1" applyBorder="1" applyAlignment="1">
      <alignment horizontal="center" vertical="center"/>
    </xf>
    <xf numFmtId="0" fontId="94" fillId="0" borderId="552" xfId="0" applyFont="1" applyFill="1" applyBorder="1" applyAlignment="1">
      <alignment horizontal="center" vertical="center"/>
    </xf>
    <xf numFmtId="0" fontId="94" fillId="0" borderId="553" xfId="0" applyFont="1" applyFill="1" applyBorder="1" applyAlignment="1">
      <alignment horizontal="center" vertical="center"/>
    </xf>
    <xf numFmtId="0" fontId="98" fillId="2" borderId="483" xfId="0" applyFont="1" applyFill="1" applyBorder="1" applyAlignment="1">
      <alignment vertical="center"/>
    </xf>
    <xf numFmtId="0" fontId="98" fillId="2" borderId="484" xfId="0" applyFont="1" applyFill="1" applyBorder="1" applyAlignment="1">
      <alignment vertical="center"/>
    </xf>
    <xf numFmtId="0" fontId="98" fillId="2" borderId="485" xfId="0" applyFont="1" applyFill="1" applyBorder="1" applyAlignment="1">
      <alignment vertical="center"/>
    </xf>
    <xf numFmtId="0" fontId="87" fillId="2" borderId="558" xfId="20" applyFont="1" applyFill="1" applyBorder="1" applyAlignment="1">
      <alignment vertical="center"/>
    </xf>
    <xf numFmtId="0" fontId="88" fillId="0" borderId="491" xfId="0" applyFont="1" applyFill="1" applyBorder="1" applyAlignment="1">
      <alignment horizontal="center" vertical="center" wrapText="1"/>
    </xf>
    <xf numFmtId="0" fontId="37" fillId="0" borderId="479" xfId="0" applyFont="1" applyFill="1" applyBorder="1" applyAlignment="1">
      <alignment horizontal="center" vertical="center"/>
    </xf>
    <xf numFmtId="0" fontId="87" fillId="2" borderId="552" xfId="20" applyFont="1" applyFill="1" applyBorder="1" applyAlignment="1">
      <alignment vertical="center"/>
    </xf>
    <xf numFmtId="0" fontId="87" fillId="0" borderId="552" xfId="20" applyFont="1" applyFill="1" applyBorder="1" applyAlignment="1">
      <alignment vertical="center"/>
    </xf>
    <xf numFmtId="0" fontId="94" fillId="0" borderId="0" xfId="0" applyFont="1" applyFill="1" applyBorder="1" applyAlignment="1">
      <alignment horizontal="center" vertical="center"/>
    </xf>
    <xf numFmtId="0" fontId="94" fillId="0" borderId="37" xfId="0" applyFont="1" applyFill="1" applyBorder="1" applyAlignment="1">
      <alignment horizontal="center" vertical="center"/>
    </xf>
    <xf numFmtId="0" fontId="95" fillId="0" borderId="37" xfId="0" applyFont="1" applyFill="1" applyBorder="1" applyAlignment="1">
      <alignment horizontal="center" vertical="center"/>
    </xf>
    <xf numFmtId="2" fontId="37" fillId="0" borderId="552" xfId="0" applyNumberFormat="1" applyFont="1" applyFill="1" applyBorder="1" applyAlignment="1">
      <alignment horizontal="center" vertical="center"/>
    </xf>
    <xf numFmtId="2" fontId="87" fillId="0" borderId="552" xfId="20" applyNumberFormat="1" applyFont="1" applyFill="1" applyBorder="1" applyAlignment="1">
      <alignment horizontal="center" vertical="center"/>
    </xf>
    <xf numFmtId="2" fontId="87" fillId="2" borderId="552" xfId="20" applyNumberFormat="1" applyFont="1" applyFill="1" applyBorder="1" applyAlignment="1">
      <alignment horizontal="center" vertical="center"/>
    </xf>
    <xf numFmtId="0" fontId="37" fillId="2" borderId="564" xfId="0" applyFont="1" applyFill="1" applyBorder="1" applyAlignment="1">
      <alignment horizontal="center" vertical="center"/>
    </xf>
    <xf numFmtId="0" fontId="37" fillId="2" borderId="565" xfId="0" applyFont="1" applyFill="1" applyBorder="1" applyAlignment="1">
      <alignment horizontal="center" vertical="center"/>
    </xf>
    <xf numFmtId="0" fontId="95" fillId="0" borderId="525" xfId="0" applyFont="1" applyFill="1" applyBorder="1" applyAlignment="1">
      <alignment horizontal="center" vertical="center"/>
    </xf>
    <xf numFmtId="0" fontId="87" fillId="0" borderId="0" xfId="20" applyFont="1" applyFill="1" applyAlignment="1">
      <alignment horizontal="center" vertical="center"/>
    </xf>
    <xf numFmtId="0" fontId="37" fillId="0" borderId="493" xfId="0" applyFont="1" applyFill="1" applyBorder="1" applyAlignment="1">
      <alignment horizontal="center" vertical="center"/>
    </xf>
    <xf numFmtId="0" fontId="98" fillId="2" borderId="483" xfId="0" applyFont="1" applyFill="1" applyBorder="1" applyAlignment="1">
      <alignment horizontal="left" vertical="center"/>
    </xf>
    <xf numFmtId="0" fontId="98" fillId="2" borderId="484" xfId="0" applyFont="1" applyFill="1" applyBorder="1" applyAlignment="1">
      <alignment horizontal="left" vertical="center"/>
    </xf>
    <xf numFmtId="0" fontId="98" fillId="2" borderId="485" xfId="0" applyFont="1" applyFill="1" applyBorder="1" applyAlignment="1">
      <alignment horizontal="left" vertical="center"/>
    </xf>
    <xf numFmtId="0" fontId="98" fillId="0" borderId="499" xfId="0" applyFont="1" applyFill="1" applyBorder="1" applyAlignment="1">
      <alignment horizontal="left" vertical="center"/>
    </xf>
    <xf numFmtId="0" fontId="98" fillId="0" borderId="0" xfId="0" applyFont="1" applyFill="1" applyBorder="1" applyAlignment="1">
      <alignment horizontal="left" vertical="center"/>
    </xf>
    <xf numFmtId="0" fontId="98" fillId="0" borderId="504" xfId="0" applyFont="1" applyFill="1" applyBorder="1" applyAlignment="1">
      <alignment horizontal="left" vertical="center"/>
    </xf>
    <xf numFmtId="0" fontId="98" fillId="0" borderId="500" xfId="0" applyFont="1" applyFill="1" applyBorder="1" applyAlignment="1">
      <alignment horizontal="left" vertical="center"/>
    </xf>
    <xf numFmtId="0" fontId="98" fillId="0" borderId="506" xfId="0" applyFont="1" applyFill="1" applyBorder="1" applyAlignment="1">
      <alignment horizontal="left" vertical="center"/>
    </xf>
    <xf numFmtId="0" fontId="98" fillId="0" borderId="505" xfId="0" applyFont="1" applyFill="1" applyBorder="1" applyAlignment="1">
      <alignment horizontal="left" vertical="center"/>
    </xf>
    <xf numFmtId="0" fontId="88" fillId="0" borderId="483" xfId="0" applyFont="1" applyFill="1" applyBorder="1" applyAlignment="1">
      <alignment vertical="center"/>
    </xf>
    <xf numFmtId="0" fontId="37" fillId="2" borderId="558" xfId="0" applyFont="1" applyFill="1" applyBorder="1" applyAlignment="1">
      <alignment vertical="center"/>
    </xf>
    <xf numFmtId="0" fontId="88" fillId="0" borderId="500" xfId="0" applyFont="1" applyFill="1" applyBorder="1" applyAlignment="1">
      <alignment vertical="center"/>
    </xf>
    <xf numFmtId="0" fontId="37" fillId="0" borderId="525" xfId="0" applyFont="1" applyFill="1" applyBorder="1" applyAlignment="1">
      <alignment vertical="center"/>
    </xf>
    <xf numFmtId="2" fontId="37" fillId="0" borderId="552" xfId="0" applyNumberFormat="1" applyFont="1" applyFill="1" applyBorder="1" applyAlignment="1">
      <alignment horizontal="right" vertical="center"/>
    </xf>
    <xf numFmtId="0" fontId="37" fillId="0" borderId="485" xfId="0" applyFont="1" applyFill="1" applyBorder="1" applyAlignment="1">
      <alignment horizontal="center" vertical="center"/>
    </xf>
    <xf numFmtId="0" fontId="37" fillId="0" borderId="490" xfId="0" applyFont="1" applyFill="1" applyBorder="1" applyAlignment="1">
      <alignment horizontal="center" vertical="center"/>
    </xf>
    <xf numFmtId="0" fontId="37" fillId="0" borderId="558" xfId="0" applyFont="1" applyFill="1" applyBorder="1" applyAlignment="1">
      <alignment vertical="center"/>
    </xf>
    <xf numFmtId="0" fontId="37" fillId="15" borderId="0" xfId="0" applyFont="1" applyFill="1" applyAlignment="1">
      <alignment horizontal="center" vertical="center"/>
    </xf>
    <xf numFmtId="0" fontId="37" fillId="15" borderId="0" xfId="0" applyFont="1" applyFill="1" applyBorder="1" applyAlignment="1">
      <alignment horizontal="center" vertical="center"/>
    </xf>
    <xf numFmtId="0" fontId="94" fillId="15" borderId="0" xfId="0" applyFont="1" applyFill="1" applyBorder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0" fontId="28" fillId="0" borderId="552" xfId="0" applyFont="1" applyFill="1" applyBorder="1" applyAlignment="1">
      <alignment horizontal="center" vertical="center"/>
    </xf>
    <xf numFmtId="0" fontId="99" fillId="0" borderId="0" xfId="0" applyFont="1" applyFill="1" applyAlignment="1">
      <alignment horizontal="center" vertical="center"/>
    </xf>
    <xf numFmtId="2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180" fontId="28" fillId="0" borderId="0" xfId="0" applyNumberFormat="1" applyFont="1" applyFill="1" applyAlignment="1">
      <alignment horizontal="center" vertical="center"/>
    </xf>
    <xf numFmtId="2" fontId="28" fillId="0" borderId="552" xfId="0" applyNumberFormat="1" applyFont="1" applyFill="1" applyBorder="1" applyAlignment="1">
      <alignment horizontal="center" vertical="center"/>
    </xf>
    <xf numFmtId="2" fontId="28" fillId="0" borderId="125" xfId="0" applyNumberFormat="1" applyFont="1" applyFill="1" applyBorder="1" applyAlignment="1">
      <alignment horizontal="center" vertical="center"/>
    </xf>
    <xf numFmtId="2" fontId="37" fillId="2" borderId="0" xfId="0" applyNumberFormat="1" applyFont="1" applyFill="1" applyAlignment="1">
      <alignment horizontal="center" vertical="center"/>
    </xf>
    <xf numFmtId="0" fontId="37" fillId="0" borderId="0" xfId="0" applyFont="1" applyFill="1" applyAlignment="1">
      <alignment vertical="center"/>
    </xf>
    <xf numFmtId="4" fontId="37" fillId="0" borderId="394" xfId="0" applyNumberFormat="1" applyFont="1" applyFill="1" applyBorder="1" applyAlignment="1">
      <alignment horizontal="center" vertical="center"/>
    </xf>
    <xf numFmtId="165" fontId="60" fillId="0" borderId="12" xfId="1" applyFont="1" applyFill="1" applyBorder="1" applyAlignment="1">
      <alignment vertical="center"/>
    </xf>
    <xf numFmtId="165" fontId="60" fillId="0" borderId="447" xfId="1" applyFont="1" applyFill="1" applyBorder="1" applyAlignment="1">
      <alignment vertical="center"/>
    </xf>
    <xf numFmtId="0" fontId="11" fillId="0" borderId="394" xfId="0" applyFont="1" applyBorder="1" applyAlignment="1">
      <alignment horizontal="center" vertical="center" wrapText="1"/>
    </xf>
    <xf numFmtId="0" fontId="11" fillId="0" borderId="39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59" fillId="11" borderId="394" xfId="0" applyFont="1" applyFill="1" applyBorder="1" applyAlignment="1">
      <alignment horizontal="center" vertical="center" wrapText="1"/>
    </xf>
    <xf numFmtId="0" fontId="59" fillId="9" borderId="394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59" fillId="0" borderId="0" xfId="0" applyFont="1" applyFill="1" applyAlignment="1">
      <alignment vertical="center" wrapText="1"/>
    </xf>
    <xf numFmtId="165" fontId="59" fillId="0" borderId="0" xfId="0" applyNumberFormat="1" applyFont="1" applyFill="1" applyAlignment="1">
      <alignment vertical="center" wrapText="1"/>
    </xf>
    <xf numFmtId="0" fontId="59" fillId="11" borderId="394" xfId="0" applyFont="1" applyFill="1" applyBorder="1" applyAlignment="1">
      <alignment horizontal="center" wrapText="1"/>
    </xf>
    <xf numFmtId="0" fontId="59" fillId="9" borderId="394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horizontal="center" wrapText="1"/>
    </xf>
    <xf numFmtId="0" fontId="37" fillId="0" borderId="394" xfId="0" applyFont="1" applyFill="1" applyBorder="1" applyAlignment="1">
      <alignment horizontal="center" vertical="center"/>
    </xf>
    <xf numFmtId="0" fontId="37" fillId="0" borderId="525" xfId="0" applyFont="1" applyFill="1" applyBorder="1" applyAlignment="1">
      <alignment horizontal="center" vertical="center"/>
    </xf>
    <xf numFmtId="0" fontId="37" fillId="0" borderId="558" xfId="0" applyFont="1" applyFill="1" applyBorder="1" applyAlignment="1">
      <alignment horizontal="center" vertical="center"/>
    </xf>
    <xf numFmtId="0" fontId="37" fillId="0" borderId="0" xfId="0" applyFont="1" applyFill="1" applyAlignment="1">
      <alignment horizontal="center" vertical="center"/>
    </xf>
    <xf numFmtId="165" fontId="59" fillId="0" borderId="552" xfId="0" applyNumberFormat="1" applyFont="1" applyFill="1" applyBorder="1" applyAlignment="1">
      <alignment vertical="center"/>
    </xf>
    <xf numFmtId="0" fontId="17" fillId="0" borderId="535" xfId="6" applyFont="1" applyBorder="1" applyAlignment="1">
      <alignment horizontal="center"/>
    </xf>
    <xf numFmtId="0" fontId="13" fillId="0" borderId="533" xfId="6" applyFont="1" applyBorder="1"/>
    <xf numFmtId="167" fontId="13" fillId="0" borderId="566" xfId="5" applyNumberFormat="1" applyFont="1" applyBorder="1"/>
    <xf numFmtId="165" fontId="13" fillId="0" borderId="543" xfId="5" applyFont="1" applyBorder="1"/>
    <xf numFmtId="164" fontId="37" fillId="0" borderId="552" xfId="2" applyFont="1" applyFill="1" applyBorder="1" applyAlignment="1">
      <alignment horizontal="center" vertical="center"/>
    </xf>
    <xf numFmtId="164" fontId="37" fillId="0" borderId="553" xfId="2" applyFont="1" applyFill="1" applyBorder="1" applyAlignment="1">
      <alignment horizontal="center" vertical="center"/>
    </xf>
    <xf numFmtId="164" fontId="37" fillId="0" borderId="554" xfId="2" applyFont="1" applyFill="1" applyBorder="1" applyAlignment="1">
      <alignment horizontal="center" vertical="center"/>
    </xf>
    <xf numFmtId="0" fontId="37" fillId="0" borderId="570" xfId="0" applyFont="1" applyFill="1" applyBorder="1" applyAlignment="1">
      <alignment horizontal="center" vertical="center"/>
    </xf>
    <xf numFmtId="0" fontId="37" fillId="0" borderId="571" xfId="0" applyFont="1" applyFill="1" applyBorder="1" applyAlignment="1">
      <alignment horizontal="center" vertical="center"/>
    </xf>
    <xf numFmtId="0" fontId="0" fillId="18" borderId="0" xfId="0" applyFill="1"/>
    <xf numFmtId="0" fontId="15" fillId="18" borderId="0" xfId="7" applyFill="1"/>
    <xf numFmtId="165" fontId="13" fillId="18" borderId="470" xfId="12" applyFont="1" applyFill="1" applyBorder="1"/>
    <xf numFmtId="0" fontId="1" fillId="0" borderId="470" xfId="7" applyFont="1" applyBorder="1"/>
    <xf numFmtId="165" fontId="15" fillId="0" borderId="0" xfId="7" applyNumberFormat="1" applyFill="1"/>
    <xf numFmtId="170" fontId="15" fillId="0" borderId="0" xfId="2" applyNumberFormat="1" applyFont="1" applyFill="1"/>
    <xf numFmtId="0" fontId="100" fillId="0" borderId="0" xfId="0" applyFont="1" applyAlignment="1">
      <alignment horizontal="left" vertical="center" wrapText="1" indent="1"/>
    </xf>
    <xf numFmtId="0" fontId="37" fillId="0" borderId="525" xfId="0" applyFont="1" applyFill="1" applyBorder="1" applyAlignment="1">
      <alignment horizontal="center" vertical="center"/>
    </xf>
    <xf numFmtId="0" fontId="37" fillId="0" borderId="558" xfId="0" applyFont="1" applyFill="1" applyBorder="1" applyAlignment="1">
      <alignment horizontal="center" vertical="center"/>
    </xf>
    <xf numFmtId="0" fontId="37" fillId="0" borderId="0" xfId="0" applyFont="1" applyFill="1" applyAlignment="1">
      <alignment horizontal="center" vertical="center"/>
    </xf>
    <xf numFmtId="0" fontId="101" fillId="0" borderId="0" xfId="7" applyFont="1"/>
    <xf numFmtId="164" fontId="0" fillId="0" borderId="0" xfId="2" applyFont="1"/>
    <xf numFmtId="0" fontId="0" fillId="0" borderId="169" xfId="0" applyBorder="1"/>
    <xf numFmtId="0" fontId="0" fillId="0" borderId="171" xfId="0" applyBorder="1"/>
    <xf numFmtId="0" fontId="0" fillId="0" borderId="249" xfId="0" applyBorder="1"/>
    <xf numFmtId="0" fontId="0" fillId="0" borderId="250" xfId="0" applyBorder="1"/>
    <xf numFmtId="0" fontId="0" fillId="0" borderId="552" xfId="0" applyBorder="1"/>
    <xf numFmtId="0" fontId="37" fillId="19" borderId="0" xfId="0" applyFont="1" applyFill="1" applyAlignment="1">
      <alignment horizontal="center" vertical="center"/>
    </xf>
    <xf numFmtId="0" fontId="102" fillId="19" borderId="0" xfId="0" applyFont="1" applyFill="1" applyAlignment="1">
      <alignment horizontal="center" vertical="center"/>
    </xf>
    <xf numFmtId="2" fontId="37" fillId="18" borderId="0" xfId="0" applyNumberFormat="1" applyFont="1" applyFill="1" applyAlignment="1">
      <alignment horizontal="center" vertical="center"/>
    </xf>
    <xf numFmtId="168" fontId="37" fillId="0" borderId="552" xfId="0" applyNumberFormat="1" applyFont="1" applyFill="1" applyBorder="1" applyAlignment="1">
      <alignment horizontal="center" vertical="center"/>
    </xf>
    <xf numFmtId="0" fontId="37" fillId="0" borderId="125" xfId="0" applyFont="1" applyFill="1" applyBorder="1" applyAlignment="1">
      <alignment vertical="center"/>
    </xf>
    <xf numFmtId="0" fontId="37" fillId="0" borderId="0" xfId="0" applyFont="1" applyFill="1" applyBorder="1" applyAlignment="1">
      <alignment vertical="center"/>
    </xf>
    <xf numFmtId="0" fontId="37" fillId="18" borderId="552" xfId="0" applyFont="1" applyFill="1" applyBorder="1" applyAlignment="1">
      <alignment horizontal="center" vertical="center"/>
    </xf>
    <xf numFmtId="0" fontId="59" fillId="0" borderId="8" xfId="0" applyFont="1" applyFill="1" applyBorder="1" applyAlignment="1">
      <alignment horizontal="right" vertical="top"/>
    </xf>
    <xf numFmtId="0" fontId="37" fillId="0" borderId="0" xfId="0" applyFont="1" applyFill="1" applyAlignment="1">
      <alignment horizontal="center" vertical="center"/>
    </xf>
    <xf numFmtId="4" fontId="18" fillId="0" borderId="552" xfId="5" applyNumberFormat="1" applyFont="1" applyBorder="1" applyAlignment="1">
      <alignment vertical="center"/>
    </xf>
    <xf numFmtId="0" fontId="30" fillId="0" borderId="552" xfId="19" applyFont="1" applyBorder="1" applyAlignment="1">
      <alignment horizontal="center" vertical="center" wrapText="1"/>
    </xf>
    <xf numFmtId="0" fontId="7" fillId="0" borderId="552" xfId="19" applyBorder="1" applyAlignment="1">
      <alignment vertical="center"/>
    </xf>
    <xf numFmtId="0" fontId="1" fillId="0" borderId="0" xfId="19" applyFont="1"/>
    <xf numFmtId="0" fontId="59" fillId="0" borderId="572" xfId="0" applyFont="1" applyFill="1" applyBorder="1" applyAlignment="1">
      <alignment vertical="center"/>
    </xf>
    <xf numFmtId="0" fontId="59" fillId="0" borderId="573" xfId="0" applyFont="1" applyBorder="1" applyAlignment="1">
      <alignment vertical="center"/>
    </xf>
    <xf numFmtId="0" fontId="18" fillId="0" borderId="552" xfId="7" applyFont="1" applyBorder="1" applyAlignment="1">
      <alignment vertical="center" wrapText="1"/>
    </xf>
    <xf numFmtId="0" fontId="18" fillId="0" borderId="552" xfId="7" applyFont="1" applyBorder="1" applyAlignment="1">
      <alignment horizontal="center" vertical="center"/>
    </xf>
    <xf numFmtId="0" fontId="30" fillId="0" borderId="552" xfId="7" applyFont="1" applyBorder="1" applyAlignment="1">
      <alignment horizontal="center" vertical="center" wrapText="1"/>
    </xf>
    <xf numFmtId="0" fontId="1" fillId="0" borderId="0" xfId="7" applyFont="1"/>
    <xf numFmtId="0" fontId="37" fillId="0" borderId="525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center" vertical="center"/>
    </xf>
    <xf numFmtId="0" fontId="37" fillId="0" borderId="0" xfId="0" applyFont="1" applyFill="1" applyAlignment="1">
      <alignment horizontal="center" vertical="center"/>
    </xf>
    <xf numFmtId="164" fontId="0" fillId="0" borderId="0" xfId="2" applyFont="1" applyFill="1"/>
    <xf numFmtId="0" fontId="0" fillId="0" borderId="249" xfId="0" applyFill="1" applyBorder="1"/>
    <xf numFmtId="0" fontId="0" fillId="0" borderId="250" xfId="0" applyFill="1" applyBorder="1"/>
    <xf numFmtId="0" fontId="0" fillId="0" borderId="253" xfId="0" applyFill="1" applyBorder="1"/>
    <xf numFmtId="0" fontId="0" fillId="0" borderId="255" xfId="0" applyFill="1" applyBorder="1"/>
    <xf numFmtId="0" fontId="37" fillId="16" borderId="552" xfId="0" applyFont="1" applyFill="1" applyBorder="1" applyAlignment="1">
      <alignment horizontal="center" vertical="center"/>
    </xf>
    <xf numFmtId="0" fontId="88" fillId="2" borderId="574" xfId="0" applyFont="1" applyFill="1" applyBorder="1" applyAlignment="1">
      <alignment horizontal="center" vertical="center"/>
    </xf>
    <xf numFmtId="0" fontId="37" fillId="2" borderId="574" xfId="0" applyFont="1" applyFill="1" applyBorder="1" applyAlignment="1">
      <alignment horizontal="center" vertical="center"/>
    </xf>
    <xf numFmtId="4" fontId="37" fillId="0" borderId="552" xfId="0" applyNumberFormat="1" applyFont="1" applyFill="1" applyBorder="1" applyAlignment="1">
      <alignment horizontal="center" vertical="center"/>
    </xf>
    <xf numFmtId="0" fontId="37" fillId="0" borderId="263" xfId="0" applyFont="1" applyFill="1" applyBorder="1" applyAlignment="1">
      <alignment horizontal="center" vertical="center"/>
    </xf>
    <xf numFmtId="0" fontId="37" fillId="0" borderId="576" xfId="0" applyFont="1" applyFill="1" applyBorder="1" applyAlignment="1">
      <alignment horizontal="center" vertical="center"/>
    </xf>
    <xf numFmtId="0" fontId="37" fillId="0" borderId="577" xfId="0" applyFont="1" applyFill="1" applyBorder="1" applyAlignment="1">
      <alignment horizontal="center" vertical="center"/>
    </xf>
    <xf numFmtId="170" fontId="37" fillId="0" borderId="552" xfId="2" applyNumberFormat="1" applyFont="1" applyFill="1" applyBorder="1" applyAlignment="1">
      <alignment horizontal="center" vertical="center"/>
    </xf>
    <xf numFmtId="0" fontId="88" fillId="0" borderId="484" xfId="0" applyFont="1" applyFill="1" applyBorder="1" applyAlignment="1">
      <alignment vertical="center"/>
    </xf>
    <xf numFmtId="0" fontId="88" fillId="0" borderId="506" xfId="0" applyFont="1" applyFill="1" applyBorder="1" applyAlignment="1">
      <alignment vertical="center"/>
    </xf>
    <xf numFmtId="0" fontId="69" fillId="0" borderId="552" xfId="0" applyFont="1" applyFill="1" applyBorder="1" applyAlignment="1">
      <alignment horizontal="center" vertical="center"/>
    </xf>
    <xf numFmtId="0" fontId="105" fillId="0" borderId="552" xfId="0" applyFont="1" applyFill="1" applyBorder="1" applyAlignment="1">
      <alignment horizontal="center" vertical="center"/>
    </xf>
    <xf numFmtId="0" fontId="59" fillId="0" borderId="533" xfId="0" applyFont="1" applyFill="1" applyBorder="1" applyAlignment="1">
      <alignment vertical="center"/>
    </xf>
    <xf numFmtId="0" fontId="59" fillId="0" borderId="535" xfId="0" applyFont="1" applyFill="1" applyBorder="1" applyAlignment="1">
      <alignment vertical="center"/>
    </xf>
    <xf numFmtId="0" fontId="59" fillId="0" borderId="477" xfId="0" applyFont="1" applyFill="1" applyBorder="1" applyAlignment="1">
      <alignment vertical="center"/>
    </xf>
    <xf numFmtId="0" fontId="60" fillId="0" borderId="465" xfId="0" applyFont="1" applyFill="1" applyBorder="1" applyAlignment="1">
      <alignment horizontal="center" vertical="center"/>
    </xf>
    <xf numFmtId="0" fontId="60" fillId="0" borderId="465" xfId="0" applyFont="1" applyFill="1" applyBorder="1" applyAlignment="1">
      <alignment vertical="center"/>
    </xf>
    <xf numFmtId="0" fontId="60" fillId="0" borderId="444" xfId="0" applyFont="1" applyFill="1" applyBorder="1" applyAlignment="1">
      <alignment horizontal="center" vertical="center"/>
    </xf>
    <xf numFmtId="0" fontId="60" fillId="0" borderId="477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169" fontId="10" fillId="0" borderId="0" xfId="1" applyNumberFormat="1" applyFont="1" applyFill="1" applyAlignment="1">
      <alignment vertical="center"/>
    </xf>
    <xf numFmtId="164" fontId="10" fillId="0" borderId="0" xfId="2" applyFont="1" applyFill="1" applyAlignment="1">
      <alignment vertical="center"/>
    </xf>
    <xf numFmtId="0" fontId="10" fillId="0" borderId="1" xfId="0" applyFont="1" applyFill="1" applyBorder="1" applyAlignment="1">
      <alignment vertical="center"/>
    </xf>
    <xf numFmtId="0" fontId="10" fillId="0" borderId="4" xfId="0" applyFont="1" applyFill="1" applyBorder="1" applyAlignment="1">
      <alignment vertical="center"/>
    </xf>
    <xf numFmtId="170" fontId="10" fillId="0" borderId="0" xfId="2" applyNumberFormat="1" applyFont="1" applyFill="1" applyAlignment="1">
      <alignment vertical="center"/>
    </xf>
    <xf numFmtId="2" fontId="10" fillId="0" borderId="0" xfId="0" applyNumberFormat="1" applyFont="1" applyFill="1" applyAlignment="1">
      <alignment vertical="center"/>
    </xf>
    <xf numFmtId="164" fontId="10" fillId="0" borderId="0" xfId="2" applyNumberFormat="1" applyFont="1" applyFill="1" applyAlignment="1">
      <alignment vertical="center"/>
    </xf>
    <xf numFmtId="0" fontId="10" fillId="0" borderId="7" xfId="0" applyFont="1" applyFill="1" applyBorder="1" applyAlignment="1">
      <alignment vertical="center"/>
    </xf>
    <xf numFmtId="0" fontId="59" fillId="0" borderId="476" xfId="0" applyFont="1" applyFill="1" applyBorder="1" applyAlignment="1">
      <alignment vertical="center"/>
    </xf>
    <xf numFmtId="0" fontId="60" fillId="0" borderId="272" xfId="0" applyFont="1" applyFill="1" applyBorder="1" applyAlignment="1">
      <alignment horizontal="center" vertical="center"/>
    </xf>
    <xf numFmtId="0" fontId="60" fillId="0" borderId="437" xfId="0" applyFont="1" applyFill="1" applyBorder="1" applyAlignment="1">
      <alignment vertical="center"/>
    </xf>
    <xf numFmtId="165" fontId="59" fillId="0" borderId="537" xfId="0" applyNumberFormat="1" applyFont="1" applyFill="1" applyBorder="1" applyAlignment="1">
      <alignment vertical="center"/>
    </xf>
    <xf numFmtId="0" fontId="60" fillId="0" borderId="15" xfId="0" applyFont="1" applyFill="1" applyBorder="1" applyAlignment="1">
      <alignment horizontal="center" vertical="center"/>
    </xf>
    <xf numFmtId="0" fontId="60" fillId="0" borderId="310" xfId="0" applyFont="1" applyFill="1" applyBorder="1" applyAlignment="1">
      <alignment vertical="center"/>
    </xf>
    <xf numFmtId="0" fontId="60" fillId="0" borderId="17" xfId="0" applyFont="1" applyFill="1" applyBorder="1" applyAlignment="1">
      <alignment vertical="center"/>
    </xf>
    <xf numFmtId="0" fontId="60" fillId="0" borderId="18" xfId="0" applyFont="1" applyFill="1" applyBorder="1" applyAlignment="1">
      <alignment vertical="center"/>
    </xf>
    <xf numFmtId="0" fontId="60" fillId="0" borderId="232" xfId="0" applyFont="1" applyFill="1" applyBorder="1" applyAlignment="1">
      <alignment vertical="center"/>
    </xf>
    <xf numFmtId="0" fontId="60" fillId="0" borderId="232" xfId="0" applyFont="1" applyFill="1" applyBorder="1" applyAlignment="1">
      <alignment horizontal="center" vertical="center"/>
    </xf>
    <xf numFmtId="0" fontId="37" fillId="0" borderId="0" xfId="0" applyFont="1" applyFill="1" applyAlignment="1">
      <alignment horizontal="center" vertical="center"/>
    </xf>
    <xf numFmtId="0" fontId="9" fillId="0" borderId="558" xfId="0" applyFont="1" applyBorder="1" applyAlignment="1">
      <alignment vertical="center"/>
    </xf>
    <xf numFmtId="0" fontId="9" fillId="0" borderId="574" xfId="0" applyFont="1" applyBorder="1" applyAlignment="1">
      <alignment vertical="center"/>
    </xf>
    <xf numFmtId="0" fontId="9" fillId="0" borderId="525" xfId="0" applyFont="1" applyBorder="1" applyAlignment="1">
      <alignment vertical="center"/>
    </xf>
    <xf numFmtId="0" fontId="9" fillId="20" borderId="394" xfId="0" applyFont="1" applyFill="1" applyBorder="1"/>
    <xf numFmtId="4" fontId="18" fillId="0" borderId="578" xfId="5" applyNumberFormat="1" applyFont="1" applyBorder="1" applyAlignment="1">
      <alignment vertical="center"/>
    </xf>
    <xf numFmtId="0" fontId="30" fillId="0" borderId="578" xfId="7" applyFont="1" applyBorder="1" applyAlignment="1">
      <alignment horizontal="center" vertical="center" wrapText="1"/>
    </xf>
    <xf numFmtId="0" fontId="15" fillId="0" borderId="578" xfId="7" applyBorder="1"/>
    <xf numFmtId="0" fontId="37" fillId="0" borderId="0" xfId="0" applyFont="1" applyFill="1" applyAlignment="1">
      <alignment horizontal="center" vertical="center"/>
    </xf>
    <xf numFmtId="0" fontId="106" fillId="0" borderId="269" xfId="6" applyFont="1" applyBorder="1"/>
    <xf numFmtId="185" fontId="41" fillId="0" borderId="249" xfId="2" applyNumberFormat="1" applyFont="1" applyBorder="1"/>
    <xf numFmtId="0" fontId="18" fillId="0" borderId="578" xfId="7" applyFont="1" applyBorder="1" applyAlignment="1">
      <alignment horizontal="center" vertical="center"/>
    </xf>
    <xf numFmtId="0" fontId="18" fillId="0" borderId="578" xfId="7" applyFont="1" applyBorder="1" applyAlignment="1">
      <alignment vertical="center" wrapText="1"/>
    </xf>
    <xf numFmtId="0" fontId="37" fillId="17" borderId="546" xfId="0" applyFont="1" applyFill="1" applyBorder="1" applyAlignment="1">
      <alignment horizontal="center" vertical="center"/>
    </xf>
    <xf numFmtId="0" fontId="37" fillId="17" borderId="555" xfId="0" applyFont="1" applyFill="1" applyBorder="1" applyAlignment="1">
      <alignment horizontal="center" vertical="center"/>
    </xf>
    <xf numFmtId="0" fontId="37" fillId="17" borderId="568" xfId="0" applyFont="1" applyFill="1" applyBorder="1" applyAlignment="1">
      <alignment horizontal="center" vertical="center"/>
    </xf>
    <xf numFmtId="0" fontId="37" fillId="17" borderId="569" xfId="0" applyFont="1" applyFill="1" applyBorder="1" applyAlignment="1">
      <alignment horizontal="center" vertical="center"/>
    </xf>
    <xf numFmtId="0" fontId="37" fillId="17" borderId="560" xfId="0" applyFont="1" applyFill="1" applyBorder="1" applyAlignment="1">
      <alignment horizontal="center" vertical="center"/>
    </xf>
    <xf numFmtId="0" fontId="37" fillId="17" borderId="561" xfId="0" applyFont="1" applyFill="1" applyBorder="1" applyAlignment="1">
      <alignment horizontal="center" vertical="center"/>
    </xf>
    <xf numFmtId="0" fontId="37" fillId="17" borderId="545" xfId="0" applyFont="1" applyFill="1" applyBorder="1" applyAlignment="1">
      <alignment horizontal="center" vertical="center"/>
    </xf>
    <xf numFmtId="0" fontId="37" fillId="17" borderId="547" xfId="0" applyFont="1" applyFill="1" applyBorder="1" applyAlignment="1">
      <alignment horizontal="center" vertical="center"/>
    </xf>
    <xf numFmtId="0" fontId="37" fillId="17" borderId="570" xfId="0" applyFont="1" applyFill="1" applyBorder="1" applyAlignment="1">
      <alignment horizontal="center" vertical="center"/>
    </xf>
    <xf numFmtId="0" fontId="37" fillId="17" borderId="571" xfId="0" applyFont="1" applyFill="1" applyBorder="1" applyAlignment="1">
      <alignment horizontal="center" vertical="center"/>
    </xf>
    <xf numFmtId="0" fontId="37" fillId="17" borderId="550" xfId="0" applyFont="1" applyFill="1" applyBorder="1" applyAlignment="1">
      <alignment horizontal="center" vertical="center"/>
    </xf>
    <xf numFmtId="0" fontId="37" fillId="17" borderId="556" xfId="0" applyFont="1" applyFill="1" applyBorder="1" applyAlignment="1">
      <alignment horizontal="center" vertical="center"/>
    </xf>
    <xf numFmtId="0" fontId="60" fillId="0" borderId="11" xfId="0" applyFont="1" applyFill="1" applyBorder="1" applyAlignment="1">
      <alignment horizontal="right" vertical="center"/>
    </xf>
    <xf numFmtId="0" fontId="60" fillId="0" borderId="11" xfId="0" applyFont="1" applyBorder="1" applyAlignment="1">
      <alignment horizontal="right" vertical="center"/>
    </xf>
    <xf numFmtId="0" fontId="37" fillId="0" borderId="0" xfId="0" applyFont="1" applyFill="1" applyBorder="1" applyAlignment="1">
      <alignment horizontal="center" vertical="center"/>
    </xf>
    <xf numFmtId="0" fontId="37" fillId="0" borderId="0" xfId="0" applyFont="1" applyFill="1" applyAlignment="1">
      <alignment horizontal="center" vertical="center"/>
    </xf>
    <xf numFmtId="0" fontId="37" fillId="0" borderId="480" xfId="0" applyFont="1" applyFill="1" applyBorder="1" applyAlignment="1">
      <alignment horizontal="center" vertical="center"/>
    </xf>
    <xf numFmtId="0" fontId="37" fillId="0" borderId="481" xfId="0" applyFont="1" applyFill="1" applyBorder="1" applyAlignment="1">
      <alignment horizontal="center" vertical="center"/>
    </xf>
    <xf numFmtId="0" fontId="98" fillId="2" borderId="483" xfId="0" applyFont="1" applyFill="1" applyBorder="1" applyAlignment="1">
      <alignment horizontal="left" vertical="center"/>
    </xf>
    <xf numFmtId="0" fontId="98" fillId="2" borderId="484" xfId="0" applyFont="1" applyFill="1" applyBorder="1" applyAlignment="1">
      <alignment horizontal="left" vertical="center"/>
    </xf>
    <xf numFmtId="0" fontId="98" fillId="2" borderId="485" xfId="0" applyFont="1" applyFill="1" applyBorder="1" applyAlignment="1">
      <alignment horizontal="left" vertical="center"/>
    </xf>
    <xf numFmtId="0" fontId="37" fillId="0" borderId="482" xfId="0" applyFont="1" applyFill="1" applyBorder="1" applyAlignment="1">
      <alignment horizontal="center" vertical="center"/>
    </xf>
    <xf numFmtId="0" fontId="37" fillId="0" borderId="485" xfId="0" applyFont="1" applyFill="1" applyBorder="1" applyAlignment="1">
      <alignment horizontal="center" vertical="center"/>
    </xf>
    <xf numFmtId="0" fontId="37" fillId="0" borderId="525" xfId="0" applyFont="1" applyFill="1" applyBorder="1" applyAlignment="1">
      <alignment horizontal="center" vertical="center"/>
    </xf>
    <xf numFmtId="0" fontId="37" fillId="0" borderId="558" xfId="0" applyFont="1" applyFill="1" applyBorder="1" applyAlignment="1">
      <alignment horizontal="center" vertical="center"/>
    </xf>
    <xf numFmtId="0" fontId="37" fillId="0" borderId="37" xfId="0" applyFont="1" applyFill="1" applyBorder="1" applyAlignment="1">
      <alignment horizontal="center" vertical="center"/>
    </xf>
    <xf numFmtId="0" fontId="37" fillId="0" borderId="490" xfId="0" applyFont="1" applyFill="1" applyBorder="1" applyAlignment="1">
      <alignment horizontal="center" vertical="center"/>
    </xf>
    <xf numFmtId="0" fontId="37" fillId="0" borderId="479" xfId="0" applyFont="1" applyFill="1" applyBorder="1" applyAlignment="1">
      <alignment horizontal="center" vertical="center"/>
    </xf>
    <xf numFmtId="0" fontId="87" fillId="0" borderId="552" xfId="20" applyFont="1" applyFill="1" applyBorder="1" applyAlignment="1">
      <alignment horizontal="center" vertical="center"/>
    </xf>
    <xf numFmtId="0" fontId="60" fillId="0" borderId="11" xfId="0" applyFont="1" applyFill="1" applyBorder="1" applyAlignment="1">
      <alignment horizontal="right" vertical="center"/>
    </xf>
    <xf numFmtId="0" fontId="60" fillId="0" borderId="11" xfId="0" applyFont="1" applyFill="1" applyBorder="1" applyAlignment="1">
      <alignment horizontal="right" vertical="center"/>
    </xf>
    <xf numFmtId="0" fontId="0" fillId="21" borderId="578" xfId="0" applyFill="1" applyBorder="1"/>
    <xf numFmtId="0" fontId="15" fillId="0" borderId="578" xfId="7" applyBorder="1" applyAlignment="1">
      <alignment vertical="center"/>
    </xf>
    <xf numFmtId="0" fontId="10" fillId="0" borderId="532" xfId="0" applyFont="1" applyBorder="1" applyAlignment="1">
      <alignment vertical="center"/>
    </xf>
    <xf numFmtId="0" fontId="10" fillId="0" borderId="524" xfId="0" applyFont="1" applyBorder="1" applyAlignment="1">
      <alignment vertical="center"/>
    </xf>
    <xf numFmtId="165" fontId="10" fillId="0" borderId="532" xfId="0" applyNumberFormat="1" applyFont="1" applyBorder="1" applyAlignment="1">
      <alignment vertical="center"/>
    </xf>
    <xf numFmtId="0" fontId="10" fillId="0" borderId="579" xfId="0" applyFont="1" applyBorder="1" applyAlignment="1">
      <alignment vertical="center"/>
    </xf>
    <xf numFmtId="164" fontId="10" fillId="0" borderId="532" xfId="2" applyFont="1" applyBorder="1" applyAlignment="1">
      <alignment vertical="center"/>
    </xf>
    <xf numFmtId="164" fontId="10" fillId="0" borderId="534" xfId="2" applyFont="1" applyBorder="1" applyAlignment="1">
      <alignment vertical="center"/>
    </xf>
    <xf numFmtId="0" fontId="105" fillId="17" borderId="552" xfId="0" applyFont="1" applyFill="1" applyBorder="1" applyAlignment="1">
      <alignment horizontal="center" vertical="center"/>
    </xf>
    <xf numFmtId="0" fontId="69" fillId="17" borderId="552" xfId="0" applyFont="1" applyFill="1" applyBorder="1" applyAlignment="1">
      <alignment horizontal="center" vertical="center"/>
    </xf>
    <xf numFmtId="0" fontId="37" fillId="0" borderId="578" xfId="0" applyFont="1" applyFill="1" applyBorder="1" applyAlignment="1">
      <alignment horizontal="center" vertical="center"/>
    </xf>
    <xf numFmtId="4" fontId="59" fillId="0" borderId="477" xfId="0" applyNumberFormat="1" applyFont="1" applyBorder="1" applyAlignment="1">
      <alignment vertical="center"/>
    </xf>
    <xf numFmtId="0" fontId="1" fillId="0" borderId="0" xfId="7" quotePrefix="1" applyFont="1"/>
    <xf numFmtId="0" fontId="37" fillId="0" borderId="525" xfId="0" applyFont="1" applyFill="1" applyBorder="1" applyAlignment="1">
      <alignment horizontal="center" vertical="center"/>
    </xf>
    <xf numFmtId="0" fontId="60" fillId="0" borderId="11" xfId="0" applyFont="1" applyFill="1" applyBorder="1" applyAlignment="1">
      <alignment horizontal="right" vertical="center"/>
    </xf>
    <xf numFmtId="0" fontId="60" fillId="0" borderId="11" xfId="0" applyFont="1" applyBorder="1" applyAlignment="1">
      <alignment horizontal="right" vertical="center"/>
    </xf>
    <xf numFmtId="0" fontId="37" fillId="0" borderId="525" xfId="0" applyFont="1" applyFill="1" applyBorder="1" applyAlignment="1">
      <alignment horizontal="center" vertical="center"/>
    </xf>
    <xf numFmtId="0" fontId="37" fillId="0" borderId="558" xfId="0" applyFont="1" applyFill="1" applyBorder="1" applyAlignment="1">
      <alignment horizontal="center" vertical="center"/>
    </xf>
    <xf numFmtId="0" fontId="37" fillId="0" borderId="37" xfId="0" applyFont="1" applyFill="1" applyBorder="1" applyAlignment="1">
      <alignment horizontal="center" vertical="center"/>
    </xf>
    <xf numFmtId="0" fontId="37" fillId="0" borderId="485" xfId="0" applyFont="1" applyFill="1" applyBorder="1" applyAlignment="1">
      <alignment horizontal="center" vertical="center"/>
    </xf>
    <xf numFmtId="0" fontId="37" fillId="0" borderId="480" xfId="0" applyFont="1" applyFill="1" applyBorder="1" applyAlignment="1">
      <alignment horizontal="center" vertical="center"/>
    </xf>
    <xf numFmtId="0" fontId="37" fillId="0" borderId="481" xfId="0" applyFont="1" applyFill="1" applyBorder="1" applyAlignment="1">
      <alignment horizontal="center" vertical="center"/>
    </xf>
    <xf numFmtId="0" fontId="37" fillId="0" borderId="482" xfId="0" applyFont="1" applyFill="1" applyBorder="1" applyAlignment="1">
      <alignment horizontal="center" vertical="center"/>
    </xf>
    <xf numFmtId="0" fontId="37" fillId="0" borderId="490" xfId="0" applyFont="1" applyFill="1" applyBorder="1" applyAlignment="1">
      <alignment horizontal="center" vertical="center"/>
    </xf>
    <xf numFmtId="0" fontId="37" fillId="0" borderId="479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center" vertical="center"/>
    </xf>
    <xf numFmtId="0" fontId="87" fillId="0" borderId="552" xfId="20" applyFont="1" applyFill="1" applyBorder="1" applyAlignment="1">
      <alignment horizontal="center" vertical="center"/>
    </xf>
    <xf numFmtId="0" fontId="37" fillId="0" borderId="0" xfId="0" applyFont="1" applyFill="1" applyAlignment="1">
      <alignment horizontal="center" vertical="center"/>
    </xf>
    <xf numFmtId="0" fontId="98" fillId="2" borderId="483" xfId="0" applyFont="1" applyFill="1" applyBorder="1" applyAlignment="1">
      <alignment horizontal="left" vertical="center"/>
    </xf>
    <xf numFmtId="0" fontId="98" fillId="2" borderId="484" xfId="0" applyFont="1" applyFill="1" applyBorder="1" applyAlignment="1">
      <alignment horizontal="left" vertical="center"/>
    </xf>
    <xf numFmtId="0" fontId="98" fillId="2" borderId="485" xfId="0" applyFont="1" applyFill="1" applyBorder="1" applyAlignment="1">
      <alignment horizontal="left" vertical="center"/>
    </xf>
    <xf numFmtId="0" fontId="37" fillId="0" borderId="0" xfId="0" applyFont="1" applyFill="1" applyAlignment="1">
      <alignment horizontal="center" vertical="center"/>
    </xf>
    <xf numFmtId="164" fontId="37" fillId="0" borderId="554" xfId="0" applyNumberFormat="1" applyFont="1" applyFill="1" applyBorder="1" applyAlignment="1">
      <alignment horizontal="center" vertical="center"/>
    </xf>
    <xf numFmtId="0" fontId="109" fillId="15" borderId="0" xfId="0" applyFont="1" applyFill="1" applyAlignment="1">
      <alignment horizontal="center" vertical="center"/>
    </xf>
    <xf numFmtId="0" fontId="37" fillId="0" borderId="0" xfId="0" applyFont="1" applyFill="1" applyAlignment="1">
      <alignment horizontal="center" vertical="center" textRotation="90" wrapText="1"/>
    </xf>
    <xf numFmtId="0" fontId="37" fillId="0" borderId="0" xfId="0" applyFont="1" applyFill="1" applyAlignment="1">
      <alignment horizontal="center" vertical="center" textRotation="90"/>
    </xf>
    <xf numFmtId="186" fontId="37" fillId="0" borderId="552" xfId="2" applyNumberFormat="1" applyFont="1" applyFill="1" applyBorder="1" applyAlignment="1">
      <alignment horizontal="center" vertical="center"/>
    </xf>
    <xf numFmtId="170" fontId="37" fillId="0" borderId="552" xfId="0" applyNumberFormat="1" applyFont="1" applyFill="1" applyBorder="1" applyAlignment="1">
      <alignment horizontal="center" vertical="center"/>
    </xf>
    <xf numFmtId="186" fontId="37" fillId="0" borderId="552" xfId="0" applyNumberFormat="1" applyFont="1" applyFill="1" applyBorder="1" applyAlignment="1">
      <alignment horizontal="center" vertical="center"/>
    </xf>
    <xf numFmtId="0" fontId="110" fillId="10" borderId="578" xfId="0" applyFont="1" applyFill="1" applyBorder="1" applyAlignment="1">
      <alignment horizontal="center" vertical="center"/>
    </xf>
    <xf numFmtId="0" fontId="9" fillId="0" borderId="578" xfId="0" applyFont="1" applyBorder="1"/>
    <xf numFmtId="0" fontId="0" fillId="0" borderId="578" xfId="0" applyBorder="1"/>
    <xf numFmtId="0" fontId="9" fillId="14" borderId="0" xfId="0" applyFont="1" applyFill="1" applyBorder="1"/>
    <xf numFmtId="0" fontId="0" fillId="14" borderId="0" xfId="0" applyFill="1"/>
    <xf numFmtId="0" fontId="0" fillId="14" borderId="580" xfId="0" applyFill="1" applyBorder="1"/>
    <xf numFmtId="0" fontId="63" fillId="14" borderId="0" xfId="0" applyFont="1" applyFill="1" applyBorder="1" applyAlignment="1">
      <alignment vertical="center"/>
    </xf>
    <xf numFmtId="0" fontId="0" fillId="14" borderId="578" xfId="0" applyFill="1" applyBorder="1"/>
    <xf numFmtId="0" fontId="0" fillId="14" borderId="0" xfId="0" applyFill="1" applyBorder="1"/>
    <xf numFmtId="0" fontId="60" fillId="0" borderId="552" xfId="0" applyFont="1" applyFill="1" applyBorder="1" applyAlignment="1">
      <alignment vertical="center"/>
    </xf>
    <xf numFmtId="0" fontId="59" fillId="0" borderId="552" xfId="0" applyFont="1" applyFill="1" applyBorder="1" applyAlignment="1">
      <alignment vertical="center"/>
    </xf>
    <xf numFmtId="0" fontId="60" fillId="0" borderId="11" xfId="0" applyFont="1" applyFill="1" applyBorder="1" applyAlignment="1">
      <alignment horizontal="right" vertical="center"/>
    </xf>
    <xf numFmtId="0" fontId="37" fillId="0" borderId="581" xfId="0" applyFont="1" applyFill="1" applyBorder="1" applyAlignment="1">
      <alignment horizontal="center" vertical="center"/>
    </xf>
    <xf numFmtId="0" fontId="37" fillId="0" borderId="580" xfId="0" applyFont="1" applyFill="1" applyBorder="1" applyAlignment="1">
      <alignment horizontal="center" vertical="center"/>
    </xf>
    <xf numFmtId="0" fontId="37" fillId="0" borderId="582" xfId="0" applyFont="1" applyFill="1" applyBorder="1" applyAlignment="1">
      <alignment horizontal="center" vertical="center"/>
    </xf>
    <xf numFmtId="0" fontId="37" fillId="0" borderId="397" xfId="0" applyFont="1" applyFill="1" applyBorder="1" applyAlignment="1">
      <alignment horizontal="center" vertical="center"/>
    </xf>
    <xf numFmtId="0" fontId="37" fillId="0" borderId="56" xfId="0" applyFont="1" applyFill="1" applyBorder="1" applyAlignment="1">
      <alignment horizontal="center" vertical="center"/>
    </xf>
    <xf numFmtId="0" fontId="37" fillId="0" borderId="583" xfId="0" applyFont="1" applyFill="1" applyBorder="1" applyAlignment="1">
      <alignment horizontal="center" vertical="center"/>
    </xf>
    <xf numFmtId="0" fontId="37" fillId="2" borderId="582" xfId="0" applyFont="1" applyFill="1" applyBorder="1" applyAlignment="1">
      <alignment horizontal="center" vertical="center"/>
    </xf>
    <xf numFmtId="0" fontId="60" fillId="0" borderId="11" xfId="0" applyFont="1" applyFill="1" applyBorder="1" applyAlignment="1">
      <alignment horizontal="right" vertical="center"/>
    </xf>
    <xf numFmtId="0" fontId="59" fillId="0" borderId="532" xfId="0" applyFont="1" applyFill="1" applyBorder="1" applyAlignment="1">
      <alignment vertical="center"/>
    </xf>
    <xf numFmtId="0" fontId="60" fillId="0" borderId="532" xfId="0" applyFont="1" applyFill="1" applyBorder="1" applyAlignment="1">
      <alignment vertical="center"/>
    </xf>
    <xf numFmtId="0" fontId="60" fillId="0" borderId="579" xfId="0" applyFont="1" applyFill="1" applyBorder="1" applyAlignment="1">
      <alignment vertical="center"/>
    </xf>
    <xf numFmtId="0" fontId="60" fillId="0" borderId="535" xfId="0" applyFont="1" applyFill="1" applyBorder="1" applyAlignment="1">
      <alignment horizontal="center" vertical="center"/>
    </xf>
    <xf numFmtId="0" fontId="60" fillId="0" borderId="537" xfId="0" applyFont="1" applyFill="1" applyBorder="1" applyAlignment="1">
      <alignment vertical="center"/>
    </xf>
    <xf numFmtId="0" fontId="59" fillId="0" borderId="579" xfId="0" applyFont="1" applyFill="1" applyBorder="1" applyAlignment="1">
      <alignment vertical="center"/>
    </xf>
    <xf numFmtId="0" fontId="59" fillId="0" borderId="535" xfId="0" applyFont="1" applyFill="1" applyBorder="1" applyAlignment="1">
      <alignment horizontal="center" vertical="center"/>
    </xf>
    <xf numFmtId="0" fontId="60" fillId="0" borderId="523" xfId="0" applyFont="1" applyFill="1" applyBorder="1" applyAlignment="1">
      <alignment horizontal="center" vertical="center"/>
    </xf>
    <xf numFmtId="0" fontId="60" fillId="0" borderId="524" xfId="0" applyFont="1" applyFill="1" applyBorder="1" applyAlignment="1">
      <alignment vertical="center"/>
    </xf>
    <xf numFmtId="0" fontId="113" fillId="0" borderId="0" xfId="0" applyFont="1" applyFill="1" applyBorder="1" applyAlignment="1">
      <alignment horizontal="left"/>
    </xf>
    <xf numFmtId="0" fontId="11" fillId="0" borderId="0" xfId="0" applyFont="1" applyBorder="1" applyAlignment="1">
      <alignment horizontal="left" vertical="center" wrapText="1"/>
    </xf>
    <xf numFmtId="4" fontId="13" fillId="0" borderId="578" xfId="2" applyNumberFormat="1" applyFont="1" applyFill="1" applyBorder="1" applyAlignment="1">
      <alignment horizontal="left" textRotation="45" wrapText="1"/>
    </xf>
    <xf numFmtId="4" fontId="13" fillId="0" borderId="584" xfId="2" applyNumberFormat="1" applyFont="1" applyFill="1" applyBorder="1" applyAlignment="1">
      <alignment horizontal="left" textRotation="45" wrapText="1"/>
    </xf>
    <xf numFmtId="0" fontId="11" fillId="0" borderId="578" xfId="0" applyFont="1" applyBorder="1" applyAlignment="1">
      <alignment horizontal="center" textRotation="90" wrapText="1"/>
    </xf>
    <xf numFmtId="0" fontId="0" fillId="0" borderId="583" xfId="0" applyFill="1" applyBorder="1" applyAlignment="1">
      <alignment horizontal="center" textRotation="90" wrapText="1"/>
    </xf>
    <xf numFmtId="0" fontId="13" fillId="0" borderId="578" xfId="6" applyFont="1" applyFill="1" applyBorder="1" applyAlignment="1">
      <alignment horizontal="left" textRotation="90" wrapText="1"/>
    </xf>
    <xf numFmtId="0" fontId="13" fillId="5" borderId="578" xfId="6" applyFont="1" applyFill="1" applyBorder="1" applyAlignment="1">
      <alignment horizontal="left" textRotation="90" wrapText="1"/>
    </xf>
    <xf numFmtId="0" fontId="0" fillId="0" borderId="0" xfId="0" applyFill="1" applyBorder="1" applyAlignment="1">
      <alignment horizontal="center" textRotation="90" wrapText="1"/>
    </xf>
    <xf numFmtId="0" fontId="114" fillId="0" borderId="578" xfId="6" applyFont="1" applyFill="1" applyBorder="1" applyAlignment="1">
      <alignment horizontal="left" textRotation="90" wrapText="1"/>
    </xf>
    <xf numFmtId="0" fontId="114" fillId="0" borderId="584" xfId="6" applyFont="1" applyFill="1" applyBorder="1" applyAlignment="1">
      <alignment horizontal="left" textRotation="90" wrapText="1"/>
    </xf>
    <xf numFmtId="0" fontId="13" fillId="0" borderId="584" xfId="6" applyFont="1" applyFill="1" applyBorder="1" applyAlignment="1">
      <alignment horizontal="left" textRotation="90" wrapText="1"/>
    </xf>
    <xf numFmtId="0" fontId="115" fillId="0" borderId="0" xfId="0" applyFont="1" applyBorder="1" applyAlignment="1">
      <alignment horizontal="center" vertical="center"/>
    </xf>
    <xf numFmtId="0" fontId="18" fillId="0" borderId="578" xfId="6" applyFont="1" applyFill="1" applyBorder="1" applyAlignment="1">
      <alignment horizontal="left" textRotation="90" wrapText="1"/>
    </xf>
    <xf numFmtId="0" fontId="0" fillId="5" borderId="582" xfId="0" applyFill="1" applyBorder="1" applyAlignment="1">
      <alignment horizontal="center"/>
    </xf>
    <xf numFmtId="0" fontId="0" fillId="5" borderId="585" xfId="0" applyFill="1" applyBorder="1" applyAlignment="1">
      <alignment horizontal="center" textRotation="45"/>
    </xf>
    <xf numFmtId="0" fontId="0" fillId="0" borderId="582" xfId="0" applyFill="1" applyBorder="1" applyAlignment="1">
      <alignment horizontal="center"/>
    </xf>
    <xf numFmtId="0" fontId="0" fillId="5" borderId="586" xfId="0" applyFill="1" applyBorder="1" applyAlignment="1">
      <alignment horizontal="center"/>
    </xf>
    <xf numFmtId="3" fontId="116" fillId="5" borderId="0" xfId="0" applyNumberFormat="1" applyFont="1" applyFill="1" applyBorder="1" applyAlignment="1">
      <alignment horizontal="center"/>
    </xf>
    <xf numFmtId="0" fontId="117" fillId="5" borderId="0" xfId="0" applyFont="1" applyFill="1" applyBorder="1" applyAlignment="1">
      <alignment horizontal="left" vertical="center"/>
    </xf>
    <xf numFmtId="3" fontId="117" fillId="5" borderId="0" xfId="0" applyNumberFormat="1" applyFont="1" applyFill="1" applyBorder="1" applyAlignment="1">
      <alignment horizontal="center" vertical="center"/>
    </xf>
    <xf numFmtId="0" fontId="11" fillId="5" borderId="0" xfId="0" applyFont="1" applyFill="1" applyBorder="1" applyAlignment="1">
      <alignment horizontal="center" vertical="center"/>
    </xf>
    <xf numFmtId="0" fontId="11" fillId="5" borderId="578" xfId="0" applyFont="1" applyFill="1" applyBorder="1" applyAlignment="1">
      <alignment horizontal="center" vertical="center"/>
    </xf>
    <xf numFmtId="4" fontId="115" fillId="5" borderId="0" xfId="0" applyNumberFormat="1" applyFont="1" applyFill="1" applyBorder="1" applyAlignment="1">
      <alignment horizontal="center" vertical="center"/>
    </xf>
    <xf numFmtId="4" fontId="59" fillId="5" borderId="0" xfId="0" applyNumberFormat="1" applyFont="1" applyFill="1" applyBorder="1" applyAlignment="1">
      <alignment horizontal="center" vertical="center"/>
    </xf>
    <xf numFmtId="0" fontId="11" fillId="5" borderId="0" xfId="0" applyFont="1" applyFill="1" applyBorder="1" applyAlignment="1">
      <alignment horizontal="left" vertical="center"/>
    </xf>
    <xf numFmtId="0" fontId="0" fillId="0" borderId="578" xfId="0" applyFill="1" applyBorder="1" applyAlignment="1">
      <alignment horizontal="center"/>
    </xf>
    <xf numFmtId="0" fontId="0" fillId="0" borderId="585" xfId="0" applyFill="1" applyBorder="1" applyAlignment="1">
      <alignment horizontal="center" textRotation="45"/>
    </xf>
    <xf numFmtId="0" fontId="0" fillId="0" borderId="586" xfId="0" applyFill="1" applyBorder="1" applyAlignment="1">
      <alignment horizontal="center"/>
    </xf>
    <xf numFmtId="3" fontId="116" fillId="0" borderId="0" xfId="0" applyNumberFormat="1" applyFont="1" applyFill="1" applyBorder="1" applyAlignment="1">
      <alignment horizontal="center"/>
    </xf>
    <xf numFmtId="3" fontId="117" fillId="0" borderId="0" xfId="0" applyNumberFormat="1" applyFont="1" applyBorder="1" applyAlignment="1">
      <alignment horizontal="center" vertical="center"/>
    </xf>
    <xf numFmtId="0" fontId="11" fillId="0" borderId="578" xfId="0" applyFont="1" applyBorder="1" applyAlignment="1">
      <alignment horizontal="center" vertical="center"/>
    </xf>
    <xf numFmtId="4" fontId="115" fillId="0" borderId="0" xfId="0" applyNumberFormat="1" applyFont="1" applyBorder="1" applyAlignment="1">
      <alignment horizontal="center" vertical="center"/>
    </xf>
    <xf numFmtId="4" fontId="59" fillId="0" borderId="0" xfId="0" applyNumberFormat="1" applyFont="1" applyBorder="1" applyAlignment="1">
      <alignment horizontal="center" vertical="center"/>
    </xf>
    <xf numFmtId="0" fontId="11" fillId="0" borderId="578" xfId="0" applyFont="1" applyBorder="1" applyAlignment="1">
      <alignment horizontal="left" textRotation="45"/>
    </xf>
    <xf numFmtId="0" fontId="11" fillId="0" borderId="0" xfId="0" applyFont="1" applyBorder="1" applyAlignment="1">
      <alignment horizontal="left" textRotation="45"/>
    </xf>
    <xf numFmtId="0" fontId="0" fillId="0" borderId="0" xfId="0" applyFill="1" applyBorder="1" applyAlignment="1">
      <alignment horizontal="left" textRotation="45"/>
    </xf>
    <xf numFmtId="0" fontId="114" fillId="0" borderId="583" xfId="6" applyFont="1" applyFill="1" applyBorder="1" applyAlignment="1">
      <alignment horizontal="left" textRotation="45"/>
    </xf>
    <xf numFmtId="0" fontId="114" fillId="0" borderId="587" xfId="6" applyFont="1" applyFill="1" applyBorder="1" applyAlignment="1">
      <alignment horizontal="left" textRotation="45"/>
    </xf>
    <xf numFmtId="0" fontId="0" fillId="2" borderId="578" xfId="0" applyFill="1" applyBorder="1" applyAlignment="1">
      <alignment horizontal="center"/>
    </xf>
    <xf numFmtId="0" fontId="0" fillId="2" borderId="578" xfId="0" applyFill="1" applyBorder="1" applyAlignment="1">
      <alignment horizontal="left"/>
    </xf>
    <xf numFmtId="0" fontId="118" fillId="0" borderId="0" xfId="0" applyFont="1" applyFill="1" applyBorder="1" applyAlignment="1">
      <alignment horizontal="center"/>
    </xf>
    <xf numFmtId="0" fontId="0" fillId="0" borderId="578" xfId="0" applyFill="1" applyBorder="1" applyAlignment="1">
      <alignment horizontal="left"/>
    </xf>
    <xf numFmtId="0" fontId="0" fillId="16" borderId="578" xfId="0" applyFill="1" applyBorder="1" applyAlignment="1">
      <alignment horizontal="center"/>
    </xf>
    <xf numFmtId="0" fontId="118" fillId="16" borderId="578" xfId="0" applyFont="1" applyFill="1" applyBorder="1" applyAlignment="1">
      <alignment horizontal="center"/>
    </xf>
    <xf numFmtId="0" fontId="13" fillId="0" borderId="578" xfId="6" applyFont="1" applyFill="1" applyBorder="1" applyAlignment="1">
      <alignment horizontal="left"/>
    </xf>
    <xf numFmtId="165" fontId="59" fillId="0" borderId="0" xfId="0" applyNumberFormat="1" applyFont="1" applyFill="1" applyBorder="1" applyAlignment="1">
      <alignment vertical="center"/>
    </xf>
    <xf numFmtId="0" fontId="119" fillId="0" borderId="0" xfId="7" applyFont="1"/>
    <xf numFmtId="4" fontId="119" fillId="0" borderId="0" xfId="7" applyNumberFormat="1" applyFont="1"/>
    <xf numFmtId="0" fontId="119" fillId="0" borderId="0" xfId="7" applyFont="1" applyAlignment="1">
      <alignment vertical="center" wrapText="1"/>
    </xf>
    <xf numFmtId="0" fontId="37" fillId="0" borderId="0" xfId="0" applyFont="1" applyFill="1" applyAlignment="1">
      <alignment horizontal="center" vertical="center"/>
    </xf>
    <xf numFmtId="0" fontId="37" fillId="16" borderId="578" xfId="0" applyFont="1" applyFill="1" applyBorder="1" applyAlignment="1">
      <alignment horizontal="center" vertical="center"/>
    </xf>
    <xf numFmtId="0" fontId="105" fillId="0" borderId="578" xfId="0" applyFont="1" applyFill="1" applyBorder="1" applyAlignment="1">
      <alignment horizontal="center" vertical="center"/>
    </xf>
    <xf numFmtId="0" fontId="105" fillId="17" borderId="578" xfId="0" applyFont="1" applyFill="1" applyBorder="1" applyAlignment="1">
      <alignment horizontal="center" vertical="center"/>
    </xf>
    <xf numFmtId="0" fontId="37" fillId="0" borderId="0" xfId="0" applyFont="1" applyFill="1" applyAlignment="1">
      <alignment horizontal="center" vertical="center"/>
    </xf>
    <xf numFmtId="187" fontId="41" fillId="0" borderId="0" xfId="2" applyNumberFormat="1" applyFont="1"/>
    <xf numFmtId="20" fontId="10" fillId="0" borderId="0" xfId="0" applyNumberFormat="1" applyFont="1" applyAlignment="1">
      <alignment vertical="center"/>
    </xf>
    <xf numFmtId="0" fontId="120" fillId="0" borderId="0" xfId="0" applyFont="1"/>
    <xf numFmtId="164" fontId="43" fillId="0" borderId="260" xfId="2" applyFont="1" applyFill="1" applyBorder="1" applyAlignment="1">
      <alignment horizontal="left" vertical="center"/>
    </xf>
    <xf numFmtId="164" fontId="39" fillId="0" borderId="261" xfId="2" applyFont="1" applyFill="1" applyBorder="1" applyAlignment="1">
      <alignment vertical="center"/>
    </xf>
    <xf numFmtId="164" fontId="40" fillId="0" borderId="394" xfId="2" applyFont="1" applyFill="1" applyBorder="1" applyAlignment="1">
      <alignment vertical="center"/>
    </xf>
    <xf numFmtId="164" fontId="44" fillId="0" borderId="261" xfId="2" applyFont="1" applyFill="1" applyBorder="1" applyAlignment="1">
      <alignment vertical="center"/>
    </xf>
    <xf numFmtId="0" fontId="122" fillId="17" borderId="578" xfId="0" applyFont="1" applyFill="1" applyBorder="1"/>
    <xf numFmtId="0" fontId="120" fillId="17" borderId="578" xfId="0" applyFont="1" applyFill="1" applyBorder="1"/>
    <xf numFmtId="0" fontId="121" fillId="17" borderId="0" xfId="0" applyFont="1" applyFill="1"/>
    <xf numFmtId="0" fontId="11" fillId="0" borderId="0" xfId="0" applyFont="1" applyFill="1"/>
    <xf numFmtId="0" fontId="0" fillId="0" borderId="578" xfId="0" applyFill="1" applyBorder="1"/>
    <xf numFmtId="0" fontId="0" fillId="0" borderId="397" xfId="0" applyFill="1" applyBorder="1"/>
    <xf numFmtId="0" fontId="0" fillId="9" borderId="588" xfId="0" applyFill="1" applyBorder="1"/>
    <xf numFmtId="0" fontId="0" fillId="9" borderId="589" xfId="0" applyFill="1" applyBorder="1"/>
    <xf numFmtId="0" fontId="0" fillId="0" borderId="468" xfId="0" applyFill="1" applyBorder="1"/>
    <xf numFmtId="0" fontId="0" fillId="9" borderId="574" xfId="0" applyFill="1" applyBorder="1"/>
    <xf numFmtId="0" fontId="0" fillId="22" borderId="0" xfId="0" applyFill="1"/>
    <xf numFmtId="0" fontId="0" fillId="19" borderId="0" xfId="0" applyFill="1"/>
    <xf numFmtId="169" fontId="10" fillId="0" borderId="265" xfId="1" applyNumberFormat="1" applyFont="1" applyFill="1" applyBorder="1" applyAlignment="1">
      <alignment vertical="center"/>
    </xf>
    <xf numFmtId="164" fontId="10" fillId="0" borderId="265" xfId="2" applyFont="1" applyFill="1" applyBorder="1" applyAlignment="1">
      <alignment vertical="center"/>
    </xf>
    <xf numFmtId="0" fontId="10" fillId="0" borderId="265" xfId="0" applyFont="1" applyFill="1" applyBorder="1" applyAlignment="1">
      <alignment vertical="center"/>
    </xf>
    <xf numFmtId="169" fontId="10" fillId="0" borderId="0" xfId="1" applyNumberFormat="1" applyFont="1" applyFill="1" applyAlignment="1">
      <alignment horizontal="center" vertical="center"/>
    </xf>
    <xf numFmtId="164" fontId="10" fillId="0" borderId="0" xfId="2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173" fontId="10" fillId="0" borderId="6" xfId="1" applyNumberFormat="1" applyFont="1" applyFill="1" applyBorder="1" applyAlignment="1">
      <alignment horizontal="right" vertical="center"/>
    </xf>
    <xf numFmtId="173" fontId="10" fillId="0" borderId="590" xfId="1" applyNumberFormat="1" applyFont="1" applyFill="1" applyBorder="1" applyAlignment="1">
      <alignment horizontal="right" vertical="center"/>
    </xf>
    <xf numFmtId="1" fontId="0" fillId="0" borderId="552" xfId="0" applyNumberFormat="1" applyBorder="1"/>
    <xf numFmtId="0" fontId="37" fillId="0" borderId="0" xfId="0" applyFont="1" applyFill="1" applyAlignment="1">
      <alignment horizontal="center" vertical="center"/>
    </xf>
    <xf numFmtId="0" fontId="123" fillId="11" borderId="0" xfId="0" applyFont="1" applyFill="1" applyAlignment="1">
      <alignment horizontal="center" vertical="center"/>
    </xf>
    <xf numFmtId="0" fontId="60" fillId="0" borderId="1" xfId="0" applyFont="1" applyFill="1" applyBorder="1" applyAlignment="1">
      <alignment horizontal="center" vertical="center"/>
    </xf>
    <xf numFmtId="0" fontId="60" fillId="0" borderId="29" xfId="0" applyFont="1" applyFill="1" applyBorder="1" applyAlignment="1">
      <alignment vertical="center"/>
    </xf>
    <xf numFmtId="1" fontId="0" fillId="0" borderId="468" xfId="0" applyNumberFormat="1" applyFill="1" applyBorder="1"/>
    <xf numFmtId="0" fontId="37" fillId="0" borderId="0" xfId="0" applyFont="1" applyFill="1" applyBorder="1" applyAlignment="1">
      <alignment horizontal="center" vertical="center"/>
    </xf>
    <xf numFmtId="0" fontId="37" fillId="0" borderId="0" xfId="0" applyFont="1" applyFill="1" applyAlignment="1">
      <alignment horizontal="center" vertical="center"/>
    </xf>
    <xf numFmtId="4" fontId="18" fillId="0" borderId="89" xfId="5" applyNumberFormat="1" applyFont="1" applyBorder="1" applyAlignment="1">
      <alignment vertical="center"/>
    </xf>
    <xf numFmtId="0" fontId="108" fillId="0" borderId="0" xfId="21" applyFont="1" applyAlignment="1">
      <alignment vertical="center"/>
    </xf>
    <xf numFmtId="0" fontId="52" fillId="0" borderId="0" xfId="21" applyFont="1" applyAlignment="1">
      <alignment vertical="center"/>
    </xf>
    <xf numFmtId="0" fontId="52" fillId="0" borderId="0" xfId="21" applyFont="1" applyBorder="1" applyAlignment="1">
      <alignment vertical="center"/>
    </xf>
    <xf numFmtId="0" fontId="52" fillId="0" borderId="260" xfId="21" applyFont="1" applyBorder="1" applyAlignment="1">
      <alignment vertical="center"/>
    </xf>
    <xf numFmtId="0" fontId="52" fillId="0" borderId="588" xfId="21" applyFont="1" applyBorder="1" applyAlignment="1">
      <alignment vertical="center"/>
    </xf>
    <xf numFmtId="0" fontId="52" fillId="0" borderId="250" xfId="21" applyFont="1" applyBorder="1" applyAlignment="1">
      <alignment vertical="center"/>
    </xf>
    <xf numFmtId="0" fontId="52" fillId="0" borderId="250" xfId="22" applyFont="1" applyBorder="1" applyAlignment="1">
      <alignment vertical="center"/>
    </xf>
    <xf numFmtId="0" fontId="52" fillId="0" borderId="593" xfId="21" applyFont="1" applyBorder="1" applyAlignment="1">
      <alignment vertical="center"/>
    </xf>
    <xf numFmtId="0" fontId="52" fillId="0" borderId="594" xfId="21" applyFont="1" applyBorder="1" applyAlignment="1">
      <alignment vertical="center"/>
    </xf>
    <xf numFmtId="0" fontId="52" fillId="0" borderId="255" xfId="21" applyFont="1" applyBorder="1" applyAlignment="1">
      <alignment vertical="center"/>
    </xf>
    <xf numFmtId="0" fontId="70" fillId="0" borderId="45" xfId="21" applyFont="1" applyBorder="1" applyAlignment="1">
      <alignment vertical="center"/>
    </xf>
    <xf numFmtId="0" fontId="125" fillId="0" borderId="0" xfId="21" applyFont="1" applyBorder="1" applyAlignment="1">
      <alignment vertical="center"/>
    </xf>
    <xf numFmtId="0" fontId="37" fillId="0" borderId="525" xfId="0" applyFont="1" applyFill="1" applyBorder="1" applyAlignment="1">
      <alignment horizontal="center" vertical="center"/>
    </xf>
    <xf numFmtId="0" fontId="37" fillId="0" borderId="394" xfId="0" applyFont="1" applyFill="1" applyBorder="1" applyAlignment="1">
      <alignment horizontal="center" vertical="center"/>
    </xf>
    <xf numFmtId="0" fontId="37" fillId="0" borderId="405" xfId="0" applyFont="1" applyFill="1" applyBorder="1" applyAlignment="1">
      <alignment horizontal="center" vertical="center"/>
    </xf>
    <xf numFmtId="0" fontId="37" fillId="0" borderId="0" xfId="0" applyFont="1" applyFill="1" applyAlignment="1">
      <alignment horizontal="center" vertical="center"/>
    </xf>
    <xf numFmtId="0" fontId="60" fillId="0" borderId="0" xfId="0" applyFont="1" applyFill="1" applyAlignment="1">
      <alignment horizontal="right" vertical="center"/>
    </xf>
    <xf numFmtId="0" fontId="60" fillId="0" borderId="28" xfId="0" applyFont="1" applyFill="1" applyBorder="1" applyAlignment="1">
      <alignment horizontal="right" vertical="center"/>
    </xf>
    <xf numFmtId="0" fontId="126" fillId="10" borderId="597" xfId="21" applyFont="1" applyFill="1" applyBorder="1" applyAlignment="1">
      <alignment horizontal="center" vertical="center"/>
    </xf>
    <xf numFmtId="0" fontId="60" fillId="0" borderId="442" xfId="0" applyFont="1" applyFill="1" applyBorder="1" applyAlignment="1">
      <alignment horizontal="center" vertical="center"/>
    </xf>
    <xf numFmtId="0" fontId="127" fillId="0" borderId="0" xfId="22" applyFont="1" applyAlignment="1">
      <alignment vertical="center"/>
    </xf>
    <xf numFmtId="0" fontId="53" fillId="0" borderId="0" xfId="22" applyFont="1" applyAlignment="1">
      <alignment vertical="center"/>
    </xf>
    <xf numFmtId="0" fontId="128" fillId="0" borderId="172" xfId="22" applyFont="1" applyBorder="1" applyAlignment="1">
      <alignment vertical="center"/>
    </xf>
    <xf numFmtId="0" fontId="127" fillId="0" borderId="172" xfId="22" applyFont="1" applyBorder="1" applyAlignment="1">
      <alignment vertical="center"/>
    </xf>
    <xf numFmtId="0" fontId="53" fillId="0" borderId="0" xfId="22" applyFont="1" applyAlignment="1">
      <alignment horizontal="center" vertical="center"/>
    </xf>
    <xf numFmtId="0" fontId="127" fillId="0" borderId="452" xfId="22" applyFont="1" applyBorder="1" applyAlignment="1">
      <alignment vertical="center"/>
    </xf>
    <xf numFmtId="0" fontId="127" fillId="0" borderId="406" xfId="22" applyFont="1" applyBorder="1" applyAlignment="1">
      <alignment vertical="center"/>
    </xf>
    <xf numFmtId="0" fontId="127" fillId="0" borderId="460" xfId="22" applyFont="1" applyBorder="1" applyAlignment="1">
      <alignment vertical="center"/>
    </xf>
    <xf numFmtId="0" fontId="129" fillId="0" borderId="460" xfId="22" applyFont="1" applyBorder="1" applyAlignment="1">
      <alignment vertical="center"/>
    </xf>
    <xf numFmtId="0" fontId="127" fillId="0" borderId="452" xfId="21" applyFont="1" applyBorder="1" applyAlignment="1">
      <alignment vertical="center"/>
    </xf>
    <xf numFmtId="0" fontId="127" fillId="0" borderId="406" xfId="21" applyFont="1" applyBorder="1" applyAlignment="1">
      <alignment vertical="center"/>
    </xf>
    <xf numFmtId="0" fontId="129" fillId="0" borderId="460" xfId="21" applyFont="1" applyBorder="1" applyAlignment="1">
      <alignment vertical="center"/>
    </xf>
    <xf numFmtId="0" fontId="127" fillId="0" borderId="460" xfId="21" applyFont="1" applyBorder="1" applyAlignment="1">
      <alignment vertical="center"/>
    </xf>
    <xf numFmtId="0" fontId="127" fillId="0" borderId="0" xfId="21" applyFont="1" applyBorder="1" applyAlignment="1">
      <alignment vertical="center"/>
    </xf>
    <xf numFmtId="0" fontId="127" fillId="0" borderId="0" xfId="21" applyFont="1" applyAlignment="1">
      <alignment vertical="center"/>
    </xf>
    <xf numFmtId="0" fontId="127" fillId="0" borderId="553" xfId="21" applyFont="1" applyBorder="1" applyAlignment="1">
      <alignment vertical="center"/>
    </xf>
    <xf numFmtId="20" fontId="0" fillId="0" borderId="0" xfId="0" applyNumberFormat="1"/>
    <xf numFmtId="0" fontId="0" fillId="0" borderId="506" xfId="0" applyBorder="1"/>
    <xf numFmtId="165" fontId="59" fillId="0" borderId="278" xfId="0" applyNumberFormat="1" applyFont="1" applyFill="1" applyBorder="1" applyAlignment="1">
      <alignment vertical="center"/>
    </xf>
    <xf numFmtId="165" fontId="60" fillId="0" borderId="22" xfId="1" applyFont="1" applyFill="1" applyBorder="1" applyAlignment="1">
      <alignment vertical="center"/>
    </xf>
    <xf numFmtId="165" fontId="60" fillId="0" borderId="277" xfId="1" applyFont="1" applyFill="1" applyBorder="1" applyAlignment="1">
      <alignment vertical="center"/>
    </xf>
    <xf numFmtId="165" fontId="60" fillId="0" borderId="278" xfId="1" applyFont="1" applyFill="1" applyBorder="1" applyAlignment="1">
      <alignment vertical="center"/>
    </xf>
    <xf numFmtId="0" fontId="69" fillId="0" borderId="0" xfId="0" applyFont="1" applyFill="1"/>
    <xf numFmtId="0" fontId="18" fillId="0" borderId="89" xfId="7" applyFont="1" applyBorder="1" applyAlignment="1">
      <alignment horizontal="center" vertical="center" wrapText="1"/>
    </xf>
    <xf numFmtId="0" fontId="15" fillId="0" borderId="89" xfId="7" applyBorder="1"/>
    <xf numFmtId="0" fontId="10" fillId="0" borderId="0" xfId="0" applyNumberFormat="1" applyFont="1" applyAlignment="1">
      <alignment vertical="center"/>
    </xf>
    <xf numFmtId="0" fontId="132" fillId="21" borderId="606" xfId="20" applyFont="1" applyFill="1" applyBorder="1" applyAlignment="1">
      <alignment horizontal="center" vertical="center"/>
    </xf>
    <xf numFmtId="0" fontId="37" fillId="0" borderId="0" xfId="0" applyFont="1" applyFill="1" applyAlignment="1">
      <alignment horizontal="left" vertical="top"/>
    </xf>
    <xf numFmtId="0" fontId="111" fillId="20" borderId="578" xfId="0" applyFont="1" applyFill="1" applyBorder="1" applyAlignment="1">
      <alignment horizontal="left"/>
    </xf>
    <xf numFmtId="0" fontId="0" fillId="20" borderId="578" xfId="0" applyFill="1" applyBorder="1"/>
    <xf numFmtId="1" fontId="0" fillId="20" borderId="578" xfId="0" applyNumberFormat="1" applyFill="1" applyBorder="1"/>
    <xf numFmtId="0" fontId="0" fillId="20" borderId="578" xfId="0" quotePrefix="1" applyFill="1" applyBorder="1"/>
    <xf numFmtId="0" fontId="131" fillId="2" borderId="598" xfId="0" applyFont="1" applyFill="1" applyBorder="1" applyAlignment="1">
      <alignment horizontal="center" vertical="center"/>
    </xf>
    <xf numFmtId="0" fontId="131" fillId="2" borderId="599" xfId="0" applyFont="1" applyFill="1" applyBorder="1" applyAlignment="1">
      <alignment horizontal="center" vertical="center"/>
    </xf>
    <xf numFmtId="0" fontId="131" fillId="2" borderId="600" xfId="0" applyFont="1" applyFill="1" applyBorder="1" applyAlignment="1">
      <alignment horizontal="center" vertical="center"/>
    </xf>
    <xf numFmtId="0" fontId="131" fillId="2" borderId="601" xfId="0" applyFont="1" applyFill="1" applyBorder="1" applyAlignment="1">
      <alignment horizontal="center" vertical="center"/>
    </xf>
    <xf numFmtId="0" fontId="131" fillId="2" borderId="591" xfId="0" applyFont="1" applyFill="1" applyBorder="1" applyAlignment="1">
      <alignment horizontal="center" vertical="center"/>
    </xf>
    <xf numFmtId="0" fontId="131" fillId="2" borderId="602" xfId="0" applyFont="1" applyFill="1" applyBorder="1" applyAlignment="1">
      <alignment horizontal="center" vertical="center"/>
    </xf>
    <xf numFmtId="0" fontId="131" fillId="2" borderId="603" xfId="0" applyFont="1" applyFill="1" applyBorder="1" applyAlignment="1">
      <alignment horizontal="center" vertical="center"/>
    </xf>
    <xf numFmtId="0" fontId="131" fillId="2" borderId="604" xfId="0" applyFont="1" applyFill="1" applyBorder="1" applyAlignment="1">
      <alignment horizontal="center" vertical="center"/>
    </xf>
    <xf numFmtId="0" fontId="131" fillId="2" borderId="605" xfId="0" applyFont="1" applyFill="1" applyBorder="1" applyAlignment="1">
      <alignment horizontal="center" vertical="center"/>
    </xf>
    <xf numFmtId="0" fontId="58" fillId="21" borderId="606" xfId="20" applyFill="1" applyBorder="1" applyAlignment="1">
      <alignment horizontal="center" vertical="center"/>
    </xf>
    <xf numFmtId="0" fontId="19" fillId="0" borderId="582" xfId="7" applyFont="1" applyBorder="1" applyAlignment="1">
      <alignment horizontal="center" vertical="center"/>
    </xf>
    <xf numFmtId="0" fontId="19" fillId="0" borderId="581" xfId="7" applyFont="1" applyBorder="1" applyAlignment="1">
      <alignment horizontal="center" vertical="center"/>
    </xf>
    <xf numFmtId="0" fontId="19" fillId="0" borderId="580" xfId="7" applyFont="1" applyBorder="1" applyAlignment="1">
      <alignment horizontal="left" vertical="center"/>
    </xf>
    <xf numFmtId="165" fontId="19" fillId="0" borderId="589" xfId="5" applyFont="1" applyBorder="1" applyAlignment="1">
      <alignment vertical="center"/>
    </xf>
    <xf numFmtId="0" fontId="18" fillId="0" borderId="532" xfId="7" applyFont="1" applyBorder="1" applyAlignment="1">
      <alignment vertical="center"/>
    </xf>
    <xf numFmtId="165" fontId="18" fillId="0" borderId="535" xfId="5" applyFont="1" applyBorder="1" applyAlignment="1">
      <alignment vertical="center"/>
    </xf>
    <xf numFmtId="0" fontId="18" fillId="0" borderId="535" xfId="7" applyFont="1" applyBorder="1" applyAlignment="1">
      <alignment horizontal="center" vertical="center"/>
    </xf>
    <xf numFmtId="0" fontId="18" fillId="0" borderId="524" xfId="7" applyFont="1" applyBorder="1" applyAlignment="1">
      <alignment horizontal="center" vertical="center"/>
    </xf>
    <xf numFmtId="0" fontId="18" fillId="0" borderId="579" xfId="7" applyFont="1" applyBorder="1" applyAlignment="1">
      <alignment horizontal="center" vertical="center"/>
    </xf>
    <xf numFmtId="167" fontId="18" fillId="0" borderId="535" xfId="5" applyNumberFormat="1" applyFont="1" applyBorder="1" applyAlignment="1">
      <alignment vertical="center"/>
    </xf>
    <xf numFmtId="4" fontId="18" fillId="0" borderId="532" xfId="7" applyNumberFormat="1" applyFont="1" applyBorder="1" applyAlignment="1">
      <alignment vertical="center"/>
    </xf>
    <xf numFmtId="0" fontId="18" fillId="0" borderId="607" xfId="7" applyFont="1" applyBorder="1" applyAlignment="1">
      <alignment horizontal="center" vertical="center"/>
    </xf>
    <xf numFmtId="0" fontId="18" fillId="0" borderId="608" xfId="7" applyFont="1" applyBorder="1" applyAlignment="1">
      <alignment vertical="center"/>
    </xf>
    <xf numFmtId="0" fontId="18" fillId="0" borderId="609" xfId="7" applyFont="1" applyBorder="1" applyAlignment="1">
      <alignment horizontal="center" vertical="center"/>
    </xf>
    <xf numFmtId="167" fontId="18" fillId="0" borderId="610" xfId="5" applyNumberFormat="1" applyFont="1" applyBorder="1" applyAlignment="1">
      <alignment vertical="center"/>
    </xf>
    <xf numFmtId="165" fontId="18" fillId="0" borderId="608" xfId="7" applyNumberFormat="1" applyFont="1" applyBorder="1" applyAlignment="1">
      <alignment vertical="center"/>
    </xf>
    <xf numFmtId="0" fontId="18" fillId="0" borderId="581" xfId="7" applyFont="1" applyBorder="1" applyAlignment="1">
      <alignment horizontal="center" vertical="center"/>
    </xf>
    <xf numFmtId="165" fontId="19" fillId="0" borderId="608" xfId="5" applyFont="1" applyBorder="1" applyAlignment="1">
      <alignment vertical="center"/>
    </xf>
    <xf numFmtId="165" fontId="19" fillId="0" borderId="610" xfId="5" applyFont="1" applyBorder="1" applyAlignment="1">
      <alignment vertical="center"/>
    </xf>
    <xf numFmtId="4" fontId="18" fillId="0" borderId="578" xfId="5" applyNumberFormat="1" applyFont="1" applyFill="1" applyBorder="1" applyAlignment="1">
      <alignment vertical="center"/>
    </xf>
    <xf numFmtId="0" fontId="30" fillId="0" borderId="578" xfId="19" applyFont="1" applyBorder="1" applyAlignment="1">
      <alignment horizontal="center" vertical="center" wrapText="1"/>
    </xf>
    <xf numFmtId="0" fontId="7" fillId="0" borderId="578" xfId="19" applyBorder="1" applyAlignment="1">
      <alignment vertical="center"/>
    </xf>
    <xf numFmtId="0" fontId="112" fillId="0" borderId="89" xfId="0" applyFont="1" applyFill="1" applyBorder="1" applyAlignment="1">
      <alignment horizontal="left"/>
    </xf>
    <xf numFmtId="4" fontId="113" fillId="0" borderId="89" xfId="0" applyNumberFormat="1" applyFont="1" applyFill="1" applyBorder="1" applyAlignment="1">
      <alignment horizontal="right"/>
    </xf>
    <xf numFmtId="0" fontId="0" fillId="0" borderId="89" xfId="0" applyFill="1" applyBorder="1" applyAlignment="1">
      <alignment horizontal="center"/>
    </xf>
    <xf numFmtId="0" fontId="0" fillId="0" borderId="89" xfId="0" applyFill="1" applyBorder="1" applyAlignment="1">
      <alignment horizontal="left"/>
    </xf>
    <xf numFmtId="4" fontId="0" fillId="0" borderId="89" xfId="0" applyNumberFormat="1" applyFill="1" applyBorder="1" applyAlignment="1">
      <alignment horizontal="center"/>
    </xf>
    <xf numFmtId="4" fontId="0" fillId="0" borderId="89" xfId="0" applyNumberFormat="1" applyFill="1" applyBorder="1" applyAlignment="1">
      <alignment horizontal="left"/>
    </xf>
    <xf numFmtId="0" fontId="0" fillId="20" borderId="89" xfId="0" applyFill="1" applyBorder="1" applyAlignment="1">
      <alignment horizontal="center"/>
    </xf>
    <xf numFmtId="0" fontId="11" fillId="17" borderId="578" xfId="0" applyFont="1" applyFill="1" applyBorder="1" applyAlignment="1">
      <alignment horizontal="center" vertical="center"/>
    </xf>
    <xf numFmtId="165" fontId="59" fillId="0" borderId="0" xfId="1" applyFont="1" applyFill="1" applyBorder="1" applyAlignment="1">
      <alignment vertical="center"/>
    </xf>
    <xf numFmtId="0" fontId="19" fillId="17" borderId="169" xfId="7" applyFont="1" applyFill="1" applyBorder="1" applyAlignment="1">
      <alignment horizontal="center" vertical="center"/>
    </xf>
    <xf numFmtId="0" fontId="0" fillId="17" borderId="578" xfId="0" applyFill="1" applyBorder="1" applyAlignment="1">
      <alignment horizontal="center"/>
    </xf>
    <xf numFmtId="0" fontId="0" fillId="17" borderId="582" xfId="0" applyFill="1" applyBorder="1" applyAlignment="1">
      <alignment horizontal="center"/>
    </xf>
    <xf numFmtId="0" fontId="0" fillId="17" borderId="585" xfId="0" applyFill="1" applyBorder="1" applyAlignment="1">
      <alignment horizontal="center" textRotation="45"/>
    </xf>
    <xf numFmtId="0" fontId="0" fillId="17" borderId="586" xfId="0" applyFill="1" applyBorder="1" applyAlignment="1">
      <alignment horizontal="center"/>
    </xf>
    <xf numFmtId="3" fontId="116" fillId="17" borderId="0" xfId="0" applyNumberFormat="1" applyFont="1" applyFill="1" applyBorder="1" applyAlignment="1">
      <alignment horizontal="center"/>
    </xf>
    <xf numFmtId="3" fontId="117" fillId="17" borderId="0" xfId="0" applyNumberFormat="1" applyFont="1" applyFill="1" applyBorder="1" applyAlignment="1">
      <alignment horizontal="center" vertical="center"/>
    </xf>
    <xf numFmtId="0" fontId="11" fillId="17" borderId="0" xfId="0" applyFont="1" applyFill="1" applyBorder="1" applyAlignment="1">
      <alignment horizontal="center" vertical="center"/>
    </xf>
    <xf numFmtId="4" fontId="115" fillId="17" borderId="0" xfId="0" applyNumberFormat="1" applyFont="1" applyFill="1" applyBorder="1" applyAlignment="1">
      <alignment horizontal="center" vertical="center"/>
    </xf>
    <xf numFmtId="4" fontId="59" fillId="17" borderId="0" xfId="0" applyNumberFormat="1" applyFont="1" applyFill="1" applyBorder="1" applyAlignment="1">
      <alignment horizontal="center" vertical="center"/>
    </xf>
    <xf numFmtId="0" fontId="11" fillId="17" borderId="0" xfId="0" applyFont="1" applyFill="1" applyBorder="1" applyAlignment="1">
      <alignment horizontal="left" vertical="center"/>
    </xf>
    <xf numFmtId="0" fontId="60" fillId="17" borderId="21" xfId="0" applyFont="1" applyFill="1" applyBorder="1" applyAlignment="1">
      <alignment vertical="center"/>
    </xf>
    <xf numFmtId="0" fontId="60" fillId="17" borderId="24" xfId="0" applyFont="1" applyFill="1" applyBorder="1" applyAlignment="1">
      <alignment vertical="center"/>
    </xf>
    <xf numFmtId="0" fontId="60" fillId="17" borderId="5" xfId="0" applyFont="1" applyFill="1" applyBorder="1" applyAlignment="1">
      <alignment vertical="center"/>
    </xf>
    <xf numFmtId="0" fontId="133" fillId="0" borderId="0" xfId="0" applyFont="1" applyAlignment="1">
      <alignment vertical="center" wrapText="1"/>
    </xf>
    <xf numFmtId="0" fontId="60" fillId="17" borderId="474" xfId="0" applyFont="1" applyFill="1" applyBorder="1" applyAlignment="1">
      <alignment vertical="center"/>
    </xf>
    <xf numFmtId="39" fontId="13" fillId="17" borderId="0" xfId="6" applyNumberFormat="1" applyFont="1" applyFill="1"/>
    <xf numFmtId="39" fontId="13" fillId="17" borderId="68" xfId="6" applyNumberFormat="1" applyFont="1" applyFill="1" applyBorder="1"/>
    <xf numFmtId="0" fontId="75" fillId="17" borderId="611" xfId="23" applyFill="1"/>
    <xf numFmtId="0" fontId="10" fillId="0" borderId="7" xfId="0" applyFont="1" applyBorder="1" applyAlignment="1">
      <alignment horizontal="right" vertical="center"/>
    </xf>
    <xf numFmtId="0" fontId="10" fillId="0" borderId="8" xfId="0" applyFont="1" applyBorder="1" applyAlignment="1">
      <alignment horizontal="right" vertical="center"/>
    </xf>
    <xf numFmtId="0" fontId="10" fillId="0" borderId="32" xfId="0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63" fillId="0" borderId="39" xfId="0" applyFont="1" applyBorder="1" applyAlignment="1">
      <alignment horizontal="center" vertical="center"/>
    </xf>
    <xf numFmtId="0" fontId="63" fillId="0" borderId="42" xfId="0" applyFont="1" applyBorder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10" fillId="0" borderId="15" xfId="0" applyFont="1" applyBorder="1" applyAlignment="1">
      <alignment horizontal="right" vertical="center"/>
    </xf>
    <xf numFmtId="0" fontId="10" fillId="0" borderId="18" xfId="0" applyFont="1" applyBorder="1" applyAlignment="1">
      <alignment horizontal="right" vertical="center"/>
    </xf>
    <xf numFmtId="0" fontId="10" fillId="0" borderId="4" xfId="0" applyFont="1" applyBorder="1" applyAlignment="1">
      <alignment horizontal="right" vertical="center"/>
    </xf>
    <xf numFmtId="0" fontId="10" fillId="0" borderId="5" xfId="0" applyFont="1" applyBorder="1" applyAlignment="1">
      <alignment horizontal="right" vertical="center"/>
    </xf>
    <xf numFmtId="0" fontId="10" fillId="0" borderId="22" xfId="0" applyFont="1" applyBorder="1" applyAlignment="1">
      <alignment horizontal="right" vertical="center"/>
    </xf>
    <xf numFmtId="0" fontId="64" fillId="0" borderId="0" xfId="0" applyFont="1" applyFill="1" applyAlignment="1">
      <alignment horizontal="center" vertical="center"/>
    </xf>
    <xf numFmtId="0" fontId="65" fillId="0" borderId="0" xfId="0" applyFont="1" applyFill="1" applyAlignment="1">
      <alignment horizontal="center" vertical="center"/>
    </xf>
    <xf numFmtId="0" fontId="63" fillId="0" borderId="38" xfId="0" applyFont="1" applyBorder="1" applyAlignment="1">
      <alignment horizontal="center" vertical="center"/>
    </xf>
    <xf numFmtId="0" fontId="63" fillId="0" borderId="43" xfId="0" applyFont="1" applyBorder="1" applyAlignment="1">
      <alignment horizontal="center" vertical="center"/>
    </xf>
    <xf numFmtId="0" fontId="63" fillId="0" borderId="40" xfId="0" applyFont="1" applyBorder="1" applyAlignment="1">
      <alignment horizontal="center" vertical="center"/>
    </xf>
    <xf numFmtId="0" fontId="63" fillId="0" borderId="41" xfId="0" applyFont="1" applyBorder="1" applyAlignment="1">
      <alignment horizontal="center" vertical="center"/>
    </xf>
    <xf numFmtId="0" fontId="63" fillId="0" borderId="44" xfId="0" applyFont="1" applyBorder="1" applyAlignment="1">
      <alignment horizontal="center" vertical="center"/>
    </xf>
    <xf numFmtId="0" fontId="63" fillId="0" borderId="45" xfId="0" applyFont="1" applyBorder="1" applyAlignment="1">
      <alignment horizontal="center" vertical="center"/>
    </xf>
    <xf numFmtId="0" fontId="63" fillId="0" borderId="46" xfId="0" applyFont="1" applyBorder="1" applyAlignment="1">
      <alignment horizontal="center" vertical="center"/>
    </xf>
    <xf numFmtId="0" fontId="63" fillId="0" borderId="47" xfId="0" applyFont="1" applyBorder="1" applyAlignment="1">
      <alignment horizontal="center" vertical="center"/>
    </xf>
    <xf numFmtId="0" fontId="107" fillId="0" borderId="0" xfId="22" applyFont="1" applyAlignment="1">
      <alignment horizontal="center" vertical="center"/>
    </xf>
    <xf numFmtId="0" fontId="130" fillId="10" borderId="452" xfId="22" applyFont="1" applyFill="1" applyBorder="1" applyAlignment="1">
      <alignment horizontal="center" vertical="center"/>
    </xf>
    <xf numFmtId="0" fontId="130" fillId="10" borderId="406" xfId="22" applyFont="1" applyFill="1" applyBorder="1" applyAlignment="1">
      <alignment horizontal="center" vertical="center"/>
    </xf>
    <xf numFmtId="0" fontId="130" fillId="10" borderId="460" xfId="22" applyFont="1" applyFill="1" applyBorder="1" applyAlignment="1">
      <alignment horizontal="center" vertical="center"/>
    </xf>
    <xf numFmtId="0" fontId="124" fillId="0" borderId="0" xfId="21" applyFont="1" applyAlignment="1">
      <alignment horizontal="center" vertical="center"/>
    </xf>
    <xf numFmtId="0" fontId="126" fillId="10" borderId="595" xfId="21" applyFont="1" applyFill="1" applyBorder="1" applyAlignment="1">
      <alignment horizontal="center" vertical="center"/>
    </xf>
    <xf numFmtId="0" fontId="126" fillId="10" borderId="596" xfId="21" applyFont="1" applyFill="1" applyBorder="1" applyAlignment="1">
      <alignment horizontal="center" vertical="center"/>
    </xf>
    <xf numFmtId="0" fontId="60" fillId="0" borderId="10" xfId="0" applyFont="1" applyFill="1" applyBorder="1" applyAlignment="1">
      <alignment horizontal="right" vertical="center"/>
    </xf>
    <xf numFmtId="0" fontId="60" fillId="0" borderId="11" xfId="0" applyFont="1" applyFill="1" applyBorder="1" applyAlignment="1">
      <alignment horizontal="right" vertical="center"/>
    </xf>
    <xf numFmtId="0" fontId="60" fillId="0" borderId="10" xfId="0" applyFont="1" applyBorder="1" applyAlignment="1">
      <alignment horizontal="right" vertical="center"/>
    </xf>
    <xf numFmtId="0" fontId="60" fillId="0" borderId="11" xfId="0" applyFont="1" applyBorder="1" applyAlignment="1">
      <alignment horizontal="right" vertical="center"/>
    </xf>
    <xf numFmtId="0" fontId="61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60" fillId="0" borderId="38" xfId="0" applyFont="1" applyFill="1" applyBorder="1" applyAlignment="1">
      <alignment horizontal="center" vertical="center"/>
    </xf>
    <xf numFmtId="0" fontId="60" fillId="0" borderId="43" xfId="0" applyFont="1" applyFill="1" applyBorder="1" applyAlignment="1">
      <alignment horizontal="center" vertical="center"/>
    </xf>
    <xf numFmtId="0" fontId="60" fillId="0" borderId="39" xfId="0" applyFont="1" applyFill="1" applyBorder="1" applyAlignment="1">
      <alignment horizontal="center" vertical="center"/>
    </xf>
    <xf numFmtId="0" fontId="60" fillId="0" borderId="41" xfId="0" applyFont="1" applyFill="1" applyBorder="1" applyAlignment="1">
      <alignment horizontal="center" vertical="center"/>
    </xf>
    <xf numFmtId="0" fontId="60" fillId="0" borderId="44" xfId="0" applyFont="1" applyFill="1" applyBorder="1" applyAlignment="1">
      <alignment horizontal="center" vertical="center"/>
    </xf>
    <xf numFmtId="0" fontId="60" fillId="0" borderId="46" xfId="0" applyFont="1" applyFill="1" applyBorder="1" applyAlignment="1">
      <alignment horizontal="center" vertical="center"/>
    </xf>
    <xf numFmtId="0" fontId="60" fillId="0" borderId="199" xfId="0" applyFont="1" applyFill="1" applyBorder="1" applyAlignment="1">
      <alignment horizontal="center" vertical="center"/>
    </xf>
    <xf numFmtId="0" fontId="60" fillId="0" borderId="55" xfId="0" applyFont="1" applyFill="1" applyBorder="1" applyAlignment="1">
      <alignment horizontal="center" vertical="center"/>
    </xf>
    <xf numFmtId="0" fontId="60" fillId="2" borderId="169" xfId="0" applyFont="1" applyFill="1" applyBorder="1" applyAlignment="1">
      <alignment horizontal="center" vertical="center"/>
    </xf>
    <xf numFmtId="0" fontId="60" fillId="2" borderId="170" xfId="0" applyFont="1" applyFill="1" applyBorder="1" applyAlignment="1">
      <alignment horizontal="center" vertical="center"/>
    </xf>
    <xf numFmtId="0" fontId="60" fillId="2" borderId="171" xfId="0" applyFont="1" applyFill="1" applyBorder="1" applyAlignment="1">
      <alignment horizontal="center" vertical="center"/>
    </xf>
    <xf numFmtId="0" fontId="37" fillId="0" borderId="0" xfId="7" applyFont="1" applyAlignment="1">
      <alignment horizontal="center" vertical="center"/>
    </xf>
    <xf numFmtId="0" fontId="37" fillId="5" borderId="172" xfId="7" applyFont="1" applyFill="1" applyBorder="1" applyAlignment="1">
      <alignment horizontal="center" vertical="center" wrapText="1"/>
    </xf>
    <xf numFmtId="0" fontId="37" fillId="5" borderId="192" xfId="7" applyFont="1" applyFill="1" applyBorder="1" applyAlignment="1">
      <alignment horizontal="center" vertical="center" wrapText="1"/>
    </xf>
    <xf numFmtId="164" fontId="43" fillId="2" borderId="405" xfId="2" applyFont="1" applyFill="1" applyBorder="1" applyAlignment="1">
      <alignment horizontal="center" vertical="center"/>
    </xf>
    <xf numFmtId="164" fontId="43" fillId="2" borderId="202" xfId="2" applyFont="1" applyFill="1" applyBorder="1" applyAlignment="1">
      <alignment horizontal="center" vertical="center"/>
    </xf>
    <xf numFmtId="178" fontId="42" fillId="2" borderId="169" xfId="2" applyNumberFormat="1" applyFont="1" applyFill="1" applyBorder="1" applyAlignment="1">
      <alignment horizontal="center"/>
    </xf>
    <xf numFmtId="178" fontId="42" fillId="2" borderId="174" xfId="2" applyNumberFormat="1" applyFont="1" applyFill="1" applyBorder="1" applyAlignment="1">
      <alignment horizontal="center"/>
    </xf>
    <xf numFmtId="178" fontId="42" fillId="2" borderId="170" xfId="2" applyNumberFormat="1" applyFont="1" applyFill="1" applyBorder="1" applyAlignment="1">
      <alignment horizontal="center"/>
    </xf>
    <xf numFmtId="178" fontId="42" fillId="2" borderId="171" xfId="2" applyNumberFormat="1" applyFont="1" applyFill="1" applyBorder="1" applyAlignment="1">
      <alignment horizontal="center"/>
    </xf>
    <xf numFmtId="164" fontId="42" fillId="2" borderId="249" xfId="2" applyFont="1" applyFill="1" applyBorder="1" applyAlignment="1">
      <alignment horizontal="center" vertical="center"/>
    </xf>
    <xf numFmtId="164" fontId="42" fillId="2" borderId="253" xfId="2" applyFont="1" applyFill="1" applyBorder="1" applyAlignment="1">
      <alignment horizontal="center" vertical="center"/>
    </xf>
    <xf numFmtId="0" fontId="16" fillId="0" borderId="89" xfId="7" applyFont="1" applyBorder="1" applyAlignment="1">
      <alignment horizontal="center"/>
    </xf>
    <xf numFmtId="0" fontId="34" fillId="0" borderId="0" xfId="7" applyFont="1" applyAlignment="1">
      <alignment horizontal="center"/>
    </xf>
    <xf numFmtId="0" fontId="72" fillId="10" borderId="452" xfId="0" applyFont="1" applyFill="1" applyBorder="1" applyAlignment="1">
      <alignment horizontal="center"/>
    </xf>
    <xf numFmtId="0" fontId="72" fillId="10" borderId="460" xfId="0" applyFont="1" applyFill="1" applyBorder="1" applyAlignment="1">
      <alignment horizontal="center"/>
    </xf>
    <xf numFmtId="0" fontId="0" fillId="0" borderId="394" xfId="0" applyFill="1" applyBorder="1" applyAlignment="1">
      <alignment horizontal="center" vertical="center"/>
    </xf>
    <xf numFmtId="0" fontId="9" fillId="0" borderId="394" xfId="0" applyFont="1" applyBorder="1" applyAlignment="1">
      <alignment horizontal="center" vertical="center"/>
    </xf>
    <xf numFmtId="0" fontId="73" fillId="10" borderId="394" xfId="0" applyFont="1" applyFill="1" applyBorder="1" applyAlignment="1">
      <alignment horizontal="center" vertical="center"/>
    </xf>
    <xf numFmtId="0" fontId="76" fillId="2" borderId="394" xfId="0" applyFont="1" applyFill="1" applyBorder="1" applyAlignment="1">
      <alignment horizontal="center" vertical="center"/>
    </xf>
    <xf numFmtId="0" fontId="0" fillId="0" borderId="394" xfId="0" applyBorder="1" applyAlignment="1">
      <alignment horizontal="center" vertical="center"/>
    </xf>
    <xf numFmtId="0" fontId="0" fillId="0" borderId="452" xfId="0" applyFill="1" applyBorder="1" applyAlignment="1">
      <alignment horizontal="center" vertical="center"/>
    </xf>
    <xf numFmtId="0" fontId="0" fillId="0" borderId="406" xfId="0" applyFill="1" applyBorder="1" applyAlignment="1">
      <alignment horizontal="center" vertical="center"/>
    </xf>
    <xf numFmtId="0" fontId="0" fillId="0" borderId="460" xfId="0" applyFill="1" applyBorder="1" applyAlignment="1">
      <alignment horizontal="center" vertical="center"/>
    </xf>
    <xf numFmtId="0" fontId="72" fillId="10" borderId="0" xfId="0" applyFont="1" applyFill="1" applyBorder="1" applyAlignment="1">
      <alignment horizontal="left" vertical="center"/>
    </xf>
    <xf numFmtId="0" fontId="49" fillId="0" borderId="0" xfId="0" applyFont="1" applyFill="1" applyBorder="1" applyAlignment="1">
      <alignment horizontal="center" vertical="center"/>
    </xf>
    <xf numFmtId="0" fontId="82" fillId="10" borderId="491" xfId="0" applyFont="1" applyFill="1" applyBorder="1" applyAlignment="1">
      <alignment horizontal="center" vertical="center"/>
    </xf>
    <xf numFmtId="0" fontId="82" fillId="10" borderId="492" xfId="0" applyFont="1" applyFill="1" applyBorder="1" applyAlignment="1">
      <alignment horizontal="center" vertical="center"/>
    </xf>
    <xf numFmtId="0" fontId="49" fillId="0" borderId="498" xfId="0" applyFont="1" applyBorder="1" applyAlignment="1">
      <alignment horizontal="center" vertical="center"/>
    </xf>
    <xf numFmtId="0" fontId="49" fillId="0" borderId="478" xfId="0" applyFont="1" applyBorder="1" applyAlignment="1">
      <alignment horizontal="center" vertical="center"/>
    </xf>
    <xf numFmtId="0" fontId="49" fillId="0" borderId="525" xfId="0" applyFont="1" applyBorder="1" applyAlignment="1">
      <alignment horizontal="center" vertical="center"/>
    </xf>
    <xf numFmtId="0" fontId="82" fillId="15" borderId="491" xfId="0" applyFont="1" applyFill="1" applyBorder="1" applyAlignment="1">
      <alignment horizontal="center" vertical="center"/>
    </xf>
    <xf numFmtId="0" fontId="82" fillId="15" borderId="492" xfId="0" applyFont="1" applyFill="1" applyBorder="1" applyAlignment="1">
      <alignment horizontal="center" vertical="center"/>
    </xf>
    <xf numFmtId="0" fontId="82" fillId="15" borderId="490" xfId="0" applyFont="1" applyFill="1" applyBorder="1" applyAlignment="1">
      <alignment horizontal="center" vertical="center"/>
    </xf>
    <xf numFmtId="0" fontId="79" fillId="10" borderId="491" xfId="0" applyFont="1" applyFill="1" applyBorder="1" applyAlignment="1">
      <alignment horizontal="right" vertical="center"/>
    </xf>
    <xf numFmtId="0" fontId="79" fillId="10" borderId="492" xfId="0" applyFont="1" applyFill="1" applyBorder="1" applyAlignment="1">
      <alignment horizontal="right" vertical="center"/>
    </xf>
    <xf numFmtId="0" fontId="79" fillId="10" borderId="490" xfId="0" applyFont="1" applyFill="1" applyBorder="1" applyAlignment="1">
      <alignment horizontal="right" vertical="center"/>
    </xf>
    <xf numFmtId="0" fontId="79" fillId="10" borderId="495" xfId="0" applyFont="1" applyFill="1" applyBorder="1" applyAlignment="1">
      <alignment horizontal="center" vertical="center" wrapText="1"/>
    </xf>
    <xf numFmtId="0" fontId="79" fillId="10" borderId="496" xfId="0" applyFont="1" applyFill="1" applyBorder="1" applyAlignment="1">
      <alignment horizontal="center" vertical="center" wrapText="1"/>
    </xf>
    <xf numFmtId="0" fontId="58" fillId="7" borderId="394" xfId="20" applyFill="1" applyBorder="1" applyAlignment="1">
      <alignment horizontal="center" vertical="center"/>
    </xf>
    <xf numFmtId="0" fontId="82" fillId="10" borderId="480" xfId="0" applyFont="1" applyFill="1" applyBorder="1" applyAlignment="1">
      <alignment horizontal="center" vertical="center"/>
    </xf>
    <xf numFmtId="0" fontId="82" fillId="10" borderId="481" xfId="0" applyFont="1" applyFill="1" applyBorder="1" applyAlignment="1">
      <alignment horizontal="center" vertical="center"/>
    </xf>
    <xf numFmtId="0" fontId="82" fillId="15" borderId="483" xfId="0" applyFont="1" applyFill="1" applyBorder="1" applyAlignment="1">
      <alignment horizontal="center" vertical="center"/>
    </xf>
    <xf numFmtId="0" fontId="82" fillId="15" borderId="484" xfId="0" applyFont="1" applyFill="1" applyBorder="1" applyAlignment="1">
      <alignment horizontal="center" vertical="center"/>
    </xf>
    <xf numFmtId="0" fontId="82" fillId="15" borderId="485" xfId="0" applyFont="1" applyFill="1" applyBorder="1" applyAlignment="1">
      <alignment horizontal="center" vertical="center"/>
    </xf>
    <xf numFmtId="0" fontId="82" fillId="10" borderId="490" xfId="0" applyFont="1" applyFill="1" applyBorder="1" applyAlignment="1">
      <alignment horizontal="center" vertical="center"/>
    </xf>
    <xf numFmtId="0" fontId="49" fillId="0" borderId="405" xfId="0" applyFont="1" applyBorder="1" applyAlignment="1">
      <alignment horizontal="center" vertical="center"/>
    </xf>
    <xf numFmtId="0" fontId="49" fillId="0" borderId="143" xfId="0" applyFont="1" applyBorder="1" applyAlignment="1">
      <alignment horizontal="center" vertical="center"/>
    </xf>
    <xf numFmtId="0" fontId="53" fillId="0" borderId="526" xfId="0" applyFont="1" applyFill="1" applyBorder="1" applyAlignment="1">
      <alignment horizontal="center" vertical="center"/>
    </xf>
    <xf numFmtId="0" fontId="53" fillId="0" borderId="175" xfId="0" applyFont="1" applyFill="1" applyBorder="1" applyAlignment="1">
      <alignment horizontal="center" vertical="center"/>
    </xf>
    <xf numFmtId="0" fontId="79" fillId="10" borderId="394" xfId="0" applyFont="1" applyFill="1" applyBorder="1" applyAlignment="1">
      <alignment horizontal="right" vertical="center" wrapText="1"/>
    </xf>
    <xf numFmtId="0" fontId="51" fillId="2" borderId="483" xfId="0" applyFont="1" applyFill="1" applyBorder="1" applyAlignment="1">
      <alignment horizontal="left" vertical="center"/>
    </xf>
    <xf numFmtId="0" fontId="51" fillId="2" borderId="484" xfId="0" applyFont="1" applyFill="1" applyBorder="1" applyAlignment="1">
      <alignment horizontal="left" vertical="center"/>
    </xf>
    <xf numFmtId="0" fontId="51" fillId="2" borderId="485" xfId="0" applyFont="1" applyFill="1" applyBorder="1" applyAlignment="1">
      <alignment horizontal="left" vertical="center"/>
    </xf>
    <xf numFmtId="0" fontId="51" fillId="2" borderId="499" xfId="0" applyFont="1" applyFill="1" applyBorder="1" applyAlignment="1">
      <alignment horizontal="left" vertical="center"/>
    </xf>
    <xf numFmtId="0" fontId="51" fillId="2" borderId="0" xfId="0" applyFont="1" applyFill="1" applyBorder="1" applyAlignment="1">
      <alignment horizontal="left" vertical="center"/>
    </xf>
    <xf numFmtId="0" fontId="51" fillId="2" borderId="504" xfId="0" applyFont="1" applyFill="1" applyBorder="1" applyAlignment="1">
      <alignment horizontal="left" vertical="center"/>
    </xf>
    <xf numFmtId="0" fontId="51" fillId="2" borderId="500" xfId="0" applyFont="1" applyFill="1" applyBorder="1" applyAlignment="1">
      <alignment horizontal="left" vertical="center"/>
    </xf>
    <xf numFmtId="0" fontId="51" fillId="2" borderId="506" xfId="0" applyFont="1" applyFill="1" applyBorder="1" applyAlignment="1">
      <alignment horizontal="left" vertical="center"/>
    </xf>
    <xf numFmtId="0" fontId="51" fillId="2" borderId="505" xfId="0" applyFont="1" applyFill="1" applyBorder="1" applyAlignment="1">
      <alignment horizontal="left" vertical="center"/>
    </xf>
    <xf numFmtId="0" fontId="79" fillId="10" borderId="479" xfId="0" applyFont="1" applyFill="1" applyBorder="1" applyAlignment="1">
      <alignment horizontal="right" vertical="center"/>
    </xf>
    <xf numFmtId="0" fontId="82" fillId="10" borderId="493" xfId="0" applyFont="1" applyFill="1" applyBorder="1" applyAlignment="1">
      <alignment horizontal="center" vertical="center" wrapText="1"/>
    </xf>
    <xf numFmtId="0" fontId="82" fillId="10" borderId="503" xfId="0" applyFont="1" applyFill="1" applyBorder="1" applyAlignment="1">
      <alignment horizontal="center" vertical="center"/>
    </xf>
    <xf numFmtId="0" fontId="82" fillId="10" borderId="494" xfId="0" applyFont="1" applyFill="1" applyBorder="1" applyAlignment="1">
      <alignment horizontal="center" vertical="center"/>
    </xf>
    <xf numFmtId="0" fontId="82" fillId="10" borderId="482" xfId="0" applyFont="1" applyFill="1" applyBorder="1" applyAlignment="1">
      <alignment horizontal="center" vertical="center"/>
    </xf>
    <xf numFmtId="0" fontId="82" fillId="10" borderId="497" xfId="0" applyFont="1" applyFill="1" applyBorder="1" applyAlignment="1">
      <alignment horizontal="center" vertical="center" wrapText="1"/>
    </xf>
    <xf numFmtId="0" fontId="82" fillId="10" borderId="496" xfId="0" applyFont="1" applyFill="1" applyBorder="1" applyAlignment="1">
      <alignment horizontal="center" vertical="center"/>
    </xf>
    <xf numFmtId="0" fontId="49" fillId="0" borderId="485" xfId="0" applyFont="1" applyBorder="1" applyAlignment="1">
      <alignment horizontal="center" vertical="center"/>
    </xf>
    <xf numFmtId="0" fontId="49" fillId="0" borderId="504" xfId="0" applyFont="1" applyBorder="1" applyAlignment="1">
      <alignment horizontal="center" vertical="center"/>
    </xf>
    <xf numFmtId="0" fontId="79" fillId="10" borderId="501" xfId="0" applyFont="1" applyFill="1" applyBorder="1" applyAlignment="1">
      <alignment horizontal="right" vertical="center"/>
    </xf>
    <xf numFmtId="0" fontId="79" fillId="10" borderId="502" xfId="0" applyFont="1" applyFill="1" applyBorder="1" applyAlignment="1">
      <alignment horizontal="right" vertical="center"/>
    </xf>
    <xf numFmtId="0" fontId="82" fillId="15" borderId="480" xfId="0" applyFont="1" applyFill="1" applyBorder="1" applyAlignment="1">
      <alignment horizontal="center" vertical="center"/>
    </xf>
    <xf numFmtId="0" fontId="82" fillId="15" borderId="481" xfId="0" applyFont="1" applyFill="1" applyBorder="1" applyAlignment="1">
      <alignment horizontal="center" vertical="center"/>
    </xf>
    <xf numFmtId="0" fontId="82" fillId="15" borderId="482" xfId="0" applyFont="1" applyFill="1" applyBorder="1" applyAlignment="1">
      <alignment horizontal="center" vertical="center"/>
    </xf>
    <xf numFmtId="0" fontId="82" fillId="10" borderId="503" xfId="0" applyFont="1" applyFill="1" applyBorder="1" applyAlignment="1">
      <alignment horizontal="center" vertical="center" wrapText="1"/>
    </xf>
    <xf numFmtId="0" fontId="82" fillId="10" borderId="494" xfId="0" applyFont="1" applyFill="1" applyBorder="1" applyAlignment="1">
      <alignment horizontal="center" vertical="center" wrapText="1"/>
    </xf>
    <xf numFmtId="0" fontId="82" fillId="10" borderId="486" xfId="0" applyFont="1" applyFill="1" applyBorder="1" applyAlignment="1">
      <alignment horizontal="center" vertical="center"/>
    </xf>
    <xf numFmtId="0" fontId="82" fillId="10" borderId="487" xfId="0" applyFont="1" applyFill="1" applyBorder="1" applyAlignment="1">
      <alignment horizontal="center" vertical="center"/>
    </xf>
    <xf numFmtId="0" fontId="82" fillId="10" borderId="488" xfId="0" applyFont="1" applyFill="1" applyBorder="1" applyAlignment="1">
      <alignment horizontal="center" vertical="center"/>
    </xf>
    <xf numFmtId="0" fontId="82" fillId="10" borderId="489" xfId="0" applyFont="1" applyFill="1" applyBorder="1" applyAlignment="1">
      <alignment horizontal="center" vertical="center"/>
    </xf>
    <xf numFmtId="0" fontId="82" fillId="10" borderId="479" xfId="0" applyFont="1" applyFill="1" applyBorder="1" applyAlignment="1">
      <alignment horizontal="center" vertical="center"/>
    </xf>
    <xf numFmtId="0" fontId="82" fillId="10" borderId="0" xfId="0" applyFont="1" applyFill="1" applyAlignment="1">
      <alignment horizontal="center" vertical="center"/>
    </xf>
    <xf numFmtId="0" fontId="82" fillId="10" borderId="468" xfId="0" applyFont="1" applyFill="1" applyBorder="1" applyAlignment="1">
      <alignment horizontal="center" vertical="center"/>
    </xf>
    <xf numFmtId="0" fontId="82" fillId="10" borderId="0" xfId="0" applyFont="1" applyFill="1" applyBorder="1" applyAlignment="1">
      <alignment horizontal="center" vertical="center"/>
    </xf>
    <xf numFmtId="0" fontId="51" fillId="2" borderId="483" xfId="0" applyFont="1" applyFill="1" applyBorder="1" applyAlignment="1">
      <alignment horizontal="center" vertical="center"/>
    </xf>
    <xf numFmtId="0" fontId="51" fillId="2" borderId="484" xfId="0" applyFont="1" applyFill="1" applyBorder="1" applyAlignment="1">
      <alignment horizontal="center" vertical="center"/>
    </xf>
    <xf numFmtId="0" fontId="51" fillId="2" borderId="485" xfId="0" applyFont="1" applyFill="1" applyBorder="1" applyAlignment="1">
      <alignment horizontal="center" vertical="center"/>
    </xf>
    <xf numFmtId="0" fontId="51" fillId="2" borderId="499" xfId="0" applyFont="1" applyFill="1" applyBorder="1" applyAlignment="1">
      <alignment horizontal="center" vertical="center"/>
    </xf>
    <xf numFmtId="0" fontId="51" fillId="2" borderId="0" xfId="0" applyFont="1" applyFill="1" applyBorder="1" applyAlignment="1">
      <alignment horizontal="center" vertical="center"/>
    </xf>
    <xf numFmtId="0" fontId="51" fillId="2" borderId="504" xfId="0" applyFont="1" applyFill="1" applyBorder="1" applyAlignment="1">
      <alignment horizontal="center" vertical="center"/>
    </xf>
    <xf numFmtId="0" fontId="51" fillId="2" borderId="500" xfId="0" applyFont="1" applyFill="1" applyBorder="1" applyAlignment="1">
      <alignment horizontal="center" vertical="center"/>
    </xf>
    <xf numFmtId="0" fontId="51" fillId="2" borderId="506" xfId="0" applyFont="1" applyFill="1" applyBorder="1" applyAlignment="1">
      <alignment horizontal="center" vertical="center"/>
    </xf>
    <xf numFmtId="0" fontId="51" fillId="2" borderId="505" xfId="0" applyFont="1" applyFill="1" applyBorder="1" applyAlignment="1">
      <alignment horizontal="center" vertical="center"/>
    </xf>
    <xf numFmtId="0" fontId="79" fillId="10" borderId="397" xfId="0" applyFont="1" applyFill="1" applyBorder="1" applyAlignment="1">
      <alignment horizontal="center" vertical="center"/>
    </xf>
    <xf numFmtId="0" fontId="79" fillId="10" borderId="404" xfId="0" applyFont="1" applyFill="1" applyBorder="1" applyAlignment="1">
      <alignment horizontal="center" vertical="center"/>
    </xf>
    <xf numFmtId="0" fontId="89" fillId="10" borderId="486" xfId="0" applyFont="1" applyFill="1" applyBorder="1" applyAlignment="1">
      <alignment horizontal="center" vertical="center"/>
    </xf>
    <xf numFmtId="0" fontId="89" fillId="10" borderId="487" xfId="0" applyFont="1" applyFill="1" applyBorder="1" applyAlignment="1">
      <alignment horizontal="center" vertical="center"/>
    </xf>
    <xf numFmtId="0" fontId="89" fillId="10" borderId="488" xfId="0" applyFont="1" applyFill="1" applyBorder="1" applyAlignment="1">
      <alignment horizontal="center" vertical="center"/>
    </xf>
    <xf numFmtId="0" fontId="49" fillId="0" borderId="394" xfId="0" applyFont="1" applyBorder="1" applyAlignment="1">
      <alignment horizontal="center" vertical="center"/>
    </xf>
    <xf numFmtId="0" fontId="78" fillId="10" borderId="491" xfId="0" applyFont="1" applyFill="1" applyBorder="1" applyAlignment="1">
      <alignment horizontal="right" vertical="center"/>
    </xf>
    <xf numFmtId="0" fontId="78" fillId="10" borderId="492" xfId="0" applyFont="1" applyFill="1" applyBorder="1" applyAlignment="1">
      <alignment horizontal="right" vertical="center"/>
    </xf>
    <xf numFmtId="0" fontId="78" fillId="10" borderId="490" xfId="0" applyFont="1" applyFill="1" applyBorder="1" applyAlignment="1">
      <alignment horizontal="right" vertical="center"/>
    </xf>
    <xf numFmtId="0" fontId="50" fillId="10" borderId="486" xfId="0" applyFont="1" applyFill="1" applyBorder="1" applyAlignment="1">
      <alignment horizontal="right" vertical="center"/>
    </xf>
    <xf numFmtId="0" fontId="50" fillId="10" borderId="487" xfId="0" applyFont="1" applyFill="1" applyBorder="1" applyAlignment="1">
      <alignment horizontal="right" vertical="center"/>
    </xf>
    <xf numFmtId="0" fontId="50" fillId="10" borderId="488" xfId="0" applyFont="1" applyFill="1" applyBorder="1" applyAlignment="1">
      <alignment horizontal="right" vertical="center"/>
    </xf>
    <xf numFmtId="0" fontId="84" fillId="10" borderId="486" xfId="0" applyFont="1" applyFill="1" applyBorder="1" applyAlignment="1">
      <alignment horizontal="center" vertical="center"/>
    </xf>
    <xf numFmtId="0" fontId="84" fillId="10" borderId="487" xfId="0" applyFont="1" applyFill="1" applyBorder="1" applyAlignment="1">
      <alignment horizontal="center" vertical="center"/>
    </xf>
    <xf numFmtId="0" fontId="84" fillId="10" borderId="488" xfId="0" applyFont="1" applyFill="1" applyBorder="1" applyAlignment="1">
      <alignment horizontal="center" vertical="center"/>
    </xf>
    <xf numFmtId="0" fontId="82" fillId="15" borderId="489" xfId="0" applyFont="1" applyFill="1" applyBorder="1" applyAlignment="1">
      <alignment horizontal="center" vertical="center"/>
    </xf>
    <xf numFmtId="0" fontId="49" fillId="0" borderId="526" xfId="0" applyFont="1" applyBorder="1" applyAlignment="1">
      <alignment horizontal="center" vertical="center"/>
    </xf>
    <xf numFmtId="0" fontId="49" fillId="0" borderId="175" xfId="0" applyFont="1" applyBorder="1" applyAlignment="1">
      <alignment horizontal="center" vertical="center"/>
    </xf>
    <xf numFmtId="0" fontId="37" fillId="0" borderId="394" xfId="0" applyFont="1" applyFill="1" applyBorder="1" applyAlignment="1">
      <alignment horizontal="center" vertical="center"/>
    </xf>
    <xf numFmtId="0" fontId="37" fillId="0" borderId="405" xfId="0" applyFont="1" applyFill="1" applyBorder="1" applyAlignment="1">
      <alignment horizontal="center" vertical="center"/>
    </xf>
    <xf numFmtId="0" fontId="88" fillId="0" borderId="491" xfId="0" applyFont="1" applyFill="1" applyBorder="1" applyAlignment="1">
      <alignment horizontal="right" vertical="center"/>
    </xf>
    <xf numFmtId="0" fontId="88" fillId="0" borderId="492" xfId="0" applyFont="1" applyFill="1" applyBorder="1" applyAlignment="1">
      <alignment horizontal="right" vertical="center"/>
    </xf>
    <xf numFmtId="0" fontId="88" fillId="0" borderId="552" xfId="0" applyFont="1" applyFill="1" applyBorder="1" applyAlignment="1">
      <alignment horizontal="right" vertical="center" wrapText="1"/>
    </xf>
    <xf numFmtId="0" fontId="37" fillId="0" borderId="480" xfId="0" applyFont="1" applyFill="1" applyBorder="1" applyAlignment="1">
      <alignment horizontal="center" vertical="center"/>
    </xf>
    <xf numFmtId="0" fontId="37" fillId="0" borderId="481" xfId="0" applyFont="1" applyFill="1" applyBorder="1" applyAlignment="1">
      <alignment horizontal="center" vertical="center"/>
    </xf>
    <xf numFmtId="0" fontId="37" fillId="0" borderId="482" xfId="0" applyFont="1" applyFill="1" applyBorder="1" applyAlignment="1">
      <alignment horizontal="center" vertical="center"/>
    </xf>
    <xf numFmtId="0" fontId="37" fillId="0" borderId="497" xfId="0" applyFont="1" applyFill="1" applyBorder="1" applyAlignment="1">
      <alignment horizontal="center" vertical="center" wrapText="1"/>
    </xf>
    <xf numFmtId="0" fontId="37" fillId="0" borderId="500" xfId="0" applyFont="1" applyFill="1" applyBorder="1" applyAlignment="1">
      <alignment horizontal="center" vertical="center"/>
    </xf>
    <xf numFmtId="0" fontId="37" fillId="0" borderId="485" xfId="0" applyFont="1" applyFill="1" applyBorder="1" applyAlignment="1">
      <alignment horizontal="center" vertical="center"/>
    </xf>
    <xf numFmtId="0" fontId="37" fillId="0" borderId="504" xfId="0" applyFont="1" applyFill="1" applyBorder="1" applyAlignment="1">
      <alignment horizontal="center" vertical="center"/>
    </xf>
    <xf numFmtId="0" fontId="88" fillId="0" borderId="500" xfId="0" applyFont="1" applyFill="1" applyBorder="1" applyAlignment="1">
      <alignment horizontal="right" vertical="center"/>
    </xf>
    <xf numFmtId="0" fontId="88" fillId="0" borderId="562" xfId="0" applyFont="1" applyFill="1" applyBorder="1" applyAlignment="1">
      <alignment horizontal="right" vertical="center"/>
    </xf>
    <xf numFmtId="0" fontId="88" fillId="0" borderId="501" xfId="0" applyFont="1" applyFill="1" applyBorder="1" applyAlignment="1">
      <alignment horizontal="right" vertical="center"/>
    </xf>
    <xf numFmtId="0" fontId="88" fillId="0" borderId="502" xfId="0" applyFont="1" applyFill="1" applyBorder="1" applyAlignment="1">
      <alignment horizontal="right" vertical="center"/>
    </xf>
    <xf numFmtId="0" fontId="37" fillId="0" borderId="493" xfId="0" applyFont="1" applyFill="1" applyBorder="1" applyAlignment="1">
      <alignment horizontal="center" vertical="center" wrapText="1"/>
    </xf>
    <xf numFmtId="0" fontId="37" fillId="0" borderId="503" xfId="0" applyFont="1" applyFill="1" applyBorder="1" applyAlignment="1">
      <alignment horizontal="center" vertical="center" wrapText="1"/>
    </xf>
    <xf numFmtId="0" fontId="37" fillId="0" borderId="494" xfId="0" applyFont="1" applyFill="1" applyBorder="1" applyAlignment="1">
      <alignment horizontal="center" vertical="center" wrapText="1"/>
    </xf>
    <xf numFmtId="0" fontId="88" fillId="0" borderId="479" xfId="0" applyFont="1" applyFill="1" applyBorder="1" applyAlignment="1">
      <alignment horizontal="right" vertical="center"/>
    </xf>
    <xf numFmtId="0" fontId="37" fillId="0" borderId="503" xfId="0" applyFont="1" applyFill="1" applyBorder="1" applyAlignment="1">
      <alignment horizontal="center" vertical="center"/>
    </xf>
    <xf numFmtId="0" fontId="37" fillId="0" borderId="494" xfId="0" applyFont="1" applyFill="1" applyBorder="1" applyAlignment="1">
      <alignment horizontal="center" vertical="center"/>
    </xf>
    <xf numFmtId="0" fontId="37" fillId="0" borderId="558" xfId="0" applyFont="1" applyFill="1" applyBorder="1" applyAlignment="1">
      <alignment horizontal="center" vertical="center"/>
    </xf>
    <xf numFmtId="0" fontId="37" fillId="0" borderId="525" xfId="0" applyFont="1" applyFill="1" applyBorder="1" applyAlignment="1">
      <alignment horizontal="center" vertical="center"/>
    </xf>
    <xf numFmtId="0" fontId="37" fillId="0" borderId="486" xfId="0" applyFont="1" applyFill="1" applyBorder="1" applyAlignment="1">
      <alignment horizontal="center" vertical="center"/>
    </xf>
    <xf numFmtId="0" fontId="37" fillId="0" borderId="487" xfId="0" applyFont="1" applyFill="1" applyBorder="1" applyAlignment="1">
      <alignment horizontal="center" vertical="center"/>
    </xf>
    <xf numFmtId="0" fontId="37" fillId="0" borderId="488" xfId="0" applyFont="1" applyFill="1" applyBorder="1" applyAlignment="1">
      <alignment horizontal="center" vertical="center"/>
    </xf>
    <xf numFmtId="0" fontId="37" fillId="0" borderId="37" xfId="0" applyFont="1" applyFill="1" applyBorder="1" applyAlignment="1">
      <alignment horizontal="center" vertical="center"/>
    </xf>
    <xf numFmtId="0" fontId="37" fillId="0" borderId="498" xfId="0" applyFont="1" applyFill="1" applyBorder="1" applyAlignment="1">
      <alignment horizontal="center" vertical="center"/>
    </xf>
    <xf numFmtId="0" fontId="37" fillId="0" borderId="491" xfId="0" applyFont="1" applyFill="1" applyBorder="1" applyAlignment="1">
      <alignment horizontal="center" vertical="center"/>
    </xf>
    <xf numFmtId="0" fontId="37" fillId="0" borderId="492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center" vertical="center"/>
    </xf>
    <xf numFmtId="0" fontId="37" fillId="0" borderId="483" xfId="0" applyFont="1" applyFill="1" applyBorder="1" applyAlignment="1">
      <alignment horizontal="center" vertical="center"/>
    </xf>
    <xf numFmtId="0" fontId="37" fillId="0" borderId="484" xfId="0" applyFont="1" applyFill="1" applyBorder="1" applyAlignment="1">
      <alignment horizontal="center" vertical="center"/>
    </xf>
    <xf numFmtId="0" fontId="37" fillId="0" borderId="490" xfId="0" applyFont="1" applyFill="1" applyBorder="1" applyAlignment="1">
      <alignment horizontal="center" vertical="center"/>
    </xf>
    <xf numFmtId="0" fontId="88" fillId="0" borderId="490" xfId="0" applyFont="1" applyFill="1" applyBorder="1" applyAlignment="1">
      <alignment horizontal="right" vertical="center"/>
    </xf>
    <xf numFmtId="0" fontId="37" fillId="2" borderId="486" xfId="0" applyFont="1" applyFill="1" applyBorder="1" applyAlignment="1">
      <alignment horizontal="center" vertical="center"/>
    </xf>
    <xf numFmtId="0" fontId="37" fillId="2" borderId="487" xfId="0" applyFont="1" applyFill="1" applyBorder="1" applyAlignment="1">
      <alignment horizontal="center" vertical="center"/>
    </xf>
    <xf numFmtId="0" fontId="37" fillId="2" borderId="488" xfId="0" applyFont="1" applyFill="1" applyBorder="1" applyAlignment="1">
      <alignment horizontal="center" vertical="center"/>
    </xf>
    <xf numFmtId="0" fontId="96" fillId="0" borderId="491" xfId="0" applyFont="1" applyFill="1" applyBorder="1" applyAlignment="1">
      <alignment horizontal="right" vertical="center"/>
    </xf>
    <xf numFmtId="0" fontId="96" fillId="0" borderId="492" xfId="0" applyFont="1" applyFill="1" applyBorder="1" applyAlignment="1">
      <alignment horizontal="right" vertical="center"/>
    </xf>
    <xf numFmtId="0" fontId="96" fillId="0" borderId="490" xfId="0" applyFont="1" applyFill="1" applyBorder="1" applyAlignment="1">
      <alignment horizontal="right" vertical="center"/>
    </xf>
    <xf numFmtId="0" fontId="97" fillId="2" borderId="486" xfId="0" applyFont="1" applyFill="1" applyBorder="1" applyAlignment="1">
      <alignment horizontal="center" vertical="center"/>
    </xf>
    <xf numFmtId="0" fontId="97" fillId="2" borderId="487" xfId="0" applyFont="1" applyFill="1" applyBorder="1" applyAlignment="1">
      <alignment horizontal="center" vertical="center"/>
    </xf>
    <xf numFmtId="0" fontId="97" fillId="2" borderId="488" xfId="0" applyFont="1" applyFill="1" applyBorder="1" applyAlignment="1">
      <alignment horizontal="center" vertical="center"/>
    </xf>
    <xf numFmtId="0" fontId="93" fillId="2" borderId="486" xfId="0" applyFont="1" applyFill="1" applyBorder="1" applyAlignment="1">
      <alignment horizontal="center" vertical="center"/>
    </xf>
    <xf numFmtId="0" fontId="93" fillId="2" borderId="487" xfId="0" applyFont="1" applyFill="1" applyBorder="1" applyAlignment="1">
      <alignment horizontal="center" vertical="center"/>
    </xf>
    <xf numFmtId="0" fontId="93" fillId="2" borderId="488" xfId="0" applyFont="1" applyFill="1" applyBorder="1" applyAlignment="1">
      <alignment horizontal="center" vertical="center"/>
    </xf>
    <xf numFmtId="0" fontId="37" fillId="2" borderId="491" xfId="0" applyFont="1" applyFill="1" applyBorder="1" applyAlignment="1">
      <alignment horizontal="center" vertical="center"/>
    </xf>
    <xf numFmtId="0" fontId="37" fillId="2" borderId="492" xfId="0" applyFont="1" applyFill="1" applyBorder="1" applyAlignment="1">
      <alignment horizontal="center" vertical="center"/>
    </xf>
    <xf numFmtId="0" fontId="37" fillId="2" borderId="489" xfId="0" applyFont="1" applyFill="1" applyBorder="1" applyAlignment="1">
      <alignment horizontal="center" vertical="center"/>
    </xf>
    <xf numFmtId="0" fontId="37" fillId="2" borderId="526" xfId="0" applyFont="1" applyFill="1" applyBorder="1" applyAlignment="1">
      <alignment horizontal="center" vertical="center"/>
    </xf>
    <xf numFmtId="0" fontId="37" fillId="2" borderId="173" xfId="0" applyFont="1" applyFill="1" applyBorder="1" applyAlignment="1">
      <alignment horizontal="center" vertical="center"/>
    </xf>
    <xf numFmtId="0" fontId="37" fillId="2" borderId="479" xfId="0" applyFont="1" applyFill="1" applyBorder="1" applyAlignment="1">
      <alignment horizontal="center" vertical="center"/>
    </xf>
    <xf numFmtId="0" fontId="37" fillId="2" borderId="490" xfId="0" applyFont="1" applyFill="1" applyBorder="1" applyAlignment="1">
      <alignment horizontal="center" vertical="center"/>
    </xf>
    <xf numFmtId="0" fontId="37" fillId="0" borderId="478" xfId="0" applyFont="1" applyFill="1" applyBorder="1" applyAlignment="1">
      <alignment horizontal="center" vertical="center"/>
    </xf>
    <xf numFmtId="0" fontId="37" fillId="0" borderId="486" xfId="0" applyFont="1" applyFill="1" applyBorder="1" applyAlignment="1">
      <alignment horizontal="right" vertical="center"/>
    </xf>
    <xf numFmtId="0" fontId="37" fillId="0" borderId="575" xfId="0" applyFont="1" applyFill="1" applyBorder="1" applyAlignment="1">
      <alignment horizontal="right" vertical="center"/>
    </xf>
    <xf numFmtId="0" fontId="37" fillId="0" borderId="567" xfId="0" applyFont="1" applyFill="1" applyBorder="1" applyAlignment="1">
      <alignment horizontal="right" vertical="center"/>
    </xf>
    <xf numFmtId="0" fontId="37" fillId="0" borderId="487" xfId="0" applyFont="1" applyFill="1" applyBorder="1" applyAlignment="1">
      <alignment horizontal="right" vertical="center"/>
    </xf>
    <xf numFmtId="0" fontId="37" fillId="0" borderId="488" xfId="0" applyFont="1" applyFill="1" applyBorder="1" applyAlignment="1">
      <alignment horizontal="right" vertical="center"/>
    </xf>
    <xf numFmtId="0" fontId="37" fillId="2" borderId="483" xfId="0" applyFont="1" applyFill="1" applyBorder="1" applyAlignment="1">
      <alignment horizontal="center" vertical="center"/>
    </xf>
    <xf numFmtId="0" fontId="37" fillId="2" borderId="484" xfId="0" applyFont="1" applyFill="1" applyBorder="1" applyAlignment="1">
      <alignment horizontal="center" vertical="center"/>
    </xf>
    <xf numFmtId="0" fontId="37" fillId="2" borderId="485" xfId="0" applyFont="1" applyFill="1" applyBorder="1" applyAlignment="1">
      <alignment horizontal="center" vertical="center"/>
    </xf>
    <xf numFmtId="0" fontId="88" fillId="0" borderId="506" xfId="0" applyFont="1" applyFill="1" applyBorder="1" applyAlignment="1">
      <alignment horizontal="right" vertical="center"/>
    </xf>
    <xf numFmtId="0" fontId="37" fillId="2" borderId="480" xfId="0" applyFont="1" applyFill="1" applyBorder="1" applyAlignment="1">
      <alignment horizontal="center" vertical="center"/>
    </xf>
    <xf numFmtId="0" fontId="37" fillId="2" borderId="481" xfId="0" applyFont="1" applyFill="1" applyBorder="1" applyAlignment="1">
      <alignment horizontal="center" vertical="center"/>
    </xf>
    <xf numFmtId="0" fontId="37" fillId="2" borderId="482" xfId="0" applyFont="1" applyFill="1" applyBorder="1" applyAlignment="1">
      <alignment horizontal="center" vertical="center"/>
    </xf>
    <xf numFmtId="0" fontId="88" fillId="0" borderId="0" xfId="0" applyFont="1" applyFill="1" applyBorder="1" applyAlignment="1">
      <alignment horizontal="center" vertical="center"/>
    </xf>
    <xf numFmtId="0" fontId="88" fillId="0" borderId="563" xfId="0" applyFont="1" applyFill="1" applyBorder="1" applyAlignment="1">
      <alignment horizontal="center" vertical="center"/>
    </xf>
    <xf numFmtId="0" fontId="37" fillId="0" borderId="479" xfId="0" applyFont="1" applyFill="1" applyBorder="1" applyAlignment="1">
      <alignment horizontal="center" vertical="center"/>
    </xf>
    <xf numFmtId="0" fontId="28" fillId="2" borderId="526" xfId="0" applyFont="1" applyFill="1" applyBorder="1" applyAlignment="1">
      <alignment horizontal="center" vertical="center"/>
    </xf>
    <xf numFmtId="0" fontId="28" fillId="2" borderId="175" xfId="0" applyFont="1" applyFill="1" applyBorder="1" applyAlignment="1">
      <alignment horizontal="center" vertical="center"/>
    </xf>
    <xf numFmtId="0" fontId="37" fillId="0" borderId="489" xfId="0" applyFont="1" applyFill="1" applyBorder="1" applyAlignment="1">
      <alignment horizontal="center" vertical="center"/>
    </xf>
    <xf numFmtId="0" fontId="88" fillId="0" borderId="559" xfId="0" applyFont="1" applyFill="1" applyBorder="1" applyAlignment="1">
      <alignment horizontal="center" vertical="center" wrapText="1"/>
    </xf>
    <xf numFmtId="0" fontId="88" fillId="0" borderId="496" xfId="0" applyFont="1" applyFill="1" applyBorder="1" applyAlignment="1">
      <alignment horizontal="center" vertical="center" wrapText="1"/>
    </xf>
    <xf numFmtId="0" fontId="87" fillId="0" borderId="552" xfId="20" applyFont="1" applyFill="1" applyBorder="1" applyAlignment="1">
      <alignment horizontal="center" vertical="center"/>
    </xf>
    <xf numFmtId="0" fontId="37" fillId="0" borderId="496" xfId="0" applyFont="1" applyFill="1" applyBorder="1" applyAlignment="1">
      <alignment horizontal="center" vertical="center"/>
    </xf>
    <xf numFmtId="0" fontId="37" fillId="0" borderId="125" xfId="0" applyFont="1" applyFill="1" applyBorder="1" applyAlignment="1">
      <alignment horizontal="center" vertical="center"/>
    </xf>
    <xf numFmtId="0" fontId="37" fillId="0" borderId="0" xfId="0" applyFont="1" applyFill="1" applyAlignment="1">
      <alignment horizontal="center" vertical="center"/>
    </xf>
    <xf numFmtId="0" fontId="98" fillId="2" borderId="483" xfId="0" applyFont="1" applyFill="1" applyBorder="1" applyAlignment="1">
      <alignment horizontal="left" vertical="center"/>
    </xf>
    <xf numFmtId="0" fontId="98" fillId="2" borderId="484" xfId="0" applyFont="1" applyFill="1" applyBorder="1" applyAlignment="1">
      <alignment horizontal="left" vertical="center"/>
    </xf>
    <xf numFmtId="0" fontId="98" fillId="2" borderId="485" xfId="0" applyFont="1" applyFill="1" applyBorder="1" applyAlignment="1">
      <alignment horizontal="left" vertical="center"/>
    </xf>
    <xf numFmtId="0" fontId="98" fillId="2" borderId="499" xfId="0" applyFont="1" applyFill="1" applyBorder="1" applyAlignment="1">
      <alignment horizontal="left" vertical="center"/>
    </xf>
    <xf numFmtId="0" fontId="98" fillId="2" borderId="0" xfId="0" applyFont="1" applyFill="1" applyBorder="1" applyAlignment="1">
      <alignment horizontal="left" vertical="center"/>
    </xf>
    <xf numFmtId="0" fontId="98" fillId="2" borderId="504" xfId="0" applyFont="1" applyFill="1" applyBorder="1" applyAlignment="1">
      <alignment horizontal="left" vertical="center"/>
    </xf>
    <xf numFmtId="0" fontId="98" fillId="2" borderId="500" xfId="0" applyFont="1" applyFill="1" applyBorder="1" applyAlignment="1">
      <alignment horizontal="left" vertical="center"/>
    </xf>
    <xf numFmtId="0" fontId="98" fillId="2" borderId="506" xfId="0" applyFont="1" applyFill="1" applyBorder="1" applyAlignment="1">
      <alignment horizontal="left" vertical="center"/>
    </xf>
    <xf numFmtId="0" fontId="98" fillId="2" borderId="505" xfId="0" applyFont="1" applyFill="1" applyBorder="1" applyAlignment="1">
      <alignment horizontal="left" vertical="center"/>
    </xf>
    <xf numFmtId="0" fontId="98" fillId="0" borderId="483" xfId="0" applyFont="1" applyFill="1" applyBorder="1" applyAlignment="1">
      <alignment horizontal="center" vertical="center"/>
    </xf>
    <xf numFmtId="0" fontId="98" fillId="0" borderId="484" xfId="0" applyFont="1" applyFill="1" applyBorder="1" applyAlignment="1">
      <alignment horizontal="center" vertical="center"/>
    </xf>
    <xf numFmtId="0" fontId="98" fillId="0" borderId="485" xfId="0" applyFont="1" applyFill="1" applyBorder="1" applyAlignment="1">
      <alignment horizontal="center" vertical="center"/>
    </xf>
    <xf numFmtId="0" fontId="98" fillId="0" borderId="499" xfId="0" applyFont="1" applyFill="1" applyBorder="1" applyAlignment="1">
      <alignment horizontal="center" vertical="center"/>
    </xf>
    <xf numFmtId="0" fontId="98" fillId="0" borderId="0" xfId="0" applyFont="1" applyFill="1" applyBorder="1" applyAlignment="1">
      <alignment horizontal="center" vertical="center"/>
    </xf>
    <xf numFmtId="0" fontId="98" fillId="0" borderId="504" xfId="0" applyFont="1" applyFill="1" applyBorder="1" applyAlignment="1">
      <alignment horizontal="center" vertical="center"/>
    </xf>
    <xf numFmtId="0" fontId="98" fillId="0" borderId="500" xfId="0" applyFont="1" applyFill="1" applyBorder="1" applyAlignment="1">
      <alignment horizontal="center" vertical="center"/>
    </xf>
    <xf numFmtId="0" fontId="98" fillId="0" borderId="506" xfId="0" applyFont="1" applyFill="1" applyBorder="1" applyAlignment="1">
      <alignment horizontal="center" vertical="center"/>
    </xf>
    <xf numFmtId="0" fontId="98" fillId="0" borderId="505" xfId="0" applyFont="1" applyFill="1" applyBorder="1" applyAlignment="1">
      <alignment horizontal="center" vertical="center"/>
    </xf>
    <xf numFmtId="0" fontId="88" fillId="0" borderId="592" xfId="0" applyFont="1" applyFill="1" applyBorder="1" applyAlignment="1">
      <alignment horizontal="right" vertical="center"/>
    </xf>
    <xf numFmtId="0" fontId="88" fillId="0" borderId="489" xfId="0" applyFont="1" applyFill="1" applyBorder="1" applyAlignment="1">
      <alignment horizontal="right" vertical="center"/>
    </xf>
    <xf numFmtId="0" fontId="11" fillId="9" borderId="452" xfId="0" applyFont="1" applyFill="1" applyBorder="1" applyAlignment="1">
      <alignment horizontal="center" vertical="center"/>
    </xf>
    <xf numFmtId="0" fontId="11" fillId="9" borderId="406" xfId="0" applyFont="1" applyFill="1" applyBorder="1" applyAlignment="1">
      <alignment horizontal="center" vertical="center"/>
    </xf>
    <xf numFmtId="0" fontId="11" fillId="9" borderId="460" xfId="0" applyFont="1" applyFill="1" applyBorder="1" applyAlignment="1">
      <alignment horizontal="center" vertical="center"/>
    </xf>
    <xf numFmtId="0" fontId="59" fillId="11" borderId="452" xfId="0" applyFont="1" applyFill="1" applyBorder="1" applyAlignment="1">
      <alignment horizontal="center" vertical="center"/>
    </xf>
    <xf numFmtId="0" fontId="59" fillId="11" borderId="406" xfId="0" applyFont="1" applyFill="1" applyBorder="1" applyAlignment="1">
      <alignment horizontal="center" vertical="center"/>
    </xf>
    <xf numFmtId="0" fontId="59" fillId="11" borderId="460" xfId="0" applyFont="1" applyFill="1" applyBorder="1" applyAlignment="1">
      <alignment horizontal="center" vertical="center"/>
    </xf>
    <xf numFmtId="0" fontId="59" fillId="9" borderId="452" xfId="0" applyFont="1" applyFill="1" applyBorder="1" applyAlignment="1">
      <alignment horizontal="center" vertical="center"/>
    </xf>
    <xf numFmtId="0" fontId="59" fillId="9" borderId="406" xfId="0" applyFont="1" applyFill="1" applyBorder="1" applyAlignment="1">
      <alignment horizontal="center" vertical="center"/>
    </xf>
    <xf numFmtId="0" fontId="59" fillId="9" borderId="460" xfId="0" applyFont="1" applyFill="1" applyBorder="1" applyAlignment="1">
      <alignment horizontal="center" vertical="center"/>
    </xf>
    <xf numFmtId="0" fontId="16" fillId="0" borderId="294" xfId="6" applyFont="1" applyBorder="1" applyAlignment="1">
      <alignment horizontal="center" vertical="center"/>
    </xf>
    <xf numFmtId="0" fontId="16" fillId="0" borderId="172" xfId="6" applyFont="1" applyBorder="1" applyAlignment="1">
      <alignment horizontal="center" vertical="center"/>
    </xf>
    <xf numFmtId="0" fontId="16" fillId="0" borderId="295" xfId="6" applyFont="1" applyBorder="1" applyAlignment="1">
      <alignment horizontal="center" vertical="center"/>
    </xf>
    <xf numFmtId="0" fontId="16" fillId="0" borderId="182" xfId="6" applyFont="1" applyBorder="1" applyAlignment="1">
      <alignment horizontal="center" vertical="center"/>
    </xf>
    <xf numFmtId="0" fontId="16" fillId="0" borderId="0" xfId="6" applyFont="1" applyAlignment="1">
      <alignment horizontal="center" vertical="center"/>
    </xf>
    <xf numFmtId="0" fontId="16" fillId="0" borderId="293" xfId="6" applyFont="1" applyBorder="1" applyAlignment="1">
      <alignment horizontal="center" vertical="center"/>
    </xf>
    <xf numFmtId="0" fontId="17" fillId="0" borderId="265" xfId="6" applyFont="1" applyBorder="1" applyAlignment="1">
      <alignment horizontal="center" vertical="center"/>
    </xf>
    <xf numFmtId="171" fontId="17" fillId="0" borderId="265" xfId="6" applyNumberFormat="1" applyFont="1" applyBorder="1" applyAlignment="1">
      <alignment horizontal="center" vertical="center"/>
    </xf>
    <xf numFmtId="0" fontId="81" fillId="10" borderId="394" xfId="0" applyFont="1" applyFill="1" applyBorder="1" applyAlignment="1">
      <alignment horizontal="center" vertical="center"/>
    </xf>
    <xf numFmtId="0" fontId="9" fillId="0" borderId="169" xfId="7" applyFont="1" applyBorder="1" applyAlignment="1">
      <alignment horizontal="center"/>
    </xf>
    <xf numFmtId="0" fontId="9" fillId="0" borderId="171" xfId="7" applyFont="1" applyBorder="1" applyAlignment="1">
      <alignment horizontal="center"/>
    </xf>
    <xf numFmtId="0" fontId="9" fillId="0" borderId="526" xfId="7" applyFont="1" applyBorder="1" applyAlignment="1">
      <alignment horizontal="center"/>
    </xf>
    <xf numFmtId="0" fontId="9" fillId="0" borderId="175" xfId="7" applyFont="1" applyBorder="1" applyAlignment="1">
      <alignment horizontal="center"/>
    </xf>
    <xf numFmtId="0" fontId="16" fillId="0" borderId="0" xfId="6" applyFont="1" applyAlignment="1">
      <alignment horizontal="center"/>
    </xf>
    <xf numFmtId="0" fontId="28" fillId="0" borderId="0" xfId="7" applyFont="1" applyAlignment="1">
      <alignment horizontal="center" vertical="center"/>
    </xf>
  </cellXfs>
  <cellStyles count="24">
    <cellStyle name="Check Cell" xfId="23" builtinId="23"/>
    <cellStyle name="Comma" xfId="1" builtinId="3"/>
    <cellStyle name="Comma [0]" xfId="2" builtinId="6"/>
    <cellStyle name="Comma [0] 2" xfId="15" xr:uid="{00000000-0005-0000-0000-000002000000}"/>
    <cellStyle name="Comma [0] 3" xfId="4" xr:uid="{00000000-0005-0000-0000-000003000000}"/>
    <cellStyle name="Comma 2" xfId="8" xr:uid="{00000000-0005-0000-0000-000004000000}"/>
    <cellStyle name="Comma 3" xfId="16" xr:uid="{00000000-0005-0000-0000-000005000000}"/>
    <cellStyle name="Comma 3 2" xfId="5" xr:uid="{00000000-0005-0000-0000-000006000000}"/>
    <cellStyle name="Comma 4" xfId="9" xr:uid="{00000000-0005-0000-0000-000007000000}"/>
    <cellStyle name="Comma 5" xfId="10" xr:uid="{00000000-0005-0000-0000-000008000000}"/>
    <cellStyle name="Comma 6" xfId="12" xr:uid="{00000000-0005-0000-0000-000009000000}"/>
    <cellStyle name="Hyperlink" xfId="20" builtinId="8"/>
    <cellStyle name="Normal" xfId="0" builtinId="0"/>
    <cellStyle name="Normal 2" xfId="3" xr:uid="{00000000-0005-0000-0000-00000C000000}"/>
    <cellStyle name="Normal 3" xfId="7" xr:uid="{00000000-0005-0000-0000-00000D000000}"/>
    <cellStyle name="Normal 3 2" xfId="17" xr:uid="{00000000-0005-0000-0000-00000E000000}"/>
    <cellStyle name="Normal 3 2 2" xfId="19" xr:uid="{00000000-0005-0000-0000-00000F000000}"/>
    <cellStyle name="Normal 3 2 2 2" xfId="21" xr:uid="{00000000-0005-0000-0000-000010000000}"/>
    <cellStyle name="Normal 3 2 2 3" xfId="22" xr:uid="{00000000-0005-0000-0000-000011000000}"/>
    <cellStyle name="Normal 3 3" xfId="18" xr:uid="{00000000-0005-0000-0000-000012000000}"/>
    <cellStyle name="Normal_Analisa Harga Satuan Sipil" xfId="6" xr:uid="{00000000-0005-0000-0000-000013000000}"/>
    <cellStyle name="Normal_DataMatrial Bogor" xfId="13" xr:uid="{00000000-0005-0000-0000-000014000000}"/>
    <cellStyle name="Normal_Draft Belanja Barang 2006" xfId="14" xr:uid="{00000000-0005-0000-0000-000015000000}"/>
    <cellStyle name="Normal_RAB02" xfId="11" xr:uid="{00000000-0005-0000-0000-000016000000}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1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8.jpeg"/><Relationship Id="rId299" Type="http://schemas.openxmlformats.org/officeDocument/2006/relationships/image" Target="../media/image299.jpeg"/><Relationship Id="rId21" Type="http://schemas.openxmlformats.org/officeDocument/2006/relationships/image" Target="../media/image22.png"/><Relationship Id="rId63" Type="http://schemas.openxmlformats.org/officeDocument/2006/relationships/image" Target="../media/image64.jpeg"/><Relationship Id="rId159" Type="http://schemas.openxmlformats.org/officeDocument/2006/relationships/image" Target="../media/image160.jpeg"/><Relationship Id="rId170" Type="http://schemas.openxmlformats.org/officeDocument/2006/relationships/image" Target="../media/image171.jpeg"/><Relationship Id="rId226" Type="http://schemas.openxmlformats.org/officeDocument/2006/relationships/image" Target="../media/image227.jpeg"/><Relationship Id="rId268" Type="http://schemas.openxmlformats.org/officeDocument/2006/relationships/image" Target="../media/image268.jpeg"/><Relationship Id="rId32" Type="http://schemas.openxmlformats.org/officeDocument/2006/relationships/image" Target="../media/image33.jpeg"/><Relationship Id="rId74" Type="http://schemas.openxmlformats.org/officeDocument/2006/relationships/image" Target="../media/image75.jpeg"/><Relationship Id="rId128" Type="http://schemas.openxmlformats.org/officeDocument/2006/relationships/image" Target="../media/image129.jpeg"/><Relationship Id="rId5" Type="http://schemas.openxmlformats.org/officeDocument/2006/relationships/image" Target="../media/image6.jpeg"/><Relationship Id="rId181" Type="http://schemas.openxmlformats.org/officeDocument/2006/relationships/image" Target="../media/image182.jpeg"/><Relationship Id="rId237" Type="http://schemas.openxmlformats.org/officeDocument/2006/relationships/image" Target="../media/image238.jpeg"/><Relationship Id="rId279" Type="http://schemas.openxmlformats.org/officeDocument/2006/relationships/image" Target="../media/image279.png"/><Relationship Id="rId43" Type="http://schemas.openxmlformats.org/officeDocument/2006/relationships/image" Target="../media/image44.jpeg"/><Relationship Id="rId139" Type="http://schemas.openxmlformats.org/officeDocument/2006/relationships/image" Target="../media/image140.png"/><Relationship Id="rId290" Type="http://schemas.openxmlformats.org/officeDocument/2006/relationships/image" Target="../media/image290.png"/><Relationship Id="rId304" Type="http://schemas.openxmlformats.org/officeDocument/2006/relationships/image" Target="../media/image304.jpeg"/><Relationship Id="rId85" Type="http://schemas.openxmlformats.org/officeDocument/2006/relationships/image" Target="../media/image86.png"/><Relationship Id="rId150" Type="http://schemas.openxmlformats.org/officeDocument/2006/relationships/image" Target="../media/image151.jpeg"/><Relationship Id="rId192" Type="http://schemas.openxmlformats.org/officeDocument/2006/relationships/image" Target="../media/image193.jpeg"/><Relationship Id="rId206" Type="http://schemas.openxmlformats.org/officeDocument/2006/relationships/image" Target="../media/image207.jpeg"/><Relationship Id="rId248" Type="http://schemas.openxmlformats.org/officeDocument/2006/relationships/image" Target="../media/image249.png"/><Relationship Id="rId12" Type="http://schemas.openxmlformats.org/officeDocument/2006/relationships/image" Target="../media/image13.jpeg"/><Relationship Id="rId108" Type="http://schemas.openxmlformats.org/officeDocument/2006/relationships/image" Target="../media/image109.jpeg"/><Relationship Id="rId315" Type="http://schemas.openxmlformats.org/officeDocument/2006/relationships/image" Target="../media/image315.jpeg"/><Relationship Id="rId54" Type="http://schemas.openxmlformats.org/officeDocument/2006/relationships/image" Target="../media/image55.jpeg"/><Relationship Id="rId96" Type="http://schemas.openxmlformats.org/officeDocument/2006/relationships/image" Target="../media/image97.jpeg"/><Relationship Id="rId161" Type="http://schemas.openxmlformats.org/officeDocument/2006/relationships/image" Target="../media/image162.jpeg"/><Relationship Id="rId217" Type="http://schemas.openxmlformats.org/officeDocument/2006/relationships/image" Target="../media/image218.png"/><Relationship Id="rId259" Type="http://schemas.openxmlformats.org/officeDocument/2006/relationships/image" Target="../media/image259.png"/><Relationship Id="rId23" Type="http://schemas.openxmlformats.org/officeDocument/2006/relationships/image" Target="../media/image24.jpeg"/><Relationship Id="rId119" Type="http://schemas.openxmlformats.org/officeDocument/2006/relationships/image" Target="../media/image120.png"/><Relationship Id="rId270" Type="http://schemas.openxmlformats.org/officeDocument/2006/relationships/image" Target="../media/image270.jpeg"/><Relationship Id="rId65" Type="http://schemas.openxmlformats.org/officeDocument/2006/relationships/image" Target="../media/image66.jpeg"/><Relationship Id="rId130" Type="http://schemas.openxmlformats.org/officeDocument/2006/relationships/image" Target="../media/image131.jpeg"/><Relationship Id="rId172" Type="http://schemas.openxmlformats.org/officeDocument/2006/relationships/image" Target="../media/image173.jpeg"/><Relationship Id="rId193" Type="http://schemas.openxmlformats.org/officeDocument/2006/relationships/image" Target="../media/image194.png"/><Relationship Id="rId207" Type="http://schemas.openxmlformats.org/officeDocument/2006/relationships/image" Target="../media/image208.jpeg"/><Relationship Id="rId228" Type="http://schemas.openxmlformats.org/officeDocument/2006/relationships/image" Target="../media/image229.jpeg"/><Relationship Id="rId249" Type="http://schemas.openxmlformats.org/officeDocument/2006/relationships/image" Target="../media/image250.png"/><Relationship Id="rId13" Type="http://schemas.openxmlformats.org/officeDocument/2006/relationships/image" Target="../media/image14.jpeg"/><Relationship Id="rId109" Type="http://schemas.openxmlformats.org/officeDocument/2006/relationships/image" Target="../media/image110.jpeg"/><Relationship Id="rId260" Type="http://schemas.openxmlformats.org/officeDocument/2006/relationships/image" Target="../media/image260.png"/><Relationship Id="rId281" Type="http://schemas.openxmlformats.org/officeDocument/2006/relationships/image" Target="../media/image281.png"/><Relationship Id="rId34" Type="http://schemas.openxmlformats.org/officeDocument/2006/relationships/image" Target="../media/image35.jpeg"/><Relationship Id="rId55" Type="http://schemas.openxmlformats.org/officeDocument/2006/relationships/image" Target="../media/image56.jpeg"/><Relationship Id="rId76" Type="http://schemas.openxmlformats.org/officeDocument/2006/relationships/image" Target="../media/image77.jpeg"/><Relationship Id="rId97" Type="http://schemas.openxmlformats.org/officeDocument/2006/relationships/image" Target="../media/image98.png"/><Relationship Id="rId120" Type="http://schemas.openxmlformats.org/officeDocument/2006/relationships/image" Target="../media/image121.png"/><Relationship Id="rId141" Type="http://schemas.openxmlformats.org/officeDocument/2006/relationships/image" Target="../media/image142.png"/><Relationship Id="rId7" Type="http://schemas.openxmlformats.org/officeDocument/2006/relationships/image" Target="../media/image8.png"/><Relationship Id="rId162" Type="http://schemas.openxmlformats.org/officeDocument/2006/relationships/image" Target="../media/image163.jpg"/><Relationship Id="rId183" Type="http://schemas.openxmlformats.org/officeDocument/2006/relationships/image" Target="../media/image184.jpeg"/><Relationship Id="rId218" Type="http://schemas.openxmlformats.org/officeDocument/2006/relationships/image" Target="../media/image219.jpeg"/><Relationship Id="rId239" Type="http://schemas.openxmlformats.org/officeDocument/2006/relationships/image" Target="../media/image240.jpeg"/><Relationship Id="rId250" Type="http://schemas.openxmlformats.org/officeDocument/2006/relationships/image" Target="../media/image251.png"/><Relationship Id="rId271" Type="http://schemas.openxmlformats.org/officeDocument/2006/relationships/image" Target="../media/image271.png"/><Relationship Id="rId292" Type="http://schemas.openxmlformats.org/officeDocument/2006/relationships/image" Target="../media/image292.png"/><Relationship Id="rId306" Type="http://schemas.openxmlformats.org/officeDocument/2006/relationships/image" Target="../media/image306.png"/><Relationship Id="rId24" Type="http://schemas.openxmlformats.org/officeDocument/2006/relationships/image" Target="../media/image25.jpeg"/><Relationship Id="rId45" Type="http://schemas.openxmlformats.org/officeDocument/2006/relationships/image" Target="../media/image46.jpeg"/><Relationship Id="rId66" Type="http://schemas.openxmlformats.org/officeDocument/2006/relationships/image" Target="../media/image67.jpeg"/><Relationship Id="rId87" Type="http://schemas.openxmlformats.org/officeDocument/2006/relationships/image" Target="../media/image88.jpg"/><Relationship Id="rId110" Type="http://schemas.openxmlformats.org/officeDocument/2006/relationships/image" Target="../media/image111.jpeg"/><Relationship Id="rId131" Type="http://schemas.openxmlformats.org/officeDocument/2006/relationships/image" Target="../media/image132.jpeg"/><Relationship Id="rId152" Type="http://schemas.openxmlformats.org/officeDocument/2006/relationships/image" Target="../media/image153.jpeg"/><Relationship Id="rId173" Type="http://schemas.openxmlformats.org/officeDocument/2006/relationships/image" Target="../media/image174.jpeg"/><Relationship Id="rId194" Type="http://schemas.openxmlformats.org/officeDocument/2006/relationships/image" Target="../media/image195.jpeg"/><Relationship Id="rId208" Type="http://schemas.openxmlformats.org/officeDocument/2006/relationships/image" Target="../media/image209.jpeg"/><Relationship Id="rId229" Type="http://schemas.openxmlformats.org/officeDocument/2006/relationships/image" Target="../media/image230.png"/><Relationship Id="rId240" Type="http://schemas.openxmlformats.org/officeDocument/2006/relationships/image" Target="../media/image241.jpeg"/><Relationship Id="rId261" Type="http://schemas.openxmlformats.org/officeDocument/2006/relationships/image" Target="../media/image261.png"/><Relationship Id="rId14" Type="http://schemas.openxmlformats.org/officeDocument/2006/relationships/image" Target="../media/image15.jpeg"/><Relationship Id="rId35" Type="http://schemas.openxmlformats.org/officeDocument/2006/relationships/image" Target="../media/image36.jpeg"/><Relationship Id="rId56" Type="http://schemas.openxmlformats.org/officeDocument/2006/relationships/image" Target="../media/image57.png"/><Relationship Id="rId77" Type="http://schemas.openxmlformats.org/officeDocument/2006/relationships/image" Target="../media/image78.jpeg"/><Relationship Id="rId100" Type="http://schemas.openxmlformats.org/officeDocument/2006/relationships/image" Target="../media/image101.png"/><Relationship Id="rId282" Type="http://schemas.openxmlformats.org/officeDocument/2006/relationships/image" Target="../media/image282.png"/><Relationship Id="rId8" Type="http://schemas.openxmlformats.org/officeDocument/2006/relationships/image" Target="../media/image9.jpeg"/><Relationship Id="rId98" Type="http://schemas.openxmlformats.org/officeDocument/2006/relationships/image" Target="../media/image99.jpeg"/><Relationship Id="rId121" Type="http://schemas.openxmlformats.org/officeDocument/2006/relationships/image" Target="../media/image122.jpg"/><Relationship Id="rId142" Type="http://schemas.openxmlformats.org/officeDocument/2006/relationships/image" Target="../media/image143.jpeg"/><Relationship Id="rId163" Type="http://schemas.openxmlformats.org/officeDocument/2006/relationships/image" Target="../media/image164.jpeg"/><Relationship Id="rId184" Type="http://schemas.openxmlformats.org/officeDocument/2006/relationships/image" Target="../media/image185.jpeg"/><Relationship Id="rId219" Type="http://schemas.openxmlformats.org/officeDocument/2006/relationships/image" Target="../media/image220.jpeg"/><Relationship Id="rId230" Type="http://schemas.openxmlformats.org/officeDocument/2006/relationships/image" Target="../media/image231.jpeg"/><Relationship Id="rId251" Type="http://schemas.openxmlformats.org/officeDocument/2006/relationships/image" Target="../media/image252.jpeg"/><Relationship Id="rId25" Type="http://schemas.openxmlformats.org/officeDocument/2006/relationships/image" Target="../media/image26.jpeg"/><Relationship Id="rId46" Type="http://schemas.openxmlformats.org/officeDocument/2006/relationships/image" Target="../media/image47.png"/><Relationship Id="rId67" Type="http://schemas.openxmlformats.org/officeDocument/2006/relationships/image" Target="../media/image68.jpeg"/><Relationship Id="rId272" Type="http://schemas.openxmlformats.org/officeDocument/2006/relationships/image" Target="../media/image272.png"/><Relationship Id="rId293" Type="http://schemas.openxmlformats.org/officeDocument/2006/relationships/image" Target="../media/image293.png"/><Relationship Id="rId307" Type="http://schemas.openxmlformats.org/officeDocument/2006/relationships/image" Target="../media/image307.png"/><Relationship Id="rId88" Type="http://schemas.openxmlformats.org/officeDocument/2006/relationships/image" Target="../media/image89.jpeg"/><Relationship Id="rId111" Type="http://schemas.openxmlformats.org/officeDocument/2006/relationships/image" Target="../media/image112.jpeg"/><Relationship Id="rId132" Type="http://schemas.openxmlformats.org/officeDocument/2006/relationships/image" Target="../media/image133.jpeg"/><Relationship Id="rId153" Type="http://schemas.openxmlformats.org/officeDocument/2006/relationships/image" Target="../media/image154.jpeg"/><Relationship Id="rId174" Type="http://schemas.openxmlformats.org/officeDocument/2006/relationships/image" Target="../media/image175.jpeg"/><Relationship Id="rId195" Type="http://schemas.openxmlformats.org/officeDocument/2006/relationships/image" Target="../media/image196.jpeg"/><Relationship Id="rId209" Type="http://schemas.openxmlformats.org/officeDocument/2006/relationships/image" Target="../media/image210.jpeg"/><Relationship Id="rId220" Type="http://schemas.openxmlformats.org/officeDocument/2006/relationships/image" Target="../media/image221.jpeg"/><Relationship Id="rId241" Type="http://schemas.openxmlformats.org/officeDocument/2006/relationships/image" Target="../media/image242.jpeg"/><Relationship Id="rId15" Type="http://schemas.openxmlformats.org/officeDocument/2006/relationships/image" Target="../media/image16.jpeg"/><Relationship Id="rId36" Type="http://schemas.openxmlformats.org/officeDocument/2006/relationships/image" Target="../media/image37.jpeg"/><Relationship Id="rId57" Type="http://schemas.openxmlformats.org/officeDocument/2006/relationships/image" Target="../media/image58.jpeg"/><Relationship Id="rId262" Type="http://schemas.openxmlformats.org/officeDocument/2006/relationships/image" Target="../media/image262.jpeg"/><Relationship Id="rId283" Type="http://schemas.openxmlformats.org/officeDocument/2006/relationships/image" Target="../media/image283.png"/><Relationship Id="rId78" Type="http://schemas.openxmlformats.org/officeDocument/2006/relationships/image" Target="../media/image79.png"/><Relationship Id="rId99" Type="http://schemas.openxmlformats.org/officeDocument/2006/relationships/image" Target="../media/image100.jpeg"/><Relationship Id="rId101" Type="http://schemas.openxmlformats.org/officeDocument/2006/relationships/image" Target="../media/image102.png"/><Relationship Id="rId122" Type="http://schemas.openxmlformats.org/officeDocument/2006/relationships/image" Target="../media/image123.jpg"/><Relationship Id="rId143" Type="http://schemas.openxmlformats.org/officeDocument/2006/relationships/image" Target="../media/image144.jpeg"/><Relationship Id="rId164" Type="http://schemas.openxmlformats.org/officeDocument/2006/relationships/image" Target="../media/image165.jpeg"/><Relationship Id="rId185" Type="http://schemas.openxmlformats.org/officeDocument/2006/relationships/image" Target="../media/image186.jpeg"/><Relationship Id="rId9" Type="http://schemas.openxmlformats.org/officeDocument/2006/relationships/image" Target="../media/image10.jpeg"/><Relationship Id="rId210" Type="http://schemas.openxmlformats.org/officeDocument/2006/relationships/image" Target="../media/image211.jpeg"/><Relationship Id="rId26" Type="http://schemas.openxmlformats.org/officeDocument/2006/relationships/image" Target="../media/image27.jpeg"/><Relationship Id="rId231" Type="http://schemas.openxmlformats.org/officeDocument/2006/relationships/image" Target="../media/image232.jpeg"/><Relationship Id="rId252" Type="http://schemas.openxmlformats.org/officeDocument/2006/relationships/image" Target="../media/image253.png"/><Relationship Id="rId273" Type="http://schemas.openxmlformats.org/officeDocument/2006/relationships/image" Target="../media/image273.jpeg"/><Relationship Id="rId294" Type="http://schemas.openxmlformats.org/officeDocument/2006/relationships/image" Target="../media/image294.png"/><Relationship Id="rId308" Type="http://schemas.openxmlformats.org/officeDocument/2006/relationships/image" Target="../media/image308.png"/><Relationship Id="rId47" Type="http://schemas.openxmlformats.org/officeDocument/2006/relationships/image" Target="../media/image48.jpeg"/><Relationship Id="rId68" Type="http://schemas.openxmlformats.org/officeDocument/2006/relationships/image" Target="../media/image69.jpeg"/><Relationship Id="rId89" Type="http://schemas.openxmlformats.org/officeDocument/2006/relationships/image" Target="../media/image90.png"/><Relationship Id="rId112" Type="http://schemas.openxmlformats.org/officeDocument/2006/relationships/image" Target="../media/image113.png"/><Relationship Id="rId133" Type="http://schemas.openxmlformats.org/officeDocument/2006/relationships/image" Target="../media/image134.jpeg"/><Relationship Id="rId154" Type="http://schemas.openxmlformats.org/officeDocument/2006/relationships/image" Target="../media/image155.png"/><Relationship Id="rId175" Type="http://schemas.openxmlformats.org/officeDocument/2006/relationships/image" Target="../media/image176.jpeg"/><Relationship Id="rId196" Type="http://schemas.openxmlformats.org/officeDocument/2006/relationships/image" Target="../media/image197.png"/><Relationship Id="rId200" Type="http://schemas.openxmlformats.org/officeDocument/2006/relationships/image" Target="../media/image201.jpeg"/><Relationship Id="rId16" Type="http://schemas.openxmlformats.org/officeDocument/2006/relationships/image" Target="../media/image17.jpeg"/><Relationship Id="rId221" Type="http://schemas.openxmlformats.org/officeDocument/2006/relationships/image" Target="../media/image222.png"/><Relationship Id="rId242" Type="http://schemas.openxmlformats.org/officeDocument/2006/relationships/image" Target="../media/image243.jpeg"/><Relationship Id="rId263" Type="http://schemas.openxmlformats.org/officeDocument/2006/relationships/image" Target="../media/image263.png"/><Relationship Id="rId284" Type="http://schemas.openxmlformats.org/officeDocument/2006/relationships/image" Target="../media/image284.png"/><Relationship Id="rId37" Type="http://schemas.openxmlformats.org/officeDocument/2006/relationships/image" Target="../media/image38.jpeg"/><Relationship Id="rId58" Type="http://schemas.openxmlformats.org/officeDocument/2006/relationships/image" Target="../media/image59.jpeg"/><Relationship Id="rId79" Type="http://schemas.openxmlformats.org/officeDocument/2006/relationships/image" Target="../media/image80.png"/><Relationship Id="rId102" Type="http://schemas.openxmlformats.org/officeDocument/2006/relationships/image" Target="../media/image103.jpeg"/><Relationship Id="rId123" Type="http://schemas.openxmlformats.org/officeDocument/2006/relationships/image" Target="../media/image124.png"/><Relationship Id="rId144" Type="http://schemas.openxmlformats.org/officeDocument/2006/relationships/image" Target="../media/image145.jpeg"/><Relationship Id="rId90" Type="http://schemas.openxmlformats.org/officeDocument/2006/relationships/image" Target="../media/image91.png"/><Relationship Id="rId165" Type="http://schemas.openxmlformats.org/officeDocument/2006/relationships/image" Target="../media/image166.jpeg"/><Relationship Id="rId186" Type="http://schemas.openxmlformats.org/officeDocument/2006/relationships/image" Target="../media/image187.jpeg"/><Relationship Id="rId211" Type="http://schemas.openxmlformats.org/officeDocument/2006/relationships/image" Target="../media/image212.jpeg"/><Relationship Id="rId232" Type="http://schemas.openxmlformats.org/officeDocument/2006/relationships/image" Target="../media/image233.jpeg"/><Relationship Id="rId253" Type="http://schemas.openxmlformats.org/officeDocument/2006/relationships/image" Target="../media/image254.png"/><Relationship Id="rId274" Type="http://schemas.openxmlformats.org/officeDocument/2006/relationships/image" Target="../media/image274.png"/><Relationship Id="rId295" Type="http://schemas.openxmlformats.org/officeDocument/2006/relationships/image" Target="../media/image295.png"/><Relationship Id="rId309" Type="http://schemas.openxmlformats.org/officeDocument/2006/relationships/image" Target="../media/image309.png"/><Relationship Id="rId27" Type="http://schemas.openxmlformats.org/officeDocument/2006/relationships/image" Target="../media/image28.jpeg"/><Relationship Id="rId48" Type="http://schemas.openxmlformats.org/officeDocument/2006/relationships/image" Target="../media/image49.jpeg"/><Relationship Id="rId69" Type="http://schemas.openxmlformats.org/officeDocument/2006/relationships/image" Target="../media/image70.jpg"/><Relationship Id="rId113" Type="http://schemas.openxmlformats.org/officeDocument/2006/relationships/image" Target="../media/image114.jpeg"/><Relationship Id="rId134" Type="http://schemas.openxmlformats.org/officeDocument/2006/relationships/image" Target="../media/image135.jpeg"/><Relationship Id="rId80" Type="http://schemas.openxmlformats.org/officeDocument/2006/relationships/image" Target="../media/image81.png"/><Relationship Id="rId155" Type="http://schemas.openxmlformats.org/officeDocument/2006/relationships/image" Target="../media/image156.png"/><Relationship Id="rId176" Type="http://schemas.openxmlformats.org/officeDocument/2006/relationships/image" Target="../media/image177.jpeg"/><Relationship Id="rId197" Type="http://schemas.openxmlformats.org/officeDocument/2006/relationships/image" Target="../media/image198.jpeg"/><Relationship Id="rId201" Type="http://schemas.openxmlformats.org/officeDocument/2006/relationships/image" Target="../media/image202.jpeg"/><Relationship Id="rId222" Type="http://schemas.openxmlformats.org/officeDocument/2006/relationships/image" Target="../media/image223.jpeg"/><Relationship Id="rId243" Type="http://schemas.openxmlformats.org/officeDocument/2006/relationships/image" Target="../media/image244.jpeg"/><Relationship Id="rId264" Type="http://schemas.openxmlformats.org/officeDocument/2006/relationships/image" Target="../media/image264.jpeg"/><Relationship Id="rId285" Type="http://schemas.openxmlformats.org/officeDocument/2006/relationships/image" Target="../media/image285.png"/><Relationship Id="rId17" Type="http://schemas.openxmlformats.org/officeDocument/2006/relationships/image" Target="../media/image18.jpeg"/><Relationship Id="rId38" Type="http://schemas.openxmlformats.org/officeDocument/2006/relationships/image" Target="../media/image39.jpg"/><Relationship Id="rId59" Type="http://schemas.openxmlformats.org/officeDocument/2006/relationships/image" Target="../media/image60.jpeg"/><Relationship Id="rId103" Type="http://schemas.openxmlformats.org/officeDocument/2006/relationships/image" Target="../media/image104.jpeg"/><Relationship Id="rId124" Type="http://schemas.openxmlformats.org/officeDocument/2006/relationships/image" Target="../media/image125.jpeg"/><Relationship Id="rId310" Type="http://schemas.openxmlformats.org/officeDocument/2006/relationships/image" Target="../media/image310.png"/><Relationship Id="rId70" Type="http://schemas.openxmlformats.org/officeDocument/2006/relationships/image" Target="../media/image71.jpeg"/><Relationship Id="rId91" Type="http://schemas.openxmlformats.org/officeDocument/2006/relationships/image" Target="../media/image92.png"/><Relationship Id="rId145" Type="http://schemas.openxmlformats.org/officeDocument/2006/relationships/image" Target="../media/image146.jpeg"/><Relationship Id="rId166" Type="http://schemas.openxmlformats.org/officeDocument/2006/relationships/image" Target="../media/image167.jpeg"/><Relationship Id="rId187" Type="http://schemas.openxmlformats.org/officeDocument/2006/relationships/image" Target="../media/image188.jpeg"/><Relationship Id="rId1" Type="http://schemas.openxmlformats.org/officeDocument/2006/relationships/image" Target="../media/image2.jpeg"/><Relationship Id="rId212" Type="http://schemas.openxmlformats.org/officeDocument/2006/relationships/image" Target="../media/image213.png"/><Relationship Id="rId233" Type="http://schemas.openxmlformats.org/officeDocument/2006/relationships/image" Target="../media/image234.jpeg"/><Relationship Id="rId254" Type="http://schemas.openxmlformats.org/officeDocument/2006/relationships/image" Target="../media/image255.png"/><Relationship Id="rId28" Type="http://schemas.openxmlformats.org/officeDocument/2006/relationships/image" Target="../media/image29.png"/><Relationship Id="rId49" Type="http://schemas.openxmlformats.org/officeDocument/2006/relationships/image" Target="../media/image50.jpeg"/><Relationship Id="rId114" Type="http://schemas.openxmlformats.org/officeDocument/2006/relationships/image" Target="../media/image115.jpeg"/><Relationship Id="rId275" Type="http://schemas.openxmlformats.org/officeDocument/2006/relationships/image" Target="../media/image275.jpeg"/><Relationship Id="rId296" Type="http://schemas.openxmlformats.org/officeDocument/2006/relationships/image" Target="../media/image296.png"/><Relationship Id="rId300" Type="http://schemas.openxmlformats.org/officeDocument/2006/relationships/image" Target="../media/image300.png"/><Relationship Id="rId60" Type="http://schemas.openxmlformats.org/officeDocument/2006/relationships/image" Target="../media/image61.jpeg"/><Relationship Id="rId81" Type="http://schemas.openxmlformats.org/officeDocument/2006/relationships/image" Target="../media/image82.jpeg"/><Relationship Id="rId135" Type="http://schemas.openxmlformats.org/officeDocument/2006/relationships/image" Target="../media/image136.jpeg"/><Relationship Id="rId156" Type="http://schemas.openxmlformats.org/officeDocument/2006/relationships/image" Target="../media/image157.jpeg"/><Relationship Id="rId177" Type="http://schemas.openxmlformats.org/officeDocument/2006/relationships/image" Target="../media/image178.jpeg"/><Relationship Id="rId198" Type="http://schemas.openxmlformats.org/officeDocument/2006/relationships/image" Target="../media/image199.jpeg"/><Relationship Id="rId202" Type="http://schemas.openxmlformats.org/officeDocument/2006/relationships/image" Target="../media/image203.png"/><Relationship Id="rId223" Type="http://schemas.openxmlformats.org/officeDocument/2006/relationships/image" Target="../media/image224.jpeg"/><Relationship Id="rId244" Type="http://schemas.openxmlformats.org/officeDocument/2006/relationships/image" Target="../media/image245.jpeg"/><Relationship Id="rId18" Type="http://schemas.openxmlformats.org/officeDocument/2006/relationships/image" Target="../media/image19.jpeg"/><Relationship Id="rId39" Type="http://schemas.openxmlformats.org/officeDocument/2006/relationships/image" Target="../media/image40.jpeg"/><Relationship Id="rId265" Type="http://schemas.openxmlformats.org/officeDocument/2006/relationships/image" Target="../media/image265.jpeg"/><Relationship Id="rId286" Type="http://schemas.openxmlformats.org/officeDocument/2006/relationships/image" Target="../media/image286.png"/><Relationship Id="rId50" Type="http://schemas.openxmlformats.org/officeDocument/2006/relationships/image" Target="../media/image51.jpeg"/><Relationship Id="rId104" Type="http://schemas.openxmlformats.org/officeDocument/2006/relationships/image" Target="../media/image105.jpeg"/><Relationship Id="rId125" Type="http://schemas.openxmlformats.org/officeDocument/2006/relationships/image" Target="../media/image126.jpeg"/><Relationship Id="rId146" Type="http://schemas.openxmlformats.org/officeDocument/2006/relationships/image" Target="../media/image147.jpeg"/><Relationship Id="rId167" Type="http://schemas.openxmlformats.org/officeDocument/2006/relationships/image" Target="../media/image168.png"/><Relationship Id="rId188" Type="http://schemas.openxmlformats.org/officeDocument/2006/relationships/image" Target="../media/image189.jpeg"/><Relationship Id="rId311" Type="http://schemas.openxmlformats.org/officeDocument/2006/relationships/image" Target="../media/image311.jpeg"/><Relationship Id="rId71" Type="http://schemas.openxmlformats.org/officeDocument/2006/relationships/image" Target="../media/image72.jpeg"/><Relationship Id="rId92" Type="http://schemas.openxmlformats.org/officeDocument/2006/relationships/image" Target="../media/image93.png"/><Relationship Id="rId213" Type="http://schemas.openxmlformats.org/officeDocument/2006/relationships/image" Target="../media/image214.png"/><Relationship Id="rId234" Type="http://schemas.openxmlformats.org/officeDocument/2006/relationships/image" Target="../media/image235.jpeg"/><Relationship Id="rId2" Type="http://schemas.openxmlformats.org/officeDocument/2006/relationships/image" Target="../media/image3.png"/><Relationship Id="rId29" Type="http://schemas.openxmlformats.org/officeDocument/2006/relationships/image" Target="../media/image30.png"/><Relationship Id="rId255" Type="http://schemas.openxmlformats.org/officeDocument/2006/relationships/image" Target="../media/image256.png"/><Relationship Id="rId276" Type="http://schemas.openxmlformats.org/officeDocument/2006/relationships/image" Target="../media/image276.png"/><Relationship Id="rId297" Type="http://schemas.openxmlformats.org/officeDocument/2006/relationships/image" Target="../media/image297.jpeg"/><Relationship Id="rId40" Type="http://schemas.openxmlformats.org/officeDocument/2006/relationships/image" Target="../media/image41.png"/><Relationship Id="rId115" Type="http://schemas.openxmlformats.org/officeDocument/2006/relationships/image" Target="../media/image116.jpeg"/><Relationship Id="rId136" Type="http://schemas.openxmlformats.org/officeDocument/2006/relationships/image" Target="../media/image137.png"/><Relationship Id="rId157" Type="http://schemas.openxmlformats.org/officeDocument/2006/relationships/image" Target="../media/image158.jpeg"/><Relationship Id="rId178" Type="http://schemas.openxmlformats.org/officeDocument/2006/relationships/image" Target="../media/image179.jpeg"/><Relationship Id="rId301" Type="http://schemas.openxmlformats.org/officeDocument/2006/relationships/image" Target="../media/image301.png"/><Relationship Id="rId61" Type="http://schemas.openxmlformats.org/officeDocument/2006/relationships/image" Target="../media/image62.jpeg"/><Relationship Id="rId82" Type="http://schemas.openxmlformats.org/officeDocument/2006/relationships/image" Target="../media/image83.jpeg"/><Relationship Id="rId199" Type="http://schemas.openxmlformats.org/officeDocument/2006/relationships/image" Target="../media/image200.jpeg"/><Relationship Id="rId203" Type="http://schemas.openxmlformats.org/officeDocument/2006/relationships/image" Target="../media/image204.png"/><Relationship Id="rId19" Type="http://schemas.openxmlformats.org/officeDocument/2006/relationships/image" Target="../media/image20.jpeg"/><Relationship Id="rId224" Type="http://schemas.openxmlformats.org/officeDocument/2006/relationships/image" Target="../media/image225.jpeg"/><Relationship Id="rId245" Type="http://schemas.openxmlformats.org/officeDocument/2006/relationships/image" Target="../media/image246.png"/><Relationship Id="rId266" Type="http://schemas.openxmlformats.org/officeDocument/2006/relationships/image" Target="../media/image266.jpeg"/><Relationship Id="rId287" Type="http://schemas.openxmlformats.org/officeDocument/2006/relationships/image" Target="../media/image287.png"/><Relationship Id="rId30" Type="http://schemas.openxmlformats.org/officeDocument/2006/relationships/image" Target="../media/image31.jpeg"/><Relationship Id="rId105" Type="http://schemas.openxmlformats.org/officeDocument/2006/relationships/image" Target="../media/image106.jpeg"/><Relationship Id="rId126" Type="http://schemas.openxmlformats.org/officeDocument/2006/relationships/image" Target="../media/image127.png"/><Relationship Id="rId147" Type="http://schemas.openxmlformats.org/officeDocument/2006/relationships/image" Target="../media/image148.jpeg"/><Relationship Id="rId168" Type="http://schemas.openxmlformats.org/officeDocument/2006/relationships/image" Target="../media/image169.jpeg"/><Relationship Id="rId312" Type="http://schemas.openxmlformats.org/officeDocument/2006/relationships/image" Target="../media/image312.jpeg"/><Relationship Id="rId51" Type="http://schemas.openxmlformats.org/officeDocument/2006/relationships/image" Target="../media/image52.jpg"/><Relationship Id="rId72" Type="http://schemas.openxmlformats.org/officeDocument/2006/relationships/image" Target="../media/image73.jpeg"/><Relationship Id="rId93" Type="http://schemas.openxmlformats.org/officeDocument/2006/relationships/image" Target="../media/image94.jpeg"/><Relationship Id="rId189" Type="http://schemas.openxmlformats.org/officeDocument/2006/relationships/image" Target="../media/image190.jpeg"/><Relationship Id="rId3" Type="http://schemas.openxmlformats.org/officeDocument/2006/relationships/image" Target="../media/image4.jpeg"/><Relationship Id="rId214" Type="http://schemas.openxmlformats.org/officeDocument/2006/relationships/image" Target="../media/image215.png"/><Relationship Id="rId235" Type="http://schemas.openxmlformats.org/officeDocument/2006/relationships/image" Target="../media/image236.jpeg"/><Relationship Id="rId256" Type="http://schemas.openxmlformats.org/officeDocument/2006/relationships/image" Target="../media/image257.png"/><Relationship Id="rId277" Type="http://schemas.openxmlformats.org/officeDocument/2006/relationships/image" Target="../media/image277.png"/><Relationship Id="rId298" Type="http://schemas.openxmlformats.org/officeDocument/2006/relationships/image" Target="../media/image298.jpeg"/><Relationship Id="rId116" Type="http://schemas.openxmlformats.org/officeDocument/2006/relationships/image" Target="../media/image117.png"/><Relationship Id="rId137" Type="http://schemas.openxmlformats.org/officeDocument/2006/relationships/image" Target="../media/image138.jpeg"/><Relationship Id="rId158" Type="http://schemas.openxmlformats.org/officeDocument/2006/relationships/image" Target="../media/image159.jpeg"/><Relationship Id="rId302" Type="http://schemas.openxmlformats.org/officeDocument/2006/relationships/image" Target="../media/image302.jpeg"/><Relationship Id="rId20" Type="http://schemas.openxmlformats.org/officeDocument/2006/relationships/image" Target="../media/image21.jpeg"/><Relationship Id="rId41" Type="http://schemas.openxmlformats.org/officeDocument/2006/relationships/image" Target="../media/image42.jpeg"/><Relationship Id="rId62" Type="http://schemas.openxmlformats.org/officeDocument/2006/relationships/image" Target="../media/image63.jpeg"/><Relationship Id="rId83" Type="http://schemas.openxmlformats.org/officeDocument/2006/relationships/image" Target="../media/image84.jpeg"/><Relationship Id="rId179" Type="http://schemas.openxmlformats.org/officeDocument/2006/relationships/image" Target="../media/image180.jpeg"/><Relationship Id="rId190" Type="http://schemas.openxmlformats.org/officeDocument/2006/relationships/image" Target="../media/image191.jpeg"/><Relationship Id="rId204" Type="http://schemas.openxmlformats.org/officeDocument/2006/relationships/image" Target="../media/image205.jpeg"/><Relationship Id="rId225" Type="http://schemas.openxmlformats.org/officeDocument/2006/relationships/image" Target="../media/image226.png"/><Relationship Id="rId246" Type="http://schemas.openxmlformats.org/officeDocument/2006/relationships/image" Target="../media/image247.png"/><Relationship Id="rId267" Type="http://schemas.openxmlformats.org/officeDocument/2006/relationships/image" Target="../media/image267.png"/><Relationship Id="rId288" Type="http://schemas.openxmlformats.org/officeDocument/2006/relationships/image" Target="../media/image288.png"/><Relationship Id="rId106" Type="http://schemas.openxmlformats.org/officeDocument/2006/relationships/image" Target="../media/image107.jpeg"/><Relationship Id="rId127" Type="http://schemas.openxmlformats.org/officeDocument/2006/relationships/image" Target="../media/image128.jpeg"/><Relationship Id="rId313" Type="http://schemas.openxmlformats.org/officeDocument/2006/relationships/image" Target="../media/image313.jpeg"/><Relationship Id="rId10" Type="http://schemas.openxmlformats.org/officeDocument/2006/relationships/image" Target="../media/image11.jpeg"/><Relationship Id="rId31" Type="http://schemas.openxmlformats.org/officeDocument/2006/relationships/image" Target="../media/image32.jpeg"/><Relationship Id="rId52" Type="http://schemas.openxmlformats.org/officeDocument/2006/relationships/image" Target="../media/image53.png"/><Relationship Id="rId73" Type="http://schemas.openxmlformats.org/officeDocument/2006/relationships/image" Target="../media/image74.jpeg"/><Relationship Id="rId94" Type="http://schemas.openxmlformats.org/officeDocument/2006/relationships/image" Target="../media/image95.png"/><Relationship Id="rId148" Type="http://schemas.openxmlformats.org/officeDocument/2006/relationships/image" Target="../media/image149.jpeg"/><Relationship Id="rId169" Type="http://schemas.openxmlformats.org/officeDocument/2006/relationships/image" Target="../media/image170.jpeg"/><Relationship Id="rId4" Type="http://schemas.openxmlformats.org/officeDocument/2006/relationships/image" Target="../media/image5.jpeg"/><Relationship Id="rId180" Type="http://schemas.openxmlformats.org/officeDocument/2006/relationships/image" Target="../media/image181.jpeg"/><Relationship Id="rId215" Type="http://schemas.openxmlformats.org/officeDocument/2006/relationships/image" Target="../media/image216.jpeg"/><Relationship Id="rId236" Type="http://schemas.openxmlformats.org/officeDocument/2006/relationships/image" Target="../media/image237.png"/><Relationship Id="rId257" Type="http://schemas.openxmlformats.org/officeDocument/2006/relationships/image" Target="../media/image258.png"/><Relationship Id="rId278" Type="http://schemas.openxmlformats.org/officeDocument/2006/relationships/image" Target="../media/image278.jpeg"/><Relationship Id="rId303" Type="http://schemas.openxmlformats.org/officeDocument/2006/relationships/image" Target="../media/image303.jpeg"/><Relationship Id="rId42" Type="http://schemas.openxmlformats.org/officeDocument/2006/relationships/image" Target="../media/image43.jpeg"/><Relationship Id="rId84" Type="http://schemas.openxmlformats.org/officeDocument/2006/relationships/image" Target="../media/image85.png"/><Relationship Id="rId138" Type="http://schemas.openxmlformats.org/officeDocument/2006/relationships/image" Target="../media/image139.jpeg"/><Relationship Id="rId191" Type="http://schemas.openxmlformats.org/officeDocument/2006/relationships/image" Target="../media/image192.jpeg"/><Relationship Id="rId205" Type="http://schemas.openxmlformats.org/officeDocument/2006/relationships/image" Target="../media/image206.png"/><Relationship Id="rId247" Type="http://schemas.openxmlformats.org/officeDocument/2006/relationships/image" Target="../media/image248.png"/><Relationship Id="rId107" Type="http://schemas.openxmlformats.org/officeDocument/2006/relationships/image" Target="../media/image108.jpeg"/><Relationship Id="rId289" Type="http://schemas.openxmlformats.org/officeDocument/2006/relationships/image" Target="../media/image289.png"/><Relationship Id="rId11" Type="http://schemas.openxmlformats.org/officeDocument/2006/relationships/image" Target="../media/image12.jpeg"/><Relationship Id="rId53" Type="http://schemas.openxmlformats.org/officeDocument/2006/relationships/image" Target="../media/image54.jpeg"/><Relationship Id="rId149" Type="http://schemas.openxmlformats.org/officeDocument/2006/relationships/image" Target="../media/image150.jpeg"/><Relationship Id="rId314" Type="http://schemas.openxmlformats.org/officeDocument/2006/relationships/image" Target="../media/image314.jpeg"/><Relationship Id="rId95" Type="http://schemas.openxmlformats.org/officeDocument/2006/relationships/image" Target="../media/image96.jpeg"/><Relationship Id="rId160" Type="http://schemas.openxmlformats.org/officeDocument/2006/relationships/image" Target="../media/image161.jpeg"/><Relationship Id="rId216" Type="http://schemas.openxmlformats.org/officeDocument/2006/relationships/image" Target="../media/image217.jpeg"/><Relationship Id="rId258" Type="http://schemas.microsoft.com/office/2007/relationships/hdphoto" Target="../media/hdphoto1.wdp"/><Relationship Id="rId22" Type="http://schemas.openxmlformats.org/officeDocument/2006/relationships/image" Target="../media/image23.png"/><Relationship Id="rId64" Type="http://schemas.openxmlformats.org/officeDocument/2006/relationships/image" Target="../media/image65.png"/><Relationship Id="rId118" Type="http://schemas.openxmlformats.org/officeDocument/2006/relationships/image" Target="../media/image119.png"/><Relationship Id="rId171" Type="http://schemas.openxmlformats.org/officeDocument/2006/relationships/image" Target="../media/image172.png"/><Relationship Id="rId227" Type="http://schemas.openxmlformats.org/officeDocument/2006/relationships/image" Target="../media/image228.jpeg"/><Relationship Id="rId269" Type="http://schemas.openxmlformats.org/officeDocument/2006/relationships/image" Target="../media/image269.jpeg"/><Relationship Id="rId33" Type="http://schemas.openxmlformats.org/officeDocument/2006/relationships/image" Target="../media/image34.jpeg"/><Relationship Id="rId129" Type="http://schemas.openxmlformats.org/officeDocument/2006/relationships/image" Target="../media/image130.jpeg"/><Relationship Id="rId280" Type="http://schemas.openxmlformats.org/officeDocument/2006/relationships/image" Target="../media/image280.jpeg"/><Relationship Id="rId75" Type="http://schemas.openxmlformats.org/officeDocument/2006/relationships/image" Target="../media/image76.jpeg"/><Relationship Id="rId140" Type="http://schemas.openxmlformats.org/officeDocument/2006/relationships/image" Target="../media/image141.jpeg"/><Relationship Id="rId182" Type="http://schemas.openxmlformats.org/officeDocument/2006/relationships/image" Target="../media/image183.jpeg"/><Relationship Id="rId6" Type="http://schemas.openxmlformats.org/officeDocument/2006/relationships/image" Target="../media/image7.jpeg"/><Relationship Id="rId238" Type="http://schemas.openxmlformats.org/officeDocument/2006/relationships/image" Target="../media/image239.jpeg"/><Relationship Id="rId291" Type="http://schemas.openxmlformats.org/officeDocument/2006/relationships/image" Target="../media/image291.png"/><Relationship Id="rId305" Type="http://schemas.openxmlformats.org/officeDocument/2006/relationships/image" Target="../media/image305.png"/><Relationship Id="rId44" Type="http://schemas.openxmlformats.org/officeDocument/2006/relationships/image" Target="../media/image45.jpeg"/><Relationship Id="rId86" Type="http://schemas.openxmlformats.org/officeDocument/2006/relationships/image" Target="../media/image87.jpeg"/><Relationship Id="rId151" Type="http://schemas.openxmlformats.org/officeDocument/2006/relationships/image" Target="../media/image152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23.png"/><Relationship Id="rId13" Type="http://schemas.openxmlformats.org/officeDocument/2006/relationships/image" Target="../media/image328.png"/><Relationship Id="rId3" Type="http://schemas.openxmlformats.org/officeDocument/2006/relationships/image" Target="../media/image318.png"/><Relationship Id="rId7" Type="http://schemas.openxmlformats.org/officeDocument/2006/relationships/image" Target="../media/image322.png"/><Relationship Id="rId12" Type="http://schemas.openxmlformats.org/officeDocument/2006/relationships/image" Target="../media/image327.png"/><Relationship Id="rId2" Type="http://schemas.openxmlformats.org/officeDocument/2006/relationships/image" Target="../media/image317.png"/><Relationship Id="rId1" Type="http://schemas.openxmlformats.org/officeDocument/2006/relationships/image" Target="../media/image316.png"/><Relationship Id="rId6" Type="http://schemas.openxmlformats.org/officeDocument/2006/relationships/image" Target="../media/image321.png"/><Relationship Id="rId11" Type="http://schemas.openxmlformats.org/officeDocument/2006/relationships/image" Target="../media/image326.png"/><Relationship Id="rId5" Type="http://schemas.openxmlformats.org/officeDocument/2006/relationships/image" Target="../media/image320.png"/><Relationship Id="rId10" Type="http://schemas.openxmlformats.org/officeDocument/2006/relationships/image" Target="../media/image325.png"/><Relationship Id="rId4" Type="http://schemas.openxmlformats.org/officeDocument/2006/relationships/image" Target="../media/image319.png"/><Relationship Id="rId9" Type="http://schemas.openxmlformats.org/officeDocument/2006/relationships/image" Target="../media/image324.png"/><Relationship Id="rId14" Type="http://schemas.openxmlformats.org/officeDocument/2006/relationships/image" Target="../media/image3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8281</xdr:colOff>
      <xdr:row>3</xdr:row>
      <xdr:rowOff>41413</xdr:rowOff>
    </xdr:from>
    <xdr:to>
      <xdr:col>7</xdr:col>
      <xdr:colOff>165651</xdr:colOff>
      <xdr:row>7</xdr:row>
      <xdr:rowOff>41413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1258955" y="513522"/>
          <a:ext cx="2799522" cy="80341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2000">
            <a:latin typeface="Arial Black" panose="020B0A040201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330941" cy="86677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7775" y="0"/>
          <a:ext cx="4330941" cy="86677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85725</xdr:colOff>
      <xdr:row>76</xdr:row>
      <xdr:rowOff>57150</xdr:rowOff>
    </xdr:from>
    <xdr:to>
      <xdr:col>6</xdr:col>
      <xdr:colOff>1276350</xdr:colOff>
      <xdr:row>76</xdr:row>
      <xdr:rowOff>1247775</xdr:rowOff>
    </xdr:to>
    <xdr:pic>
      <xdr:nvPicPr>
        <xdr:cNvPr id="2" name="Picture 1" descr="Gambar terkait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0125" y="78219300"/>
          <a:ext cx="11906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76200</xdr:colOff>
      <xdr:row>30</xdr:row>
      <xdr:rowOff>66675</xdr:rowOff>
    </xdr:from>
    <xdr:to>
      <xdr:col>6</xdr:col>
      <xdr:colOff>1266825</xdr:colOff>
      <xdr:row>30</xdr:row>
      <xdr:rowOff>1257300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30089475"/>
          <a:ext cx="11906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66675</xdr:colOff>
      <xdr:row>166</xdr:row>
      <xdr:rowOff>209550</xdr:rowOff>
    </xdr:from>
    <xdr:to>
      <xdr:col>6</xdr:col>
      <xdr:colOff>1285875</xdr:colOff>
      <xdr:row>166</xdr:row>
      <xdr:rowOff>1123950</xdr:rowOff>
    </xdr:to>
    <xdr:pic>
      <xdr:nvPicPr>
        <xdr:cNvPr id="6" name="Picture 5" descr="Hasil gambar untuk seng gelombang bjls 30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154028775"/>
          <a:ext cx="12192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57150</xdr:colOff>
      <xdr:row>9</xdr:row>
      <xdr:rowOff>114300</xdr:rowOff>
    </xdr:from>
    <xdr:to>
      <xdr:col>6</xdr:col>
      <xdr:colOff>1295400</xdr:colOff>
      <xdr:row>9</xdr:row>
      <xdr:rowOff>1247775</xdr:rowOff>
    </xdr:to>
    <xdr:pic>
      <xdr:nvPicPr>
        <xdr:cNvPr id="7" name="Picture 6" descr="Gambar terkait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1550" y="6477000"/>
          <a:ext cx="1238250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57150</xdr:colOff>
      <xdr:row>11</xdr:row>
      <xdr:rowOff>66675</xdr:rowOff>
    </xdr:from>
    <xdr:to>
      <xdr:col>6</xdr:col>
      <xdr:colOff>1295400</xdr:colOff>
      <xdr:row>11</xdr:row>
      <xdr:rowOff>1257300</xdr:rowOff>
    </xdr:to>
    <xdr:pic>
      <xdr:nvPicPr>
        <xdr:cNvPr id="8" name="Picture 7" descr="Gambar terkait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8194"/>
        <a:stretch>
          <a:fillRect/>
        </a:stretch>
      </xdr:blipFill>
      <xdr:spPr bwMode="auto">
        <a:xfrm>
          <a:off x="4781550" y="9058275"/>
          <a:ext cx="123825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76200</xdr:colOff>
      <xdr:row>12</xdr:row>
      <xdr:rowOff>57150</xdr:rowOff>
    </xdr:from>
    <xdr:to>
      <xdr:col>6</xdr:col>
      <xdr:colOff>1276350</xdr:colOff>
      <xdr:row>12</xdr:row>
      <xdr:rowOff>1247775</xdr:rowOff>
    </xdr:to>
    <xdr:pic>
      <xdr:nvPicPr>
        <xdr:cNvPr id="9" name="Picture 8" descr="Hasil gambar untuk batu split 1/2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4115"/>
        <a:stretch>
          <a:fillRect/>
        </a:stretch>
      </xdr:blipFill>
      <xdr:spPr bwMode="auto">
        <a:xfrm>
          <a:off x="4800600" y="10363200"/>
          <a:ext cx="120015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57150</xdr:colOff>
      <xdr:row>13</xdr:row>
      <xdr:rowOff>66675</xdr:rowOff>
    </xdr:from>
    <xdr:to>
      <xdr:col>6</xdr:col>
      <xdr:colOff>1295400</xdr:colOff>
      <xdr:row>13</xdr:row>
      <xdr:rowOff>1257300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1623"/>
        <a:stretch>
          <a:fillRect/>
        </a:stretch>
      </xdr:blipFill>
      <xdr:spPr bwMode="auto">
        <a:xfrm>
          <a:off x="4781550" y="11687175"/>
          <a:ext cx="123825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66675</xdr:colOff>
      <xdr:row>14</xdr:row>
      <xdr:rowOff>66675</xdr:rowOff>
    </xdr:from>
    <xdr:to>
      <xdr:col>6</xdr:col>
      <xdr:colOff>1314450</xdr:colOff>
      <xdr:row>14</xdr:row>
      <xdr:rowOff>1257300</xdr:rowOff>
    </xdr:to>
    <xdr:pic>
      <xdr:nvPicPr>
        <xdr:cNvPr id="11" name="Picture 10" descr="Hasil gambar untuk batu split 5/7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1277"/>
        <a:stretch>
          <a:fillRect/>
        </a:stretch>
      </xdr:blipFill>
      <xdr:spPr bwMode="auto">
        <a:xfrm>
          <a:off x="4791075" y="13001625"/>
          <a:ext cx="124777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66675</xdr:colOff>
      <xdr:row>65</xdr:row>
      <xdr:rowOff>66675</xdr:rowOff>
    </xdr:from>
    <xdr:to>
      <xdr:col>6</xdr:col>
      <xdr:colOff>1295400</xdr:colOff>
      <xdr:row>65</xdr:row>
      <xdr:rowOff>1162050</xdr:rowOff>
    </xdr:to>
    <xdr:pic>
      <xdr:nvPicPr>
        <xdr:cNvPr id="12" name="Picture 11" descr="Hasil gambar untuk kaso 5x7 albasiah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41" t="16643" r="28072"/>
        <a:stretch>
          <a:fillRect/>
        </a:stretch>
      </xdr:blipFill>
      <xdr:spPr bwMode="auto">
        <a:xfrm>
          <a:off x="4791075" y="70342125"/>
          <a:ext cx="122872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66675</xdr:colOff>
      <xdr:row>207</xdr:row>
      <xdr:rowOff>66675</xdr:rowOff>
    </xdr:from>
    <xdr:to>
      <xdr:col>6</xdr:col>
      <xdr:colOff>1276350</xdr:colOff>
      <xdr:row>207</xdr:row>
      <xdr:rowOff>1209675</xdr:rowOff>
    </xdr:to>
    <xdr:pic>
      <xdr:nvPicPr>
        <xdr:cNvPr id="13" name="Picture 12" descr="Hasil gambar untuk paku 5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9393"/>
        <a:stretch>
          <a:fillRect/>
        </a:stretch>
      </xdr:blipFill>
      <xdr:spPr bwMode="auto">
        <a:xfrm>
          <a:off x="4791075" y="186251850"/>
          <a:ext cx="120967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47625</xdr:colOff>
      <xdr:row>208</xdr:row>
      <xdr:rowOff>47625</xdr:rowOff>
    </xdr:from>
    <xdr:to>
      <xdr:col>6</xdr:col>
      <xdr:colOff>1314450</xdr:colOff>
      <xdr:row>208</xdr:row>
      <xdr:rowOff>1238250</xdr:rowOff>
    </xdr:to>
    <xdr:pic>
      <xdr:nvPicPr>
        <xdr:cNvPr id="14" name="Picture 13" descr="Gambar terkait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0192"/>
        <a:stretch>
          <a:fillRect/>
        </a:stretch>
      </xdr:blipFill>
      <xdr:spPr bwMode="auto">
        <a:xfrm>
          <a:off x="4772025" y="187547250"/>
          <a:ext cx="12668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142875</xdr:colOff>
      <xdr:row>60</xdr:row>
      <xdr:rowOff>57150</xdr:rowOff>
    </xdr:from>
    <xdr:to>
      <xdr:col>6</xdr:col>
      <xdr:colOff>1114425</xdr:colOff>
      <xdr:row>60</xdr:row>
      <xdr:rowOff>1257300</xdr:rowOff>
    </xdr:to>
    <xdr:pic>
      <xdr:nvPicPr>
        <xdr:cNvPr id="15" name="Picture 14" descr="Avian Zinchromate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64665225"/>
          <a:ext cx="97155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47625</xdr:colOff>
      <xdr:row>75</xdr:row>
      <xdr:rowOff>38100</xdr:rowOff>
    </xdr:from>
    <xdr:to>
      <xdr:col>6</xdr:col>
      <xdr:colOff>1295400</xdr:colOff>
      <xdr:row>75</xdr:row>
      <xdr:rowOff>1285875</xdr:rowOff>
    </xdr:to>
    <xdr:pic>
      <xdr:nvPicPr>
        <xdr:cNvPr id="16" name="Picture 15" descr="Gambar terkait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76885800"/>
          <a:ext cx="1247775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38100</xdr:colOff>
      <xdr:row>66</xdr:row>
      <xdr:rowOff>142875</xdr:rowOff>
    </xdr:from>
    <xdr:to>
      <xdr:col>6</xdr:col>
      <xdr:colOff>1333500</xdr:colOff>
      <xdr:row>66</xdr:row>
      <xdr:rowOff>1209675</xdr:rowOff>
    </xdr:to>
    <xdr:pic>
      <xdr:nvPicPr>
        <xdr:cNvPr id="17" name="Picture 16" descr="Gambar terkait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0" y="71732775"/>
          <a:ext cx="12954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47625</xdr:colOff>
      <xdr:row>157</xdr:row>
      <xdr:rowOff>85725</xdr:rowOff>
    </xdr:from>
    <xdr:to>
      <xdr:col>6</xdr:col>
      <xdr:colOff>1276350</xdr:colOff>
      <xdr:row>157</xdr:row>
      <xdr:rowOff>1219200</xdr:rowOff>
    </xdr:to>
    <xdr:pic>
      <xdr:nvPicPr>
        <xdr:cNvPr id="18" name="Picture 17" descr="plat strip besi, besi plat strip, histeel, gambar plat strip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49" r="23132"/>
        <a:stretch>
          <a:fillRect/>
        </a:stretch>
      </xdr:blipFill>
      <xdr:spPr bwMode="auto">
        <a:xfrm>
          <a:off x="4772025" y="144703800"/>
          <a:ext cx="12287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76200</xdr:colOff>
      <xdr:row>8</xdr:row>
      <xdr:rowOff>47625</xdr:rowOff>
    </xdr:from>
    <xdr:to>
      <xdr:col>6</xdr:col>
      <xdr:colOff>1295400</xdr:colOff>
      <xdr:row>8</xdr:row>
      <xdr:rowOff>1276350</xdr:rowOff>
    </xdr:to>
    <xdr:pic>
      <xdr:nvPicPr>
        <xdr:cNvPr id="19" name="Picture 18" descr="Gambar terkait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66" r="6984"/>
        <a:stretch>
          <a:fillRect/>
        </a:stretch>
      </xdr:blipFill>
      <xdr:spPr bwMode="auto">
        <a:xfrm>
          <a:off x="4800600" y="5095875"/>
          <a:ext cx="12192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47625</xdr:colOff>
      <xdr:row>21</xdr:row>
      <xdr:rowOff>47625</xdr:rowOff>
    </xdr:from>
    <xdr:to>
      <xdr:col>6</xdr:col>
      <xdr:colOff>1295400</xdr:colOff>
      <xdr:row>21</xdr:row>
      <xdr:rowOff>1285875</xdr:rowOff>
    </xdr:to>
    <xdr:pic>
      <xdr:nvPicPr>
        <xdr:cNvPr id="20" name="Picture 19" descr="http://hargadepo.com/wp-content/uploads/2017/04/Harga-batu-bata-merah-terbaru.jpg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2652"/>
        <a:stretch>
          <a:fillRect/>
        </a:stretch>
      </xdr:blipFill>
      <xdr:spPr bwMode="auto">
        <a:xfrm>
          <a:off x="4772025" y="19554825"/>
          <a:ext cx="1247775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66675</xdr:colOff>
      <xdr:row>196</xdr:row>
      <xdr:rowOff>57150</xdr:rowOff>
    </xdr:from>
    <xdr:to>
      <xdr:col>6</xdr:col>
      <xdr:colOff>1285875</xdr:colOff>
      <xdr:row>196</xdr:row>
      <xdr:rowOff>1276350</xdr:rowOff>
    </xdr:to>
    <xdr:pic>
      <xdr:nvPicPr>
        <xdr:cNvPr id="21" name="Picture 20" descr="Gambar terkait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176631600"/>
          <a:ext cx="1219200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66675</xdr:colOff>
      <xdr:row>197</xdr:row>
      <xdr:rowOff>47625</xdr:rowOff>
    </xdr:from>
    <xdr:to>
      <xdr:col>6</xdr:col>
      <xdr:colOff>1285875</xdr:colOff>
      <xdr:row>197</xdr:row>
      <xdr:rowOff>1266825</xdr:rowOff>
    </xdr:to>
    <xdr:pic>
      <xdr:nvPicPr>
        <xdr:cNvPr id="22" name="Picture 21" descr="Gambar terkait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177936525"/>
          <a:ext cx="1219200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47625</xdr:colOff>
      <xdr:row>198</xdr:row>
      <xdr:rowOff>38100</xdr:rowOff>
    </xdr:from>
    <xdr:to>
      <xdr:col>6</xdr:col>
      <xdr:colOff>1295400</xdr:colOff>
      <xdr:row>198</xdr:row>
      <xdr:rowOff>1295400</xdr:rowOff>
    </xdr:to>
    <xdr:pic>
      <xdr:nvPicPr>
        <xdr:cNvPr id="23" name="Picture 22" descr="Hasil gambar untuk harga kaca riben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79241450"/>
          <a:ext cx="124777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108856</xdr:colOff>
      <xdr:row>199</xdr:row>
      <xdr:rowOff>78921</xdr:rowOff>
    </xdr:from>
    <xdr:to>
      <xdr:col>6</xdr:col>
      <xdr:colOff>1268185</xdr:colOff>
      <xdr:row>199</xdr:row>
      <xdr:rowOff>1247100</xdr:rowOff>
    </xdr:to>
    <xdr:pic>
      <xdr:nvPicPr>
        <xdr:cNvPr id="24" name="Picture 23" descr="Hasil gambar untuk harga kaca riben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4142" y="224868921"/>
          <a:ext cx="1159329" cy="11681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68036</xdr:colOff>
      <xdr:row>200</xdr:row>
      <xdr:rowOff>40822</xdr:rowOff>
    </xdr:from>
    <xdr:to>
      <xdr:col>6</xdr:col>
      <xdr:colOff>1302204</xdr:colOff>
      <xdr:row>200</xdr:row>
      <xdr:rowOff>1289146</xdr:rowOff>
    </xdr:to>
    <xdr:pic>
      <xdr:nvPicPr>
        <xdr:cNvPr id="25" name="Picture 24" descr="Gambar terkait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3322" y="226150715"/>
          <a:ext cx="1234168" cy="1248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85725</xdr:colOff>
      <xdr:row>202</xdr:row>
      <xdr:rowOff>47625</xdr:rowOff>
    </xdr:from>
    <xdr:to>
      <xdr:col>6</xdr:col>
      <xdr:colOff>1285875</xdr:colOff>
      <xdr:row>202</xdr:row>
      <xdr:rowOff>1257300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310"/>
        <a:stretch>
          <a:fillRect/>
        </a:stretch>
      </xdr:blipFill>
      <xdr:spPr bwMode="auto">
        <a:xfrm>
          <a:off x="4810125" y="183194325"/>
          <a:ext cx="120015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47625</xdr:colOff>
      <xdr:row>205</xdr:row>
      <xdr:rowOff>38100</xdr:rowOff>
    </xdr:from>
    <xdr:to>
      <xdr:col>6</xdr:col>
      <xdr:colOff>1314450</xdr:colOff>
      <xdr:row>205</xdr:row>
      <xdr:rowOff>1285875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7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6434"/>
        <a:stretch>
          <a:fillRect/>
        </a:stretch>
      </xdr:blipFill>
      <xdr:spPr bwMode="auto">
        <a:xfrm>
          <a:off x="4772025" y="184499250"/>
          <a:ext cx="1266825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76200</xdr:colOff>
      <xdr:row>95</xdr:row>
      <xdr:rowOff>76200</xdr:rowOff>
    </xdr:from>
    <xdr:to>
      <xdr:col>6</xdr:col>
      <xdr:colOff>1304925</xdr:colOff>
      <xdr:row>95</xdr:row>
      <xdr:rowOff>1219200</xdr:rowOff>
    </xdr:to>
    <xdr:pic>
      <xdr:nvPicPr>
        <xdr:cNvPr id="28" name="Picture 27" descr="Gambar terkait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3193"/>
        <a:stretch>
          <a:fillRect/>
        </a:stretch>
      </xdr:blipFill>
      <xdr:spPr bwMode="auto">
        <a:xfrm>
          <a:off x="4800600" y="100088700"/>
          <a:ext cx="122872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76200</xdr:colOff>
      <xdr:row>96</xdr:row>
      <xdr:rowOff>85725</xdr:rowOff>
    </xdr:from>
    <xdr:to>
      <xdr:col>6</xdr:col>
      <xdr:colOff>1304925</xdr:colOff>
      <xdr:row>96</xdr:row>
      <xdr:rowOff>1228725</xdr:rowOff>
    </xdr:to>
    <xdr:pic>
      <xdr:nvPicPr>
        <xdr:cNvPr id="29" name="Picture 28" descr="Gambar terkait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3193"/>
        <a:stretch>
          <a:fillRect/>
        </a:stretch>
      </xdr:blipFill>
      <xdr:spPr bwMode="auto">
        <a:xfrm>
          <a:off x="4800600" y="101412675"/>
          <a:ext cx="122872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76200</xdr:colOff>
      <xdr:row>97</xdr:row>
      <xdr:rowOff>104775</xdr:rowOff>
    </xdr:from>
    <xdr:to>
      <xdr:col>6</xdr:col>
      <xdr:colOff>1304925</xdr:colOff>
      <xdr:row>97</xdr:row>
      <xdr:rowOff>1247775</xdr:rowOff>
    </xdr:to>
    <xdr:pic>
      <xdr:nvPicPr>
        <xdr:cNvPr id="30" name="Picture 29" descr="Gambar terkait">
          <a:extLst>
            <a:ext uri="{FF2B5EF4-FFF2-40B4-BE49-F238E27FC236}">
              <a16:creationId xmlns:a16="http://schemas.microsoft.com/office/drawing/2014/main" id="{00000000-0008-0000-07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3193"/>
        <a:stretch>
          <a:fillRect/>
        </a:stretch>
      </xdr:blipFill>
      <xdr:spPr bwMode="auto">
        <a:xfrm>
          <a:off x="4800600" y="102746175"/>
          <a:ext cx="122872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47625</xdr:colOff>
      <xdr:row>98</xdr:row>
      <xdr:rowOff>57150</xdr:rowOff>
    </xdr:from>
    <xdr:to>
      <xdr:col>6</xdr:col>
      <xdr:colOff>1323975</xdr:colOff>
      <xdr:row>98</xdr:row>
      <xdr:rowOff>1266825</xdr:rowOff>
    </xdr:to>
    <xdr:pic>
      <xdr:nvPicPr>
        <xdr:cNvPr id="31" name="Picture 30" descr="Hasil gambar untuk harga teakwood">
          <a:extLst>
            <a:ext uri="{FF2B5EF4-FFF2-40B4-BE49-F238E27FC236}">
              <a16:creationId xmlns:a16="http://schemas.microsoft.com/office/drawing/2014/main" id="{00000000-0008-0000-07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9641"/>
        <a:stretch>
          <a:fillRect/>
        </a:stretch>
      </xdr:blipFill>
      <xdr:spPr bwMode="auto">
        <a:xfrm>
          <a:off x="4772025" y="104013000"/>
          <a:ext cx="127635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47625</xdr:colOff>
      <xdr:row>99</xdr:row>
      <xdr:rowOff>38100</xdr:rowOff>
    </xdr:from>
    <xdr:to>
      <xdr:col>6</xdr:col>
      <xdr:colOff>1323975</xdr:colOff>
      <xdr:row>99</xdr:row>
      <xdr:rowOff>1247775</xdr:rowOff>
    </xdr:to>
    <xdr:pic>
      <xdr:nvPicPr>
        <xdr:cNvPr id="32" name="Picture 31" descr="Hasil gambar untuk harga teakwood">
          <a:extLst>
            <a:ext uri="{FF2B5EF4-FFF2-40B4-BE49-F238E27FC236}">
              <a16:creationId xmlns:a16="http://schemas.microsoft.com/office/drawing/2014/main" id="{00000000-0008-0000-07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9641"/>
        <a:stretch>
          <a:fillRect/>
        </a:stretch>
      </xdr:blipFill>
      <xdr:spPr bwMode="auto">
        <a:xfrm>
          <a:off x="4772025" y="105308400"/>
          <a:ext cx="127635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85725</xdr:colOff>
      <xdr:row>94</xdr:row>
      <xdr:rowOff>47625</xdr:rowOff>
    </xdr:from>
    <xdr:to>
      <xdr:col>6</xdr:col>
      <xdr:colOff>1314450</xdr:colOff>
      <xdr:row>94</xdr:row>
      <xdr:rowOff>1257300</xdr:rowOff>
    </xdr:to>
    <xdr:pic>
      <xdr:nvPicPr>
        <xdr:cNvPr id="33" name="Picture 32" descr="Gambar terkait">
          <a:extLst>
            <a:ext uri="{FF2B5EF4-FFF2-40B4-BE49-F238E27FC236}">
              <a16:creationId xmlns:a16="http://schemas.microsoft.com/office/drawing/2014/main" id="{00000000-0008-0000-07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9673"/>
        <a:stretch>
          <a:fillRect/>
        </a:stretch>
      </xdr:blipFill>
      <xdr:spPr bwMode="auto">
        <a:xfrm>
          <a:off x="4810125" y="98745675"/>
          <a:ext cx="1228725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66675</xdr:colOff>
      <xdr:row>64</xdr:row>
      <xdr:rowOff>38100</xdr:rowOff>
    </xdr:from>
    <xdr:to>
      <xdr:col>6</xdr:col>
      <xdr:colOff>1323975</xdr:colOff>
      <xdr:row>64</xdr:row>
      <xdr:rowOff>1295400</xdr:rowOff>
    </xdr:to>
    <xdr:pic>
      <xdr:nvPicPr>
        <xdr:cNvPr id="34" name="Picture 33" descr="Gambar terkait">
          <a:extLst>
            <a:ext uri="{FF2B5EF4-FFF2-40B4-BE49-F238E27FC236}">
              <a16:creationId xmlns:a16="http://schemas.microsoft.com/office/drawing/2014/main" id="{00000000-0008-0000-07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68999100"/>
          <a:ext cx="12573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57150</xdr:colOff>
      <xdr:row>80</xdr:row>
      <xdr:rowOff>57150</xdr:rowOff>
    </xdr:from>
    <xdr:to>
      <xdr:col>6</xdr:col>
      <xdr:colOff>1295400</xdr:colOff>
      <xdr:row>80</xdr:row>
      <xdr:rowOff>1266825</xdr:rowOff>
    </xdr:to>
    <xdr:pic>
      <xdr:nvPicPr>
        <xdr:cNvPr id="35" name="Picture 34" descr="Hasil gambar untuk harga tali ijuk">
          <a:extLst>
            <a:ext uri="{FF2B5EF4-FFF2-40B4-BE49-F238E27FC236}">
              <a16:creationId xmlns:a16="http://schemas.microsoft.com/office/drawing/2014/main" id="{00000000-0008-0000-07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870" b="13538"/>
        <a:stretch>
          <a:fillRect/>
        </a:stretch>
      </xdr:blipFill>
      <xdr:spPr bwMode="auto">
        <a:xfrm>
          <a:off x="4781550" y="83477100"/>
          <a:ext cx="123825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47625</xdr:colOff>
      <xdr:row>81</xdr:row>
      <xdr:rowOff>47625</xdr:rowOff>
    </xdr:from>
    <xdr:to>
      <xdr:col>6</xdr:col>
      <xdr:colOff>1314450</xdr:colOff>
      <xdr:row>81</xdr:row>
      <xdr:rowOff>1219200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7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84782025"/>
          <a:ext cx="126682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47625</xdr:colOff>
      <xdr:row>5</xdr:row>
      <xdr:rowOff>38100</xdr:rowOff>
    </xdr:from>
    <xdr:to>
      <xdr:col>6</xdr:col>
      <xdr:colOff>1314450</xdr:colOff>
      <xdr:row>5</xdr:row>
      <xdr:rowOff>1266825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7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748" r="13010"/>
        <a:stretch>
          <a:fillRect/>
        </a:stretch>
      </xdr:blipFill>
      <xdr:spPr bwMode="auto">
        <a:xfrm>
          <a:off x="4772025" y="1143000"/>
          <a:ext cx="1266825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38100</xdr:colOff>
      <xdr:row>6</xdr:row>
      <xdr:rowOff>38100</xdr:rowOff>
    </xdr:from>
    <xdr:to>
      <xdr:col>6</xdr:col>
      <xdr:colOff>1323975</xdr:colOff>
      <xdr:row>6</xdr:row>
      <xdr:rowOff>1257300</xdr:rowOff>
    </xdr:to>
    <xdr:pic>
      <xdr:nvPicPr>
        <xdr:cNvPr id="38" name="Picture 37" descr="Hasil gambar untuk urugan tanah merah campur">
          <a:extLst>
            <a:ext uri="{FF2B5EF4-FFF2-40B4-BE49-F238E27FC236}">
              <a16:creationId xmlns:a16="http://schemas.microsoft.com/office/drawing/2014/main" id="{00000000-0008-0000-07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96" t="25000"/>
        <a:stretch>
          <a:fillRect/>
        </a:stretch>
      </xdr:blipFill>
      <xdr:spPr bwMode="auto">
        <a:xfrm>
          <a:off x="4762500" y="2457450"/>
          <a:ext cx="1285875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47625</xdr:colOff>
      <xdr:row>7</xdr:row>
      <xdr:rowOff>47625</xdr:rowOff>
    </xdr:from>
    <xdr:to>
      <xdr:col>6</xdr:col>
      <xdr:colOff>1295400</xdr:colOff>
      <xdr:row>7</xdr:row>
      <xdr:rowOff>1276350</xdr:rowOff>
    </xdr:to>
    <xdr:pic>
      <xdr:nvPicPr>
        <xdr:cNvPr id="39" name="Picture 38" descr="Hasil gambar untuk pasir sirtu">
          <a:extLst>
            <a:ext uri="{FF2B5EF4-FFF2-40B4-BE49-F238E27FC236}">
              <a16:creationId xmlns:a16="http://schemas.microsoft.com/office/drawing/2014/main" id="{00000000-0008-0000-07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3735"/>
        <a:stretch>
          <a:fillRect/>
        </a:stretch>
      </xdr:blipFill>
      <xdr:spPr bwMode="auto">
        <a:xfrm>
          <a:off x="4772025" y="3781425"/>
          <a:ext cx="1247775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38100</xdr:colOff>
      <xdr:row>10</xdr:row>
      <xdr:rowOff>38100</xdr:rowOff>
    </xdr:from>
    <xdr:to>
      <xdr:col>6</xdr:col>
      <xdr:colOff>1314450</xdr:colOff>
      <xdr:row>10</xdr:row>
      <xdr:rowOff>1257300</xdr:rowOff>
    </xdr:to>
    <xdr:pic>
      <xdr:nvPicPr>
        <xdr:cNvPr id="40" name="Picture 39" descr="Hasil gambar untuk batu aanstamping">
          <a:extLst>
            <a:ext uri="{FF2B5EF4-FFF2-40B4-BE49-F238E27FC236}">
              <a16:creationId xmlns:a16="http://schemas.microsoft.com/office/drawing/2014/main" id="{00000000-0008-0000-07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820"/>
        <a:stretch>
          <a:fillRect/>
        </a:stretch>
      </xdr:blipFill>
      <xdr:spPr bwMode="auto">
        <a:xfrm>
          <a:off x="4762500" y="7715250"/>
          <a:ext cx="1276350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38100</xdr:colOff>
      <xdr:row>256</xdr:row>
      <xdr:rowOff>142875</xdr:rowOff>
    </xdr:from>
    <xdr:to>
      <xdr:col>6</xdr:col>
      <xdr:colOff>1333500</xdr:colOff>
      <xdr:row>256</xdr:row>
      <xdr:rowOff>1114425</xdr:rowOff>
    </xdr:to>
    <xdr:pic>
      <xdr:nvPicPr>
        <xdr:cNvPr id="192" name="Picture 192" descr="Hasil gambar untuk seng gelombang bjls 30">
          <a:extLst>
            <a:ext uri="{FF2B5EF4-FFF2-40B4-BE49-F238E27FC236}">
              <a16:creationId xmlns:a16="http://schemas.microsoft.com/office/drawing/2014/main" id="{00000000-0008-0000-07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0" y="236191425"/>
          <a:ext cx="12954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38100</xdr:colOff>
      <xdr:row>67</xdr:row>
      <xdr:rowOff>142875</xdr:rowOff>
    </xdr:from>
    <xdr:to>
      <xdr:col>6</xdr:col>
      <xdr:colOff>1333500</xdr:colOff>
      <xdr:row>67</xdr:row>
      <xdr:rowOff>1209675</xdr:rowOff>
    </xdr:to>
    <xdr:pic>
      <xdr:nvPicPr>
        <xdr:cNvPr id="254" name="Picture 254" descr="Gambar terkait">
          <a:extLst>
            <a:ext uri="{FF2B5EF4-FFF2-40B4-BE49-F238E27FC236}">
              <a16:creationId xmlns:a16="http://schemas.microsoft.com/office/drawing/2014/main" id="{00000000-0008-0000-07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0" y="73047225"/>
          <a:ext cx="12954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142875</xdr:colOff>
      <xdr:row>60</xdr:row>
      <xdr:rowOff>57150</xdr:rowOff>
    </xdr:from>
    <xdr:to>
      <xdr:col>6</xdr:col>
      <xdr:colOff>1114425</xdr:colOff>
      <xdr:row>60</xdr:row>
      <xdr:rowOff>1257300</xdr:rowOff>
    </xdr:to>
    <xdr:pic>
      <xdr:nvPicPr>
        <xdr:cNvPr id="328" name="Picture 327" descr="Avian Zinchromate">
          <a:extLst>
            <a:ext uri="{FF2B5EF4-FFF2-40B4-BE49-F238E27FC236}">
              <a16:creationId xmlns:a16="http://schemas.microsoft.com/office/drawing/2014/main" id="{00000000-0008-0000-07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2551925"/>
          <a:ext cx="97155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304800</xdr:colOff>
      <xdr:row>19</xdr:row>
      <xdr:rowOff>304800</xdr:rowOff>
    </xdr:to>
    <xdr:sp macro="" textlink="">
      <xdr:nvSpPr>
        <xdr:cNvPr id="1025" name="AutoShape 1" descr="Hasil gambar untuk BATU PARAS JOGJA krem">
          <a:extLst>
            <a:ext uri="{FF2B5EF4-FFF2-40B4-BE49-F238E27FC236}">
              <a16:creationId xmlns:a16="http://schemas.microsoft.com/office/drawing/2014/main" id="{00000000-0008-0000-07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7924800" y="1950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</xdr:col>
      <xdr:colOff>0</xdr:colOff>
      <xdr:row>19</xdr:row>
      <xdr:rowOff>0</xdr:rowOff>
    </xdr:from>
    <xdr:to>
      <xdr:col>13</xdr:col>
      <xdr:colOff>304800</xdr:colOff>
      <xdr:row>19</xdr:row>
      <xdr:rowOff>304800</xdr:rowOff>
    </xdr:to>
    <xdr:sp macro="" textlink="">
      <xdr:nvSpPr>
        <xdr:cNvPr id="1026" name="AutoShape 2" descr="Hasil gambar untuk BATU PARAS JOGJA krem">
          <a:extLst>
            <a:ext uri="{FF2B5EF4-FFF2-40B4-BE49-F238E27FC236}">
              <a16:creationId xmlns:a16="http://schemas.microsoft.com/office/drawing/2014/main" id="{00000000-0008-0000-07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9753600" y="1950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12</xdr:col>
      <xdr:colOff>0</xdr:colOff>
      <xdr:row>342</xdr:row>
      <xdr:rowOff>0</xdr:rowOff>
    </xdr:from>
    <xdr:to>
      <xdr:col>12</xdr:col>
      <xdr:colOff>304800</xdr:colOff>
      <xdr:row>342</xdr:row>
      <xdr:rowOff>304800</xdr:rowOff>
    </xdr:to>
    <xdr:sp macro="" textlink="">
      <xdr:nvSpPr>
        <xdr:cNvPr id="89091" name="AutoShape 3" descr="https://sumberlampu.com/images/stories/virtuemart/product/lampu-60x60-cm-4000k-48-watt-1-sumber-lampu.jpg">
          <a:extLst>
            <a:ext uri="{FF2B5EF4-FFF2-40B4-BE49-F238E27FC236}">
              <a16:creationId xmlns:a16="http://schemas.microsoft.com/office/drawing/2014/main" id="{00000000-0008-0000-0700-0000035C0100}"/>
            </a:ext>
          </a:extLst>
        </xdr:cNvPr>
        <xdr:cNvSpPr>
          <a:spLocks noChangeAspect="1" noChangeArrowheads="1"/>
        </xdr:cNvSpPr>
      </xdr:nvSpPr>
      <xdr:spPr bwMode="auto">
        <a:xfrm>
          <a:off x="9144000" y="414728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38100</xdr:colOff>
      <xdr:row>15</xdr:row>
      <xdr:rowOff>57150</xdr:rowOff>
    </xdr:from>
    <xdr:to>
      <xdr:col>6</xdr:col>
      <xdr:colOff>1323975</xdr:colOff>
      <xdr:row>15</xdr:row>
      <xdr:rowOff>1247775</xdr:rowOff>
    </xdr:to>
    <xdr:pic>
      <xdr:nvPicPr>
        <xdr:cNvPr id="408" name="Picture 407" descr="Hasil gambar untuk harga batu belah pondasi">
          <a:extLst>
            <a:ext uri="{FF2B5EF4-FFF2-40B4-BE49-F238E27FC236}">
              <a16:creationId xmlns:a16="http://schemas.microsoft.com/office/drawing/2014/main" id="{00000000-0008-0000-07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821"/>
        <a:stretch>
          <a:fillRect/>
        </a:stretch>
      </xdr:blipFill>
      <xdr:spPr bwMode="auto">
        <a:xfrm>
          <a:off x="4762500" y="14306550"/>
          <a:ext cx="128587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58153</xdr:colOff>
      <xdr:row>16</xdr:row>
      <xdr:rowOff>90236</xdr:rowOff>
    </xdr:from>
    <xdr:to>
      <xdr:col>6</xdr:col>
      <xdr:colOff>1296403</xdr:colOff>
      <xdr:row>16</xdr:row>
      <xdr:rowOff>1299911</xdr:rowOff>
    </xdr:to>
    <xdr:pic>
      <xdr:nvPicPr>
        <xdr:cNvPr id="421" name="Picture 420" descr="Gambar terkait">
          <a:extLst>
            <a:ext uri="{FF2B5EF4-FFF2-40B4-BE49-F238E27FC236}">
              <a16:creationId xmlns:a16="http://schemas.microsoft.com/office/drawing/2014/main" id="{00000000-0008-0000-07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2678"/>
        <a:stretch>
          <a:fillRect/>
        </a:stretch>
      </xdr:blipFill>
      <xdr:spPr bwMode="auto">
        <a:xfrm>
          <a:off x="4780548" y="15641052"/>
          <a:ext cx="123825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20053</xdr:colOff>
      <xdr:row>17</xdr:row>
      <xdr:rowOff>52136</xdr:rowOff>
    </xdr:from>
    <xdr:to>
      <xdr:col>6</xdr:col>
      <xdr:colOff>1353553</xdr:colOff>
      <xdr:row>17</xdr:row>
      <xdr:rowOff>1290386</xdr:rowOff>
    </xdr:to>
    <xdr:pic>
      <xdr:nvPicPr>
        <xdr:cNvPr id="428" name="Picture 427" descr="Batu Cupang Merah">
          <a:extLst>
            <a:ext uri="{FF2B5EF4-FFF2-40B4-BE49-F238E27FC236}">
              <a16:creationId xmlns:a16="http://schemas.microsoft.com/office/drawing/2014/main" id="{00000000-0008-0000-0700-0000A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42448" y="16916399"/>
          <a:ext cx="133350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48627</xdr:colOff>
      <xdr:row>18</xdr:row>
      <xdr:rowOff>128336</xdr:rowOff>
    </xdr:from>
    <xdr:to>
      <xdr:col>6</xdr:col>
      <xdr:colOff>1325398</xdr:colOff>
      <xdr:row>18</xdr:row>
      <xdr:rowOff>1290386</xdr:rowOff>
    </xdr:to>
    <xdr:pic>
      <xdr:nvPicPr>
        <xdr:cNvPr id="429" name="Picture 428" descr="Hasil gambar untuk BATU PARAS JOGJA krem">
          <a:extLst>
            <a:ext uri="{FF2B5EF4-FFF2-40B4-BE49-F238E27FC236}">
              <a16:creationId xmlns:a16="http://schemas.microsoft.com/office/drawing/2014/main" id="{00000000-0008-0000-0700-0000A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1022" y="18306047"/>
          <a:ext cx="1276771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60158</xdr:colOff>
      <xdr:row>19</xdr:row>
      <xdr:rowOff>50131</xdr:rowOff>
    </xdr:from>
    <xdr:to>
      <xdr:col>6</xdr:col>
      <xdr:colOff>1317458</xdr:colOff>
      <xdr:row>19</xdr:row>
      <xdr:rowOff>1269331</xdr:rowOff>
    </xdr:to>
    <xdr:pic>
      <xdr:nvPicPr>
        <xdr:cNvPr id="430" name="Picture 429" descr="batu koral sikat">
          <a:extLst>
            <a:ext uri="{FF2B5EF4-FFF2-40B4-BE49-F238E27FC236}">
              <a16:creationId xmlns:a16="http://schemas.microsoft.com/office/drawing/2014/main" id="{00000000-0008-0000-07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545" t="62106" r="5122" b="10378"/>
        <a:stretch>
          <a:fillRect/>
        </a:stretch>
      </xdr:blipFill>
      <xdr:spPr bwMode="auto">
        <a:xfrm>
          <a:off x="4782553" y="19541289"/>
          <a:ext cx="1257300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128419</xdr:colOff>
      <xdr:row>20</xdr:row>
      <xdr:rowOff>72357</xdr:rowOff>
    </xdr:from>
    <xdr:to>
      <xdr:col>6</xdr:col>
      <xdr:colOff>1213072</xdr:colOff>
      <xdr:row>20</xdr:row>
      <xdr:rowOff>1255047</xdr:rowOff>
    </xdr:to>
    <xdr:pic>
      <xdr:nvPicPr>
        <xdr:cNvPr id="431" name="Picture 430">
          <a:extLst>
            <a:ext uri="{FF2B5EF4-FFF2-40B4-BE49-F238E27FC236}">
              <a16:creationId xmlns:a16="http://schemas.microsoft.com/office/drawing/2014/main" id="{00000000-0008-0000-0700-0000A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0814" y="20876962"/>
          <a:ext cx="1084653" cy="1182690"/>
        </a:xfrm>
        <a:prstGeom prst="rect">
          <a:avLst/>
        </a:prstGeom>
      </xdr:spPr>
    </xdr:pic>
    <xdr:clientData/>
  </xdr:twoCellAnchor>
  <xdr:twoCellAnchor editAs="oneCell">
    <xdr:from>
      <xdr:col>6</xdr:col>
      <xdr:colOff>70185</xdr:colOff>
      <xdr:row>24</xdr:row>
      <xdr:rowOff>56434</xdr:rowOff>
    </xdr:from>
    <xdr:to>
      <xdr:col>6</xdr:col>
      <xdr:colOff>1327485</xdr:colOff>
      <xdr:row>24</xdr:row>
      <xdr:rowOff>1266109</xdr:rowOff>
    </xdr:to>
    <xdr:pic>
      <xdr:nvPicPr>
        <xdr:cNvPr id="432" name="Picture 431" descr="Hasil gambar untuk bata ringan">
          <a:extLst>
            <a:ext uri="{FF2B5EF4-FFF2-40B4-BE49-F238E27FC236}">
              <a16:creationId xmlns:a16="http://schemas.microsoft.com/office/drawing/2014/main" id="{00000000-0008-0000-0700-0000B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2580" y="26114829"/>
          <a:ext cx="12573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70185</xdr:colOff>
      <xdr:row>23</xdr:row>
      <xdr:rowOff>56434</xdr:rowOff>
    </xdr:from>
    <xdr:to>
      <xdr:col>6</xdr:col>
      <xdr:colOff>1327485</xdr:colOff>
      <xdr:row>23</xdr:row>
      <xdr:rowOff>1266109</xdr:rowOff>
    </xdr:to>
    <xdr:pic>
      <xdr:nvPicPr>
        <xdr:cNvPr id="433" name="Picture 432" descr="Hasil gambar untuk bata ringan">
          <a:extLst>
            <a:ext uri="{FF2B5EF4-FFF2-40B4-BE49-F238E27FC236}">
              <a16:creationId xmlns:a16="http://schemas.microsoft.com/office/drawing/2014/main" id="{00000000-0008-0000-07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2580" y="24801381"/>
          <a:ext cx="12573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104204</xdr:colOff>
      <xdr:row>22</xdr:row>
      <xdr:rowOff>40106</xdr:rowOff>
    </xdr:from>
    <xdr:to>
      <xdr:col>6</xdr:col>
      <xdr:colOff>1356060</xdr:colOff>
      <xdr:row>22</xdr:row>
      <xdr:rowOff>1296999</xdr:rowOff>
    </xdr:to>
    <xdr:pic>
      <xdr:nvPicPr>
        <xdr:cNvPr id="434" name="Picture 433">
          <a:extLst>
            <a:ext uri="{FF2B5EF4-FFF2-40B4-BE49-F238E27FC236}">
              <a16:creationId xmlns:a16="http://schemas.microsoft.com/office/drawing/2014/main" id="{00000000-0008-0000-0700-0000B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4826599" y="23471606"/>
          <a:ext cx="1251856" cy="1256893"/>
        </a:xfrm>
        <a:prstGeom prst="rect">
          <a:avLst/>
        </a:prstGeom>
      </xdr:spPr>
    </xdr:pic>
    <xdr:clientData/>
  </xdr:twoCellAnchor>
  <xdr:twoCellAnchor editAs="oneCell">
    <xdr:from>
      <xdr:col>6</xdr:col>
      <xdr:colOff>146385</xdr:colOff>
      <xdr:row>25</xdr:row>
      <xdr:rowOff>30079</xdr:rowOff>
    </xdr:from>
    <xdr:to>
      <xdr:col>6</xdr:col>
      <xdr:colOff>1270335</xdr:colOff>
      <xdr:row>25</xdr:row>
      <xdr:rowOff>1268329</xdr:rowOff>
    </xdr:to>
    <xdr:pic>
      <xdr:nvPicPr>
        <xdr:cNvPr id="435" name="Picture 434" descr="gallery">
          <a:extLst>
            <a:ext uri="{FF2B5EF4-FFF2-40B4-BE49-F238E27FC236}">
              <a16:creationId xmlns:a16="http://schemas.microsoft.com/office/drawing/2014/main" id="{00000000-0008-0000-07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8780" y="27401921"/>
          <a:ext cx="112395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89235</xdr:colOff>
      <xdr:row>26</xdr:row>
      <xdr:rowOff>96754</xdr:rowOff>
    </xdr:from>
    <xdr:to>
      <xdr:col>6</xdr:col>
      <xdr:colOff>1289385</xdr:colOff>
      <xdr:row>26</xdr:row>
      <xdr:rowOff>1182604</xdr:rowOff>
    </xdr:to>
    <xdr:pic>
      <xdr:nvPicPr>
        <xdr:cNvPr id="436" name="Picture 435" descr="Hasil gambar untuk harga grass block">
          <a:extLst>
            <a:ext uri="{FF2B5EF4-FFF2-40B4-BE49-F238E27FC236}">
              <a16:creationId xmlns:a16="http://schemas.microsoft.com/office/drawing/2014/main" id="{00000000-0008-0000-07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292" t="41580" r="68506" b="33412"/>
        <a:stretch>
          <a:fillRect/>
        </a:stretch>
      </xdr:blipFill>
      <xdr:spPr bwMode="auto">
        <a:xfrm>
          <a:off x="4811630" y="28782043"/>
          <a:ext cx="120015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70185</xdr:colOff>
      <xdr:row>27</xdr:row>
      <xdr:rowOff>20554</xdr:rowOff>
    </xdr:from>
    <xdr:to>
      <xdr:col>6</xdr:col>
      <xdr:colOff>1327485</xdr:colOff>
      <xdr:row>27</xdr:row>
      <xdr:rowOff>1277854</xdr:rowOff>
    </xdr:to>
    <xdr:pic>
      <xdr:nvPicPr>
        <xdr:cNvPr id="437" name="Picture 436" descr="Gambar terkait">
          <a:extLst>
            <a:ext uri="{FF2B5EF4-FFF2-40B4-BE49-F238E27FC236}">
              <a16:creationId xmlns:a16="http://schemas.microsoft.com/office/drawing/2014/main" id="{00000000-0008-0000-0700-0000B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2580" y="30019291"/>
          <a:ext cx="12573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80211</xdr:colOff>
      <xdr:row>28</xdr:row>
      <xdr:rowOff>50131</xdr:rowOff>
    </xdr:from>
    <xdr:to>
      <xdr:col>6</xdr:col>
      <xdr:colOff>1327986</xdr:colOff>
      <xdr:row>28</xdr:row>
      <xdr:rowOff>1297906</xdr:rowOff>
    </xdr:to>
    <xdr:pic>
      <xdr:nvPicPr>
        <xdr:cNvPr id="438" name="Picture 437" descr="Gambar terkait">
          <a:extLst>
            <a:ext uri="{FF2B5EF4-FFF2-40B4-BE49-F238E27FC236}">
              <a16:creationId xmlns:a16="http://schemas.microsoft.com/office/drawing/2014/main" id="{00000000-0008-0000-0700-0000B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2606" y="31362315"/>
          <a:ext cx="1247775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90237</xdr:colOff>
      <xdr:row>32</xdr:row>
      <xdr:rowOff>62163</xdr:rowOff>
    </xdr:from>
    <xdr:to>
      <xdr:col>6</xdr:col>
      <xdr:colOff>1299912</xdr:colOff>
      <xdr:row>32</xdr:row>
      <xdr:rowOff>1271838</xdr:rowOff>
    </xdr:to>
    <xdr:pic>
      <xdr:nvPicPr>
        <xdr:cNvPr id="439" name="Picture 438" descr="Hasil gambar untuk ready mix">
          <a:extLst>
            <a:ext uri="{FF2B5EF4-FFF2-40B4-BE49-F238E27FC236}">
              <a16:creationId xmlns:a16="http://schemas.microsoft.com/office/drawing/2014/main" id="{00000000-0008-0000-07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2632" y="36628137"/>
          <a:ext cx="1209675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90237</xdr:colOff>
      <xdr:row>33</xdr:row>
      <xdr:rowOff>81213</xdr:rowOff>
    </xdr:from>
    <xdr:to>
      <xdr:col>6</xdr:col>
      <xdr:colOff>1299912</xdr:colOff>
      <xdr:row>33</xdr:row>
      <xdr:rowOff>1290888</xdr:rowOff>
    </xdr:to>
    <xdr:pic>
      <xdr:nvPicPr>
        <xdr:cNvPr id="440" name="Picture 439" descr="Hasil gambar untuk ready mix">
          <a:extLst>
            <a:ext uri="{FF2B5EF4-FFF2-40B4-BE49-F238E27FC236}">
              <a16:creationId xmlns:a16="http://schemas.microsoft.com/office/drawing/2014/main" id="{00000000-0008-0000-0700-0000B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2632" y="37960634"/>
          <a:ext cx="1209675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166437</xdr:colOff>
      <xdr:row>31</xdr:row>
      <xdr:rowOff>100263</xdr:rowOff>
    </xdr:from>
    <xdr:to>
      <xdr:col>6</xdr:col>
      <xdr:colOff>1328487</xdr:colOff>
      <xdr:row>31</xdr:row>
      <xdr:rowOff>1262313</xdr:rowOff>
    </xdr:to>
    <xdr:pic>
      <xdr:nvPicPr>
        <xdr:cNvPr id="441" name="Picture 265" descr="https://ecs7.tokopedia.net/img/cache/700/product-1/2017/10/28/6377663/6377663_7c78568b-f2c4-4ed1-9ed0-20b1ead64927_300_300.png">
          <a:extLst>
            <a:ext uri="{FF2B5EF4-FFF2-40B4-BE49-F238E27FC236}">
              <a16:creationId xmlns:a16="http://schemas.microsoft.com/office/drawing/2014/main" id="{00000000-0008-0000-0700-0000B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8832" y="35352789"/>
          <a:ext cx="1162050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84604</xdr:colOff>
      <xdr:row>34</xdr:row>
      <xdr:rowOff>56030</xdr:rowOff>
    </xdr:from>
    <xdr:to>
      <xdr:col>6</xdr:col>
      <xdr:colOff>1294279</xdr:colOff>
      <xdr:row>34</xdr:row>
      <xdr:rowOff>1265705</xdr:rowOff>
    </xdr:to>
    <xdr:pic>
      <xdr:nvPicPr>
        <xdr:cNvPr id="442" name="Picture 441" descr="Hasil gambar untuk ready mix">
          <a:extLst>
            <a:ext uri="{FF2B5EF4-FFF2-40B4-BE49-F238E27FC236}">
              <a16:creationId xmlns:a16="http://schemas.microsoft.com/office/drawing/2014/main" id="{00000000-0008-0000-07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2280" y="39186971"/>
          <a:ext cx="1209675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84604</xdr:colOff>
      <xdr:row>36</xdr:row>
      <xdr:rowOff>56030</xdr:rowOff>
    </xdr:from>
    <xdr:to>
      <xdr:col>6</xdr:col>
      <xdr:colOff>1294279</xdr:colOff>
      <xdr:row>36</xdr:row>
      <xdr:rowOff>1265705</xdr:rowOff>
    </xdr:to>
    <xdr:pic>
      <xdr:nvPicPr>
        <xdr:cNvPr id="443" name="Picture 442" descr="Hasil gambar untuk ready mix">
          <a:extLst>
            <a:ext uri="{FF2B5EF4-FFF2-40B4-BE49-F238E27FC236}">
              <a16:creationId xmlns:a16="http://schemas.microsoft.com/office/drawing/2014/main" id="{00000000-0008-0000-0700-0000B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2280" y="41809148"/>
          <a:ext cx="1209675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84604</xdr:colOff>
      <xdr:row>35</xdr:row>
      <xdr:rowOff>56030</xdr:rowOff>
    </xdr:from>
    <xdr:to>
      <xdr:col>6</xdr:col>
      <xdr:colOff>1294279</xdr:colOff>
      <xdr:row>35</xdr:row>
      <xdr:rowOff>1265705</xdr:rowOff>
    </xdr:to>
    <xdr:pic>
      <xdr:nvPicPr>
        <xdr:cNvPr id="444" name="Picture 255" descr="Hasil gambar untuk ready mix">
          <a:extLst>
            <a:ext uri="{FF2B5EF4-FFF2-40B4-BE49-F238E27FC236}">
              <a16:creationId xmlns:a16="http://schemas.microsoft.com/office/drawing/2014/main" id="{00000000-0008-0000-0700-0000B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2280" y="40498059"/>
          <a:ext cx="1209675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56029</xdr:colOff>
      <xdr:row>37</xdr:row>
      <xdr:rowOff>94130</xdr:rowOff>
    </xdr:from>
    <xdr:to>
      <xdr:col>7</xdr:col>
      <xdr:colOff>12886</xdr:colOff>
      <xdr:row>37</xdr:row>
      <xdr:rowOff>1084730</xdr:rowOff>
    </xdr:to>
    <xdr:pic>
      <xdr:nvPicPr>
        <xdr:cNvPr id="445" name="Picture 256" descr="Gambar terkait">
          <a:extLst>
            <a:ext uri="{FF2B5EF4-FFF2-40B4-BE49-F238E27FC236}">
              <a16:creationId xmlns:a16="http://schemas.microsoft.com/office/drawing/2014/main" id="{00000000-0008-0000-07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3705" y="43158336"/>
          <a:ext cx="1323975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75079</xdr:colOff>
      <xdr:row>38</xdr:row>
      <xdr:rowOff>33618</xdr:rowOff>
    </xdr:from>
    <xdr:to>
      <xdr:col>6</xdr:col>
      <xdr:colOff>1303804</xdr:colOff>
      <xdr:row>38</xdr:row>
      <xdr:rowOff>1262343</xdr:rowOff>
    </xdr:to>
    <xdr:pic>
      <xdr:nvPicPr>
        <xdr:cNvPr id="446" name="Picture 445" descr="Hasil gambar untuk semen warna am">
          <a:extLst>
            <a:ext uri="{FF2B5EF4-FFF2-40B4-BE49-F238E27FC236}">
              <a16:creationId xmlns:a16="http://schemas.microsoft.com/office/drawing/2014/main" id="{00000000-0008-0000-07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028" b="19896"/>
        <a:stretch>
          <a:fillRect/>
        </a:stretch>
      </xdr:blipFill>
      <xdr:spPr bwMode="auto">
        <a:xfrm>
          <a:off x="4792755" y="44408912"/>
          <a:ext cx="1228725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56029</xdr:colOff>
      <xdr:row>39</xdr:row>
      <xdr:rowOff>52668</xdr:rowOff>
    </xdr:from>
    <xdr:to>
      <xdr:col>6</xdr:col>
      <xdr:colOff>1322854</xdr:colOff>
      <xdr:row>39</xdr:row>
      <xdr:rowOff>1252818</xdr:rowOff>
    </xdr:to>
    <xdr:pic>
      <xdr:nvPicPr>
        <xdr:cNvPr id="447" name="Picture 446" descr="Gambar terkait">
          <a:extLst>
            <a:ext uri="{FF2B5EF4-FFF2-40B4-BE49-F238E27FC236}">
              <a16:creationId xmlns:a16="http://schemas.microsoft.com/office/drawing/2014/main" id="{00000000-0008-0000-07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000" r="20526"/>
        <a:stretch>
          <a:fillRect/>
        </a:stretch>
      </xdr:blipFill>
      <xdr:spPr bwMode="auto">
        <a:xfrm>
          <a:off x="4773705" y="45739050"/>
          <a:ext cx="12668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65554</xdr:colOff>
      <xdr:row>40</xdr:row>
      <xdr:rowOff>52668</xdr:rowOff>
    </xdr:from>
    <xdr:to>
      <xdr:col>6</xdr:col>
      <xdr:colOff>1313329</xdr:colOff>
      <xdr:row>40</xdr:row>
      <xdr:rowOff>1214718</xdr:rowOff>
    </xdr:to>
    <xdr:pic>
      <xdr:nvPicPr>
        <xdr:cNvPr id="448" name="Picture 447" descr="Hasil gambar untuk harga beton decking">
          <a:extLst>
            <a:ext uri="{FF2B5EF4-FFF2-40B4-BE49-F238E27FC236}">
              <a16:creationId xmlns:a16="http://schemas.microsoft.com/office/drawing/2014/main" id="{00000000-0008-0000-07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9795"/>
        <a:stretch>
          <a:fillRect/>
        </a:stretch>
      </xdr:blipFill>
      <xdr:spPr bwMode="auto">
        <a:xfrm>
          <a:off x="4783230" y="47050139"/>
          <a:ext cx="124777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33618</xdr:colOff>
      <xdr:row>41</xdr:row>
      <xdr:rowOff>44823</xdr:rowOff>
    </xdr:from>
    <xdr:to>
      <xdr:col>6</xdr:col>
      <xdr:colOff>1329018</xdr:colOff>
      <xdr:row>41</xdr:row>
      <xdr:rowOff>1251640</xdr:rowOff>
    </xdr:to>
    <xdr:pic>
      <xdr:nvPicPr>
        <xdr:cNvPr id="449" name="Picture 448">
          <a:extLst>
            <a:ext uri="{FF2B5EF4-FFF2-40B4-BE49-F238E27FC236}">
              <a16:creationId xmlns:a16="http://schemas.microsoft.com/office/drawing/2014/main" id="{00000000-0008-0000-07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51294" y="48353382"/>
          <a:ext cx="1295400" cy="1206817"/>
        </a:xfrm>
        <a:prstGeom prst="rect">
          <a:avLst/>
        </a:prstGeom>
      </xdr:spPr>
    </xdr:pic>
    <xdr:clientData/>
  </xdr:twoCellAnchor>
  <xdr:twoCellAnchor editAs="oneCell">
    <xdr:from>
      <xdr:col>6</xdr:col>
      <xdr:colOff>78441</xdr:colOff>
      <xdr:row>42</xdr:row>
      <xdr:rowOff>56029</xdr:rowOff>
    </xdr:from>
    <xdr:to>
      <xdr:col>6</xdr:col>
      <xdr:colOff>1302441</xdr:colOff>
      <xdr:row>42</xdr:row>
      <xdr:rowOff>1280029</xdr:rowOff>
    </xdr:to>
    <xdr:pic>
      <xdr:nvPicPr>
        <xdr:cNvPr id="450" name="Picture 449">
          <a:extLst>
            <a:ext uri="{FF2B5EF4-FFF2-40B4-BE49-F238E27FC236}">
              <a16:creationId xmlns:a16="http://schemas.microsoft.com/office/drawing/2014/main" id="{00000000-0008-0000-0700-0000C2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2"/>
        <a:srcRect t="303" b="303"/>
        <a:stretch/>
      </xdr:blipFill>
      <xdr:spPr>
        <a:xfrm>
          <a:off x="4796117" y="49675676"/>
          <a:ext cx="1224000" cy="12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288552</xdr:colOff>
      <xdr:row>50</xdr:row>
      <xdr:rowOff>68916</xdr:rowOff>
    </xdr:from>
    <xdr:to>
      <xdr:col>6</xdr:col>
      <xdr:colOff>1107702</xdr:colOff>
      <xdr:row>50</xdr:row>
      <xdr:rowOff>1278591</xdr:rowOff>
    </xdr:to>
    <xdr:pic>
      <xdr:nvPicPr>
        <xdr:cNvPr id="456" name="Picture 455" descr="https://tokocatlancar.co.id/img_produk/20170809012026.png">
          <a:extLst>
            <a:ext uri="{FF2B5EF4-FFF2-40B4-BE49-F238E27FC236}">
              <a16:creationId xmlns:a16="http://schemas.microsoft.com/office/drawing/2014/main" id="{00000000-0008-0000-0700-0000C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99" t="7623" r="21501" b="7259"/>
        <a:stretch>
          <a:fillRect/>
        </a:stretch>
      </xdr:blipFill>
      <xdr:spPr bwMode="auto">
        <a:xfrm>
          <a:off x="5006228" y="57969710"/>
          <a:ext cx="81915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67235</xdr:colOff>
      <xdr:row>53</xdr:row>
      <xdr:rowOff>45384</xdr:rowOff>
    </xdr:from>
    <xdr:to>
      <xdr:col>6</xdr:col>
      <xdr:colOff>1334060</xdr:colOff>
      <xdr:row>53</xdr:row>
      <xdr:rowOff>1274109</xdr:rowOff>
    </xdr:to>
    <xdr:pic>
      <xdr:nvPicPr>
        <xdr:cNvPr id="457" name="Picture 456" descr="https://tokocatlancar.co.id/img_produk/20170411020829.png">
          <a:extLst>
            <a:ext uri="{FF2B5EF4-FFF2-40B4-BE49-F238E27FC236}">
              <a16:creationId xmlns:a16="http://schemas.microsoft.com/office/drawing/2014/main" id="{00000000-0008-0000-0700-0000C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12" t="6500" r="8005" b="6985"/>
        <a:stretch>
          <a:fillRect/>
        </a:stretch>
      </xdr:blipFill>
      <xdr:spPr bwMode="auto">
        <a:xfrm>
          <a:off x="4784911" y="61879443"/>
          <a:ext cx="1266825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267260</xdr:colOff>
      <xdr:row>51</xdr:row>
      <xdr:rowOff>112059</xdr:rowOff>
    </xdr:from>
    <xdr:to>
      <xdr:col>6</xdr:col>
      <xdr:colOff>1105460</xdr:colOff>
      <xdr:row>51</xdr:row>
      <xdr:rowOff>1245534</xdr:rowOff>
    </xdr:to>
    <xdr:pic>
      <xdr:nvPicPr>
        <xdr:cNvPr id="458" name="Picture 257" descr="https://ecs7.tokopedia.net/img/cache/300/product-1/2017/10/2/0/0_d203e3ce-cb9a-4c57-aee1-2e05d0296569_700_943.jpg">
          <a:extLst>
            <a:ext uri="{FF2B5EF4-FFF2-40B4-BE49-F238E27FC236}">
              <a16:creationId xmlns:a16="http://schemas.microsoft.com/office/drawing/2014/main" id="{00000000-0008-0000-0700-0000C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4936" y="59323941"/>
          <a:ext cx="838200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67235</xdr:colOff>
      <xdr:row>52</xdr:row>
      <xdr:rowOff>35859</xdr:rowOff>
    </xdr:from>
    <xdr:to>
      <xdr:col>6</xdr:col>
      <xdr:colOff>1343585</xdr:colOff>
      <xdr:row>53</xdr:row>
      <xdr:rowOff>1121</xdr:rowOff>
    </xdr:to>
    <xdr:pic>
      <xdr:nvPicPr>
        <xdr:cNvPr id="459" name="Picture 258">
          <a:extLst>
            <a:ext uri="{FF2B5EF4-FFF2-40B4-BE49-F238E27FC236}">
              <a16:creationId xmlns:a16="http://schemas.microsoft.com/office/drawing/2014/main" id="{00000000-0008-0000-07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4911" y="60558830"/>
          <a:ext cx="1276350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86285</xdr:colOff>
      <xdr:row>54</xdr:row>
      <xdr:rowOff>123265</xdr:rowOff>
    </xdr:from>
    <xdr:to>
      <xdr:col>6</xdr:col>
      <xdr:colOff>1267385</xdr:colOff>
      <xdr:row>54</xdr:row>
      <xdr:rowOff>1237690</xdr:rowOff>
    </xdr:to>
    <xdr:pic>
      <xdr:nvPicPr>
        <xdr:cNvPr id="460" name="Picture 459" descr="https://tokocatlancar.co.id/img_produk/20170411020933.png">
          <a:extLst>
            <a:ext uri="{FF2B5EF4-FFF2-40B4-BE49-F238E27FC236}">
              <a16:creationId xmlns:a16="http://schemas.microsoft.com/office/drawing/2014/main" id="{00000000-0008-0000-0700-0000C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658" b="1718"/>
        <a:stretch>
          <a:fillRect/>
        </a:stretch>
      </xdr:blipFill>
      <xdr:spPr bwMode="auto">
        <a:xfrm>
          <a:off x="4803961" y="63268412"/>
          <a:ext cx="1181100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105335</xdr:colOff>
      <xdr:row>55</xdr:row>
      <xdr:rowOff>132790</xdr:rowOff>
    </xdr:from>
    <xdr:to>
      <xdr:col>6</xdr:col>
      <xdr:colOff>1295960</xdr:colOff>
      <xdr:row>55</xdr:row>
      <xdr:rowOff>1304365</xdr:rowOff>
    </xdr:to>
    <xdr:pic>
      <xdr:nvPicPr>
        <xdr:cNvPr id="461" name="Picture 460" descr="https://tokocatlancar.co.id/img_produk/20170411020921.png">
          <a:extLst>
            <a:ext uri="{FF2B5EF4-FFF2-40B4-BE49-F238E27FC236}">
              <a16:creationId xmlns:a16="http://schemas.microsoft.com/office/drawing/2014/main" id="{00000000-0008-0000-0700-0000C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51" t="24724" r="8888"/>
        <a:stretch>
          <a:fillRect/>
        </a:stretch>
      </xdr:blipFill>
      <xdr:spPr bwMode="auto">
        <a:xfrm>
          <a:off x="4823011" y="64589025"/>
          <a:ext cx="119062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44823</xdr:colOff>
      <xdr:row>56</xdr:row>
      <xdr:rowOff>48186</xdr:rowOff>
    </xdr:from>
    <xdr:to>
      <xdr:col>6</xdr:col>
      <xdr:colOff>1273548</xdr:colOff>
      <xdr:row>56</xdr:row>
      <xdr:rowOff>1276911</xdr:rowOff>
    </xdr:to>
    <xdr:pic>
      <xdr:nvPicPr>
        <xdr:cNvPr id="462" name="Picture 461" descr="https://tokocatlancar.co.id/img_produk/20170411033217.png">
          <a:extLst>
            <a:ext uri="{FF2B5EF4-FFF2-40B4-BE49-F238E27FC236}">
              <a16:creationId xmlns:a16="http://schemas.microsoft.com/office/drawing/2014/main" id="{00000000-0008-0000-0700-0000C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499" y="65815510"/>
          <a:ext cx="1228725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44824</xdr:colOff>
      <xdr:row>57</xdr:row>
      <xdr:rowOff>56029</xdr:rowOff>
    </xdr:from>
    <xdr:to>
      <xdr:col>6</xdr:col>
      <xdr:colOff>1254499</xdr:colOff>
      <xdr:row>57</xdr:row>
      <xdr:rowOff>1275229</xdr:rowOff>
    </xdr:to>
    <xdr:pic>
      <xdr:nvPicPr>
        <xdr:cNvPr id="463" name="Picture 462" descr="https://tokocatlancar.co.id/img_produk/20170411034705.png">
          <a:extLst>
            <a:ext uri="{FF2B5EF4-FFF2-40B4-BE49-F238E27FC236}">
              <a16:creationId xmlns:a16="http://schemas.microsoft.com/office/drawing/2014/main" id="{00000000-0008-0000-0700-0000C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0" y="67134441"/>
          <a:ext cx="1209675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82924</xdr:colOff>
      <xdr:row>58</xdr:row>
      <xdr:rowOff>84604</xdr:rowOff>
    </xdr:from>
    <xdr:to>
      <xdr:col>6</xdr:col>
      <xdr:colOff>1254499</xdr:colOff>
      <xdr:row>58</xdr:row>
      <xdr:rowOff>1265704</xdr:rowOff>
    </xdr:to>
    <xdr:pic>
      <xdr:nvPicPr>
        <xdr:cNvPr id="464" name="Picture 463" descr="https://tokocatlancar.co.id/img_produk/20170411034443.png">
          <a:extLst>
            <a:ext uri="{FF2B5EF4-FFF2-40B4-BE49-F238E27FC236}">
              <a16:creationId xmlns:a16="http://schemas.microsoft.com/office/drawing/2014/main" id="{00000000-0008-0000-0700-0000D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68474104"/>
          <a:ext cx="1171575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54349</xdr:colOff>
      <xdr:row>59</xdr:row>
      <xdr:rowOff>75079</xdr:rowOff>
    </xdr:from>
    <xdr:to>
      <xdr:col>6</xdr:col>
      <xdr:colOff>1292599</xdr:colOff>
      <xdr:row>59</xdr:row>
      <xdr:rowOff>1237129</xdr:rowOff>
    </xdr:to>
    <xdr:pic>
      <xdr:nvPicPr>
        <xdr:cNvPr id="465" name="Picture 464" descr="AMPLAS KASAR LEMBARAN EAGLE NO 60 80 100 / AMPLAS KERTAS - 1">
          <a:extLst>
            <a:ext uri="{FF2B5EF4-FFF2-40B4-BE49-F238E27FC236}">
              <a16:creationId xmlns:a16="http://schemas.microsoft.com/office/drawing/2014/main" id="{00000000-0008-0000-0700-0000D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8116" b="13593"/>
        <a:stretch>
          <a:fillRect/>
        </a:stretch>
      </xdr:blipFill>
      <xdr:spPr bwMode="auto">
        <a:xfrm>
          <a:off x="4772025" y="69775667"/>
          <a:ext cx="1238250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89647</xdr:colOff>
      <xdr:row>61</xdr:row>
      <xdr:rowOff>67236</xdr:rowOff>
    </xdr:from>
    <xdr:to>
      <xdr:col>6</xdr:col>
      <xdr:colOff>1242172</xdr:colOff>
      <xdr:row>61</xdr:row>
      <xdr:rowOff>1219761</xdr:rowOff>
    </xdr:to>
    <xdr:pic>
      <xdr:nvPicPr>
        <xdr:cNvPr id="466" name="Picture 465" descr="https://tokocatlancar.co.id/img_produk/20170411113630.png">
          <a:extLst>
            <a:ext uri="{FF2B5EF4-FFF2-40B4-BE49-F238E27FC236}">
              <a16:creationId xmlns:a16="http://schemas.microsoft.com/office/drawing/2014/main" id="{00000000-0008-0000-0700-0000D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7323" y="72390001"/>
          <a:ext cx="1152525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89647</xdr:colOff>
      <xdr:row>62</xdr:row>
      <xdr:rowOff>67236</xdr:rowOff>
    </xdr:from>
    <xdr:to>
      <xdr:col>6</xdr:col>
      <xdr:colOff>1242172</xdr:colOff>
      <xdr:row>62</xdr:row>
      <xdr:rowOff>1219761</xdr:rowOff>
    </xdr:to>
    <xdr:pic>
      <xdr:nvPicPr>
        <xdr:cNvPr id="467" name="Picture 466" descr="https://tokocatlancar.co.id/img_produk/20170411113630.png">
          <a:extLst>
            <a:ext uri="{FF2B5EF4-FFF2-40B4-BE49-F238E27FC236}">
              <a16:creationId xmlns:a16="http://schemas.microsoft.com/office/drawing/2014/main" id="{00000000-0008-0000-0700-0000D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7323" y="73701089"/>
          <a:ext cx="1152525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67235</xdr:colOff>
      <xdr:row>68</xdr:row>
      <xdr:rowOff>201706</xdr:rowOff>
    </xdr:from>
    <xdr:to>
      <xdr:col>6</xdr:col>
      <xdr:colOff>1324535</xdr:colOff>
      <xdr:row>68</xdr:row>
      <xdr:rowOff>1087531</xdr:rowOff>
    </xdr:to>
    <xdr:pic>
      <xdr:nvPicPr>
        <xdr:cNvPr id="468" name="Picture 260">
          <a:extLst>
            <a:ext uri="{FF2B5EF4-FFF2-40B4-BE49-F238E27FC236}">
              <a16:creationId xmlns:a16="http://schemas.microsoft.com/office/drawing/2014/main" id="{00000000-0008-0000-07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4911" y="80805618"/>
          <a:ext cx="12573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56029</xdr:colOff>
      <xdr:row>70</xdr:row>
      <xdr:rowOff>212912</xdr:rowOff>
    </xdr:from>
    <xdr:to>
      <xdr:col>6</xdr:col>
      <xdr:colOff>1360954</xdr:colOff>
      <xdr:row>70</xdr:row>
      <xdr:rowOff>1184462</xdr:rowOff>
    </xdr:to>
    <xdr:pic>
      <xdr:nvPicPr>
        <xdr:cNvPr id="470" name="Picture 261" descr="Hasil gambar untuk papan kayu kamper samarinda">
          <a:extLst>
            <a:ext uri="{FF2B5EF4-FFF2-40B4-BE49-F238E27FC236}">
              <a16:creationId xmlns:a16="http://schemas.microsoft.com/office/drawing/2014/main" id="{00000000-0008-0000-07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3705" y="84750088"/>
          <a:ext cx="1304925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44824</xdr:colOff>
      <xdr:row>69</xdr:row>
      <xdr:rowOff>212912</xdr:rowOff>
    </xdr:from>
    <xdr:to>
      <xdr:col>6</xdr:col>
      <xdr:colOff>1349749</xdr:colOff>
      <xdr:row>69</xdr:row>
      <xdr:rowOff>1184462</xdr:rowOff>
    </xdr:to>
    <xdr:pic>
      <xdr:nvPicPr>
        <xdr:cNvPr id="471" name="Picture 261" descr="Hasil gambar untuk papan kayu kamper samarinda">
          <a:extLst>
            <a:ext uri="{FF2B5EF4-FFF2-40B4-BE49-F238E27FC236}">
              <a16:creationId xmlns:a16="http://schemas.microsoft.com/office/drawing/2014/main" id="{00000000-0008-0000-0700-0000D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0" y="82127912"/>
          <a:ext cx="1304925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67235</xdr:colOff>
      <xdr:row>71</xdr:row>
      <xdr:rowOff>212911</xdr:rowOff>
    </xdr:from>
    <xdr:to>
      <xdr:col>6</xdr:col>
      <xdr:colOff>1307807</xdr:colOff>
      <xdr:row>71</xdr:row>
      <xdr:rowOff>1093717</xdr:rowOff>
    </xdr:to>
    <xdr:pic>
      <xdr:nvPicPr>
        <xdr:cNvPr id="473" name="Picture 472">
          <a:extLst>
            <a:ext uri="{FF2B5EF4-FFF2-40B4-BE49-F238E27FC236}">
              <a16:creationId xmlns:a16="http://schemas.microsoft.com/office/drawing/2014/main" id="{00000000-0008-0000-07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4911" y="86061176"/>
          <a:ext cx="1240572" cy="880806"/>
        </a:xfrm>
        <a:prstGeom prst="rect">
          <a:avLst/>
        </a:prstGeom>
      </xdr:spPr>
    </xdr:pic>
    <xdr:clientData/>
  </xdr:twoCellAnchor>
  <xdr:twoCellAnchor editAs="oneCell">
    <xdr:from>
      <xdr:col>6</xdr:col>
      <xdr:colOff>67235</xdr:colOff>
      <xdr:row>72</xdr:row>
      <xdr:rowOff>78442</xdr:rowOff>
    </xdr:from>
    <xdr:to>
      <xdr:col>6</xdr:col>
      <xdr:colOff>1286026</xdr:colOff>
      <xdr:row>72</xdr:row>
      <xdr:rowOff>1142853</xdr:rowOff>
    </xdr:to>
    <xdr:pic>
      <xdr:nvPicPr>
        <xdr:cNvPr id="474" name="Picture 473">
          <a:extLst>
            <a:ext uri="{FF2B5EF4-FFF2-40B4-BE49-F238E27FC236}">
              <a16:creationId xmlns:a16="http://schemas.microsoft.com/office/drawing/2014/main" id="{00000000-0008-0000-07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4911" y="87237795"/>
          <a:ext cx="1218791" cy="1064411"/>
        </a:xfrm>
        <a:prstGeom prst="rect">
          <a:avLst/>
        </a:prstGeom>
      </xdr:spPr>
    </xdr:pic>
    <xdr:clientData/>
  </xdr:twoCellAnchor>
  <xdr:twoCellAnchor editAs="oneCell">
    <xdr:from>
      <xdr:col>6</xdr:col>
      <xdr:colOff>89647</xdr:colOff>
      <xdr:row>73</xdr:row>
      <xdr:rowOff>67235</xdr:rowOff>
    </xdr:from>
    <xdr:to>
      <xdr:col>6</xdr:col>
      <xdr:colOff>1242172</xdr:colOff>
      <xdr:row>73</xdr:row>
      <xdr:rowOff>1249218</xdr:rowOff>
    </xdr:to>
    <xdr:pic>
      <xdr:nvPicPr>
        <xdr:cNvPr id="475" name="Picture 474">
          <a:extLst>
            <a:ext uri="{FF2B5EF4-FFF2-40B4-BE49-F238E27FC236}">
              <a16:creationId xmlns:a16="http://schemas.microsoft.com/office/drawing/2014/main" id="{00000000-0008-0000-07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7323" y="88537676"/>
          <a:ext cx="1152525" cy="1181983"/>
        </a:xfrm>
        <a:prstGeom prst="rect">
          <a:avLst/>
        </a:prstGeom>
      </xdr:spPr>
    </xdr:pic>
    <xdr:clientData/>
  </xdr:twoCellAnchor>
  <xdr:twoCellAnchor editAs="oneCell">
    <xdr:from>
      <xdr:col>6</xdr:col>
      <xdr:colOff>108697</xdr:colOff>
      <xdr:row>74</xdr:row>
      <xdr:rowOff>62123</xdr:rowOff>
    </xdr:from>
    <xdr:to>
      <xdr:col>6</xdr:col>
      <xdr:colOff>1223122</xdr:colOff>
      <xdr:row>74</xdr:row>
      <xdr:rowOff>1270724</xdr:rowOff>
    </xdr:to>
    <xdr:pic>
      <xdr:nvPicPr>
        <xdr:cNvPr id="476" name="Picture 475">
          <a:extLst>
            <a:ext uri="{FF2B5EF4-FFF2-40B4-BE49-F238E27FC236}">
              <a16:creationId xmlns:a16="http://schemas.microsoft.com/office/drawing/2014/main" id="{00000000-0008-0000-07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6373" y="89843652"/>
          <a:ext cx="1114425" cy="1208601"/>
        </a:xfrm>
        <a:prstGeom prst="rect">
          <a:avLst/>
        </a:prstGeom>
      </xdr:spPr>
    </xdr:pic>
    <xdr:clientData/>
  </xdr:twoCellAnchor>
  <xdr:twoCellAnchor editAs="oneCell">
    <xdr:from>
      <xdr:col>6</xdr:col>
      <xdr:colOff>75079</xdr:colOff>
      <xdr:row>78</xdr:row>
      <xdr:rowOff>44823</xdr:rowOff>
    </xdr:from>
    <xdr:to>
      <xdr:col>6</xdr:col>
      <xdr:colOff>1313329</xdr:colOff>
      <xdr:row>78</xdr:row>
      <xdr:rowOff>1283073</xdr:rowOff>
    </xdr:to>
    <xdr:pic>
      <xdr:nvPicPr>
        <xdr:cNvPr id="477" name="Picture 233" descr="Hand Rail HR 4555 Jati">
          <a:extLst>
            <a:ext uri="{FF2B5EF4-FFF2-40B4-BE49-F238E27FC236}">
              <a16:creationId xmlns:a16="http://schemas.microsoft.com/office/drawing/2014/main" id="{00000000-0008-0000-07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2755" y="95070705"/>
          <a:ext cx="123825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56029</xdr:colOff>
      <xdr:row>79</xdr:row>
      <xdr:rowOff>35298</xdr:rowOff>
    </xdr:from>
    <xdr:to>
      <xdr:col>6</xdr:col>
      <xdr:colOff>1332379</xdr:colOff>
      <xdr:row>79</xdr:row>
      <xdr:rowOff>1254498</xdr:rowOff>
    </xdr:to>
    <xdr:pic>
      <xdr:nvPicPr>
        <xdr:cNvPr id="478" name="Picture 234" descr="https://tokomutiaraindah.files.wordpress.com/2014/08/savedpicture-201482816821.jpg">
          <a:extLst>
            <a:ext uri="{FF2B5EF4-FFF2-40B4-BE49-F238E27FC236}">
              <a16:creationId xmlns:a16="http://schemas.microsoft.com/office/drawing/2014/main" id="{00000000-0008-0000-0700-0000D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6706"/>
        <a:stretch>
          <a:fillRect/>
        </a:stretch>
      </xdr:blipFill>
      <xdr:spPr bwMode="auto">
        <a:xfrm>
          <a:off x="4773705" y="96372269"/>
          <a:ext cx="1276350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78442</xdr:colOff>
      <xdr:row>77</xdr:row>
      <xdr:rowOff>44823</xdr:rowOff>
    </xdr:from>
    <xdr:to>
      <xdr:col>6</xdr:col>
      <xdr:colOff>1269067</xdr:colOff>
      <xdr:row>77</xdr:row>
      <xdr:rowOff>1225923</xdr:rowOff>
    </xdr:to>
    <xdr:pic>
      <xdr:nvPicPr>
        <xdr:cNvPr id="479" name="Picture 478" descr="Gambar terkait">
          <a:extLst>
            <a:ext uri="{FF2B5EF4-FFF2-40B4-BE49-F238E27FC236}">
              <a16:creationId xmlns:a16="http://schemas.microsoft.com/office/drawing/2014/main" id="{00000000-0008-0000-0700-0000D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6118" y="93759617"/>
          <a:ext cx="1190625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63874</xdr:colOff>
      <xdr:row>82</xdr:row>
      <xdr:rowOff>33617</xdr:rowOff>
    </xdr:from>
    <xdr:to>
      <xdr:col>6</xdr:col>
      <xdr:colOff>1302124</xdr:colOff>
      <xdr:row>82</xdr:row>
      <xdr:rowOff>1271867</xdr:rowOff>
    </xdr:to>
    <xdr:pic>
      <xdr:nvPicPr>
        <xdr:cNvPr id="480" name="Picture 231" descr="tirai gorden gulung venetian pvc blind">
          <a:extLst>
            <a:ext uri="{FF2B5EF4-FFF2-40B4-BE49-F238E27FC236}">
              <a16:creationId xmlns:a16="http://schemas.microsoft.com/office/drawing/2014/main" id="{00000000-0008-0000-0700-0000E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1550" y="100303852"/>
          <a:ext cx="123825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101974</xdr:colOff>
      <xdr:row>83</xdr:row>
      <xdr:rowOff>52667</xdr:rowOff>
    </xdr:from>
    <xdr:to>
      <xdr:col>6</xdr:col>
      <xdr:colOff>1311649</xdr:colOff>
      <xdr:row>83</xdr:row>
      <xdr:rowOff>1271867</xdr:rowOff>
    </xdr:to>
    <xdr:pic>
      <xdr:nvPicPr>
        <xdr:cNvPr id="481" name="Picture 232" descr="https://encrypted-tbn0.gstatic.com/shopping?q=tbn:ANd9GcQDSI01e3EFQqcQm3Gz_5JtWMarR4bXAMSQalEZ9CDIxNQAhZmPJtrddVJcKTA&amp;usqp=CAE">
          <a:extLst>
            <a:ext uri="{FF2B5EF4-FFF2-40B4-BE49-F238E27FC236}">
              <a16:creationId xmlns:a16="http://schemas.microsoft.com/office/drawing/2014/main" id="{00000000-0008-0000-0700-0000E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9650" y="101633991"/>
          <a:ext cx="1209675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44824</xdr:colOff>
      <xdr:row>87</xdr:row>
      <xdr:rowOff>81242</xdr:rowOff>
    </xdr:from>
    <xdr:to>
      <xdr:col>6</xdr:col>
      <xdr:colOff>1321174</xdr:colOff>
      <xdr:row>87</xdr:row>
      <xdr:rowOff>1090892</xdr:rowOff>
    </xdr:to>
    <xdr:pic>
      <xdr:nvPicPr>
        <xdr:cNvPr id="484" name="Picture 241" descr="Hasil gambar untuk harga Akustik Armstrong 60 x 120">
          <a:extLst>
            <a:ext uri="{FF2B5EF4-FFF2-40B4-BE49-F238E27FC236}">
              <a16:creationId xmlns:a16="http://schemas.microsoft.com/office/drawing/2014/main" id="{00000000-0008-0000-0700-0000E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0" y="106010448"/>
          <a:ext cx="127635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71718</xdr:colOff>
      <xdr:row>88</xdr:row>
      <xdr:rowOff>190500</xdr:rowOff>
    </xdr:from>
    <xdr:to>
      <xdr:col>6</xdr:col>
      <xdr:colOff>1319493</xdr:colOff>
      <xdr:row>88</xdr:row>
      <xdr:rowOff>1076325</xdr:rowOff>
    </xdr:to>
    <xdr:pic>
      <xdr:nvPicPr>
        <xdr:cNvPr id="485" name="Picture 238" descr="https://ecs7.tokopedia.net/img/cache/300/product-1/2017/6/11/7553709/7553709_d0b9d89b-3b70-4a31-8db8-54988dcade01_2048_1152.jpg">
          <a:extLst>
            <a:ext uri="{FF2B5EF4-FFF2-40B4-BE49-F238E27FC236}">
              <a16:creationId xmlns:a16="http://schemas.microsoft.com/office/drawing/2014/main" id="{00000000-0008-0000-0700-0000E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032" r="12686"/>
        <a:stretch>
          <a:fillRect/>
        </a:stretch>
      </xdr:blipFill>
      <xdr:spPr bwMode="auto">
        <a:xfrm>
          <a:off x="4789394" y="107430794"/>
          <a:ext cx="124777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33618</xdr:colOff>
      <xdr:row>92</xdr:row>
      <xdr:rowOff>171450</xdr:rowOff>
    </xdr:from>
    <xdr:to>
      <xdr:col>6</xdr:col>
      <xdr:colOff>1329018</xdr:colOff>
      <xdr:row>92</xdr:row>
      <xdr:rowOff>1209675</xdr:rowOff>
    </xdr:to>
    <xdr:pic>
      <xdr:nvPicPr>
        <xdr:cNvPr id="487" name="Picture 240" descr="Hasil gambar untuk harga list gypsum per meter">
          <a:extLst>
            <a:ext uri="{FF2B5EF4-FFF2-40B4-BE49-F238E27FC236}">
              <a16:creationId xmlns:a16="http://schemas.microsoft.com/office/drawing/2014/main" id="{00000000-0008-0000-0700-0000E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1294" y="112656097"/>
          <a:ext cx="129540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81151</xdr:colOff>
      <xdr:row>100</xdr:row>
      <xdr:rowOff>100853</xdr:rowOff>
    </xdr:from>
    <xdr:to>
      <xdr:col>6</xdr:col>
      <xdr:colOff>1295589</xdr:colOff>
      <xdr:row>100</xdr:row>
      <xdr:rowOff>1205518</xdr:rowOff>
    </xdr:to>
    <xdr:pic>
      <xdr:nvPicPr>
        <xdr:cNvPr id="492" name="Picture 491">
          <a:extLst>
            <a:ext uri="{FF2B5EF4-FFF2-40B4-BE49-F238E27FC236}">
              <a16:creationId xmlns:a16="http://schemas.microsoft.com/office/drawing/2014/main" id="{00000000-0008-0000-07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98827" y="122177735"/>
          <a:ext cx="1214438" cy="1104665"/>
        </a:xfrm>
        <a:prstGeom prst="rect">
          <a:avLst/>
        </a:prstGeom>
      </xdr:spPr>
    </xdr:pic>
    <xdr:clientData/>
  </xdr:twoCellAnchor>
  <xdr:oneCellAnchor>
    <xdr:from>
      <xdr:col>6</xdr:col>
      <xdr:colOff>81151</xdr:colOff>
      <xdr:row>101</xdr:row>
      <xdr:rowOff>100853</xdr:rowOff>
    </xdr:from>
    <xdr:ext cx="1214438" cy="1104665"/>
    <xdr:pic>
      <xdr:nvPicPr>
        <xdr:cNvPr id="493" name="Picture 492">
          <a:extLst>
            <a:ext uri="{FF2B5EF4-FFF2-40B4-BE49-F238E27FC236}">
              <a16:creationId xmlns:a16="http://schemas.microsoft.com/office/drawing/2014/main" id="{00000000-0008-0000-07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98827" y="123488824"/>
          <a:ext cx="1214438" cy="1104665"/>
        </a:xfrm>
        <a:prstGeom prst="rect">
          <a:avLst/>
        </a:prstGeom>
      </xdr:spPr>
    </xdr:pic>
    <xdr:clientData/>
  </xdr:oneCellAnchor>
  <xdr:twoCellAnchor editAs="oneCell">
    <xdr:from>
      <xdr:col>6</xdr:col>
      <xdr:colOff>61072</xdr:colOff>
      <xdr:row>104</xdr:row>
      <xdr:rowOff>39219</xdr:rowOff>
    </xdr:from>
    <xdr:to>
      <xdr:col>6</xdr:col>
      <xdr:colOff>1285072</xdr:colOff>
      <xdr:row>104</xdr:row>
      <xdr:rowOff>1263219</xdr:rowOff>
    </xdr:to>
    <xdr:pic>
      <xdr:nvPicPr>
        <xdr:cNvPr id="494" name="Picture 493">
          <a:extLst>
            <a:ext uri="{FF2B5EF4-FFF2-40B4-BE49-F238E27FC236}">
              <a16:creationId xmlns:a16="http://schemas.microsoft.com/office/drawing/2014/main" id="{00000000-0008-0000-07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4778748" y="126463984"/>
          <a:ext cx="1224000" cy="12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11205</xdr:colOff>
      <xdr:row>108</xdr:row>
      <xdr:rowOff>180414</xdr:rowOff>
    </xdr:from>
    <xdr:to>
      <xdr:col>6</xdr:col>
      <xdr:colOff>1335180</xdr:colOff>
      <xdr:row>108</xdr:row>
      <xdr:rowOff>1123389</xdr:rowOff>
    </xdr:to>
    <xdr:pic>
      <xdr:nvPicPr>
        <xdr:cNvPr id="496" name="Picture 247">
          <a:extLst>
            <a:ext uri="{FF2B5EF4-FFF2-40B4-BE49-F238E27FC236}">
              <a16:creationId xmlns:a16="http://schemas.microsoft.com/office/drawing/2014/main" id="{00000000-0008-0000-07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0" t="43587" r="73434" b="32339"/>
        <a:stretch>
          <a:fillRect/>
        </a:stretch>
      </xdr:blipFill>
      <xdr:spPr bwMode="auto">
        <a:xfrm>
          <a:off x="4728881" y="131849532"/>
          <a:ext cx="132397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87404</xdr:colOff>
      <xdr:row>110</xdr:row>
      <xdr:rowOff>48425</xdr:rowOff>
    </xdr:from>
    <xdr:to>
      <xdr:col>6</xdr:col>
      <xdr:colOff>1284833</xdr:colOff>
      <xdr:row>110</xdr:row>
      <xdr:rowOff>1245854</xdr:rowOff>
    </xdr:to>
    <xdr:pic>
      <xdr:nvPicPr>
        <xdr:cNvPr id="497" name="Picture 496">
          <a:extLst>
            <a:ext uri="{FF2B5EF4-FFF2-40B4-BE49-F238E27FC236}">
              <a16:creationId xmlns:a16="http://schemas.microsoft.com/office/drawing/2014/main" id="{00000000-0008-0000-07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4805080" y="134339719"/>
          <a:ext cx="1197429" cy="1197429"/>
        </a:xfrm>
        <a:prstGeom prst="rect">
          <a:avLst/>
        </a:prstGeom>
      </xdr:spPr>
    </xdr:pic>
    <xdr:clientData/>
  </xdr:twoCellAnchor>
  <xdr:twoCellAnchor editAs="oneCell">
    <xdr:from>
      <xdr:col>6</xdr:col>
      <xdr:colOff>45828</xdr:colOff>
      <xdr:row>112</xdr:row>
      <xdr:rowOff>35298</xdr:rowOff>
    </xdr:from>
    <xdr:to>
      <xdr:col>6</xdr:col>
      <xdr:colOff>1303128</xdr:colOff>
      <xdr:row>112</xdr:row>
      <xdr:rowOff>1283073</xdr:rowOff>
    </xdr:to>
    <xdr:pic>
      <xdr:nvPicPr>
        <xdr:cNvPr id="499" name="Picture 248" descr="marmer lokal">
          <a:extLst>
            <a:ext uri="{FF2B5EF4-FFF2-40B4-BE49-F238E27FC236}">
              <a16:creationId xmlns:a16="http://schemas.microsoft.com/office/drawing/2014/main" id="{00000000-0008-0000-07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0228" y="137261973"/>
          <a:ext cx="12573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45828</xdr:colOff>
      <xdr:row>116</xdr:row>
      <xdr:rowOff>35298</xdr:rowOff>
    </xdr:from>
    <xdr:to>
      <xdr:col>6</xdr:col>
      <xdr:colOff>1312653</xdr:colOff>
      <xdr:row>116</xdr:row>
      <xdr:rowOff>1302123</xdr:rowOff>
    </xdr:to>
    <xdr:pic>
      <xdr:nvPicPr>
        <xdr:cNvPr id="500" name="Picture 249" descr="http://www.romanceramics.com/filealbum/1581_2.jpg">
          <a:extLst>
            <a:ext uri="{FF2B5EF4-FFF2-40B4-BE49-F238E27FC236}">
              <a16:creationId xmlns:a16="http://schemas.microsoft.com/office/drawing/2014/main" id="{00000000-0008-0000-07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3504" y="142193122"/>
          <a:ext cx="1266825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141079</xdr:colOff>
      <xdr:row>115</xdr:row>
      <xdr:rowOff>73399</xdr:rowOff>
    </xdr:from>
    <xdr:to>
      <xdr:col>6</xdr:col>
      <xdr:colOff>1265029</xdr:colOff>
      <xdr:row>115</xdr:row>
      <xdr:rowOff>1268797</xdr:rowOff>
    </xdr:to>
    <xdr:pic>
      <xdr:nvPicPr>
        <xdr:cNvPr id="501" name="Picture 500">
          <a:extLst>
            <a:ext uri="{FF2B5EF4-FFF2-40B4-BE49-F238E27FC236}">
              <a16:creationId xmlns:a16="http://schemas.microsoft.com/office/drawing/2014/main" id="{00000000-0008-0000-0700-0000F5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209" t="11801" r="31061" b="14865"/>
        <a:stretch/>
      </xdr:blipFill>
      <xdr:spPr>
        <a:xfrm>
          <a:off x="4858755" y="140920134"/>
          <a:ext cx="1123950" cy="1195398"/>
        </a:xfrm>
        <a:prstGeom prst="rect">
          <a:avLst/>
        </a:prstGeom>
      </xdr:spPr>
    </xdr:pic>
    <xdr:clientData/>
  </xdr:twoCellAnchor>
  <xdr:twoCellAnchor editAs="oneCell">
    <xdr:from>
      <xdr:col>6</xdr:col>
      <xdr:colOff>77494</xdr:colOff>
      <xdr:row>114</xdr:row>
      <xdr:rowOff>74758</xdr:rowOff>
    </xdr:from>
    <xdr:to>
      <xdr:col>6</xdr:col>
      <xdr:colOff>1285809</xdr:colOff>
      <xdr:row>114</xdr:row>
      <xdr:rowOff>1265749</xdr:rowOff>
    </xdr:to>
    <xdr:pic>
      <xdr:nvPicPr>
        <xdr:cNvPr id="502" name="Picture 501">
          <a:extLst>
            <a:ext uri="{FF2B5EF4-FFF2-40B4-BE49-F238E27FC236}">
              <a16:creationId xmlns:a16="http://schemas.microsoft.com/office/drawing/2014/main" id="{00000000-0008-0000-07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4795170" y="139610405"/>
          <a:ext cx="1208315" cy="1190991"/>
        </a:xfrm>
        <a:prstGeom prst="rect">
          <a:avLst/>
        </a:prstGeom>
      </xdr:spPr>
    </xdr:pic>
    <xdr:clientData/>
  </xdr:twoCellAnchor>
  <xdr:twoCellAnchor editAs="oneCell">
    <xdr:from>
      <xdr:col>6</xdr:col>
      <xdr:colOff>78441</xdr:colOff>
      <xdr:row>118</xdr:row>
      <xdr:rowOff>56030</xdr:rowOff>
    </xdr:from>
    <xdr:to>
      <xdr:col>6</xdr:col>
      <xdr:colOff>1302441</xdr:colOff>
      <xdr:row>118</xdr:row>
      <xdr:rowOff>1280030</xdr:rowOff>
    </xdr:to>
    <xdr:pic>
      <xdr:nvPicPr>
        <xdr:cNvPr id="510" name="Picture 509">
          <a:extLst>
            <a:ext uri="{FF2B5EF4-FFF2-40B4-BE49-F238E27FC236}">
              <a16:creationId xmlns:a16="http://schemas.microsoft.com/office/drawing/2014/main" id="{00000000-0008-0000-0700-0000FE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5"/>
        <a:srcRect l="715" t="600" r="6525" b="7754"/>
        <a:stretch/>
      </xdr:blipFill>
      <xdr:spPr>
        <a:xfrm>
          <a:off x="4796117" y="144836030"/>
          <a:ext cx="1224000" cy="12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33617</xdr:colOff>
      <xdr:row>123</xdr:row>
      <xdr:rowOff>52668</xdr:rowOff>
    </xdr:from>
    <xdr:to>
      <xdr:col>6</xdr:col>
      <xdr:colOff>1338542</xdr:colOff>
      <xdr:row>123</xdr:row>
      <xdr:rowOff>1243293</xdr:rowOff>
    </xdr:to>
    <xdr:pic>
      <xdr:nvPicPr>
        <xdr:cNvPr id="511" name="Picture 259" descr="Hasil gambar untuk analisa pekerjaan lantai kayu">
          <a:extLst>
            <a:ext uri="{FF2B5EF4-FFF2-40B4-BE49-F238E27FC236}">
              <a16:creationId xmlns:a16="http://schemas.microsoft.com/office/drawing/2014/main" id="{00000000-0008-0000-0700-0000F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204"/>
        <a:stretch>
          <a:fillRect/>
        </a:stretch>
      </xdr:blipFill>
      <xdr:spPr bwMode="auto">
        <a:xfrm>
          <a:off x="4751293" y="151388109"/>
          <a:ext cx="13049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</xdr:col>
      <xdr:colOff>33617</xdr:colOff>
      <xdr:row>124</xdr:row>
      <xdr:rowOff>52668</xdr:rowOff>
    </xdr:from>
    <xdr:ext cx="1304925" cy="1190625"/>
    <xdr:pic>
      <xdr:nvPicPr>
        <xdr:cNvPr id="512" name="Picture 259" descr="Hasil gambar untuk analisa pekerjaan lantai kayu">
          <a:extLst>
            <a:ext uri="{FF2B5EF4-FFF2-40B4-BE49-F238E27FC236}">
              <a16:creationId xmlns:a16="http://schemas.microsoft.com/office/drawing/2014/main" id="{00000000-0008-0000-07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204"/>
        <a:stretch>
          <a:fillRect/>
        </a:stretch>
      </xdr:blipFill>
      <xdr:spPr bwMode="auto">
        <a:xfrm>
          <a:off x="4751293" y="152699197"/>
          <a:ext cx="13049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36698</xdr:colOff>
      <xdr:row>125</xdr:row>
      <xdr:rowOff>44556</xdr:rowOff>
    </xdr:from>
    <xdr:to>
      <xdr:col>6</xdr:col>
      <xdr:colOff>1319491</xdr:colOff>
      <xdr:row>125</xdr:row>
      <xdr:rowOff>1289329</xdr:rowOff>
    </xdr:to>
    <xdr:pic>
      <xdr:nvPicPr>
        <xdr:cNvPr id="513" name="Picture 512">
          <a:extLst>
            <a:ext uri="{FF2B5EF4-FFF2-40B4-BE49-F238E27FC236}">
              <a16:creationId xmlns:a16="http://schemas.microsoft.com/office/drawing/2014/main" id="{00000000-0008-0000-07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54374" y="154002174"/>
          <a:ext cx="1282793" cy="1244773"/>
        </a:xfrm>
        <a:prstGeom prst="rect">
          <a:avLst/>
        </a:prstGeom>
      </xdr:spPr>
    </xdr:pic>
    <xdr:clientData/>
  </xdr:twoCellAnchor>
  <xdr:twoCellAnchor editAs="oneCell">
    <xdr:from>
      <xdr:col>6</xdr:col>
      <xdr:colOff>43142</xdr:colOff>
      <xdr:row>122</xdr:row>
      <xdr:rowOff>33618</xdr:rowOff>
    </xdr:from>
    <xdr:to>
      <xdr:col>6</xdr:col>
      <xdr:colOff>1281392</xdr:colOff>
      <xdr:row>122</xdr:row>
      <xdr:rowOff>1271868</xdr:rowOff>
    </xdr:to>
    <xdr:pic>
      <xdr:nvPicPr>
        <xdr:cNvPr id="514" name="Picture 513">
          <a:extLst>
            <a:ext uri="{FF2B5EF4-FFF2-40B4-BE49-F238E27FC236}">
              <a16:creationId xmlns:a16="http://schemas.microsoft.com/office/drawing/2014/main" id="{00000000-0008-0000-07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0818" y="150057971"/>
          <a:ext cx="1238250" cy="1238250"/>
        </a:xfrm>
        <a:prstGeom prst="rect">
          <a:avLst/>
        </a:prstGeom>
      </xdr:spPr>
    </xdr:pic>
    <xdr:clientData/>
  </xdr:twoCellAnchor>
  <xdr:twoCellAnchor editAs="oneCell">
    <xdr:from>
      <xdr:col>6</xdr:col>
      <xdr:colOff>67235</xdr:colOff>
      <xdr:row>127</xdr:row>
      <xdr:rowOff>67235</xdr:rowOff>
    </xdr:from>
    <xdr:to>
      <xdr:col>6</xdr:col>
      <xdr:colOff>1324536</xdr:colOff>
      <xdr:row>127</xdr:row>
      <xdr:rowOff>1210235</xdr:rowOff>
    </xdr:to>
    <xdr:pic>
      <xdr:nvPicPr>
        <xdr:cNvPr id="517" name="Picture 516">
          <a:extLst>
            <a:ext uri="{FF2B5EF4-FFF2-40B4-BE49-F238E27FC236}">
              <a16:creationId xmlns:a16="http://schemas.microsoft.com/office/drawing/2014/main" id="{00000000-0008-0000-07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>
          <a:clrChange>
            <a:clrFrom>
              <a:srgbClr val="FBF8F9"/>
            </a:clrFrom>
            <a:clrTo>
              <a:srgbClr val="FBF8F9">
                <a:alpha val="0"/>
              </a:srgbClr>
            </a:clrTo>
          </a:clrChange>
        </a:blip>
        <a:stretch>
          <a:fillRect/>
        </a:stretch>
      </xdr:blipFill>
      <xdr:spPr>
        <a:xfrm>
          <a:off x="4784911" y="156647029"/>
          <a:ext cx="1257301" cy="1143000"/>
        </a:xfrm>
        <a:prstGeom prst="rect">
          <a:avLst/>
        </a:prstGeom>
      </xdr:spPr>
    </xdr:pic>
    <xdr:clientData/>
  </xdr:twoCellAnchor>
  <xdr:twoCellAnchor editAs="oneCell">
    <xdr:from>
      <xdr:col>6</xdr:col>
      <xdr:colOff>88190</xdr:colOff>
      <xdr:row>128</xdr:row>
      <xdr:rowOff>286310</xdr:rowOff>
    </xdr:from>
    <xdr:to>
      <xdr:col>6</xdr:col>
      <xdr:colOff>1295960</xdr:colOff>
      <xdr:row>128</xdr:row>
      <xdr:rowOff>1049842</xdr:rowOff>
    </xdr:to>
    <xdr:pic>
      <xdr:nvPicPr>
        <xdr:cNvPr id="518" name="Picture 517">
          <a:extLst>
            <a:ext uri="{FF2B5EF4-FFF2-40B4-BE49-F238E27FC236}">
              <a16:creationId xmlns:a16="http://schemas.microsoft.com/office/drawing/2014/main" id="{00000000-0008-0000-07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clrChange>
            <a:clrFrom>
              <a:srgbClr val="90C6F0"/>
            </a:clrFrom>
            <a:clrTo>
              <a:srgbClr val="90C6F0">
                <a:alpha val="0"/>
              </a:srgbClr>
            </a:clrTo>
          </a:clrChange>
        </a:blip>
        <a:stretch>
          <a:fillRect/>
        </a:stretch>
      </xdr:blipFill>
      <xdr:spPr>
        <a:xfrm>
          <a:off x="4805866" y="158177192"/>
          <a:ext cx="1207770" cy="763532"/>
        </a:xfrm>
        <a:prstGeom prst="rect">
          <a:avLst/>
        </a:prstGeom>
      </xdr:spPr>
    </xdr:pic>
    <xdr:clientData/>
  </xdr:twoCellAnchor>
  <xdr:twoCellAnchor editAs="oneCell">
    <xdr:from>
      <xdr:col>6</xdr:col>
      <xdr:colOff>67236</xdr:colOff>
      <xdr:row>130</xdr:row>
      <xdr:rowOff>56030</xdr:rowOff>
    </xdr:from>
    <xdr:to>
      <xdr:col>6</xdr:col>
      <xdr:colOff>1291236</xdr:colOff>
      <xdr:row>130</xdr:row>
      <xdr:rowOff>1280030</xdr:rowOff>
    </xdr:to>
    <xdr:pic>
      <xdr:nvPicPr>
        <xdr:cNvPr id="519" name="Picture 518">
          <a:extLst>
            <a:ext uri="{FF2B5EF4-FFF2-40B4-BE49-F238E27FC236}">
              <a16:creationId xmlns:a16="http://schemas.microsoft.com/office/drawing/2014/main" id="{00000000-0008-0000-0700-000007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1"/>
        <a:srcRect l="1207" t="1413" r="9314" b="8839"/>
        <a:stretch/>
      </xdr:blipFill>
      <xdr:spPr>
        <a:xfrm>
          <a:off x="4784912" y="160569089"/>
          <a:ext cx="1224000" cy="12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30256</xdr:colOff>
      <xdr:row>137</xdr:row>
      <xdr:rowOff>62754</xdr:rowOff>
    </xdr:from>
    <xdr:to>
      <xdr:col>6</xdr:col>
      <xdr:colOff>1306606</xdr:colOff>
      <xdr:row>137</xdr:row>
      <xdr:rowOff>1281954</xdr:rowOff>
    </xdr:to>
    <xdr:pic>
      <xdr:nvPicPr>
        <xdr:cNvPr id="520" name="Picture 519">
          <a:extLst>
            <a:ext uri="{FF2B5EF4-FFF2-40B4-BE49-F238E27FC236}">
              <a16:creationId xmlns:a16="http://schemas.microsoft.com/office/drawing/2014/main" id="{00000000-0008-0000-07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47932" y="166649401"/>
          <a:ext cx="1276350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11206</xdr:colOff>
      <xdr:row>133</xdr:row>
      <xdr:rowOff>100853</xdr:rowOff>
    </xdr:from>
    <xdr:to>
      <xdr:col>6</xdr:col>
      <xdr:colOff>1325656</xdr:colOff>
      <xdr:row>133</xdr:row>
      <xdr:rowOff>1196228</xdr:rowOff>
    </xdr:to>
    <xdr:pic>
      <xdr:nvPicPr>
        <xdr:cNvPr id="521" name="Picture 242" descr="http://solusibetonreadymix.com/wp-content/uploads/2017/01/harga-buis-beton.jpg">
          <a:extLst>
            <a:ext uri="{FF2B5EF4-FFF2-40B4-BE49-F238E27FC236}">
              <a16:creationId xmlns:a16="http://schemas.microsoft.com/office/drawing/2014/main" id="{00000000-0008-0000-07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8611" r="6818"/>
        <a:stretch>
          <a:fillRect/>
        </a:stretch>
      </xdr:blipFill>
      <xdr:spPr bwMode="auto">
        <a:xfrm>
          <a:off x="4728882" y="162339618"/>
          <a:ext cx="131445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39781</xdr:colOff>
      <xdr:row>134</xdr:row>
      <xdr:rowOff>158004</xdr:rowOff>
    </xdr:from>
    <xdr:to>
      <xdr:col>6</xdr:col>
      <xdr:colOff>1325656</xdr:colOff>
      <xdr:row>134</xdr:row>
      <xdr:rowOff>1139079</xdr:rowOff>
    </xdr:to>
    <xdr:pic>
      <xdr:nvPicPr>
        <xdr:cNvPr id="522" name="Picture 243" descr="https://ecs7.tokopedia.net/img/cache/700/product-1/2016/12/26/5150272/5150272_8202791c-4518-4721-bdc1-88519eaf64ac_531_400.png">
          <a:extLst>
            <a:ext uri="{FF2B5EF4-FFF2-40B4-BE49-F238E27FC236}">
              <a16:creationId xmlns:a16="http://schemas.microsoft.com/office/drawing/2014/main" id="{00000000-0008-0000-07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7457" y="163707857"/>
          <a:ext cx="128587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</xdr:col>
      <xdr:colOff>39781</xdr:colOff>
      <xdr:row>136</xdr:row>
      <xdr:rowOff>53229</xdr:rowOff>
    </xdr:from>
    <xdr:ext cx="1276350" cy="1219200"/>
    <xdr:pic>
      <xdr:nvPicPr>
        <xdr:cNvPr id="523" name="Picture 522">
          <a:extLst>
            <a:ext uri="{FF2B5EF4-FFF2-40B4-BE49-F238E27FC236}">
              <a16:creationId xmlns:a16="http://schemas.microsoft.com/office/drawing/2014/main" id="{00000000-0008-0000-07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7457" y="165328788"/>
          <a:ext cx="1276350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61480</xdr:colOff>
      <xdr:row>138</xdr:row>
      <xdr:rowOff>69273</xdr:rowOff>
    </xdr:from>
    <xdr:to>
      <xdr:col>6</xdr:col>
      <xdr:colOff>1337830</xdr:colOff>
      <xdr:row>138</xdr:row>
      <xdr:rowOff>1288473</xdr:rowOff>
    </xdr:to>
    <xdr:pic>
      <xdr:nvPicPr>
        <xdr:cNvPr id="536" name="Picture 535">
          <a:extLst>
            <a:ext uri="{FF2B5EF4-FFF2-40B4-BE49-F238E27FC236}">
              <a16:creationId xmlns:a16="http://schemas.microsoft.com/office/drawing/2014/main" id="{00000000-0008-0000-07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9344" y="168627137"/>
          <a:ext cx="1276350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61480</xdr:colOff>
      <xdr:row>139</xdr:row>
      <xdr:rowOff>88324</xdr:rowOff>
    </xdr:from>
    <xdr:to>
      <xdr:col>6</xdr:col>
      <xdr:colOff>1337830</xdr:colOff>
      <xdr:row>139</xdr:row>
      <xdr:rowOff>1307524</xdr:rowOff>
    </xdr:to>
    <xdr:pic>
      <xdr:nvPicPr>
        <xdr:cNvPr id="537" name="Picture 536">
          <a:extLst>
            <a:ext uri="{FF2B5EF4-FFF2-40B4-BE49-F238E27FC236}">
              <a16:creationId xmlns:a16="http://schemas.microsoft.com/office/drawing/2014/main" id="{00000000-0008-0000-07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9344" y="169962369"/>
          <a:ext cx="1276350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80530</xdr:colOff>
      <xdr:row>140</xdr:row>
      <xdr:rowOff>78798</xdr:rowOff>
    </xdr:from>
    <xdr:to>
      <xdr:col>6</xdr:col>
      <xdr:colOff>1337830</xdr:colOff>
      <xdr:row>140</xdr:row>
      <xdr:rowOff>1297998</xdr:rowOff>
    </xdr:to>
    <xdr:pic>
      <xdr:nvPicPr>
        <xdr:cNvPr id="538" name="Picture 537" descr="Hasil gambar untuk besi polos">
          <a:extLst>
            <a:ext uri="{FF2B5EF4-FFF2-40B4-BE49-F238E27FC236}">
              <a16:creationId xmlns:a16="http://schemas.microsoft.com/office/drawing/2014/main" id="{00000000-0008-0000-0700-00001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991"/>
        <a:stretch>
          <a:fillRect/>
        </a:stretch>
      </xdr:blipFill>
      <xdr:spPr bwMode="auto">
        <a:xfrm>
          <a:off x="4808394" y="171269025"/>
          <a:ext cx="1257300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80530</xdr:colOff>
      <xdr:row>141</xdr:row>
      <xdr:rowOff>69273</xdr:rowOff>
    </xdr:from>
    <xdr:to>
      <xdr:col>6</xdr:col>
      <xdr:colOff>1337830</xdr:colOff>
      <xdr:row>141</xdr:row>
      <xdr:rowOff>1288473</xdr:rowOff>
    </xdr:to>
    <xdr:pic>
      <xdr:nvPicPr>
        <xdr:cNvPr id="539" name="Picture 538" descr="Hasil gambar untuk besi polos">
          <a:extLst>
            <a:ext uri="{FF2B5EF4-FFF2-40B4-BE49-F238E27FC236}">
              <a16:creationId xmlns:a16="http://schemas.microsoft.com/office/drawing/2014/main" id="{00000000-0008-0000-0700-00001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991"/>
        <a:stretch>
          <a:fillRect/>
        </a:stretch>
      </xdr:blipFill>
      <xdr:spPr bwMode="auto">
        <a:xfrm>
          <a:off x="4808394" y="172575682"/>
          <a:ext cx="1257300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80530</xdr:colOff>
      <xdr:row>142</xdr:row>
      <xdr:rowOff>69273</xdr:rowOff>
    </xdr:from>
    <xdr:to>
      <xdr:col>6</xdr:col>
      <xdr:colOff>1337830</xdr:colOff>
      <xdr:row>142</xdr:row>
      <xdr:rowOff>1288473</xdr:rowOff>
    </xdr:to>
    <xdr:pic>
      <xdr:nvPicPr>
        <xdr:cNvPr id="540" name="Picture 539" descr="Hasil gambar untuk besi polos">
          <a:extLst>
            <a:ext uri="{FF2B5EF4-FFF2-40B4-BE49-F238E27FC236}">
              <a16:creationId xmlns:a16="http://schemas.microsoft.com/office/drawing/2014/main" id="{00000000-0008-0000-0700-00001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991"/>
        <a:stretch>
          <a:fillRect/>
        </a:stretch>
      </xdr:blipFill>
      <xdr:spPr bwMode="auto">
        <a:xfrm>
          <a:off x="4808394" y="173891864"/>
          <a:ext cx="1257300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61480</xdr:colOff>
      <xdr:row>143</xdr:row>
      <xdr:rowOff>88323</xdr:rowOff>
    </xdr:from>
    <xdr:to>
      <xdr:col>6</xdr:col>
      <xdr:colOff>1337830</xdr:colOff>
      <xdr:row>143</xdr:row>
      <xdr:rowOff>1269423</xdr:rowOff>
    </xdr:to>
    <xdr:pic>
      <xdr:nvPicPr>
        <xdr:cNvPr id="541" name="Picture 540" descr="Gambar terkait">
          <a:extLst>
            <a:ext uri="{FF2B5EF4-FFF2-40B4-BE49-F238E27FC236}">
              <a16:creationId xmlns:a16="http://schemas.microsoft.com/office/drawing/2014/main" id="{00000000-0008-0000-0700-00001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9344" y="175227096"/>
          <a:ext cx="127635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51955</xdr:colOff>
      <xdr:row>144</xdr:row>
      <xdr:rowOff>69273</xdr:rowOff>
    </xdr:from>
    <xdr:to>
      <xdr:col>6</xdr:col>
      <xdr:colOff>1347355</xdr:colOff>
      <xdr:row>144</xdr:row>
      <xdr:rowOff>1278948</xdr:rowOff>
    </xdr:to>
    <xdr:pic>
      <xdr:nvPicPr>
        <xdr:cNvPr id="542" name="Picture 541">
          <a:extLst>
            <a:ext uri="{FF2B5EF4-FFF2-40B4-BE49-F238E27FC236}">
              <a16:creationId xmlns:a16="http://schemas.microsoft.com/office/drawing/2014/main" id="{00000000-0008-0000-0700-00001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407" r="31854" b="-2"/>
        <a:stretch>
          <a:fillRect/>
        </a:stretch>
      </xdr:blipFill>
      <xdr:spPr bwMode="auto">
        <a:xfrm>
          <a:off x="4779819" y="176524228"/>
          <a:ext cx="12954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72766</xdr:colOff>
      <xdr:row>145</xdr:row>
      <xdr:rowOff>111869</xdr:rowOff>
    </xdr:from>
    <xdr:to>
      <xdr:col>6</xdr:col>
      <xdr:colOff>1356880</xdr:colOff>
      <xdr:row>145</xdr:row>
      <xdr:rowOff>1196895</xdr:rowOff>
    </xdr:to>
    <xdr:pic>
      <xdr:nvPicPr>
        <xdr:cNvPr id="543" name="Picture 542" descr="Hasil gambar untuk besi unp&quot;">
          <a:extLst>
            <a:ext uri="{FF2B5EF4-FFF2-40B4-BE49-F238E27FC236}">
              <a16:creationId xmlns:a16="http://schemas.microsoft.com/office/drawing/2014/main" id="{00000000-0008-0000-0700-00001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30" y="177883005"/>
          <a:ext cx="1284114" cy="1085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72736</xdr:colOff>
      <xdr:row>150</xdr:row>
      <xdr:rowOff>45027</xdr:rowOff>
    </xdr:from>
    <xdr:to>
      <xdr:col>6</xdr:col>
      <xdr:colOff>1320511</xdr:colOff>
      <xdr:row>150</xdr:row>
      <xdr:rowOff>1254702</xdr:rowOff>
    </xdr:to>
    <xdr:pic>
      <xdr:nvPicPr>
        <xdr:cNvPr id="544" name="Picture 543" descr="https://1.bp.blogspot.com/-7hkEHaZKV6I/V6vzQv4UohI/AAAAAAAAAa4/WHf2CfsS9nsuDYGRDjL5W5Nrl2mmH9U5ACLcB/s320/hqdefault.jpg">
          <a:extLst>
            <a:ext uri="{FF2B5EF4-FFF2-40B4-BE49-F238E27FC236}">
              <a16:creationId xmlns:a16="http://schemas.microsoft.com/office/drawing/2014/main" id="{00000000-0008-0000-0700-00002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926" r="13959" b="36671"/>
        <a:stretch>
          <a:fillRect/>
        </a:stretch>
      </xdr:blipFill>
      <xdr:spPr bwMode="auto">
        <a:xfrm>
          <a:off x="4797136" y="184096602"/>
          <a:ext cx="1247775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91786</xdr:colOff>
      <xdr:row>151</xdr:row>
      <xdr:rowOff>73602</xdr:rowOff>
    </xdr:from>
    <xdr:to>
      <xdr:col>6</xdr:col>
      <xdr:colOff>1301461</xdr:colOff>
      <xdr:row>151</xdr:row>
      <xdr:rowOff>1188027</xdr:rowOff>
    </xdr:to>
    <xdr:pic>
      <xdr:nvPicPr>
        <xdr:cNvPr id="545" name="Picture 544">
          <a:extLst>
            <a:ext uri="{FF2B5EF4-FFF2-40B4-BE49-F238E27FC236}">
              <a16:creationId xmlns:a16="http://schemas.microsoft.com/office/drawing/2014/main" id="{00000000-0008-0000-07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20" t="9525" b="5714"/>
        <a:stretch>
          <a:fillRect/>
        </a:stretch>
      </xdr:blipFill>
      <xdr:spPr bwMode="auto">
        <a:xfrm>
          <a:off x="4816186" y="185439627"/>
          <a:ext cx="1209675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34636</xdr:colOff>
      <xdr:row>153</xdr:row>
      <xdr:rowOff>35503</xdr:rowOff>
    </xdr:from>
    <xdr:to>
      <xdr:col>6</xdr:col>
      <xdr:colOff>1349086</xdr:colOff>
      <xdr:row>153</xdr:row>
      <xdr:rowOff>1197553</xdr:rowOff>
    </xdr:to>
    <xdr:pic>
      <xdr:nvPicPr>
        <xdr:cNvPr id="546" name="Picture 545">
          <a:extLst>
            <a:ext uri="{FF2B5EF4-FFF2-40B4-BE49-F238E27FC236}">
              <a16:creationId xmlns:a16="http://schemas.microsoft.com/office/drawing/2014/main" id="{00000000-0008-0000-0700-00002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9036" y="188030428"/>
          <a:ext cx="1314450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34636</xdr:colOff>
      <xdr:row>154</xdr:row>
      <xdr:rowOff>73602</xdr:rowOff>
    </xdr:from>
    <xdr:to>
      <xdr:col>6</xdr:col>
      <xdr:colOff>1330036</xdr:colOff>
      <xdr:row>154</xdr:row>
      <xdr:rowOff>1283277</xdr:rowOff>
    </xdr:to>
    <xdr:pic>
      <xdr:nvPicPr>
        <xdr:cNvPr id="548" name="Picture 547" descr="Gambar terkait">
          <a:extLst>
            <a:ext uri="{FF2B5EF4-FFF2-40B4-BE49-F238E27FC236}">
              <a16:creationId xmlns:a16="http://schemas.microsoft.com/office/drawing/2014/main" id="{00000000-0008-0000-0700-00002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44" r="15279"/>
        <a:stretch>
          <a:fillRect/>
        </a:stretch>
      </xdr:blipFill>
      <xdr:spPr bwMode="auto">
        <a:xfrm>
          <a:off x="4762500" y="187058011"/>
          <a:ext cx="12954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34636</xdr:colOff>
      <xdr:row>155</xdr:row>
      <xdr:rowOff>83127</xdr:rowOff>
    </xdr:from>
    <xdr:to>
      <xdr:col>6</xdr:col>
      <xdr:colOff>1330036</xdr:colOff>
      <xdr:row>155</xdr:row>
      <xdr:rowOff>1292802</xdr:rowOff>
    </xdr:to>
    <xdr:pic>
      <xdr:nvPicPr>
        <xdr:cNvPr id="549" name="Picture 548" descr="Gambar terkait">
          <a:extLst>
            <a:ext uri="{FF2B5EF4-FFF2-40B4-BE49-F238E27FC236}">
              <a16:creationId xmlns:a16="http://schemas.microsoft.com/office/drawing/2014/main" id="{00000000-0008-0000-0700-00002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44" r="15279"/>
        <a:stretch>
          <a:fillRect/>
        </a:stretch>
      </xdr:blipFill>
      <xdr:spPr bwMode="auto">
        <a:xfrm>
          <a:off x="4762500" y="188383718"/>
          <a:ext cx="12954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244186</xdr:colOff>
      <xdr:row>152</xdr:row>
      <xdr:rowOff>25977</xdr:rowOff>
    </xdr:from>
    <xdr:to>
      <xdr:col>6</xdr:col>
      <xdr:colOff>1177636</xdr:colOff>
      <xdr:row>152</xdr:row>
      <xdr:rowOff>1272021</xdr:rowOff>
    </xdr:to>
    <xdr:pic>
      <xdr:nvPicPr>
        <xdr:cNvPr id="550" name="prod-img-primary" descr="KAWAT SENG / KAWAT LICIN GALVANIS PUTIH &amp;#40;100 GRAM&amp;#41;">
          <a:extLst>
            <a:ext uri="{FF2B5EF4-FFF2-40B4-BE49-F238E27FC236}">
              <a16:creationId xmlns:a16="http://schemas.microsoft.com/office/drawing/2014/main" id="{00000000-0008-0000-0700-00002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8586" y="186706452"/>
          <a:ext cx="933450" cy="124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72736</xdr:colOff>
      <xdr:row>148</xdr:row>
      <xdr:rowOff>311728</xdr:rowOff>
    </xdr:from>
    <xdr:to>
      <xdr:col>6</xdr:col>
      <xdr:colOff>1333498</xdr:colOff>
      <xdr:row>148</xdr:row>
      <xdr:rowOff>1178502</xdr:rowOff>
    </xdr:to>
    <xdr:pic>
      <xdr:nvPicPr>
        <xdr:cNvPr id="551" name="Picture 550" descr="Tabel Baja WF, CNP, H-Beam, Profil &amp; Berat Baja Terlengkap">
          <a:extLst>
            <a:ext uri="{FF2B5EF4-FFF2-40B4-BE49-F238E27FC236}">
              <a16:creationId xmlns:a16="http://schemas.microsoft.com/office/drawing/2014/main" id="{00000000-0008-0000-0700-00002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179399046"/>
          <a:ext cx="1260762" cy="8667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17318</xdr:colOff>
      <xdr:row>156</xdr:row>
      <xdr:rowOff>69272</xdr:rowOff>
    </xdr:from>
    <xdr:to>
      <xdr:col>6</xdr:col>
      <xdr:colOff>1312718</xdr:colOff>
      <xdr:row>156</xdr:row>
      <xdr:rowOff>1278947</xdr:rowOff>
    </xdr:to>
    <xdr:pic>
      <xdr:nvPicPr>
        <xdr:cNvPr id="552" name="Picture 551" descr="Gambar terkait">
          <a:extLst>
            <a:ext uri="{FF2B5EF4-FFF2-40B4-BE49-F238E27FC236}">
              <a16:creationId xmlns:a16="http://schemas.microsoft.com/office/drawing/2014/main" id="{00000000-0008-0000-0700-00002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44" r="15279"/>
        <a:stretch>
          <a:fillRect/>
        </a:stretch>
      </xdr:blipFill>
      <xdr:spPr bwMode="auto">
        <a:xfrm>
          <a:off x="4745182" y="189686045"/>
          <a:ext cx="12954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55418</xdr:colOff>
      <xdr:row>158</xdr:row>
      <xdr:rowOff>69273</xdr:rowOff>
    </xdr:from>
    <xdr:to>
      <xdr:col>6</xdr:col>
      <xdr:colOff>1312718</xdr:colOff>
      <xdr:row>158</xdr:row>
      <xdr:rowOff>1307523</xdr:rowOff>
    </xdr:to>
    <xdr:pic>
      <xdr:nvPicPr>
        <xdr:cNvPr id="553" name="Picture 552" descr="Hasil gambar untuk plat aluminium 6mm">
          <a:extLst>
            <a:ext uri="{FF2B5EF4-FFF2-40B4-BE49-F238E27FC236}">
              <a16:creationId xmlns:a16="http://schemas.microsoft.com/office/drawing/2014/main" id="{00000000-0008-0000-0700-00002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8458"/>
        <a:stretch>
          <a:fillRect/>
        </a:stretch>
      </xdr:blipFill>
      <xdr:spPr bwMode="auto">
        <a:xfrm>
          <a:off x="4783282" y="192318409"/>
          <a:ext cx="125730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64943</xdr:colOff>
      <xdr:row>159</xdr:row>
      <xdr:rowOff>69273</xdr:rowOff>
    </xdr:from>
    <xdr:to>
      <xdr:col>6</xdr:col>
      <xdr:colOff>1303193</xdr:colOff>
      <xdr:row>159</xdr:row>
      <xdr:rowOff>1288473</xdr:rowOff>
    </xdr:to>
    <xdr:pic>
      <xdr:nvPicPr>
        <xdr:cNvPr id="554" name="Picture 553" descr="Gambar terkait">
          <a:extLst>
            <a:ext uri="{FF2B5EF4-FFF2-40B4-BE49-F238E27FC236}">
              <a16:creationId xmlns:a16="http://schemas.microsoft.com/office/drawing/2014/main" id="{00000000-0008-0000-0700-00002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977"/>
        <a:stretch>
          <a:fillRect/>
        </a:stretch>
      </xdr:blipFill>
      <xdr:spPr bwMode="auto">
        <a:xfrm>
          <a:off x="4792807" y="193634591"/>
          <a:ext cx="1238250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64943</xdr:colOff>
      <xdr:row>160</xdr:row>
      <xdr:rowOff>69272</xdr:rowOff>
    </xdr:from>
    <xdr:to>
      <xdr:col>6</xdr:col>
      <xdr:colOff>1303193</xdr:colOff>
      <xdr:row>160</xdr:row>
      <xdr:rowOff>1288472</xdr:rowOff>
    </xdr:to>
    <xdr:pic>
      <xdr:nvPicPr>
        <xdr:cNvPr id="555" name="Picture 554" descr="Gambar terkait">
          <a:extLst>
            <a:ext uri="{FF2B5EF4-FFF2-40B4-BE49-F238E27FC236}">
              <a16:creationId xmlns:a16="http://schemas.microsoft.com/office/drawing/2014/main" id="{00000000-0008-0000-0700-00002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977"/>
        <a:stretch>
          <a:fillRect/>
        </a:stretch>
      </xdr:blipFill>
      <xdr:spPr bwMode="auto">
        <a:xfrm>
          <a:off x="4792807" y="194950772"/>
          <a:ext cx="1238250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74468</xdr:colOff>
      <xdr:row>163</xdr:row>
      <xdr:rowOff>59748</xdr:rowOff>
    </xdr:from>
    <xdr:to>
      <xdr:col>6</xdr:col>
      <xdr:colOff>1312718</xdr:colOff>
      <xdr:row>163</xdr:row>
      <xdr:rowOff>1240848</xdr:rowOff>
    </xdr:to>
    <xdr:pic>
      <xdr:nvPicPr>
        <xdr:cNvPr id="556" name="Picture 555" descr="Kunci Pintu Aluminium Swing Fullset-Handle Roses 54002">
          <a:extLst>
            <a:ext uri="{FF2B5EF4-FFF2-40B4-BE49-F238E27FC236}">
              <a16:creationId xmlns:a16="http://schemas.microsoft.com/office/drawing/2014/main" id="{00000000-0008-0000-0700-00002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29" r="6618" b="20992"/>
        <a:stretch>
          <a:fillRect/>
        </a:stretch>
      </xdr:blipFill>
      <xdr:spPr bwMode="auto">
        <a:xfrm>
          <a:off x="4802332" y="198889793"/>
          <a:ext cx="123825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83992</xdr:colOff>
      <xdr:row>161</xdr:row>
      <xdr:rowOff>126421</xdr:rowOff>
    </xdr:from>
    <xdr:to>
      <xdr:col>6</xdr:col>
      <xdr:colOff>1265091</xdr:colOff>
      <xdr:row>161</xdr:row>
      <xdr:rowOff>1307520</xdr:rowOff>
    </xdr:to>
    <xdr:pic>
      <xdr:nvPicPr>
        <xdr:cNvPr id="557" name="Picture 556" descr="UPVC Conch - Banda Aceh - KAMAJU UPVC">
          <a:extLst>
            <a:ext uri="{FF2B5EF4-FFF2-40B4-BE49-F238E27FC236}">
              <a16:creationId xmlns:a16="http://schemas.microsoft.com/office/drawing/2014/main" id="{00000000-0008-0000-0700-00002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1856" y="196324103"/>
          <a:ext cx="1181099" cy="11810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103042</xdr:colOff>
      <xdr:row>162</xdr:row>
      <xdr:rowOff>116896</xdr:rowOff>
    </xdr:from>
    <xdr:to>
      <xdr:col>6</xdr:col>
      <xdr:colOff>1284141</xdr:colOff>
      <xdr:row>162</xdr:row>
      <xdr:rowOff>1297995</xdr:rowOff>
    </xdr:to>
    <xdr:pic>
      <xdr:nvPicPr>
        <xdr:cNvPr id="558" name="Picture 557" descr="UPVC Conch - Banda Aceh - KAMAJU UPVC">
          <a:extLst>
            <a:ext uri="{FF2B5EF4-FFF2-40B4-BE49-F238E27FC236}">
              <a16:creationId xmlns:a16="http://schemas.microsoft.com/office/drawing/2014/main" id="{00000000-0008-0000-0700-00002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0906" y="197630760"/>
          <a:ext cx="1181099" cy="11810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88322</xdr:colOff>
      <xdr:row>164</xdr:row>
      <xdr:rowOff>103908</xdr:rowOff>
    </xdr:from>
    <xdr:to>
      <xdr:col>6</xdr:col>
      <xdr:colOff>1307522</xdr:colOff>
      <xdr:row>164</xdr:row>
      <xdr:rowOff>1237383</xdr:rowOff>
    </xdr:to>
    <xdr:pic>
      <xdr:nvPicPr>
        <xdr:cNvPr id="559" name="Picture 558" descr="Dekko 089 A Casement Window Handle">
          <a:extLst>
            <a:ext uri="{FF2B5EF4-FFF2-40B4-BE49-F238E27FC236}">
              <a16:creationId xmlns:a16="http://schemas.microsoft.com/office/drawing/2014/main" id="{00000000-0008-0000-0700-00002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98" t="19064" r="9431" b="7430"/>
        <a:stretch>
          <a:fillRect/>
        </a:stretch>
      </xdr:blipFill>
      <xdr:spPr bwMode="auto">
        <a:xfrm>
          <a:off x="4816186" y="200250135"/>
          <a:ext cx="1219200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88322</xdr:colOff>
      <xdr:row>165</xdr:row>
      <xdr:rowOff>65807</xdr:rowOff>
    </xdr:from>
    <xdr:to>
      <xdr:col>6</xdr:col>
      <xdr:colOff>1355147</xdr:colOff>
      <xdr:row>165</xdr:row>
      <xdr:rowOff>1285007</xdr:rowOff>
    </xdr:to>
    <xdr:pic>
      <xdr:nvPicPr>
        <xdr:cNvPr id="560" name="Picture 559" descr="Hasil gambar untuk harga karet kusen aluminium">
          <a:extLst>
            <a:ext uri="{FF2B5EF4-FFF2-40B4-BE49-F238E27FC236}">
              <a16:creationId xmlns:a16="http://schemas.microsoft.com/office/drawing/2014/main" id="{00000000-0008-0000-0700-00003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6186" y="201528216"/>
          <a:ext cx="1266825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69272</xdr:colOff>
      <xdr:row>167</xdr:row>
      <xdr:rowOff>94382</xdr:rowOff>
    </xdr:from>
    <xdr:to>
      <xdr:col>6</xdr:col>
      <xdr:colOff>1317047</xdr:colOff>
      <xdr:row>167</xdr:row>
      <xdr:rowOff>1256432</xdr:rowOff>
    </xdr:to>
    <xdr:pic>
      <xdr:nvPicPr>
        <xdr:cNvPr id="561" name="Picture 560" descr="Stockist-Baja-Plat-Hitam">
          <a:extLst>
            <a:ext uri="{FF2B5EF4-FFF2-40B4-BE49-F238E27FC236}">
              <a16:creationId xmlns:a16="http://schemas.microsoft.com/office/drawing/2014/main" id="{00000000-0008-0000-0700-00003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375"/>
        <a:stretch>
          <a:fillRect/>
        </a:stretch>
      </xdr:blipFill>
      <xdr:spPr bwMode="auto">
        <a:xfrm>
          <a:off x="4797136" y="204189155"/>
          <a:ext cx="124777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69272</xdr:colOff>
      <xdr:row>168</xdr:row>
      <xdr:rowOff>94382</xdr:rowOff>
    </xdr:from>
    <xdr:to>
      <xdr:col>6</xdr:col>
      <xdr:colOff>1317047</xdr:colOff>
      <xdr:row>168</xdr:row>
      <xdr:rowOff>1256432</xdr:rowOff>
    </xdr:to>
    <xdr:pic>
      <xdr:nvPicPr>
        <xdr:cNvPr id="562" name="Picture 561" descr="Stockist-Baja-Plat-Hitam">
          <a:extLst>
            <a:ext uri="{FF2B5EF4-FFF2-40B4-BE49-F238E27FC236}">
              <a16:creationId xmlns:a16="http://schemas.microsoft.com/office/drawing/2014/main" id="{00000000-0008-0000-0700-00003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375"/>
        <a:stretch>
          <a:fillRect/>
        </a:stretch>
      </xdr:blipFill>
      <xdr:spPr bwMode="auto">
        <a:xfrm>
          <a:off x="4797136" y="205505337"/>
          <a:ext cx="124777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69272</xdr:colOff>
      <xdr:row>169</xdr:row>
      <xdr:rowOff>94383</xdr:rowOff>
    </xdr:from>
    <xdr:to>
      <xdr:col>6</xdr:col>
      <xdr:colOff>1317047</xdr:colOff>
      <xdr:row>169</xdr:row>
      <xdr:rowOff>1256433</xdr:rowOff>
    </xdr:to>
    <xdr:pic>
      <xdr:nvPicPr>
        <xdr:cNvPr id="563" name="Picture 562" descr="Stockist-Baja-Plat-Hitam">
          <a:extLst>
            <a:ext uri="{FF2B5EF4-FFF2-40B4-BE49-F238E27FC236}">
              <a16:creationId xmlns:a16="http://schemas.microsoft.com/office/drawing/2014/main" id="{00000000-0008-0000-0700-00003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375"/>
        <a:stretch>
          <a:fillRect/>
        </a:stretch>
      </xdr:blipFill>
      <xdr:spPr bwMode="auto">
        <a:xfrm>
          <a:off x="4797136" y="206821519"/>
          <a:ext cx="124777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69272</xdr:colOff>
      <xdr:row>170</xdr:row>
      <xdr:rowOff>56283</xdr:rowOff>
    </xdr:from>
    <xdr:to>
      <xdr:col>6</xdr:col>
      <xdr:colOff>1317047</xdr:colOff>
      <xdr:row>170</xdr:row>
      <xdr:rowOff>1208808</xdr:rowOff>
    </xdr:to>
    <xdr:pic>
      <xdr:nvPicPr>
        <xdr:cNvPr id="564" name="Picture 563" descr="Stockist-Baja-Plat-Hitam">
          <a:extLst>
            <a:ext uri="{FF2B5EF4-FFF2-40B4-BE49-F238E27FC236}">
              <a16:creationId xmlns:a16="http://schemas.microsoft.com/office/drawing/2014/main" id="{00000000-0008-0000-0700-00003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375"/>
        <a:stretch>
          <a:fillRect/>
        </a:stretch>
      </xdr:blipFill>
      <xdr:spPr bwMode="auto">
        <a:xfrm>
          <a:off x="4797136" y="208099601"/>
          <a:ext cx="1247775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154997</xdr:colOff>
      <xdr:row>171</xdr:row>
      <xdr:rowOff>94382</xdr:rowOff>
    </xdr:from>
    <xdr:to>
      <xdr:col>6</xdr:col>
      <xdr:colOff>1288472</xdr:colOff>
      <xdr:row>171</xdr:row>
      <xdr:rowOff>1265957</xdr:rowOff>
    </xdr:to>
    <xdr:pic>
      <xdr:nvPicPr>
        <xdr:cNvPr id="565" name="Picture 564">
          <a:extLst>
            <a:ext uri="{FF2B5EF4-FFF2-40B4-BE49-F238E27FC236}">
              <a16:creationId xmlns:a16="http://schemas.microsoft.com/office/drawing/2014/main" id="{00000000-0008-0000-0700-00003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2861" y="209453882"/>
          <a:ext cx="113347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177511</xdr:colOff>
      <xdr:row>172</xdr:row>
      <xdr:rowOff>69272</xdr:rowOff>
    </xdr:from>
    <xdr:to>
      <xdr:col>6</xdr:col>
      <xdr:colOff>1234786</xdr:colOff>
      <xdr:row>172</xdr:row>
      <xdr:rowOff>1297997</xdr:rowOff>
    </xdr:to>
    <xdr:pic>
      <xdr:nvPicPr>
        <xdr:cNvPr id="566" name="Picture 565" descr="Hasil gambar untuk harga lem foxper kg">
          <a:extLst>
            <a:ext uri="{FF2B5EF4-FFF2-40B4-BE49-F238E27FC236}">
              <a16:creationId xmlns:a16="http://schemas.microsoft.com/office/drawing/2014/main" id="{00000000-0008-0000-0700-00003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54" r="8241"/>
        <a:stretch>
          <a:fillRect/>
        </a:stretch>
      </xdr:blipFill>
      <xdr:spPr bwMode="auto">
        <a:xfrm>
          <a:off x="4905375" y="210744954"/>
          <a:ext cx="1057275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253711</xdr:colOff>
      <xdr:row>173</xdr:row>
      <xdr:rowOff>88322</xdr:rowOff>
    </xdr:from>
    <xdr:to>
      <xdr:col>6</xdr:col>
      <xdr:colOff>1168111</xdr:colOff>
      <xdr:row>173</xdr:row>
      <xdr:rowOff>1288472</xdr:rowOff>
    </xdr:to>
    <xdr:pic>
      <xdr:nvPicPr>
        <xdr:cNvPr id="567" name="Picture 566" descr="https://media.perkakasku.com/img_l.php?kode=LM153">
          <a:extLst>
            <a:ext uri="{FF2B5EF4-FFF2-40B4-BE49-F238E27FC236}">
              <a16:creationId xmlns:a16="http://schemas.microsoft.com/office/drawing/2014/main" id="{00000000-0008-0000-0700-00003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318" t="19872" r="25313" b="13103"/>
        <a:stretch>
          <a:fillRect/>
        </a:stretch>
      </xdr:blipFill>
      <xdr:spPr bwMode="auto">
        <a:xfrm>
          <a:off x="4981575" y="212080186"/>
          <a:ext cx="9144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82261</xdr:colOff>
      <xdr:row>176</xdr:row>
      <xdr:rowOff>59747</xdr:rowOff>
    </xdr:from>
    <xdr:to>
      <xdr:col>6</xdr:col>
      <xdr:colOff>1310986</xdr:colOff>
      <xdr:row>176</xdr:row>
      <xdr:rowOff>1297997</xdr:rowOff>
    </xdr:to>
    <xdr:pic>
      <xdr:nvPicPr>
        <xdr:cNvPr id="568" name="Picture 567" descr="harga-besi-hollow-terbaru">
          <a:extLst>
            <a:ext uri="{FF2B5EF4-FFF2-40B4-BE49-F238E27FC236}">
              <a16:creationId xmlns:a16="http://schemas.microsoft.com/office/drawing/2014/main" id="{00000000-0008-0000-0700-00003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048" t="12560" r="37442" b="24638"/>
        <a:stretch>
          <a:fillRect/>
        </a:stretch>
      </xdr:blipFill>
      <xdr:spPr bwMode="auto">
        <a:xfrm>
          <a:off x="4810125" y="216000156"/>
          <a:ext cx="1228725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34636</xdr:colOff>
      <xdr:row>174</xdr:row>
      <xdr:rowOff>164523</xdr:rowOff>
    </xdr:from>
    <xdr:to>
      <xdr:col>6</xdr:col>
      <xdr:colOff>1349086</xdr:colOff>
      <xdr:row>174</xdr:row>
      <xdr:rowOff>1145598</xdr:rowOff>
    </xdr:to>
    <xdr:pic>
      <xdr:nvPicPr>
        <xdr:cNvPr id="569" name="Picture 2">
          <a:extLst>
            <a:ext uri="{FF2B5EF4-FFF2-40B4-BE49-F238E27FC236}">
              <a16:creationId xmlns:a16="http://schemas.microsoft.com/office/drawing/2014/main" id="{00000000-0008-0000-0700-00003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0" y="213472568"/>
          <a:ext cx="131445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</xdr:col>
      <xdr:colOff>82261</xdr:colOff>
      <xdr:row>175</xdr:row>
      <xdr:rowOff>59748</xdr:rowOff>
    </xdr:from>
    <xdr:ext cx="1228725" cy="1238250"/>
    <xdr:pic>
      <xdr:nvPicPr>
        <xdr:cNvPr id="570" name="Picture 569" descr="harga-besi-hollow-terbaru">
          <a:extLst>
            <a:ext uri="{FF2B5EF4-FFF2-40B4-BE49-F238E27FC236}">
              <a16:creationId xmlns:a16="http://schemas.microsoft.com/office/drawing/2014/main" id="{00000000-0008-0000-0700-00003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048" t="12560" r="37442" b="24638"/>
        <a:stretch>
          <a:fillRect/>
        </a:stretch>
      </xdr:blipFill>
      <xdr:spPr bwMode="auto">
        <a:xfrm>
          <a:off x="4810125" y="214683975"/>
          <a:ext cx="1228725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82261</xdr:colOff>
      <xdr:row>177</xdr:row>
      <xdr:rowOff>59747</xdr:rowOff>
    </xdr:from>
    <xdr:ext cx="1228725" cy="1238250"/>
    <xdr:pic>
      <xdr:nvPicPr>
        <xdr:cNvPr id="571" name="Picture 570" descr="harga-besi-hollow-terbaru">
          <a:extLst>
            <a:ext uri="{FF2B5EF4-FFF2-40B4-BE49-F238E27FC236}">
              <a16:creationId xmlns:a16="http://schemas.microsoft.com/office/drawing/2014/main" id="{00000000-0008-0000-0700-00003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048" t="12560" r="37442" b="24638"/>
        <a:stretch>
          <a:fillRect/>
        </a:stretch>
      </xdr:blipFill>
      <xdr:spPr bwMode="auto">
        <a:xfrm>
          <a:off x="4810125" y="217316338"/>
          <a:ext cx="1228725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82261</xdr:colOff>
      <xdr:row>179</xdr:row>
      <xdr:rowOff>21647</xdr:rowOff>
    </xdr:from>
    <xdr:ext cx="1228725" cy="1238250"/>
    <xdr:pic>
      <xdr:nvPicPr>
        <xdr:cNvPr id="572" name="Picture 571" descr="harga-besi-hollow-terbaru">
          <a:extLst>
            <a:ext uri="{FF2B5EF4-FFF2-40B4-BE49-F238E27FC236}">
              <a16:creationId xmlns:a16="http://schemas.microsoft.com/office/drawing/2014/main" id="{00000000-0008-0000-0700-00003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048" t="12560" r="37442" b="24638"/>
        <a:stretch>
          <a:fillRect/>
        </a:stretch>
      </xdr:blipFill>
      <xdr:spPr bwMode="auto">
        <a:xfrm>
          <a:off x="4810125" y="219910602"/>
          <a:ext cx="1228725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82261</xdr:colOff>
      <xdr:row>178</xdr:row>
      <xdr:rowOff>59747</xdr:rowOff>
    </xdr:from>
    <xdr:ext cx="1228725" cy="1238250"/>
    <xdr:pic>
      <xdr:nvPicPr>
        <xdr:cNvPr id="573" name="Picture 572" descr="harga-besi-hollow-terbaru">
          <a:extLst>
            <a:ext uri="{FF2B5EF4-FFF2-40B4-BE49-F238E27FC236}">
              <a16:creationId xmlns:a16="http://schemas.microsoft.com/office/drawing/2014/main" id="{00000000-0008-0000-0700-00003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048" t="12560" r="37442" b="24638"/>
        <a:stretch>
          <a:fillRect/>
        </a:stretch>
      </xdr:blipFill>
      <xdr:spPr bwMode="auto">
        <a:xfrm>
          <a:off x="4810125" y="218632520"/>
          <a:ext cx="1228725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45893</xdr:colOff>
      <xdr:row>185</xdr:row>
      <xdr:rowOff>34637</xdr:rowOff>
    </xdr:from>
    <xdr:to>
      <xdr:col>6</xdr:col>
      <xdr:colOff>1312718</xdr:colOff>
      <xdr:row>185</xdr:row>
      <xdr:rowOff>1253837</xdr:rowOff>
    </xdr:to>
    <xdr:pic>
      <xdr:nvPicPr>
        <xdr:cNvPr id="574" name="Picture 573" descr="Hasil gambar untuk harga hollow galvalum">
          <a:extLst>
            <a:ext uri="{FF2B5EF4-FFF2-40B4-BE49-F238E27FC236}">
              <a16:creationId xmlns:a16="http://schemas.microsoft.com/office/drawing/2014/main" id="{00000000-0008-0000-0700-00003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06" r="10574"/>
        <a:stretch>
          <a:fillRect/>
        </a:stretch>
      </xdr:blipFill>
      <xdr:spPr bwMode="auto">
        <a:xfrm>
          <a:off x="4773757" y="227820682"/>
          <a:ext cx="1266825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45893</xdr:colOff>
      <xdr:row>186</xdr:row>
      <xdr:rowOff>44162</xdr:rowOff>
    </xdr:from>
    <xdr:to>
      <xdr:col>6</xdr:col>
      <xdr:colOff>1312718</xdr:colOff>
      <xdr:row>186</xdr:row>
      <xdr:rowOff>1263362</xdr:rowOff>
    </xdr:to>
    <xdr:pic>
      <xdr:nvPicPr>
        <xdr:cNvPr id="575" name="Picture 574" descr="Hasil gambar untuk harga hollow galvalum">
          <a:extLst>
            <a:ext uri="{FF2B5EF4-FFF2-40B4-BE49-F238E27FC236}">
              <a16:creationId xmlns:a16="http://schemas.microsoft.com/office/drawing/2014/main" id="{00000000-0008-0000-0700-00003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06" r="10574"/>
        <a:stretch>
          <a:fillRect/>
        </a:stretch>
      </xdr:blipFill>
      <xdr:spPr bwMode="auto">
        <a:xfrm>
          <a:off x="4773757" y="229146389"/>
          <a:ext cx="1266825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112568</xdr:colOff>
      <xdr:row>187</xdr:row>
      <xdr:rowOff>44161</xdr:rowOff>
    </xdr:from>
    <xdr:to>
      <xdr:col>6</xdr:col>
      <xdr:colOff>1246043</xdr:colOff>
      <xdr:row>187</xdr:row>
      <xdr:rowOff>1272886</xdr:rowOff>
    </xdr:to>
    <xdr:pic>
      <xdr:nvPicPr>
        <xdr:cNvPr id="577" name="Picture 4">
          <a:extLst>
            <a:ext uri="{FF2B5EF4-FFF2-40B4-BE49-F238E27FC236}">
              <a16:creationId xmlns:a16="http://schemas.microsoft.com/office/drawing/2014/main" id="{00000000-0008-0000-0700-00004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929" r="19991"/>
        <a:stretch>
          <a:fillRect/>
        </a:stretch>
      </xdr:blipFill>
      <xdr:spPr bwMode="auto">
        <a:xfrm>
          <a:off x="4840432" y="230462570"/>
          <a:ext cx="1133475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</xdr:col>
      <xdr:colOff>74468</xdr:colOff>
      <xdr:row>181</xdr:row>
      <xdr:rowOff>51953</xdr:rowOff>
    </xdr:from>
    <xdr:ext cx="1228725" cy="1238250"/>
    <xdr:pic>
      <xdr:nvPicPr>
        <xdr:cNvPr id="578" name="Picture 577" descr="harga-besi-hollow-terbaru">
          <a:extLst>
            <a:ext uri="{FF2B5EF4-FFF2-40B4-BE49-F238E27FC236}">
              <a16:creationId xmlns:a16="http://schemas.microsoft.com/office/drawing/2014/main" id="{00000000-0008-0000-0700-00004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048" t="12560" r="37442" b="24638"/>
        <a:stretch>
          <a:fillRect/>
        </a:stretch>
      </xdr:blipFill>
      <xdr:spPr bwMode="auto">
        <a:xfrm>
          <a:off x="4802332" y="222573271"/>
          <a:ext cx="1228725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74468</xdr:colOff>
      <xdr:row>183</xdr:row>
      <xdr:rowOff>51953</xdr:rowOff>
    </xdr:from>
    <xdr:ext cx="1228725" cy="1238250"/>
    <xdr:pic>
      <xdr:nvPicPr>
        <xdr:cNvPr id="579" name="Picture 578" descr="harga-besi-hollow-terbaru">
          <a:extLst>
            <a:ext uri="{FF2B5EF4-FFF2-40B4-BE49-F238E27FC236}">
              <a16:creationId xmlns:a16="http://schemas.microsoft.com/office/drawing/2014/main" id="{00000000-0008-0000-0700-00004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048" t="12560" r="37442" b="24638"/>
        <a:stretch>
          <a:fillRect/>
        </a:stretch>
      </xdr:blipFill>
      <xdr:spPr bwMode="auto">
        <a:xfrm>
          <a:off x="4802332" y="225205635"/>
          <a:ext cx="1228725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74468</xdr:colOff>
      <xdr:row>180</xdr:row>
      <xdr:rowOff>51954</xdr:rowOff>
    </xdr:from>
    <xdr:ext cx="1228725" cy="1238250"/>
    <xdr:pic>
      <xdr:nvPicPr>
        <xdr:cNvPr id="580" name="Picture 579" descr="harga-besi-hollow-terbaru">
          <a:extLst>
            <a:ext uri="{FF2B5EF4-FFF2-40B4-BE49-F238E27FC236}">
              <a16:creationId xmlns:a16="http://schemas.microsoft.com/office/drawing/2014/main" id="{00000000-0008-0000-0700-00004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048" t="12560" r="37442" b="24638"/>
        <a:stretch>
          <a:fillRect/>
        </a:stretch>
      </xdr:blipFill>
      <xdr:spPr bwMode="auto">
        <a:xfrm>
          <a:off x="4802332" y="221257090"/>
          <a:ext cx="1228725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74468</xdr:colOff>
      <xdr:row>182</xdr:row>
      <xdr:rowOff>51953</xdr:rowOff>
    </xdr:from>
    <xdr:ext cx="1228725" cy="1238250"/>
    <xdr:pic>
      <xdr:nvPicPr>
        <xdr:cNvPr id="581" name="Picture 580" descr="harga-besi-hollow-terbaru">
          <a:extLst>
            <a:ext uri="{FF2B5EF4-FFF2-40B4-BE49-F238E27FC236}">
              <a16:creationId xmlns:a16="http://schemas.microsoft.com/office/drawing/2014/main" id="{00000000-0008-0000-0700-00004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048" t="12560" r="37442" b="24638"/>
        <a:stretch>
          <a:fillRect/>
        </a:stretch>
      </xdr:blipFill>
      <xdr:spPr bwMode="auto">
        <a:xfrm>
          <a:off x="4802332" y="223889453"/>
          <a:ext cx="1228725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352054</xdr:colOff>
      <xdr:row>189</xdr:row>
      <xdr:rowOff>62810</xdr:rowOff>
    </xdr:from>
    <xdr:to>
      <xdr:col>6</xdr:col>
      <xdr:colOff>882732</xdr:colOff>
      <xdr:row>189</xdr:row>
      <xdr:rowOff>1304057</xdr:rowOff>
    </xdr:to>
    <xdr:pic>
      <xdr:nvPicPr>
        <xdr:cNvPr id="584" name="Picture 583">
          <a:extLst>
            <a:ext uri="{FF2B5EF4-FFF2-40B4-BE49-F238E27FC236}">
              <a16:creationId xmlns:a16="http://schemas.microsoft.com/office/drawing/2014/main" id="{00000000-0008-0000-0700-00004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79918" y="233113583"/>
          <a:ext cx="530678" cy="1241247"/>
        </a:xfrm>
        <a:prstGeom prst="rect">
          <a:avLst/>
        </a:prstGeom>
      </xdr:spPr>
    </xdr:pic>
    <xdr:clientData/>
  </xdr:twoCellAnchor>
  <xdr:oneCellAnchor>
    <xdr:from>
      <xdr:col>6</xdr:col>
      <xdr:colOff>69272</xdr:colOff>
      <xdr:row>184</xdr:row>
      <xdr:rowOff>17318</xdr:rowOff>
    </xdr:from>
    <xdr:ext cx="1228725" cy="1238250"/>
    <xdr:pic>
      <xdr:nvPicPr>
        <xdr:cNvPr id="585" name="Picture 584" descr="harga-besi-hollow-terbaru">
          <a:extLst>
            <a:ext uri="{FF2B5EF4-FFF2-40B4-BE49-F238E27FC236}">
              <a16:creationId xmlns:a16="http://schemas.microsoft.com/office/drawing/2014/main" id="{00000000-0008-0000-0700-00004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048" t="12560" r="37442" b="24638"/>
        <a:stretch>
          <a:fillRect/>
        </a:stretch>
      </xdr:blipFill>
      <xdr:spPr bwMode="auto">
        <a:xfrm>
          <a:off x="4797136" y="226487182"/>
          <a:ext cx="1228725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69272</xdr:colOff>
      <xdr:row>191</xdr:row>
      <xdr:rowOff>34636</xdr:rowOff>
    </xdr:from>
    <xdr:to>
      <xdr:col>6</xdr:col>
      <xdr:colOff>1293273</xdr:colOff>
      <xdr:row>191</xdr:row>
      <xdr:rowOff>1258636</xdr:rowOff>
    </xdr:to>
    <xdr:pic>
      <xdr:nvPicPr>
        <xdr:cNvPr id="586" name="Picture 585">
          <a:extLst>
            <a:ext uri="{FF2B5EF4-FFF2-40B4-BE49-F238E27FC236}">
              <a16:creationId xmlns:a16="http://schemas.microsoft.com/office/drawing/2014/main" id="{00000000-0008-0000-0700-00004A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0"/>
        <a:srcRect l="-449" t="-10171" r="-449" b="-10171"/>
        <a:stretch/>
      </xdr:blipFill>
      <xdr:spPr>
        <a:xfrm>
          <a:off x="4797136" y="235717772"/>
          <a:ext cx="1224001" cy="12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97264</xdr:colOff>
      <xdr:row>204</xdr:row>
      <xdr:rowOff>122089</xdr:rowOff>
    </xdr:from>
    <xdr:to>
      <xdr:col>6</xdr:col>
      <xdr:colOff>1285296</xdr:colOff>
      <xdr:row>204</xdr:row>
      <xdr:rowOff>1136072</xdr:rowOff>
    </xdr:to>
    <xdr:pic>
      <xdr:nvPicPr>
        <xdr:cNvPr id="588" name="Picture 587">
          <a:extLst>
            <a:ext uri="{FF2B5EF4-FFF2-40B4-BE49-F238E27FC236}">
              <a16:creationId xmlns:a16="http://schemas.microsoft.com/office/drawing/2014/main" id="{00000000-0008-0000-0700-00004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5128" y="250698862"/>
          <a:ext cx="1188032" cy="1013983"/>
        </a:xfrm>
        <a:prstGeom prst="rect">
          <a:avLst/>
        </a:prstGeom>
      </xdr:spPr>
    </xdr:pic>
    <xdr:clientData/>
  </xdr:twoCellAnchor>
  <xdr:twoCellAnchor editAs="oneCell">
    <xdr:from>
      <xdr:col>6</xdr:col>
      <xdr:colOff>69272</xdr:colOff>
      <xdr:row>201</xdr:row>
      <xdr:rowOff>69272</xdr:rowOff>
    </xdr:from>
    <xdr:to>
      <xdr:col>6</xdr:col>
      <xdr:colOff>1291647</xdr:colOff>
      <xdr:row>201</xdr:row>
      <xdr:rowOff>1291647</xdr:rowOff>
    </xdr:to>
    <xdr:pic>
      <xdr:nvPicPr>
        <xdr:cNvPr id="589" name="Picture 588">
          <a:extLst>
            <a:ext uri="{FF2B5EF4-FFF2-40B4-BE49-F238E27FC236}">
              <a16:creationId xmlns:a16="http://schemas.microsoft.com/office/drawing/2014/main" id="{00000000-0008-0000-0700-00004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97136" y="246697499"/>
          <a:ext cx="1222375" cy="1222375"/>
        </a:xfrm>
        <a:prstGeom prst="rect">
          <a:avLst/>
        </a:prstGeom>
      </xdr:spPr>
    </xdr:pic>
    <xdr:clientData/>
  </xdr:twoCellAnchor>
  <xdr:oneCellAnchor>
    <xdr:from>
      <xdr:col>6</xdr:col>
      <xdr:colOff>97264</xdr:colOff>
      <xdr:row>203</xdr:row>
      <xdr:rowOff>155449</xdr:rowOff>
    </xdr:from>
    <xdr:ext cx="1188032" cy="1013983"/>
    <xdr:pic>
      <xdr:nvPicPr>
        <xdr:cNvPr id="590" name="Picture 589">
          <a:extLst>
            <a:ext uri="{FF2B5EF4-FFF2-40B4-BE49-F238E27FC236}">
              <a16:creationId xmlns:a16="http://schemas.microsoft.com/office/drawing/2014/main" id="{00000000-0008-0000-0700-00004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5128" y="249416040"/>
          <a:ext cx="1188032" cy="1013983"/>
        </a:xfrm>
        <a:prstGeom prst="rect">
          <a:avLst/>
        </a:prstGeom>
      </xdr:spPr>
    </xdr:pic>
    <xdr:clientData/>
  </xdr:oneCellAnchor>
  <xdr:twoCellAnchor editAs="oneCell">
    <xdr:from>
      <xdr:col>6</xdr:col>
      <xdr:colOff>53686</xdr:colOff>
      <xdr:row>209</xdr:row>
      <xdr:rowOff>34636</xdr:rowOff>
    </xdr:from>
    <xdr:to>
      <xdr:col>6</xdr:col>
      <xdr:colOff>1263361</xdr:colOff>
      <xdr:row>209</xdr:row>
      <xdr:rowOff>1244311</xdr:rowOff>
    </xdr:to>
    <xdr:pic>
      <xdr:nvPicPr>
        <xdr:cNvPr id="591" name="Picture 107">
          <a:extLst>
            <a:ext uri="{FF2B5EF4-FFF2-40B4-BE49-F238E27FC236}">
              <a16:creationId xmlns:a16="http://schemas.microsoft.com/office/drawing/2014/main" id="{00000000-0008-0000-0700-00004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1550" y="256291772"/>
          <a:ext cx="1209675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63211</xdr:colOff>
      <xdr:row>211</xdr:row>
      <xdr:rowOff>53686</xdr:rowOff>
    </xdr:from>
    <xdr:to>
      <xdr:col>6</xdr:col>
      <xdr:colOff>1291936</xdr:colOff>
      <xdr:row>211</xdr:row>
      <xdr:rowOff>1177636</xdr:rowOff>
    </xdr:to>
    <xdr:pic>
      <xdr:nvPicPr>
        <xdr:cNvPr id="592" name="Picture 108" descr="Paku Ramset Merk Superfix SH 40 Panjang 4 cm">
          <a:extLst>
            <a:ext uri="{FF2B5EF4-FFF2-40B4-BE49-F238E27FC236}">
              <a16:creationId xmlns:a16="http://schemas.microsoft.com/office/drawing/2014/main" id="{00000000-0008-0000-0700-00005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69" t="31447" r="15681"/>
        <a:stretch>
          <a:fillRect/>
        </a:stretch>
      </xdr:blipFill>
      <xdr:spPr bwMode="auto">
        <a:xfrm>
          <a:off x="4791075" y="258943186"/>
          <a:ext cx="122872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44161</xdr:colOff>
      <xdr:row>212</xdr:row>
      <xdr:rowOff>34636</xdr:rowOff>
    </xdr:from>
    <xdr:to>
      <xdr:col>6</xdr:col>
      <xdr:colOff>1330036</xdr:colOff>
      <xdr:row>212</xdr:row>
      <xdr:rowOff>1253836</xdr:rowOff>
    </xdr:to>
    <xdr:pic>
      <xdr:nvPicPr>
        <xdr:cNvPr id="593" name="Picture 109" descr="PAKU GRC  KALSIBOARD CALCIBOARD NAILS">
          <a:extLst>
            <a:ext uri="{FF2B5EF4-FFF2-40B4-BE49-F238E27FC236}">
              <a16:creationId xmlns:a16="http://schemas.microsoft.com/office/drawing/2014/main" id="{00000000-0008-0000-0700-00005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032" t="4324" r="8983" b="19810"/>
        <a:stretch>
          <a:fillRect/>
        </a:stretch>
      </xdr:blipFill>
      <xdr:spPr bwMode="auto">
        <a:xfrm>
          <a:off x="4772025" y="260240318"/>
          <a:ext cx="1285875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44161</xdr:colOff>
      <xdr:row>213</xdr:row>
      <xdr:rowOff>53686</xdr:rowOff>
    </xdr:from>
    <xdr:to>
      <xdr:col>6</xdr:col>
      <xdr:colOff>1320511</xdr:colOff>
      <xdr:row>213</xdr:row>
      <xdr:rowOff>1253836</xdr:rowOff>
    </xdr:to>
    <xdr:pic>
      <xdr:nvPicPr>
        <xdr:cNvPr id="594" name="Picture 110" descr="Hasil gambar untuk paku gypsum">
          <a:extLst>
            <a:ext uri="{FF2B5EF4-FFF2-40B4-BE49-F238E27FC236}">
              <a16:creationId xmlns:a16="http://schemas.microsoft.com/office/drawing/2014/main" id="{00000000-0008-0000-0700-00005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261575550"/>
          <a:ext cx="127635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53686</xdr:colOff>
      <xdr:row>215</xdr:row>
      <xdr:rowOff>25111</xdr:rowOff>
    </xdr:from>
    <xdr:to>
      <xdr:col>6</xdr:col>
      <xdr:colOff>1320511</xdr:colOff>
      <xdr:row>215</xdr:row>
      <xdr:rowOff>1263361</xdr:rowOff>
    </xdr:to>
    <xdr:pic>
      <xdr:nvPicPr>
        <xdr:cNvPr id="595" name="Picture 111" descr="Gambar terkait">
          <a:extLst>
            <a:ext uri="{FF2B5EF4-FFF2-40B4-BE49-F238E27FC236}">
              <a16:creationId xmlns:a16="http://schemas.microsoft.com/office/drawing/2014/main" id="{00000000-0008-0000-0700-00005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3412"/>
        <a:stretch>
          <a:fillRect/>
        </a:stretch>
      </xdr:blipFill>
      <xdr:spPr bwMode="auto">
        <a:xfrm>
          <a:off x="4781550" y="263278793"/>
          <a:ext cx="1266825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53686</xdr:colOff>
      <xdr:row>216</xdr:row>
      <xdr:rowOff>44161</xdr:rowOff>
    </xdr:from>
    <xdr:to>
      <xdr:col>6</xdr:col>
      <xdr:colOff>1320511</xdr:colOff>
      <xdr:row>216</xdr:row>
      <xdr:rowOff>1244311</xdr:rowOff>
    </xdr:to>
    <xdr:pic>
      <xdr:nvPicPr>
        <xdr:cNvPr id="596" name="Picture 119" descr="Hasil gambar untuk pipa rucika aw">
          <a:extLst>
            <a:ext uri="{FF2B5EF4-FFF2-40B4-BE49-F238E27FC236}">
              <a16:creationId xmlns:a16="http://schemas.microsoft.com/office/drawing/2014/main" id="{00000000-0008-0000-0700-00005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6609"/>
        <a:stretch>
          <a:fillRect/>
        </a:stretch>
      </xdr:blipFill>
      <xdr:spPr bwMode="auto">
        <a:xfrm>
          <a:off x="4781550" y="264614025"/>
          <a:ext cx="12668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34636</xdr:colOff>
      <xdr:row>210</xdr:row>
      <xdr:rowOff>282286</xdr:rowOff>
    </xdr:from>
    <xdr:to>
      <xdr:col>6</xdr:col>
      <xdr:colOff>1339561</xdr:colOff>
      <xdr:row>210</xdr:row>
      <xdr:rowOff>1063336</xdr:rowOff>
    </xdr:to>
    <xdr:pic>
      <xdr:nvPicPr>
        <xdr:cNvPr id="597" name="Picture 266" descr="Hasil gambar untuk harga paku payung">
          <a:extLst>
            <a:ext uri="{FF2B5EF4-FFF2-40B4-BE49-F238E27FC236}">
              <a16:creationId xmlns:a16="http://schemas.microsoft.com/office/drawing/2014/main" id="{00000000-0008-0000-0700-00005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0" y="257855604"/>
          <a:ext cx="13049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51954</xdr:colOff>
      <xdr:row>224</xdr:row>
      <xdr:rowOff>75333</xdr:rowOff>
    </xdr:from>
    <xdr:to>
      <xdr:col>6</xdr:col>
      <xdr:colOff>1318779</xdr:colOff>
      <xdr:row>224</xdr:row>
      <xdr:rowOff>1275483</xdr:rowOff>
    </xdr:to>
    <xdr:pic>
      <xdr:nvPicPr>
        <xdr:cNvPr id="598" name="Picture 112" descr="Hasil gambar untuk pipa rucika aw">
          <a:extLst>
            <a:ext uri="{FF2B5EF4-FFF2-40B4-BE49-F238E27FC236}">
              <a16:creationId xmlns:a16="http://schemas.microsoft.com/office/drawing/2014/main" id="{00000000-0008-0000-0700-00005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6609"/>
        <a:stretch>
          <a:fillRect/>
        </a:stretch>
      </xdr:blipFill>
      <xdr:spPr bwMode="auto">
        <a:xfrm>
          <a:off x="4779818" y="275174651"/>
          <a:ext cx="12668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51954</xdr:colOff>
      <xdr:row>223</xdr:row>
      <xdr:rowOff>75333</xdr:rowOff>
    </xdr:from>
    <xdr:to>
      <xdr:col>6</xdr:col>
      <xdr:colOff>1318779</xdr:colOff>
      <xdr:row>223</xdr:row>
      <xdr:rowOff>1275483</xdr:rowOff>
    </xdr:to>
    <xdr:pic>
      <xdr:nvPicPr>
        <xdr:cNvPr id="599" name="Picture 113" descr="Hasil gambar untuk pipa rucika aw">
          <a:extLst>
            <a:ext uri="{FF2B5EF4-FFF2-40B4-BE49-F238E27FC236}">
              <a16:creationId xmlns:a16="http://schemas.microsoft.com/office/drawing/2014/main" id="{00000000-0008-0000-0700-00005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6609"/>
        <a:stretch>
          <a:fillRect/>
        </a:stretch>
      </xdr:blipFill>
      <xdr:spPr bwMode="auto">
        <a:xfrm>
          <a:off x="4779818" y="273858469"/>
          <a:ext cx="12668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51954</xdr:colOff>
      <xdr:row>222</xdr:row>
      <xdr:rowOff>75332</xdr:rowOff>
    </xdr:from>
    <xdr:to>
      <xdr:col>6</xdr:col>
      <xdr:colOff>1318779</xdr:colOff>
      <xdr:row>222</xdr:row>
      <xdr:rowOff>1275482</xdr:rowOff>
    </xdr:to>
    <xdr:pic>
      <xdr:nvPicPr>
        <xdr:cNvPr id="600" name="Picture 114" descr="Hasil gambar untuk pipa rucika aw">
          <a:extLst>
            <a:ext uri="{FF2B5EF4-FFF2-40B4-BE49-F238E27FC236}">
              <a16:creationId xmlns:a16="http://schemas.microsoft.com/office/drawing/2014/main" id="{00000000-0008-0000-0700-00005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6609"/>
        <a:stretch>
          <a:fillRect/>
        </a:stretch>
      </xdr:blipFill>
      <xdr:spPr bwMode="auto">
        <a:xfrm>
          <a:off x="4779818" y="272542287"/>
          <a:ext cx="12668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51954</xdr:colOff>
      <xdr:row>221</xdr:row>
      <xdr:rowOff>65808</xdr:rowOff>
    </xdr:from>
    <xdr:to>
      <xdr:col>6</xdr:col>
      <xdr:colOff>1318779</xdr:colOff>
      <xdr:row>221</xdr:row>
      <xdr:rowOff>1265958</xdr:rowOff>
    </xdr:to>
    <xdr:pic>
      <xdr:nvPicPr>
        <xdr:cNvPr id="601" name="Picture 115" descr="Hasil gambar untuk pipa rucika aw">
          <a:extLst>
            <a:ext uri="{FF2B5EF4-FFF2-40B4-BE49-F238E27FC236}">
              <a16:creationId xmlns:a16="http://schemas.microsoft.com/office/drawing/2014/main" id="{00000000-0008-0000-0700-00005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6609"/>
        <a:stretch>
          <a:fillRect/>
        </a:stretch>
      </xdr:blipFill>
      <xdr:spPr bwMode="auto">
        <a:xfrm>
          <a:off x="4779818" y="271216581"/>
          <a:ext cx="12668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51954</xdr:colOff>
      <xdr:row>220</xdr:row>
      <xdr:rowOff>84858</xdr:rowOff>
    </xdr:from>
    <xdr:to>
      <xdr:col>6</xdr:col>
      <xdr:colOff>1318779</xdr:colOff>
      <xdr:row>220</xdr:row>
      <xdr:rowOff>1285008</xdr:rowOff>
    </xdr:to>
    <xdr:pic>
      <xdr:nvPicPr>
        <xdr:cNvPr id="602" name="Picture 116" descr="Hasil gambar untuk pipa rucika aw">
          <a:extLst>
            <a:ext uri="{FF2B5EF4-FFF2-40B4-BE49-F238E27FC236}">
              <a16:creationId xmlns:a16="http://schemas.microsoft.com/office/drawing/2014/main" id="{00000000-0008-0000-0700-00005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6609"/>
        <a:stretch>
          <a:fillRect/>
        </a:stretch>
      </xdr:blipFill>
      <xdr:spPr bwMode="auto">
        <a:xfrm>
          <a:off x="4779818" y="269919449"/>
          <a:ext cx="12668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51954</xdr:colOff>
      <xdr:row>218</xdr:row>
      <xdr:rowOff>65808</xdr:rowOff>
    </xdr:from>
    <xdr:to>
      <xdr:col>6</xdr:col>
      <xdr:colOff>1318779</xdr:colOff>
      <xdr:row>218</xdr:row>
      <xdr:rowOff>1265958</xdr:rowOff>
    </xdr:to>
    <xdr:pic>
      <xdr:nvPicPr>
        <xdr:cNvPr id="603" name="Picture 117" descr="Hasil gambar untuk pipa rucika aw">
          <a:extLst>
            <a:ext uri="{FF2B5EF4-FFF2-40B4-BE49-F238E27FC236}">
              <a16:creationId xmlns:a16="http://schemas.microsoft.com/office/drawing/2014/main" id="{00000000-0008-0000-0700-00005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6609"/>
        <a:stretch>
          <a:fillRect/>
        </a:stretch>
      </xdr:blipFill>
      <xdr:spPr bwMode="auto">
        <a:xfrm>
          <a:off x="4779818" y="267268035"/>
          <a:ext cx="12668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51954</xdr:colOff>
      <xdr:row>217</xdr:row>
      <xdr:rowOff>103908</xdr:rowOff>
    </xdr:from>
    <xdr:to>
      <xdr:col>6</xdr:col>
      <xdr:colOff>1318779</xdr:colOff>
      <xdr:row>218</xdr:row>
      <xdr:rowOff>2495</xdr:rowOff>
    </xdr:to>
    <xdr:pic>
      <xdr:nvPicPr>
        <xdr:cNvPr id="604" name="Picture 118" descr="Hasil gambar untuk pipa rucika aw">
          <a:extLst>
            <a:ext uri="{FF2B5EF4-FFF2-40B4-BE49-F238E27FC236}">
              <a16:creationId xmlns:a16="http://schemas.microsoft.com/office/drawing/2014/main" id="{00000000-0008-0000-0700-00005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6609"/>
        <a:stretch>
          <a:fillRect/>
        </a:stretch>
      </xdr:blipFill>
      <xdr:spPr bwMode="auto">
        <a:xfrm>
          <a:off x="4779818" y="265989953"/>
          <a:ext cx="1266825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</xdr:col>
      <xdr:colOff>51954</xdr:colOff>
      <xdr:row>219</xdr:row>
      <xdr:rowOff>65808</xdr:rowOff>
    </xdr:from>
    <xdr:ext cx="1266825" cy="1200150"/>
    <xdr:pic>
      <xdr:nvPicPr>
        <xdr:cNvPr id="605" name="Picture 117" descr="Hasil gambar untuk pipa rucika aw">
          <a:extLst>
            <a:ext uri="{FF2B5EF4-FFF2-40B4-BE49-F238E27FC236}">
              <a16:creationId xmlns:a16="http://schemas.microsoft.com/office/drawing/2014/main" id="{00000000-0008-0000-0700-00005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6609"/>
        <a:stretch>
          <a:fillRect/>
        </a:stretch>
      </xdr:blipFill>
      <xdr:spPr bwMode="auto">
        <a:xfrm>
          <a:off x="4779818" y="268584217"/>
          <a:ext cx="12668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51954</xdr:colOff>
      <xdr:row>225</xdr:row>
      <xdr:rowOff>69272</xdr:rowOff>
    </xdr:from>
    <xdr:to>
      <xdr:col>6</xdr:col>
      <xdr:colOff>1290204</xdr:colOff>
      <xdr:row>225</xdr:row>
      <xdr:rowOff>1269422</xdr:rowOff>
    </xdr:to>
    <xdr:pic>
      <xdr:nvPicPr>
        <xdr:cNvPr id="606" name="Picture 120" descr="Hasil gambar untuk harga Pipa ppr">
          <a:extLst>
            <a:ext uri="{FF2B5EF4-FFF2-40B4-BE49-F238E27FC236}">
              <a16:creationId xmlns:a16="http://schemas.microsoft.com/office/drawing/2014/main" id="{00000000-0008-0000-0700-00005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2983"/>
        <a:stretch>
          <a:fillRect/>
        </a:stretch>
      </xdr:blipFill>
      <xdr:spPr bwMode="auto">
        <a:xfrm>
          <a:off x="4779818" y="276484772"/>
          <a:ext cx="123825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51954</xdr:colOff>
      <xdr:row>226</xdr:row>
      <xdr:rowOff>69272</xdr:rowOff>
    </xdr:from>
    <xdr:to>
      <xdr:col>6</xdr:col>
      <xdr:colOff>1290204</xdr:colOff>
      <xdr:row>226</xdr:row>
      <xdr:rowOff>1269422</xdr:rowOff>
    </xdr:to>
    <xdr:pic>
      <xdr:nvPicPr>
        <xdr:cNvPr id="607" name="Picture 121" descr="Hasil gambar untuk harga Pipa ppr">
          <a:extLst>
            <a:ext uri="{FF2B5EF4-FFF2-40B4-BE49-F238E27FC236}">
              <a16:creationId xmlns:a16="http://schemas.microsoft.com/office/drawing/2014/main" id="{00000000-0008-0000-0700-00005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2983"/>
        <a:stretch>
          <a:fillRect/>
        </a:stretch>
      </xdr:blipFill>
      <xdr:spPr bwMode="auto">
        <a:xfrm>
          <a:off x="4779818" y="277800954"/>
          <a:ext cx="123825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51954</xdr:colOff>
      <xdr:row>227</xdr:row>
      <xdr:rowOff>97847</xdr:rowOff>
    </xdr:from>
    <xdr:to>
      <xdr:col>6</xdr:col>
      <xdr:colOff>1290204</xdr:colOff>
      <xdr:row>227</xdr:row>
      <xdr:rowOff>1297997</xdr:rowOff>
    </xdr:to>
    <xdr:pic>
      <xdr:nvPicPr>
        <xdr:cNvPr id="608" name="Picture 122" descr="Hasil gambar untuk harga Pipa ppr">
          <a:extLst>
            <a:ext uri="{FF2B5EF4-FFF2-40B4-BE49-F238E27FC236}">
              <a16:creationId xmlns:a16="http://schemas.microsoft.com/office/drawing/2014/main" id="{00000000-0008-0000-0700-00006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2983"/>
        <a:stretch>
          <a:fillRect/>
        </a:stretch>
      </xdr:blipFill>
      <xdr:spPr bwMode="auto">
        <a:xfrm>
          <a:off x="4779818" y="279145711"/>
          <a:ext cx="123825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51954</xdr:colOff>
      <xdr:row>229</xdr:row>
      <xdr:rowOff>50222</xdr:rowOff>
    </xdr:from>
    <xdr:to>
      <xdr:col>6</xdr:col>
      <xdr:colOff>1318779</xdr:colOff>
      <xdr:row>229</xdr:row>
      <xdr:rowOff>1278947</xdr:rowOff>
    </xdr:to>
    <xdr:pic>
      <xdr:nvPicPr>
        <xdr:cNvPr id="609" name="Picture 123" descr="Gambar terkait">
          <a:extLst>
            <a:ext uri="{FF2B5EF4-FFF2-40B4-BE49-F238E27FC236}">
              <a16:creationId xmlns:a16="http://schemas.microsoft.com/office/drawing/2014/main" id="{00000000-0008-0000-0700-00006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299" r="16908" b="17979"/>
        <a:stretch>
          <a:fillRect/>
        </a:stretch>
      </xdr:blipFill>
      <xdr:spPr bwMode="auto">
        <a:xfrm>
          <a:off x="4779818" y="281730449"/>
          <a:ext cx="1266825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51954</xdr:colOff>
      <xdr:row>230</xdr:row>
      <xdr:rowOff>78797</xdr:rowOff>
    </xdr:from>
    <xdr:to>
      <xdr:col>6</xdr:col>
      <xdr:colOff>1318779</xdr:colOff>
      <xdr:row>230</xdr:row>
      <xdr:rowOff>1297997</xdr:rowOff>
    </xdr:to>
    <xdr:pic>
      <xdr:nvPicPr>
        <xdr:cNvPr id="610" name="Picture 124" descr="Onda Seal Tape  1pc">
          <a:extLst>
            <a:ext uri="{FF2B5EF4-FFF2-40B4-BE49-F238E27FC236}">
              <a16:creationId xmlns:a16="http://schemas.microsoft.com/office/drawing/2014/main" id="{00000000-0008-0000-0700-00006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55" t="4720" r="2959" b="5296"/>
        <a:stretch>
          <a:fillRect/>
        </a:stretch>
      </xdr:blipFill>
      <xdr:spPr bwMode="auto">
        <a:xfrm>
          <a:off x="4779818" y="283075206"/>
          <a:ext cx="1266825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61479</xdr:colOff>
      <xdr:row>228</xdr:row>
      <xdr:rowOff>50222</xdr:rowOff>
    </xdr:from>
    <xdr:to>
      <xdr:col>6</xdr:col>
      <xdr:colOff>1299728</xdr:colOff>
      <xdr:row>228</xdr:row>
      <xdr:rowOff>1288471</xdr:rowOff>
    </xdr:to>
    <xdr:pic>
      <xdr:nvPicPr>
        <xdr:cNvPr id="612" name="Picture 611" descr="Hasil gambar untuk flexible ducting aluminium 4 inch merk defa flex">
          <a:extLst>
            <a:ext uri="{FF2B5EF4-FFF2-40B4-BE49-F238E27FC236}">
              <a16:creationId xmlns:a16="http://schemas.microsoft.com/office/drawing/2014/main" id="{00000000-0008-0000-0700-00006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9343" y="280414267"/>
          <a:ext cx="1238249" cy="1238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53686</xdr:colOff>
      <xdr:row>239</xdr:row>
      <xdr:rowOff>58015</xdr:rowOff>
    </xdr:from>
    <xdr:to>
      <xdr:col>6</xdr:col>
      <xdr:colOff>1263361</xdr:colOff>
      <xdr:row>239</xdr:row>
      <xdr:rowOff>1277215</xdr:rowOff>
    </xdr:to>
    <xdr:pic>
      <xdr:nvPicPr>
        <xdr:cNvPr id="613" name="Picture 215" descr="https://ecs7.tokopedia.net/img/cache/300/product-1/2017/9/27/2521934/2521934_762fafe6-c6c6-4581-9b84-dcc80dfdef5f">
          <a:extLst>
            <a:ext uri="{FF2B5EF4-FFF2-40B4-BE49-F238E27FC236}">
              <a16:creationId xmlns:a16="http://schemas.microsoft.com/office/drawing/2014/main" id="{00000000-0008-0000-0700-00006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1550" y="293999515"/>
          <a:ext cx="1209675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120361</xdr:colOff>
      <xdr:row>236</xdr:row>
      <xdr:rowOff>48489</xdr:rowOff>
    </xdr:from>
    <xdr:to>
      <xdr:col>6</xdr:col>
      <xdr:colOff>1263361</xdr:colOff>
      <xdr:row>236</xdr:row>
      <xdr:rowOff>1296264</xdr:rowOff>
    </xdr:to>
    <xdr:pic>
      <xdr:nvPicPr>
        <xdr:cNvPr id="618" name="Picture 230">
          <a:extLst>
            <a:ext uri="{FF2B5EF4-FFF2-40B4-BE49-F238E27FC236}">
              <a16:creationId xmlns:a16="http://schemas.microsoft.com/office/drawing/2014/main" id="{00000000-0008-0000-0700-00006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290041444"/>
          <a:ext cx="11430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81205</xdr:colOff>
      <xdr:row>238</xdr:row>
      <xdr:rowOff>78426</xdr:rowOff>
    </xdr:from>
    <xdr:to>
      <xdr:col>6</xdr:col>
      <xdr:colOff>1266079</xdr:colOff>
      <xdr:row>238</xdr:row>
      <xdr:rowOff>1262247</xdr:rowOff>
    </xdr:to>
    <xdr:pic>
      <xdr:nvPicPr>
        <xdr:cNvPr id="620" name="Picture 619" descr="Medium lw899cj">
          <a:extLst>
            <a:ext uri="{FF2B5EF4-FFF2-40B4-BE49-F238E27FC236}">
              <a16:creationId xmlns:a16="http://schemas.microsoft.com/office/drawing/2014/main" id="{00000000-0008-0000-0700-00006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9069" y="292703744"/>
          <a:ext cx="1184874" cy="11838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39012</xdr:colOff>
      <xdr:row>241</xdr:row>
      <xdr:rowOff>51954</xdr:rowOff>
    </xdr:from>
    <xdr:to>
      <xdr:col>6</xdr:col>
      <xdr:colOff>1277262</xdr:colOff>
      <xdr:row>241</xdr:row>
      <xdr:rowOff>1280679</xdr:rowOff>
    </xdr:to>
    <xdr:pic>
      <xdr:nvPicPr>
        <xdr:cNvPr id="621" name="Picture 217" descr="TOTO Urinal U 57 M White - 1">
          <a:extLst>
            <a:ext uri="{FF2B5EF4-FFF2-40B4-BE49-F238E27FC236}">
              <a16:creationId xmlns:a16="http://schemas.microsoft.com/office/drawing/2014/main" id="{00000000-0008-0000-0700-00006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377" t="12312" r="11035" b="11385"/>
        <a:stretch>
          <a:fillRect/>
        </a:stretch>
      </xdr:blipFill>
      <xdr:spPr bwMode="auto">
        <a:xfrm>
          <a:off x="4766876" y="296625818"/>
          <a:ext cx="123825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200937</xdr:colOff>
      <xdr:row>245</xdr:row>
      <xdr:rowOff>251979</xdr:rowOff>
    </xdr:from>
    <xdr:to>
      <xdr:col>6</xdr:col>
      <xdr:colOff>1162962</xdr:colOff>
      <xdr:row>245</xdr:row>
      <xdr:rowOff>1204479</xdr:rowOff>
    </xdr:to>
    <xdr:pic>
      <xdr:nvPicPr>
        <xdr:cNvPr id="625" name="Picture 225">
          <a:extLst>
            <a:ext uri="{FF2B5EF4-FFF2-40B4-BE49-F238E27FC236}">
              <a16:creationId xmlns:a16="http://schemas.microsoft.com/office/drawing/2014/main" id="{00000000-0008-0000-0700-00007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8801" y="302090570"/>
          <a:ext cx="9620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39012</xdr:colOff>
      <xdr:row>246</xdr:row>
      <xdr:rowOff>51954</xdr:rowOff>
    </xdr:from>
    <xdr:to>
      <xdr:col>6</xdr:col>
      <xdr:colOff>1296312</xdr:colOff>
      <xdr:row>246</xdr:row>
      <xdr:rowOff>1309254</xdr:rowOff>
    </xdr:to>
    <xdr:pic>
      <xdr:nvPicPr>
        <xdr:cNvPr id="626" name="Picture 625" descr="Kran Sink Angsa Dapur TOTO TX603KM">
          <a:extLst>
            <a:ext uri="{FF2B5EF4-FFF2-40B4-BE49-F238E27FC236}">
              <a16:creationId xmlns:a16="http://schemas.microsoft.com/office/drawing/2014/main" id="{00000000-0008-0000-0700-00007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6876" y="303206727"/>
          <a:ext cx="1257300" cy="1257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91786</xdr:colOff>
      <xdr:row>253</xdr:row>
      <xdr:rowOff>51954</xdr:rowOff>
    </xdr:from>
    <xdr:to>
      <xdr:col>6</xdr:col>
      <xdr:colOff>1330036</xdr:colOff>
      <xdr:row>253</xdr:row>
      <xdr:rowOff>1271154</xdr:rowOff>
    </xdr:to>
    <xdr:pic>
      <xdr:nvPicPr>
        <xdr:cNvPr id="628" name="Picture 190">
          <a:extLst>
            <a:ext uri="{FF2B5EF4-FFF2-40B4-BE49-F238E27FC236}">
              <a16:creationId xmlns:a16="http://schemas.microsoft.com/office/drawing/2014/main" id="{00000000-0008-0000-0700-00007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85" r="43549"/>
        <a:stretch>
          <a:fillRect/>
        </a:stretch>
      </xdr:blipFill>
      <xdr:spPr bwMode="auto">
        <a:xfrm>
          <a:off x="4819650" y="307570909"/>
          <a:ext cx="1238250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53686</xdr:colOff>
      <xdr:row>254</xdr:row>
      <xdr:rowOff>90054</xdr:rowOff>
    </xdr:from>
    <xdr:to>
      <xdr:col>6</xdr:col>
      <xdr:colOff>1301461</xdr:colOff>
      <xdr:row>254</xdr:row>
      <xdr:rowOff>1023504</xdr:rowOff>
    </xdr:to>
    <xdr:pic>
      <xdr:nvPicPr>
        <xdr:cNvPr id="629" name="Picture 191" descr="Gambar terkait">
          <a:extLst>
            <a:ext uri="{FF2B5EF4-FFF2-40B4-BE49-F238E27FC236}">
              <a16:creationId xmlns:a16="http://schemas.microsoft.com/office/drawing/2014/main" id="{00000000-0008-0000-0700-00007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01" r="50182" b="46309"/>
        <a:stretch>
          <a:fillRect/>
        </a:stretch>
      </xdr:blipFill>
      <xdr:spPr bwMode="auto">
        <a:xfrm>
          <a:off x="4781550" y="308925190"/>
          <a:ext cx="124777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53686</xdr:colOff>
      <xdr:row>255</xdr:row>
      <xdr:rowOff>80529</xdr:rowOff>
    </xdr:from>
    <xdr:to>
      <xdr:col>6</xdr:col>
      <xdr:colOff>1349086</xdr:colOff>
      <xdr:row>255</xdr:row>
      <xdr:rowOff>1271154</xdr:rowOff>
    </xdr:to>
    <xdr:pic>
      <xdr:nvPicPr>
        <xdr:cNvPr id="630" name="Picture 193" descr="Gambar terkait">
          <a:extLst>
            <a:ext uri="{FF2B5EF4-FFF2-40B4-BE49-F238E27FC236}">
              <a16:creationId xmlns:a16="http://schemas.microsoft.com/office/drawing/2014/main" id="{00000000-0008-0000-0700-00007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205" r="26772"/>
        <a:stretch>
          <a:fillRect/>
        </a:stretch>
      </xdr:blipFill>
      <xdr:spPr bwMode="auto">
        <a:xfrm>
          <a:off x="4781550" y="310231847"/>
          <a:ext cx="12954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34636</xdr:colOff>
      <xdr:row>257</xdr:row>
      <xdr:rowOff>51954</xdr:rowOff>
    </xdr:from>
    <xdr:to>
      <xdr:col>6</xdr:col>
      <xdr:colOff>1330036</xdr:colOff>
      <xdr:row>257</xdr:row>
      <xdr:rowOff>1290204</xdr:rowOff>
    </xdr:to>
    <xdr:pic>
      <xdr:nvPicPr>
        <xdr:cNvPr id="631" name="Picture 195" descr="https://2.bp.blogspot.com/-HBYKeI1cdRY/WoJjAWY5lQI/AAAAAAAANJc/5Rr52wyuU7Yj9am6v014cYRhODrRYFutQCEwYBhgL/s1600/IMG-20180213-WA0006.jpg">
          <a:extLst>
            <a:ext uri="{FF2B5EF4-FFF2-40B4-BE49-F238E27FC236}">
              <a16:creationId xmlns:a16="http://schemas.microsoft.com/office/drawing/2014/main" id="{00000000-0008-0000-0700-00007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8998"/>
        <a:stretch>
          <a:fillRect/>
        </a:stretch>
      </xdr:blipFill>
      <xdr:spPr bwMode="auto">
        <a:xfrm>
          <a:off x="4762500" y="312835636"/>
          <a:ext cx="129540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34636</xdr:colOff>
      <xdr:row>258</xdr:row>
      <xdr:rowOff>61479</xdr:rowOff>
    </xdr:from>
    <xdr:to>
      <xdr:col>6</xdr:col>
      <xdr:colOff>1349086</xdr:colOff>
      <xdr:row>258</xdr:row>
      <xdr:rowOff>1223529</xdr:rowOff>
    </xdr:to>
    <xdr:pic>
      <xdr:nvPicPr>
        <xdr:cNvPr id="632" name="Picture 196" descr="POLYCARBONATE / POLIKARBONAT TYPE EXCELLENT ">
          <a:extLst>
            <a:ext uri="{FF2B5EF4-FFF2-40B4-BE49-F238E27FC236}">
              <a16:creationId xmlns:a16="http://schemas.microsoft.com/office/drawing/2014/main" id="{00000000-0008-0000-0700-00007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19" t="8662" r="6903" b="3061"/>
        <a:stretch>
          <a:fillRect/>
        </a:stretch>
      </xdr:blipFill>
      <xdr:spPr bwMode="auto">
        <a:xfrm>
          <a:off x="4762500" y="314161343"/>
          <a:ext cx="1314450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63211</xdr:colOff>
      <xdr:row>259</xdr:row>
      <xdr:rowOff>32905</xdr:rowOff>
    </xdr:from>
    <xdr:to>
      <xdr:col>6</xdr:col>
      <xdr:colOff>1330036</xdr:colOff>
      <xdr:row>259</xdr:row>
      <xdr:rowOff>1290205</xdr:rowOff>
    </xdr:to>
    <xdr:pic>
      <xdr:nvPicPr>
        <xdr:cNvPr id="633" name="Picture 197" descr="https://ecs7.tokopedia.net/img/cache/700/product-1/2017/2/5/372066/372066_3f79a6fe-6282-4015-b995-bcde37684268.jpg">
          <a:extLst>
            <a:ext uri="{FF2B5EF4-FFF2-40B4-BE49-F238E27FC236}">
              <a16:creationId xmlns:a16="http://schemas.microsoft.com/office/drawing/2014/main" id="{00000000-0008-0000-0700-00007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907"/>
        <a:stretch>
          <a:fillRect/>
        </a:stretch>
      </xdr:blipFill>
      <xdr:spPr bwMode="auto">
        <a:xfrm>
          <a:off x="4791075" y="315448950"/>
          <a:ext cx="126682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101312</xdr:colOff>
      <xdr:row>260</xdr:row>
      <xdr:rowOff>51954</xdr:rowOff>
    </xdr:from>
    <xdr:to>
      <xdr:col>6</xdr:col>
      <xdr:colOff>1320512</xdr:colOff>
      <xdr:row>260</xdr:row>
      <xdr:rowOff>1299729</xdr:rowOff>
    </xdr:to>
    <xdr:pic>
      <xdr:nvPicPr>
        <xdr:cNvPr id="634" name="Picture 194" descr="Genteng Onduvilla Atap Rumah">
          <a:extLst>
            <a:ext uri="{FF2B5EF4-FFF2-40B4-BE49-F238E27FC236}">
              <a16:creationId xmlns:a16="http://schemas.microsoft.com/office/drawing/2014/main" id="{00000000-0008-0000-0700-00007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29" t="27844" r="54988" b="26151"/>
        <a:stretch>
          <a:fillRect/>
        </a:stretch>
      </xdr:blipFill>
      <xdr:spPr bwMode="auto">
        <a:xfrm>
          <a:off x="4829176" y="316784181"/>
          <a:ext cx="1219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63212</xdr:colOff>
      <xdr:row>262</xdr:row>
      <xdr:rowOff>156729</xdr:rowOff>
    </xdr:from>
    <xdr:to>
      <xdr:col>6</xdr:col>
      <xdr:colOff>1330037</xdr:colOff>
      <xdr:row>262</xdr:row>
      <xdr:rowOff>1194954</xdr:rowOff>
    </xdr:to>
    <xdr:pic>
      <xdr:nvPicPr>
        <xdr:cNvPr id="635" name="Picture 198" descr="Alumunium Foil Double Bubble untuk rangka atap">
          <a:extLst>
            <a:ext uri="{FF2B5EF4-FFF2-40B4-BE49-F238E27FC236}">
              <a16:creationId xmlns:a16="http://schemas.microsoft.com/office/drawing/2014/main" id="{00000000-0008-0000-0700-00007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6" y="319521320"/>
          <a:ext cx="12668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101312</xdr:colOff>
      <xdr:row>263</xdr:row>
      <xdr:rowOff>51954</xdr:rowOff>
    </xdr:from>
    <xdr:to>
      <xdr:col>6</xdr:col>
      <xdr:colOff>1330037</xdr:colOff>
      <xdr:row>263</xdr:row>
      <xdr:rowOff>1290204</xdr:rowOff>
    </xdr:to>
    <xdr:pic>
      <xdr:nvPicPr>
        <xdr:cNvPr id="636" name="Picture 199" descr="Genteng Metal Pasir - 1">
          <a:extLst>
            <a:ext uri="{FF2B5EF4-FFF2-40B4-BE49-F238E27FC236}">
              <a16:creationId xmlns:a16="http://schemas.microsoft.com/office/drawing/2014/main" id="{00000000-0008-0000-0700-00007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9176" y="320732727"/>
          <a:ext cx="1228725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63212</xdr:colOff>
      <xdr:row>266</xdr:row>
      <xdr:rowOff>147204</xdr:rowOff>
    </xdr:from>
    <xdr:to>
      <xdr:col>6</xdr:col>
      <xdr:colOff>1330037</xdr:colOff>
      <xdr:row>266</xdr:row>
      <xdr:rowOff>1109229</xdr:rowOff>
    </xdr:to>
    <xdr:pic>
      <xdr:nvPicPr>
        <xdr:cNvPr id="637" name="Picture 200" descr="Hasil gambar untuk harga nok metal pasir">
          <a:extLst>
            <a:ext uri="{FF2B5EF4-FFF2-40B4-BE49-F238E27FC236}">
              <a16:creationId xmlns:a16="http://schemas.microsoft.com/office/drawing/2014/main" id="{00000000-0008-0000-0700-00007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94" r="6216"/>
        <a:stretch>
          <a:fillRect/>
        </a:stretch>
      </xdr:blipFill>
      <xdr:spPr bwMode="auto">
        <a:xfrm>
          <a:off x="4791076" y="324776522"/>
          <a:ext cx="126682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44162</xdr:colOff>
      <xdr:row>267</xdr:row>
      <xdr:rowOff>156729</xdr:rowOff>
    </xdr:from>
    <xdr:to>
      <xdr:col>6</xdr:col>
      <xdr:colOff>1349087</xdr:colOff>
      <xdr:row>267</xdr:row>
      <xdr:rowOff>1261629</xdr:rowOff>
    </xdr:to>
    <xdr:pic>
      <xdr:nvPicPr>
        <xdr:cNvPr id="638" name="Picture 201" descr="Harga Genteng Metal Prima Roof Terbaru">
          <a:extLst>
            <a:ext uri="{FF2B5EF4-FFF2-40B4-BE49-F238E27FC236}">
              <a16:creationId xmlns:a16="http://schemas.microsoft.com/office/drawing/2014/main" id="{00000000-0008-0000-0700-00007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6" y="326102229"/>
          <a:ext cx="13049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225137</xdr:colOff>
      <xdr:row>265</xdr:row>
      <xdr:rowOff>51954</xdr:rowOff>
    </xdr:from>
    <xdr:to>
      <xdr:col>6</xdr:col>
      <xdr:colOff>1149062</xdr:colOff>
      <xdr:row>265</xdr:row>
      <xdr:rowOff>1280679</xdr:rowOff>
    </xdr:to>
    <xdr:pic>
      <xdr:nvPicPr>
        <xdr:cNvPr id="639" name="Picture 268" descr="http://www.tokobmj.com/image-product/img169-1448381222.jpg">
          <a:extLst>
            <a:ext uri="{FF2B5EF4-FFF2-40B4-BE49-F238E27FC236}">
              <a16:creationId xmlns:a16="http://schemas.microsoft.com/office/drawing/2014/main" id="{00000000-0008-0000-0700-00007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1" y="323365090"/>
          <a:ext cx="923925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34636</xdr:colOff>
      <xdr:row>261</xdr:row>
      <xdr:rowOff>242454</xdr:rowOff>
    </xdr:from>
    <xdr:to>
      <xdr:col>6</xdr:col>
      <xdr:colOff>1325909</xdr:colOff>
      <xdr:row>261</xdr:row>
      <xdr:rowOff>1175904</xdr:rowOff>
    </xdr:to>
    <xdr:pic>
      <xdr:nvPicPr>
        <xdr:cNvPr id="640" name="Picture 639">
          <a:extLst>
            <a:ext uri="{FF2B5EF4-FFF2-40B4-BE49-F238E27FC236}">
              <a16:creationId xmlns:a16="http://schemas.microsoft.com/office/drawing/2014/main" id="{00000000-0008-0000-0700-000080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057" r="13270"/>
        <a:stretch/>
      </xdr:blipFill>
      <xdr:spPr>
        <a:xfrm>
          <a:off x="4762500" y="318290863"/>
          <a:ext cx="1291273" cy="933450"/>
        </a:xfrm>
        <a:prstGeom prst="rect">
          <a:avLst/>
        </a:prstGeom>
      </xdr:spPr>
    </xdr:pic>
    <xdr:clientData/>
  </xdr:twoCellAnchor>
  <xdr:twoCellAnchor editAs="oneCell">
    <xdr:from>
      <xdr:col>6</xdr:col>
      <xdr:colOff>34637</xdr:colOff>
      <xdr:row>264</xdr:row>
      <xdr:rowOff>51955</xdr:rowOff>
    </xdr:from>
    <xdr:to>
      <xdr:col>6</xdr:col>
      <xdr:colOff>1258638</xdr:colOff>
      <xdr:row>264</xdr:row>
      <xdr:rowOff>1275955</xdr:rowOff>
    </xdr:to>
    <xdr:pic>
      <xdr:nvPicPr>
        <xdr:cNvPr id="641" name="Picture 640">
          <a:extLst>
            <a:ext uri="{FF2B5EF4-FFF2-40B4-BE49-F238E27FC236}">
              <a16:creationId xmlns:a16="http://schemas.microsoft.com/office/drawing/2014/main" id="{00000000-0008-0000-0700-000081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8451" t="6100" r="6324" b="8156"/>
        <a:stretch/>
      </xdr:blipFill>
      <xdr:spPr>
        <a:xfrm>
          <a:off x="4762501" y="322048910"/>
          <a:ext cx="1224001" cy="12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91786</xdr:colOff>
      <xdr:row>268</xdr:row>
      <xdr:rowOff>51954</xdr:rowOff>
    </xdr:from>
    <xdr:to>
      <xdr:col>6</xdr:col>
      <xdr:colOff>1225261</xdr:colOff>
      <xdr:row>268</xdr:row>
      <xdr:rowOff>1166379</xdr:rowOff>
    </xdr:to>
    <xdr:pic>
      <xdr:nvPicPr>
        <xdr:cNvPr id="642" name="Picture 202" descr="https://ecs7.tokopedia.net/img/cache/700/product-1/2017/5/18/19005675/19005675_a8c8fe22-a8ee-44df-97d5-687a2a548e3b_915_457.png">
          <a:extLst>
            <a:ext uri="{FF2B5EF4-FFF2-40B4-BE49-F238E27FC236}">
              <a16:creationId xmlns:a16="http://schemas.microsoft.com/office/drawing/2014/main" id="{00000000-0008-0000-0700-00008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492" t="14572" r="41415" b="51862"/>
        <a:stretch>
          <a:fillRect/>
        </a:stretch>
      </xdr:blipFill>
      <xdr:spPr bwMode="auto">
        <a:xfrm>
          <a:off x="4819650" y="327313636"/>
          <a:ext cx="1133475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34636</xdr:colOff>
      <xdr:row>269</xdr:row>
      <xdr:rowOff>32904</xdr:rowOff>
    </xdr:from>
    <xdr:to>
      <xdr:col>6</xdr:col>
      <xdr:colOff>1310986</xdr:colOff>
      <xdr:row>269</xdr:row>
      <xdr:rowOff>1242579</xdr:rowOff>
    </xdr:to>
    <xdr:pic>
      <xdr:nvPicPr>
        <xdr:cNvPr id="643" name="Picture 203" descr="Hasil gambar untuk harga genteng beton flat">
          <a:extLst>
            <a:ext uri="{FF2B5EF4-FFF2-40B4-BE49-F238E27FC236}">
              <a16:creationId xmlns:a16="http://schemas.microsoft.com/office/drawing/2014/main" id="{00000000-0008-0000-0700-00008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453"/>
        <a:stretch>
          <a:fillRect/>
        </a:stretch>
      </xdr:blipFill>
      <xdr:spPr bwMode="auto">
        <a:xfrm>
          <a:off x="4762500" y="328610768"/>
          <a:ext cx="127635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63211</xdr:colOff>
      <xdr:row>270</xdr:row>
      <xdr:rowOff>23380</xdr:rowOff>
    </xdr:from>
    <xdr:to>
      <xdr:col>6</xdr:col>
      <xdr:colOff>1301461</xdr:colOff>
      <xdr:row>270</xdr:row>
      <xdr:rowOff>1261630</xdr:rowOff>
    </xdr:to>
    <xdr:pic>
      <xdr:nvPicPr>
        <xdr:cNvPr id="644" name="Picture 204" descr="Hasil gambar untuk harga nok genteng beton flat">
          <a:extLst>
            <a:ext uri="{FF2B5EF4-FFF2-40B4-BE49-F238E27FC236}">
              <a16:creationId xmlns:a16="http://schemas.microsoft.com/office/drawing/2014/main" id="{00000000-0008-0000-0700-00008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329917425"/>
          <a:ext cx="123825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101311</xdr:colOff>
      <xdr:row>271</xdr:row>
      <xdr:rowOff>13854</xdr:rowOff>
    </xdr:from>
    <xdr:to>
      <xdr:col>6</xdr:col>
      <xdr:colOff>1320511</xdr:colOff>
      <xdr:row>271</xdr:row>
      <xdr:rowOff>1261629</xdr:rowOff>
    </xdr:to>
    <xdr:pic>
      <xdr:nvPicPr>
        <xdr:cNvPr id="645" name="Picture 205" descr="Gambar terkait">
          <a:extLst>
            <a:ext uri="{FF2B5EF4-FFF2-40B4-BE49-F238E27FC236}">
              <a16:creationId xmlns:a16="http://schemas.microsoft.com/office/drawing/2014/main" id="{00000000-0008-0000-0700-00008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778"/>
        <a:stretch>
          <a:fillRect/>
        </a:stretch>
      </xdr:blipFill>
      <xdr:spPr bwMode="auto">
        <a:xfrm>
          <a:off x="4829175" y="331224081"/>
          <a:ext cx="1219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53686</xdr:colOff>
      <xdr:row>272</xdr:row>
      <xdr:rowOff>118629</xdr:rowOff>
    </xdr:from>
    <xdr:to>
      <xdr:col>6</xdr:col>
      <xdr:colOff>1301461</xdr:colOff>
      <xdr:row>272</xdr:row>
      <xdr:rowOff>1013979</xdr:rowOff>
    </xdr:to>
    <xdr:pic>
      <xdr:nvPicPr>
        <xdr:cNvPr id="646" name="Picture 206" descr="Hasil gambar untuk harga genteng kanmuri flat medium">
          <a:extLst>
            <a:ext uri="{FF2B5EF4-FFF2-40B4-BE49-F238E27FC236}">
              <a16:creationId xmlns:a16="http://schemas.microsoft.com/office/drawing/2014/main" id="{00000000-0008-0000-0700-00008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025" t="51852" r="7263"/>
        <a:stretch>
          <a:fillRect/>
        </a:stretch>
      </xdr:blipFill>
      <xdr:spPr bwMode="auto">
        <a:xfrm>
          <a:off x="4781550" y="332645038"/>
          <a:ext cx="124777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110836</xdr:colOff>
      <xdr:row>273</xdr:row>
      <xdr:rowOff>32904</xdr:rowOff>
    </xdr:from>
    <xdr:to>
      <xdr:col>6</xdr:col>
      <xdr:colOff>1291936</xdr:colOff>
      <xdr:row>273</xdr:row>
      <xdr:rowOff>1223529</xdr:rowOff>
    </xdr:to>
    <xdr:pic>
      <xdr:nvPicPr>
        <xdr:cNvPr id="647" name="Picture 208" descr="Gambar terkait">
          <a:extLst>
            <a:ext uri="{FF2B5EF4-FFF2-40B4-BE49-F238E27FC236}">
              <a16:creationId xmlns:a16="http://schemas.microsoft.com/office/drawing/2014/main" id="{00000000-0008-0000-0700-00008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107" t="14934" r="15668" b="21147"/>
        <a:stretch>
          <a:fillRect/>
        </a:stretch>
      </xdr:blipFill>
      <xdr:spPr bwMode="auto">
        <a:xfrm>
          <a:off x="4838700" y="333875495"/>
          <a:ext cx="11811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139410</xdr:colOff>
      <xdr:row>274</xdr:row>
      <xdr:rowOff>23379</xdr:rowOff>
    </xdr:from>
    <xdr:to>
      <xdr:col>6</xdr:col>
      <xdr:colOff>1187161</xdr:colOff>
      <xdr:row>274</xdr:row>
      <xdr:rowOff>1206809</xdr:rowOff>
    </xdr:to>
    <xdr:pic>
      <xdr:nvPicPr>
        <xdr:cNvPr id="648" name="Picture 647">
          <a:extLst>
            <a:ext uri="{FF2B5EF4-FFF2-40B4-BE49-F238E27FC236}">
              <a16:creationId xmlns:a16="http://schemas.microsoft.com/office/drawing/2014/main" id="{00000000-0008-0000-0700-000088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00" t="17400" r="22200" b="19800"/>
        <a:stretch/>
      </xdr:blipFill>
      <xdr:spPr>
        <a:xfrm>
          <a:off x="4867274" y="335182152"/>
          <a:ext cx="1047751" cy="1183430"/>
        </a:xfrm>
        <a:prstGeom prst="rect">
          <a:avLst/>
        </a:prstGeom>
      </xdr:spPr>
    </xdr:pic>
    <xdr:clientData/>
  </xdr:twoCellAnchor>
  <xdr:twoCellAnchor editAs="oneCell">
    <xdr:from>
      <xdr:col>6</xdr:col>
      <xdr:colOff>91785</xdr:colOff>
      <xdr:row>275</xdr:row>
      <xdr:rowOff>23379</xdr:rowOff>
    </xdr:from>
    <xdr:to>
      <xdr:col>6</xdr:col>
      <xdr:colOff>1253836</xdr:colOff>
      <xdr:row>275</xdr:row>
      <xdr:rowOff>1242579</xdr:rowOff>
    </xdr:to>
    <xdr:pic>
      <xdr:nvPicPr>
        <xdr:cNvPr id="649" name="Picture 648">
          <a:extLst>
            <a:ext uri="{FF2B5EF4-FFF2-40B4-BE49-F238E27FC236}">
              <a16:creationId xmlns:a16="http://schemas.microsoft.com/office/drawing/2014/main" id="{00000000-0008-0000-0700-000089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718" t="18182" r="16666" b="17172"/>
        <a:stretch/>
      </xdr:blipFill>
      <xdr:spPr>
        <a:xfrm>
          <a:off x="4819649" y="336498334"/>
          <a:ext cx="1162051" cy="1219200"/>
        </a:xfrm>
        <a:prstGeom prst="rect">
          <a:avLst/>
        </a:prstGeom>
      </xdr:spPr>
    </xdr:pic>
    <xdr:clientData/>
  </xdr:twoCellAnchor>
  <xdr:twoCellAnchor editAs="oneCell">
    <xdr:from>
      <xdr:col>6</xdr:col>
      <xdr:colOff>63211</xdr:colOff>
      <xdr:row>276</xdr:row>
      <xdr:rowOff>69272</xdr:rowOff>
    </xdr:from>
    <xdr:to>
      <xdr:col>6</xdr:col>
      <xdr:colOff>1330036</xdr:colOff>
      <xdr:row>276</xdr:row>
      <xdr:rowOff>1250372</xdr:rowOff>
    </xdr:to>
    <xdr:pic>
      <xdr:nvPicPr>
        <xdr:cNvPr id="650" name="Picture 207" descr="genteng keramik Kanmuri Espanica">
          <a:extLst>
            <a:ext uri="{FF2B5EF4-FFF2-40B4-BE49-F238E27FC236}">
              <a16:creationId xmlns:a16="http://schemas.microsoft.com/office/drawing/2014/main" id="{00000000-0008-0000-0700-00008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15" r="63403"/>
        <a:stretch>
          <a:fillRect/>
        </a:stretch>
      </xdr:blipFill>
      <xdr:spPr bwMode="auto">
        <a:xfrm>
          <a:off x="4791075" y="337860408"/>
          <a:ext cx="1266825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139411</xdr:colOff>
      <xdr:row>277</xdr:row>
      <xdr:rowOff>69272</xdr:rowOff>
    </xdr:from>
    <xdr:to>
      <xdr:col>6</xdr:col>
      <xdr:colOff>1244311</xdr:colOff>
      <xdr:row>277</xdr:row>
      <xdr:rowOff>1288472</xdr:rowOff>
    </xdr:to>
    <xdr:pic>
      <xdr:nvPicPr>
        <xdr:cNvPr id="651" name="Picture 209" descr="Hasil gambar untuk nok genteng kanmuri">
          <a:extLst>
            <a:ext uri="{FF2B5EF4-FFF2-40B4-BE49-F238E27FC236}">
              <a16:creationId xmlns:a16="http://schemas.microsoft.com/office/drawing/2014/main" id="{00000000-0008-0000-0700-00008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339176590"/>
          <a:ext cx="1104900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53686</xdr:colOff>
      <xdr:row>279</xdr:row>
      <xdr:rowOff>59747</xdr:rowOff>
    </xdr:from>
    <xdr:to>
      <xdr:col>6</xdr:col>
      <xdr:colOff>1358611</xdr:colOff>
      <xdr:row>279</xdr:row>
      <xdr:rowOff>1288472</xdr:rowOff>
    </xdr:to>
    <xdr:pic>
      <xdr:nvPicPr>
        <xdr:cNvPr id="652" name="Picture 210" descr="Gambar terkait">
          <a:extLst>
            <a:ext uri="{FF2B5EF4-FFF2-40B4-BE49-F238E27FC236}">
              <a16:creationId xmlns:a16="http://schemas.microsoft.com/office/drawing/2014/main" id="{00000000-0008-0000-0700-00008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826" r="46577"/>
        <a:stretch>
          <a:fillRect/>
        </a:stretch>
      </xdr:blipFill>
      <xdr:spPr bwMode="auto">
        <a:xfrm>
          <a:off x="4781550" y="341799429"/>
          <a:ext cx="1304925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120361</xdr:colOff>
      <xdr:row>280</xdr:row>
      <xdr:rowOff>59747</xdr:rowOff>
    </xdr:from>
    <xdr:to>
      <xdr:col>6</xdr:col>
      <xdr:colOff>1320511</xdr:colOff>
      <xdr:row>280</xdr:row>
      <xdr:rowOff>1288472</xdr:rowOff>
    </xdr:to>
    <xdr:pic>
      <xdr:nvPicPr>
        <xdr:cNvPr id="653" name="Picture 211" descr="Gambar terkait">
          <a:extLst>
            <a:ext uri="{FF2B5EF4-FFF2-40B4-BE49-F238E27FC236}">
              <a16:creationId xmlns:a16="http://schemas.microsoft.com/office/drawing/2014/main" id="{00000000-0008-0000-0700-00008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522" t="33292"/>
        <a:stretch>
          <a:fillRect/>
        </a:stretch>
      </xdr:blipFill>
      <xdr:spPr bwMode="auto">
        <a:xfrm>
          <a:off x="4848225" y="343115611"/>
          <a:ext cx="120015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44161</xdr:colOff>
      <xdr:row>281</xdr:row>
      <xdr:rowOff>97848</xdr:rowOff>
    </xdr:from>
    <xdr:to>
      <xdr:col>6</xdr:col>
      <xdr:colOff>1349086</xdr:colOff>
      <xdr:row>282</xdr:row>
      <xdr:rowOff>6308</xdr:rowOff>
    </xdr:to>
    <xdr:pic>
      <xdr:nvPicPr>
        <xdr:cNvPr id="654" name="Picture 212" descr="Gambar terkait">
          <a:extLst>
            <a:ext uri="{FF2B5EF4-FFF2-40B4-BE49-F238E27FC236}">
              <a16:creationId xmlns:a16="http://schemas.microsoft.com/office/drawing/2014/main" id="{00000000-0008-0000-0700-00008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826" r="46577"/>
        <a:stretch>
          <a:fillRect/>
        </a:stretch>
      </xdr:blipFill>
      <xdr:spPr bwMode="auto">
        <a:xfrm>
          <a:off x="4772025" y="344469893"/>
          <a:ext cx="1304925" cy="12246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110836</xdr:colOff>
      <xdr:row>282</xdr:row>
      <xdr:rowOff>59747</xdr:rowOff>
    </xdr:from>
    <xdr:to>
      <xdr:col>6</xdr:col>
      <xdr:colOff>1291936</xdr:colOff>
      <xdr:row>282</xdr:row>
      <xdr:rowOff>1269422</xdr:rowOff>
    </xdr:to>
    <xdr:pic>
      <xdr:nvPicPr>
        <xdr:cNvPr id="655" name="Picture 213" descr="Hasil gambar untuk wind bracing">
          <a:extLst>
            <a:ext uri="{FF2B5EF4-FFF2-40B4-BE49-F238E27FC236}">
              <a16:creationId xmlns:a16="http://schemas.microsoft.com/office/drawing/2014/main" id="{00000000-0008-0000-0700-00008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4906"/>
        <a:stretch>
          <a:fillRect/>
        </a:stretch>
      </xdr:blipFill>
      <xdr:spPr bwMode="auto">
        <a:xfrm>
          <a:off x="4838700" y="345747974"/>
          <a:ext cx="11811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34636</xdr:colOff>
      <xdr:row>278</xdr:row>
      <xdr:rowOff>193097</xdr:rowOff>
    </xdr:from>
    <xdr:to>
      <xdr:col>6</xdr:col>
      <xdr:colOff>1349086</xdr:colOff>
      <xdr:row>278</xdr:row>
      <xdr:rowOff>1050347</xdr:rowOff>
    </xdr:to>
    <xdr:pic>
      <xdr:nvPicPr>
        <xdr:cNvPr id="656" name="Picture 1">
          <a:extLst>
            <a:ext uri="{FF2B5EF4-FFF2-40B4-BE49-F238E27FC236}">
              <a16:creationId xmlns:a16="http://schemas.microsoft.com/office/drawing/2014/main" id="{00000000-0008-0000-0700-00009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0" y="340616597"/>
          <a:ext cx="13144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34636</xdr:colOff>
      <xdr:row>290</xdr:row>
      <xdr:rowOff>77063</xdr:rowOff>
    </xdr:from>
    <xdr:to>
      <xdr:col>6</xdr:col>
      <xdr:colOff>1339561</xdr:colOff>
      <xdr:row>290</xdr:row>
      <xdr:rowOff>1172438</xdr:rowOff>
    </xdr:to>
    <xdr:pic>
      <xdr:nvPicPr>
        <xdr:cNvPr id="657" name="Picture 170" descr="https://ecs7.tokopedia.net/img/cache/300/product-1/2016/12/17/14510968/14510968_1d30921d-2ce0-4e2d-ac62-1f0da8d9e8c2_1594_1170.jpg">
          <a:extLst>
            <a:ext uri="{FF2B5EF4-FFF2-40B4-BE49-F238E27FC236}">
              <a16:creationId xmlns:a16="http://schemas.microsoft.com/office/drawing/2014/main" id="{00000000-0008-0000-0700-00009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0" y="354493654"/>
          <a:ext cx="130492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34636</xdr:colOff>
      <xdr:row>291</xdr:row>
      <xdr:rowOff>86588</xdr:rowOff>
    </xdr:from>
    <xdr:to>
      <xdr:col>6</xdr:col>
      <xdr:colOff>1339561</xdr:colOff>
      <xdr:row>291</xdr:row>
      <xdr:rowOff>1172438</xdr:rowOff>
    </xdr:to>
    <xdr:pic>
      <xdr:nvPicPr>
        <xdr:cNvPr id="658" name="Picture 171" descr="https://ecs7.tokopedia.net/img/cache/300/product-1/2016/12/17/14510968/14510968_1d30921d-2ce0-4e2d-ac62-1f0da8d9e8c2_1594_1170.jpg">
          <a:extLst>
            <a:ext uri="{FF2B5EF4-FFF2-40B4-BE49-F238E27FC236}">
              <a16:creationId xmlns:a16="http://schemas.microsoft.com/office/drawing/2014/main" id="{00000000-0008-0000-07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0" y="355819361"/>
          <a:ext cx="13049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82261</xdr:colOff>
      <xdr:row>285</xdr:row>
      <xdr:rowOff>48488</xdr:rowOff>
    </xdr:from>
    <xdr:to>
      <xdr:col>6</xdr:col>
      <xdr:colOff>1291936</xdr:colOff>
      <xdr:row>285</xdr:row>
      <xdr:rowOff>1267688</xdr:rowOff>
    </xdr:to>
    <xdr:pic>
      <xdr:nvPicPr>
        <xdr:cNvPr id="659" name="Picture 186" descr="https://www.static-src.com/wcsstore/Indraprastha/images/catalog/full/703/kdk_kdk-15tgq-ceiling-exhaust--6-inch-_full02.jpg">
          <a:extLst>
            <a:ext uri="{FF2B5EF4-FFF2-40B4-BE49-F238E27FC236}">
              <a16:creationId xmlns:a16="http://schemas.microsoft.com/office/drawing/2014/main" id="{00000000-0008-0000-0700-00009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0125" y="348784715"/>
          <a:ext cx="1209675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72736</xdr:colOff>
      <xdr:row>286</xdr:row>
      <xdr:rowOff>315188</xdr:rowOff>
    </xdr:from>
    <xdr:to>
      <xdr:col>6</xdr:col>
      <xdr:colOff>1310986</xdr:colOff>
      <xdr:row>286</xdr:row>
      <xdr:rowOff>839063</xdr:rowOff>
    </xdr:to>
    <xdr:pic>
      <xdr:nvPicPr>
        <xdr:cNvPr id="660" name="Picture 187" descr="Harga AC Daikin FTNE15MV14 1/2 PK Split Wall Mounted Standard Thailand R410a">
          <a:extLst>
            <a:ext uri="{FF2B5EF4-FFF2-40B4-BE49-F238E27FC236}">
              <a16:creationId xmlns:a16="http://schemas.microsoft.com/office/drawing/2014/main" id="{00000000-0008-0000-07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350367597"/>
          <a:ext cx="12382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72736</xdr:colOff>
      <xdr:row>287</xdr:row>
      <xdr:rowOff>372338</xdr:rowOff>
    </xdr:from>
    <xdr:to>
      <xdr:col>6</xdr:col>
      <xdr:colOff>1310986</xdr:colOff>
      <xdr:row>287</xdr:row>
      <xdr:rowOff>905738</xdr:rowOff>
    </xdr:to>
    <xdr:pic>
      <xdr:nvPicPr>
        <xdr:cNvPr id="661" name="Picture 188" descr="Harga AC Daikin FTNE15MV14 1/2 PK Split Wall Mounted Standard Thailand R410a">
          <a:extLst>
            <a:ext uri="{FF2B5EF4-FFF2-40B4-BE49-F238E27FC236}">
              <a16:creationId xmlns:a16="http://schemas.microsoft.com/office/drawing/2014/main" id="{00000000-0008-0000-07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351740929"/>
          <a:ext cx="12382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72736</xdr:colOff>
      <xdr:row>288</xdr:row>
      <xdr:rowOff>448538</xdr:rowOff>
    </xdr:from>
    <xdr:to>
      <xdr:col>6</xdr:col>
      <xdr:colOff>1310986</xdr:colOff>
      <xdr:row>288</xdr:row>
      <xdr:rowOff>981938</xdr:rowOff>
    </xdr:to>
    <xdr:pic>
      <xdr:nvPicPr>
        <xdr:cNvPr id="662" name="Picture 189" descr="Harga AC Daikin FTNE15MV14 1/2 PK Split Wall Mounted Standard Thailand R410a">
          <a:extLst>
            <a:ext uri="{FF2B5EF4-FFF2-40B4-BE49-F238E27FC236}">
              <a16:creationId xmlns:a16="http://schemas.microsoft.com/office/drawing/2014/main" id="{00000000-0008-0000-0700-00009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353133311"/>
          <a:ext cx="12382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72736</xdr:colOff>
      <xdr:row>283</xdr:row>
      <xdr:rowOff>277088</xdr:rowOff>
    </xdr:from>
    <xdr:to>
      <xdr:col>6</xdr:col>
      <xdr:colOff>1320511</xdr:colOff>
      <xdr:row>283</xdr:row>
      <xdr:rowOff>1143863</xdr:rowOff>
    </xdr:to>
    <xdr:pic>
      <xdr:nvPicPr>
        <xdr:cNvPr id="663" name="Picture 214" descr="Gambar terkait">
          <a:extLst>
            <a:ext uri="{FF2B5EF4-FFF2-40B4-BE49-F238E27FC236}">
              <a16:creationId xmlns:a16="http://schemas.microsoft.com/office/drawing/2014/main" id="{00000000-0008-0000-07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4227" b="46362"/>
        <a:stretch>
          <a:fillRect/>
        </a:stretch>
      </xdr:blipFill>
      <xdr:spPr bwMode="auto">
        <a:xfrm>
          <a:off x="4800600" y="347281497"/>
          <a:ext cx="12477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51954</xdr:colOff>
      <xdr:row>297</xdr:row>
      <xdr:rowOff>40495</xdr:rowOff>
    </xdr:from>
    <xdr:to>
      <xdr:col>6</xdr:col>
      <xdr:colOff>1293340</xdr:colOff>
      <xdr:row>297</xdr:row>
      <xdr:rowOff>1280311</xdr:rowOff>
    </xdr:to>
    <xdr:pic>
      <xdr:nvPicPr>
        <xdr:cNvPr id="664" name="Picture 663" descr="Hasil gambar untuk MCB 1P 16A DOMAE SCHNEIDER DOM 11342 SN">
          <a:extLst>
            <a:ext uri="{FF2B5EF4-FFF2-40B4-BE49-F238E27FC236}">
              <a16:creationId xmlns:a16="http://schemas.microsoft.com/office/drawing/2014/main" id="{00000000-0008-0000-0700-00009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9818" y="363670359"/>
          <a:ext cx="1241386" cy="1239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65562</xdr:colOff>
      <xdr:row>292</xdr:row>
      <xdr:rowOff>51954</xdr:rowOff>
    </xdr:from>
    <xdr:ext cx="1213755" cy="1212029"/>
    <xdr:pic>
      <xdr:nvPicPr>
        <xdr:cNvPr id="665" name="Picture 664">
          <a:extLst>
            <a:ext uri="{FF2B5EF4-FFF2-40B4-BE49-F238E27FC236}">
              <a16:creationId xmlns:a16="http://schemas.microsoft.com/office/drawing/2014/main" id="{00000000-0008-0000-0700-00009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3426" y="357100909"/>
          <a:ext cx="1213755" cy="12120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51954</xdr:colOff>
      <xdr:row>293</xdr:row>
      <xdr:rowOff>40495</xdr:rowOff>
    </xdr:from>
    <xdr:ext cx="1241386" cy="1239816"/>
    <xdr:pic>
      <xdr:nvPicPr>
        <xdr:cNvPr id="666" name="Picture 665" descr="Hasil gambar untuk MCB 1P 16A DOMAE SCHNEIDER DOM 11342 SN">
          <a:extLst>
            <a:ext uri="{FF2B5EF4-FFF2-40B4-BE49-F238E27FC236}">
              <a16:creationId xmlns:a16="http://schemas.microsoft.com/office/drawing/2014/main" id="{00000000-0008-0000-0700-00009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9818" y="358405631"/>
          <a:ext cx="1241386" cy="1239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51954</xdr:colOff>
      <xdr:row>296</xdr:row>
      <xdr:rowOff>40495</xdr:rowOff>
    </xdr:from>
    <xdr:ext cx="1241386" cy="1239816"/>
    <xdr:pic>
      <xdr:nvPicPr>
        <xdr:cNvPr id="667" name="Picture 666" descr="Hasil gambar untuk MCB 1P 16A DOMAE SCHNEIDER DOM 11342 SN">
          <a:extLst>
            <a:ext uri="{FF2B5EF4-FFF2-40B4-BE49-F238E27FC236}">
              <a16:creationId xmlns:a16="http://schemas.microsoft.com/office/drawing/2014/main" id="{00000000-0008-0000-0700-00009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9818" y="362354177"/>
          <a:ext cx="1241386" cy="1239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51954</xdr:colOff>
      <xdr:row>295</xdr:row>
      <xdr:rowOff>40495</xdr:rowOff>
    </xdr:from>
    <xdr:ext cx="1241386" cy="1239816"/>
    <xdr:pic>
      <xdr:nvPicPr>
        <xdr:cNvPr id="668" name="Picture 667" descr="Hasil gambar untuk MCB 1P 16A DOMAE SCHNEIDER DOM 11342 SN">
          <a:extLst>
            <a:ext uri="{FF2B5EF4-FFF2-40B4-BE49-F238E27FC236}">
              <a16:creationId xmlns:a16="http://schemas.microsoft.com/office/drawing/2014/main" id="{00000000-0008-0000-07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9818" y="361037995"/>
          <a:ext cx="1241386" cy="1239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51954</xdr:colOff>
      <xdr:row>294</xdr:row>
      <xdr:rowOff>40495</xdr:rowOff>
    </xdr:from>
    <xdr:ext cx="1241386" cy="1239816"/>
    <xdr:pic>
      <xdr:nvPicPr>
        <xdr:cNvPr id="669" name="Picture 668" descr="Hasil gambar untuk MCB 1P 16A DOMAE SCHNEIDER DOM 11342 SN">
          <a:extLst>
            <a:ext uri="{FF2B5EF4-FFF2-40B4-BE49-F238E27FC236}">
              <a16:creationId xmlns:a16="http://schemas.microsoft.com/office/drawing/2014/main" id="{00000000-0008-0000-0700-00009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9818" y="359721813"/>
          <a:ext cx="1241386" cy="1239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51954</xdr:colOff>
      <xdr:row>299</xdr:row>
      <xdr:rowOff>40495</xdr:rowOff>
    </xdr:from>
    <xdr:ext cx="1241386" cy="1239816"/>
    <xdr:pic>
      <xdr:nvPicPr>
        <xdr:cNvPr id="670" name="Picture 669" descr="Hasil gambar untuk MCB 1P 16A DOMAE SCHNEIDER DOM 11342 SN">
          <a:extLst>
            <a:ext uri="{FF2B5EF4-FFF2-40B4-BE49-F238E27FC236}">
              <a16:creationId xmlns:a16="http://schemas.microsoft.com/office/drawing/2014/main" id="{00000000-0008-0000-07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9818" y="366302722"/>
          <a:ext cx="1241386" cy="1239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51954</xdr:colOff>
      <xdr:row>298</xdr:row>
      <xdr:rowOff>40496</xdr:rowOff>
    </xdr:from>
    <xdr:ext cx="1241386" cy="1239816"/>
    <xdr:pic>
      <xdr:nvPicPr>
        <xdr:cNvPr id="671" name="Picture 670" descr="Hasil gambar untuk MCB 1P 16A DOMAE SCHNEIDER DOM 11342 SN">
          <a:extLst>
            <a:ext uri="{FF2B5EF4-FFF2-40B4-BE49-F238E27FC236}">
              <a16:creationId xmlns:a16="http://schemas.microsoft.com/office/drawing/2014/main" id="{00000000-0008-0000-0700-00009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9818" y="364986541"/>
          <a:ext cx="1241386" cy="1239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120361</xdr:colOff>
      <xdr:row>302</xdr:row>
      <xdr:rowOff>52531</xdr:rowOff>
    </xdr:from>
    <xdr:to>
      <xdr:col>6</xdr:col>
      <xdr:colOff>1244311</xdr:colOff>
      <xdr:row>302</xdr:row>
      <xdr:rowOff>1195531</xdr:rowOff>
    </xdr:to>
    <xdr:pic>
      <xdr:nvPicPr>
        <xdr:cNvPr id="672" name="Picture 174" descr="Schneider MCB DOMAE C 63A 3P 4500A 230Vac SNI - 3 Phase 63 Ampere - Alat Listrik dg Harga Murah">
          <a:extLst>
            <a:ext uri="{FF2B5EF4-FFF2-40B4-BE49-F238E27FC236}">
              <a16:creationId xmlns:a16="http://schemas.microsoft.com/office/drawing/2014/main" id="{00000000-0008-0000-0700-0000A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368947122"/>
          <a:ext cx="112395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34636</xdr:colOff>
      <xdr:row>308</xdr:row>
      <xdr:rowOff>23956</xdr:rowOff>
    </xdr:from>
    <xdr:to>
      <xdr:col>6</xdr:col>
      <xdr:colOff>1291936</xdr:colOff>
      <xdr:row>308</xdr:row>
      <xdr:rowOff>1281256</xdr:rowOff>
    </xdr:to>
    <xdr:pic>
      <xdr:nvPicPr>
        <xdr:cNvPr id="673" name="Picture 178" descr="Gambar terkait">
          <a:extLst>
            <a:ext uri="{FF2B5EF4-FFF2-40B4-BE49-F238E27FC236}">
              <a16:creationId xmlns:a16="http://schemas.microsoft.com/office/drawing/2014/main" id="{00000000-0008-0000-0700-0000A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0" y="376815638"/>
          <a:ext cx="12573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86342</xdr:colOff>
      <xdr:row>306</xdr:row>
      <xdr:rowOff>77023</xdr:rowOff>
    </xdr:from>
    <xdr:to>
      <xdr:col>6</xdr:col>
      <xdr:colOff>1242949</xdr:colOff>
      <xdr:row>306</xdr:row>
      <xdr:rowOff>1233630</xdr:rowOff>
    </xdr:to>
    <xdr:pic>
      <xdr:nvPicPr>
        <xdr:cNvPr id="674" name="Picture 673">
          <a:extLst>
            <a:ext uri="{FF2B5EF4-FFF2-40B4-BE49-F238E27FC236}">
              <a16:creationId xmlns:a16="http://schemas.microsoft.com/office/drawing/2014/main" id="{00000000-0008-0000-0700-0000A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4206" y="374236341"/>
          <a:ext cx="1156607" cy="11566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45521</xdr:colOff>
      <xdr:row>303</xdr:row>
      <xdr:rowOff>49809</xdr:rowOff>
    </xdr:from>
    <xdr:to>
      <xdr:col>6</xdr:col>
      <xdr:colOff>1267442</xdr:colOff>
      <xdr:row>303</xdr:row>
      <xdr:rowOff>1271730</xdr:rowOff>
    </xdr:to>
    <xdr:pic>
      <xdr:nvPicPr>
        <xdr:cNvPr id="675" name="Picture 674" descr="SAKLAR SINGLE NEW GEE BROCO 6621 1G 1W CREAM">
          <a:extLst>
            <a:ext uri="{FF2B5EF4-FFF2-40B4-BE49-F238E27FC236}">
              <a16:creationId xmlns:a16="http://schemas.microsoft.com/office/drawing/2014/main" id="{00000000-0008-0000-0700-0000A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3385" y="370260582"/>
          <a:ext cx="1221921" cy="1221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45521</xdr:colOff>
      <xdr:row>304</xdr:row>
      <xdr:rowOff>49810</xdr:rowOff>
    </xdr:from>
    <xdr:to>
      <xdr:col>6</xdr:col>
      <xdr:colOff>1281049</xdr:colOff>
      <xdr:row>304</xdr:row>
      <xdr:rowOff>1285338</xdr:rowOff>
    </xdr:to>
    <xdr:pic>
      <xdr:nvPicPr>
        <xdr:cNvPr id="676" name="Picture 675" descr="Gambar Product">
          <a:extLst>
            <a:ext uri="{FF2B5EF4-FFF2-40B4-BE49-F238E27FC236}">
              <a16:creationId xmlns:a16="http://schemas.microsoft.com/office/drawing/2014/main" id="{00000000-0008-0000-0700-0000A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3385" y="371576765"/>
          <a:ext cx="1235528" cy="12355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59128</xdr:colOff>
      <xdr:row>305</xdr:row>
      <xdr:rowOff>49808</xdr:rowOff>
    </xdr:from>
    <xdr:to>
      <xdr:col>6</xdr:col>
      <xdr:colOff>1256557</xdr:colOff>
      <xdr:row>305</xdr:row>
      <xdr:rowOff>1247237</xdr:rowOff>
    </xdr:to>
    <xdr:pic>
      <xdr:nvPicPr>
        <xdr:cNvPr id="677" name="Picture 676" descr="Gambar Product">
          <a:extLst>
            <a:ext uri="{FF2B5EF4-FFF2-40B4-BE49-F238E27FC236}">
              <a16:creationId xmlns:a16="http://schemas.microsoft.com/office/drawing/2014/main" id="{00000000-0008-0000-0700-0000A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6992" y="372892944"/>
          <a:ext cx="1197429" cy="11974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59129</xdr:colOff>
      <xdr:row>307</xdr:row>
      <xdr:rowOff>48466</xdr:rowOff>
    </xdr:from>
    <xdr:to>
      <xdr:col>6</xdr:col>
      <xdr:colOff>1273044</xdr:colOff>
      <xdr:row>307</xdr:row>
      <xdr:rowOff>1260845</xdr:rowOff>
    </xdr:to>
    <xdr:pic>
      <xdr:nvPicPr>
        <xdr:cNvPr id="678" name="Picture 677" descr="Hasil gambar untuk STOP KONTAK ARDE GRACIO BROCO 4154 WITH CP CREAM">
          <a:extLst>
            <a:ext uri="{FF2B5EF4-FFF2-40B4-BE49-F238E27FC236}">
              <a16:creationId xmlns:a16="http://schemas.microsoft.com/office/drawing/2014/main" id="{00000000-0008-0000-0700-0000A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6993" y="375523966"/>
          <a:ext cx="1213915" cy="12123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45521</xdr:colOff>
      <xdr:row>300</xdr:row>
      <xdr:rowOff>34636</xdr:rowOff>
    </xdr:from>
    <xdr:ext cx="1241386" cy="1239816"/>
    <xdr:pic>
      <xdr:nvPicPr>
        <xdr:cNvPr id="679" name="Picture 678" descr="Hasil gambar untuk MCB 1P 16A DOMAE SCHNEIDER DOM 11342 SN">
          <a:extLst>
            <a:ext uri="{FF2B5EF4-FFF2-40B4-BE49-F238E27FC236}">
              <a16:creationId xmlns:a16="http://schemas.microsoft.com/office/drawing/2014/main" id="{00000000-0008-0000-0700-0000A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3385" y="367613045"/>
          <a:ext cx="1241386" cy="1239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101311</xdr:colOff>
      <xdr:row>309</xdr:row>
      <xdr:rowOff>155862</xdr:rowOff>
    </xdr:from>
    <xdr:to>
      <xdr:col>6</xdr:col>
      <xdr:colOff>1272886</xdr:colOff>
      <xdr:row>309</xdr:row>
      <xdr:rowOff>1079787</xdr:rowOff>
    </xdr:to>
    <xdr:pic>
      <xdr:nvPicPr>
        <xdr:cNvPr id="680" name="Picture 179" descr="Gambar terkait">
          <a:extLst>
            <a:ext uri="{FF2B5EF4-FFF2-40B4-BE49-F238E27FC236}">
              <a16:creationId xmlns:a16="http://schemas.microsoft.com/office/drawing/2014/main" id="{00000000-0008-0000-0700-0000A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9175" y="378263726"/>
          <a:ext cx="1171575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187036</xdr:colOff>
      <xdr:row>310</xdr:row>
      <xdr:rowOff>70138</xdr:rowOff>
    </xdr:from>
    <xdr:to>
      <xdr:col>6</xdr:col>
      <xdr:colOff>1225261</xdr:colOff>
      <xdr:row>310</xdr:row>
      <xdr:rowOff>1108363</xdr:rowOff>
    </xdr:to>
    <xdr:pic>
      <xdr:nvPicPr>
        <xdr:cNvPr id="681" name="Picture 180" descr="Hasil gambar untuk harga stop kontak lantai broco">
          <a:extLst>
            <a:ext uri="{FF2B5EF4-FFF2-40B4-BE49-F238E27FC236}">
              <a16:creationId xmlns:a16="http://schemas.microsoft.com/office/drawing/2014/main" id="{00000000-0008-0000-0700-0000A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4900" y="379494183"/>
          <a:ext cx="10382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44161</xdr:colOff>
      <xdr:row>316</xdr:row>
      <xdr:rowOff>3462</xdr:rowOff>
    </xdr:from>
    <xdr:to>
      <xdr:col>6</xdr:col>
      <xdr:colOff>1282411</xdr:colOff>
      <xdr:row>316</xdr:row>
      <xdr:rowOff>1241712</xdr:rowOff>
    </xdr:to>
    <xdr:pic>
      <xdr:nvPicPr>
        <xdr:cNvPr id="684" name="Picture 183" descr="https://ecs7.tokopedia.net/img/cache/300/product-1/2016/3/14/468659/468659_92b65b5a-fc6a-43ef-b6f0-2d2fd046125e.jpg">
          <a:extLst>
            <a:ext uri="{FF2B5EF4-FFF2-40B4-BE49-F238E27FC236}">
              <a16:creationId xmlns:a16="http://schemas.microsoft.com/office/drawing/2014/main" id="{00000000-0008-0000-0700-0000A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387324598"/>
          <a:ext cx="123825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74468</xdr:colOff>
      <xdr:row>319</xdr:row>
      <xdr:rowOff>50887</xdr:rowOff>
    </xdr:from>
    <xdr:to>
      <xdr:col>6</xdr:col>
      <xdr:colOff>1303193</xdr:colOff>
      <xdr:row>319</xdr:row>
      <xdr:rowOff>1279612</xdr:rowOff>
    </xdr:to>
    <xdr:pic>
      <xdr:nvPicPr>
        <xdr:cNvPr id="688" name="Picture 185" descr="Jual Fitting Sorot E 27  Lampu Lukisan  FS 001   ">
          <a:extLst>
            <a:ext uri="{FF2B5EF4-FFF2-40B4-BE49-F238E27FC236}">
              <a16:creationId xmlns:a16="http://schemas.microsoft.com/office/drawing/2014/main" id="{00000000-0008-0000-0700-0000B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2332" y="391320569"/>
          <a:ext cx="1228725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122093</xdr:colOff>
      <xdr:row>320</xdr:row>
      <xdr:rowOff>88987</xdr:rowOff>
    </xdr:from>
    <xdr:to>
      <xdr:col>6</xdr:col>
      <xdr:colOff>1198418</xdr:colOff>
      <xdr:row>320</xdr:row>
      <xdr:rowOff>1174837</xdr:rowOff>
    </xdr:to>
    <xdr:pic>
      <xdr:nvPicPr>
        <xdr:cNvPr id="689" name="Picture 226" descr="https://encrypted-tbn3.gstatic.com/shopping?q=tbn:ANd9GcRUWncP37fHmynmXAfvgzMtRSoVqKxNz0NYGdtS7I_WKJcMtHP8H9wJI91RzaQ71QafjleZwVp7&amp;usqp=CAE">
          <a:extLst>
            <a:ext uri="{FF2B5EF4-FFF2-40B4-BE49-F238E27FC236}">
              <a16:creationId xmlns:a16="http://schemas.microsoft.com/office/drawing/2014/main" id="{00000000-0008-0000-0700-0000B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9957" y="392674851"/>
          <a:ext cx="1076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17318</xdr:colOff>
      <xdr:row>323</xdr:row>
      <xdr:rowOff>41362</xdr:rowOff>
    </xdr:from>
    <xdr:to>
      <xdr:col>6</xdr:col>
      <xdr:colOff>1312718</xdr:colOff>
      <xdr:row>323</xdr:row>
      <xdr:rowOff>1279612</xdr:rowOff>
    </xdr:to>
    <xdr:pic>
      <xdr:nvPicPr>
        <xdr:cNvPr id="691" name="Picture 263" descr="https://ecs7.tokopedia.net/img/cache/700/product-1/2017/5/15/2720205/2720205_7e2e5015-a481-4227-82be-6c304ced6bb2_600_400.jpg">
          <a:extLst>
            <a:ext uri="{FF2B5EF4-FFF2-40B4-BE49-F238E27FC236}">
              <a16:creationId xmlns:a16="http://schemas.microsoft.com/office/drawing/2014/main" id="{00000000-0008-0000-0700-0000B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577" r="15842"/>
        <a:stretch>
          <a:fillRect/>
        </a:stretch>
      </xdr:blipFill>
      <xdr:spPr bwMode="auto">
        <a:xfrm>
          <a:off x="4745182" y="396575771"/>
          <a:ext cx="129540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</xdr:col>
      <xdr:colOff>103043</xdr:colOff>
      <xdr:row>318</xdr:row>
      <xdr:rowOff>79462</xdr:rowOff>
    </xdr:from>
    <xdr:ext cx="1152525" cy="1162050"/>
    <xdr:pic>
      <xdr:nvPicPr>
        <xdr:cNvPr id="692" name="Picture 184" descr="https://encrypted-tbn2.gstatic.com/shopping?q=tbn:ANd9GcQ4GIX_PshgB3h2tWXM35fLoyDm99SCGgk0VlM1Ldwp3r_Ycds1sVbYSZF-HEEcY5s7KegnVZSy&amp;usqp=CAE">
          <a:extLst>
            <a:ext uri="{FF2B5EF4-FFF2-40B4-BE49-F238E27FC236}">
              <a16:creationId xmlns:a16="http://schemas.microsoft.com/office/drawing/2014/main" id="{00000000-0008-0000-0700-0000B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0907" y="390032962"/>
          <a:ext cx="115252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94986</xdr:colOff>
      <xdr:row>317</xdr:row>
      <xdr:rowOff>121226</xdr:rowOff>
    </xdr:from>
    <xdr:to>
      <xdr:col>6</xdr:col>
      <xdr:colOff>1202815</xdr:colOff>
      <xdr:row>317</xdr:row>
      <xdr:rowOff>1229055</xdr:rowOff>
    </xdr:to>
    <xdr:pic>
      <xdr:nvPicPr>
        <xdr:cNvPr id="693" name="Picture 692">
          <a:extLst>
            <a:ext uri="{FF2B5EF4-FFF2-40B4-BE49-F238E27FC236}">
              <a16:creationId xmlns:a16="http://schemas.microsoft.com/office/drawing/2014/main" id="{00000000-0008-0000-0700-0000B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2850" y="388758544"/>
          <a:ext cx="1107829" cy="1107829"/>
        </a:xfrm>
        <a:prstGeom prst="rect">
          <a:avLst/>
        </a:prstGeom>
      </xdr:spPr>
    </xdr:pic>
    <xdr:clientData/>
  </xdr:twoCellAnchor>
  <xdr:twoCellAnchor editAs="oneCell">
    <xdr:from>
      <xdr:col>6</xdr:col>
      <xdr:colOff>44307</xdr:colOff>
      <xdr:row>321</xdr:row>
      <xdr:rowOff>52476</xdr:rowOff>
    </xdr:from>
    <xdr:to>
      <xdr:col>6</xdr:col>
      <xdr:colOff>1290496</xdr:colOff>
      <xdr:row>321</xdr:row>
      <xdr:rowOff>1298665</xdr:rowOff>
    </xdr:to>
    <xdr:pic>
      <xdr:nvPicPr>
        <xdr:cNvPr id="694" name="Picture 693">
          <a:extLst>
            <a:ext uri="{FF2B5EF4-FFF2-40B4-BE49-F238E27FC236}">
              <a16:creationId xmlns:a16="http://schemas.microsoft.com/office/drawing/2014/main" id="{00000000-0008-0000-0700-0000B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2171" y="393954521"/>
          <a:ext cx="1246189" cy="1246189"/>
        </a:xfrm>
        <a:prstGeom prst="rect">
          <a:avLst/>
        </a:prstGeom>
      </xdr:spPr>
    </xdr:pic>
    <xdr:clientData/>
  </xdr:twoCellAnchor>
  <xdr:twoCellAnchor editAs="oneCell">
    <xdr:from>
      <xdr:col>6</xdr:col>
      <xdr:colOff>44161</xdr:colOff>
      <xdr:row>324</xdr:row>
      <xdr:rowOff>173180</xdr:rowOff>
    </xdr:from>
    <xdr:to>
      <xdr:col>6</xdr:col>
      <xdr:colOff>1330036</xdr:colOff>
      <xdr:row>324</xdr:row>
      <xdr:rowOff>1059005</xdr:rowOff>
    </xdr:to>
    <xdr:pic>
      <xdr:nvPicPr>
        <xdr:cNvPr id="695" name="Picture 264" descr="https://ecs7.tokopedia.net/img/cache/300/product-1/2017/8/19/84598319/84598319_d992c5f5-a770-4cf5-bd83-6ac68b574250_896_763.jpg">
          <a:extLst>
            <a:ext uri="{FF2B5EF4-FFF2-40B4-BE49-F238E27FC236}">
              <a16:creationId xmlns:a16="http://schemas.microsoft.com/office/drawing/2014/main" id="{00000000-0008-0000-0700-0000B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632" r="17387" b="19022"/>
        <a:stretch>
          <a:fillRect/>
        </a:stretch>
      </xdr:blipFill>
      <xdr:spPr bwMode="auto">
        <a:xfrm>
          <a:off x="4772025" y="398023771"/>
          <a:ext cx="128587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63211</xdr:colOff>
      <xdr:row>325</xdr:row>
      <xdr:rowOff>39830</xdr:rowOff>
    </xdr:from>
    <xdr:to>
      <xdr:col>6</xdr:col>
      <xdr:colOff>1310986</xdr:colOff>
      <xdr:row>325</xdr:row>
      <xdr:rowOff>1287605</xdr:rowOff>
    </xdr:to>
    <xdr:pic>
      <xdr:nvPicPr>
        <xdr:cNvPr id="696" name="Picture 281" descr="Hasil gambar untuk harga pipa clipsal">
          <a:extLst>
            <a:ext uri="{FF2B5EF4-FFF2-40B4-BE49-F238E27FC236}">
              <a16:creationId xmlns:a16="http://schemas.microsoft.com/office/drawing/2014/main" id="{00000000-0008-0000-0700-0000B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399206603"/>
          <a:ext cx="1247775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34636</xdr:colOff>
      <xdr:row>326</xdr:row>
      <xdr:rowOff>163655</xdr:rowOff>
    </xdr:from>
    <xdr:to>
      <xdr:col>6</xdr:col>
      <xdr:colOff>1358611</xdr:colOff>
      <xdr:row>326</xdr:row>
      <xdr:rowOff>1211405</xdr:rowOff>
    </xdr:to>
    <xdr:pic>
      <xdr:nvPicPr>
        <xdr:cNvPr id="697" name="Picture 282" descr="Hasil gambar untuk harga kabel coaxial 5c-2v">
          <a:extLst>
            <a:ext uri="{FF2B5EF4-FFF2-40B4-BE49-F238E27FC236}">
              <a16:creationId xmlns:a16="http://schemas.microsoft.com/office/drawing/2014/main" id="{00000000-0008-0000-0700-0000B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0" y="400646610"/>
          <a:ext cx="1323975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44161</xdr:colOff>
      <xdr:row>327</xdr:row>
      <xdr:rowOff>173180</xdr:rowOff>
    </xdr:from>
    <xdr:to>
      <xdr:col>6</xdr:col>
      <xdr:colOff>1349086</xdr:colOff>
      <xdr:row>327</xdr:row>
      <xdr:rowOff>1173305</xdr:rowOff>
    </xdr:to>
    <xdr:pic>
      <xdr:nvPicPr>
        <xdr:cNvPr id="698" name="Picture 283" descr="https://ecs7.tokopedia.net/img/cache/300/product-1/2017/7/31/20865726/20865726_ecad7ab0-5643-4b4d-91d0-472b839b8f4d_989_720.png">
          <a:extLst>
            <a:ext uri="{FF2B5EF4-FFF2-40B4-BE49-F238E27FC236}">
              <a16:creationId xmlns:a16="http://schemas.microsoft.com/office/drawing/2014/main" id="{00000000-0008-0000-0700-0000B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000"/>
        <a:stretch>
          <a:fillRect/>
        </a:stretch>
      </xdr:blipFill>
      <xdr:spPr bwMode="auto">
        <a:xfrm>
          <a:off x="4772025" y="401972316"/>
          <a:ext cx="130492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53686</xdr:colOff>
      <xdr:row>330</xdr:row>
      <xdr:rowOff>68405</xdr:rowOff>
    </xdr:from>
    <xdr:to>
      <xdr:col>6</xdr:col>
      <xdr:colOff>1291936</xdr:colOff>
      <xdr:row>330</xdr:row>
      <xdr:rowOff>1306655</xdr:rowOff>
    </xdr:to>
    <xdr:pic>
      <xdr:nvPicPr>
        <xdr:cNvPr id="700" name="Picture 699" descr="Gambar terkait">
          <a:extLst>
            <a:ext uri="{FF2B5EF4-FFF2-40B4-BE49-F238E27FC236}">
              <a16:creationId xmlns:a16="http://schemas.microsoft.com/office/drawing/2014/main" id="{00000000-0008-0000-0700-0000B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1550" y="405816087"/>
          <a:ext cx="1238250" cy="1238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87703</xdr:colOff>
      <xdr:row>329</xdr:row>
      <xdr:rowOff>63901</xdr:rowOff>
    </xdr:from>
    <xdr:to>
      <xdr:col>6</xdr:col>
      <xdr:colOff>1301507</xdr:colOff>
      <xdr:row>329</xdr:row>
      <xdr:rowOff>1276719</xdr:rowOff>
    </xdr:to>
    <xdr:pic>
      <xdr:nvPicPr>
        <xdr:cNvPr id="701" name="Picture 700">
          <a:extLst>
            <a:ext uri="{FF2B5EF4-FFF2-40B4-BE49-F238E27FC236}">
              <a16:creationId xmlns:a16="http://schemas.microsoft.com/office/drawing/2014/main" id="{00000000-0008-0000-0700-0000B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5567" y="404495401"/>
          <a:ext cx="1213804" cy="1212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71004</xdr:colOff>
      <xdr:row>331</xdr:row>
      <xdr:rowOff>51954</xdr:rowOff>
    </xdr:from>
    <xdr:to>
      <xdr:col>6</xdr:col>
      <xdr:colOff>1318779</xdr:colOff>
      <xdr:row>331</xdr:row>
      <xdr:rowOff>1278933</xdr:rowOff>
    </xdr:to>
    <xdr:pic>
      <xdr:nvPicPr>
        <xdr:cNvPr id="702" name="Picture 701" descr="https://ecs7.tokopedia.net/img/cache/300/product-1/2017/11/14/20730513/20730513_f388c2ad-4e06-44c1-9d0c-c1402a90fb93_338_600.png">
          <a:extLst>
            <a:ext uri="{FF2B5EF4-FFF2-40B4-BE49-F238E27FC236}">
              <a16:creationId xmlns:a16="http://schemas.microsoft.com/office/drawing/2014/main" id="{00000000-0008-0000-0700-0000BE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136" b="15413"/>
        <a:stretch/>
      </xdr:blipFill>
      <xdr:spPr bwMode="auto">
        <a:xfrm>
          <a:off x="4798868" y="407115818"/>
          <a:ext cx="1247775" cy="1226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51954</xdr:colOff>
      <xdr:row>336</xdr:row>
      <xdr:rowOff>30903</xdr:rowOff>
    </xdr:from>
    <xdr:to>
      <xdr:col>6</xdr:col>
      <xdr:colOff>1328304</xdr:colOff>
      <xdr:row>336</xdr:row>
      <xdr:rowOff>1297982</xdr:rowOff>
    </xdr:to>
    <xdr:pic>
      <xdr:nvPicPr>
        <xdr:cNvPr id="703" name="Picture 702" descr="Lampu LED Strip RGB">
          <a:extLst>
            <a:ext uri="{FF2B5EF4-FFF2-40B4-BE49-F238E27FC236}">
              <a16:creationId xmlns:a16="http://schemas.microsoft.com/office/drawing/2014/main" id="{00000000-0008-0000-0700-0000B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9818" y="413675676"/>
          <a:ext cx="1276350" cy="12670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58757</xdr:colOff>
      <xdr:row>332</xdr:row>
      <xdr:rowOff>41572</xdr:rowOff>
    </xdr:from>
    <xdr:to>
      <xdr:col>6</xdr:col>
      <xdr:colOff>1310614</xdr:colOff>
      <xdr:row>332</xdr:row>
      <xdr:rowOff>1292442</xdr:rowOff>
    </xdr:to>
    <xdr:pic>
      <xdr:nvPicPr>
        <xdr:cNvPr id="704" name="Picture 703" descr="SAKLAR  HOTEL 4G VIVACE KB34_WE_G3 4GANG 2WAY SCHNEIDER">
          <a:extLst>
            <a:ext uri="{FF2B5EF4-FFF2-40B4-BE49-F238E27FC236}">
              <a16:creationId xmlns:a16="http://schemas.microsoft.com/office/drawing/2014/main" id="{00000000-0008-0000-0700-0000C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6621" y="408421617"/>
          <a:ext cx="1251857" cy="1250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113187</xdr:colOff>
      <xdr:row>335</xdr:row>
      <xdr:rowOff>96558</xdr:rowOff>
    </xdr:from>
    <xdr:to>
      <xdr:col>6</xdr:col>
      <xdr:colOff>1257547</xdr:colOff>
      <xdr:row>335</xdr:row>
      <xdr:rowOff>1239471</xdr:rowOff>
    </xdr:to>
    <xdr:pic>
      <xdr:nvPicPr>
        <xdr:cNvPr id="705" name="Picture 704" descr="Hasil gambar untuk SAKLAR SINGLE HOTEL BROCO GALLEO G163-55S WHITE">
          <a:extLst>
            <a:ext uri="{FF2B5EF4-FFF2-40B4-BE49-F238E27FC236}">
              <a16:creationId xmlns:a16="http://schemas.microsoft.com/office/drawing/2014/main" id="{00000000-0008-0000-0700-0000C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1051" y="412425149"/>
          <a:ext cx="1144360" cy="11429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99579</xdr:colOff>
      <xdr:row>334</xdr:row>
      <xdr:rowOff>69592</xdr:rowOff>
    </xdr:from>
    <xdr:to>
      <xdr:col>6</xdr:col>
      <xdr:colOff>1291565</xdr:colOff>
      <xdr:row>334</xdr:row>
      <xdr:rowOff>1259883</xdr:rowOff>
    </xdr:to>
    <xdr:pic>
      <xdr:nvPicPr>
        <xdr:cNvPr id="706" name="Picture 705" descr="Hasil gambar untuk SAKLAR DOUBLE HOTEL BROCO GALLEO G164-55S WHITE">
          <a:extLst>
            <a:ext uri="{FF2B5EF4-FFF2-40B4-BE49-F238E27FC236}">
              <a16:creationId xmlns:a16="http://schemas.microsoft.com/office/drawing/2014/main" id="{00000000-0008-0000-0700-0000C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7443" y="411082001"/>
          <a:ext cx="1191986" cy="1190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97380</xdr:colOff>
      <xdr:row>333</xdr:row>
      <xdr:rowOff>84225</xdr:rowOff>
    </xdr:from>
    <xdr:to>
      <xdr:col>6</xdr:col>
      <xdr:colOff>1284761</xdr:colOff>
      <xdr:row>333</xdr:row>
      <xdr:rowOff>1273489</xdr:rowOff>
    </xdr:to>
    <xdr:pic>
      <xdr:nvPicPr>
        <xdr:cNvPr id="707" name="Picture 706" descr="SAKLAR HOTEL TRIPLE VIVACE SCHNEIDER KB33_WE 3 GANG 2 WAY SWITCH">
          <a:extLst>
            <a:ext uri="{FF2B5EF4-FFF2-40B4-BE49-F238E27FC236}">
              <a16:creationId xmlns:a16="http://schemas.microsoft.com/office/drawing/2014/main" id="{00000000-0008-0000-0700-0000C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5244" y="409780452"/>
          <a:ext cx="1187381" cy="11892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69273</xdr:colOff>
      <xdr:row>337</xdr:row>
      <xdr:rowOff>51955</xdr:rowOff>
    </xdr:from>
    <xdr:to>
      <xdr:col>6</xdr:col>
      <xdr:colOff>1293273</xdr:colOff>
      <xdr:row>337</xdr:row>
      <xdr:rowOff>1275955</xdr:rowOff>
    </xdr:to>
    <xdr:pic>
      <xdr:nvPicPr>
        <xdr:cNvPr id="708" name="Picture 707">
          <a:extLst>
            <a:ext uri="{FF2B5EF4-FFF2-40B4-BE49-F238E27FC236}">
              <a16:creationId xmlns:a16="http://schemas.microsoft.com/office/drawing/2014/main" id="{00000000-0008-0000-0700-0000C4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2"/>
        <a:srcRect l="5286" t="7057" r="10788" b="8265"/>
        <a:stretch/>
      </xdr:blipFill>
      <xdr:spPr>
        <a:xfrm>
          <a:off x="4797137" y="415012910"/>
          <a:ext cx="1224000" cy="12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69272</xdr:colOff>
      <xdr:row>338</xdr:row>
      <xdr:rowOff>51954</xdr:rowOff>
    </xdr:from>
    <xdr:to>
      <xdr:col>6</xdr:col>
      <xdr:colOff>1293272</xdr:colOff>
      <xdr:row>338</xdr:row>
      <xdr:rowOff>1275954</xdr:rowOff>
    </xdr:to>
    <xdr:pic>
      <xdr:nvPicPr>
        <xdr:cNvPr id="709" name="Picture 708">
          <a:extLst>
            <a:ext uri="{FF2B5EF4-FFF2-40B4-BE49-F238E27FC236}">
              <a16:creationId xmlns:a16="http://schemas.microsoft.com/office/drawing/2014/main" id="{00000000-0008-0000-0700-0000C5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3">
          <a:clrChange>
            <a:clrFrom>
              <a:srgbClr val="121212"/>
            </a:clrFrom>
            <a:clrTo>
              <a:srgbClr val="121212">
                <a:alpha val="0"/>
              </a:srgbClr>
            </a:clrTo>
          </a:clrChange>
        </a:blip>
        <a:srcRect l="3385" t="-61914" r="624" b="-49740"/>
        <a:stretch/>
      </xdr:blipFill>
      <xdr:spPr>
        <a:xfrm>
          <a:off x="4797136" y="416329090"/>
          <a:ext cx="1224000" cy="12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44161</xdr:colOff>
      <xdr:row>348</xdr:row>
      <xdr:rowOff>36369</xdr:rowOff>
    </xdr:from>
    <xdr:to>
      <xdr:col>6</xdr:col>
      <xdr:colOff>1330036</xdr:colOff>
      <xdr:row>348</xdr:row>
      <xdr:rowOff>1265094</xdr:rowOff>
    </xdr:to>
    <xdr:pic>
      <xdr:nvPicPr>
        <xdr:cNvPr id="710" name="Picture 162" descr="Hasil gambar untuk SLOT JENDELA SOLID RMB 647">
          <a:extLst>
            <a:ext uri="{FF2B5EF4-FFF2-40B4-BE49-F238E27FC236}">
              <a16:creationId xmlns:a16="http://schemas.microsoft.com/office/drawing/2014/main" id="{00000000-0008-0000-0700-0000C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665" b="20116"/>
        <a:stretch>
          <a:fillRect/>
        </a:stretch>
      </xdr:blipFill>
      <xdr:spPr bwMode="auto">
        <a:xfrm>
          <a:off x="4772025" y="425942414"/>
          <a:ext cx="1285875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44161</xdr:colOff>
      <xdr:row>347</xdr:row>
      <xdr:rowOff>26843</xdr:rowOff>
    </xdr:from>
    <xdr:to>
      <xdr:col>6</xdr:col>
      <xdr:colOff>1339561</xdr:colOff>
      <xdr:row>347</xdr:row>
      <xdr:rowOff>1303193</xdr:rowOff>
    </xdr:to>
    <xdr:pic>
      <xdr:nvPicPr>
        <xdr:cNvPr id="711" name="Picture 163">
          <a:extLst>
            <a:ext uri="{FF2B5EF4-FFF2-40B4-BE49-F238E27FC236}">
              <a16:creationId xmlns:a16="http://schemas.microsoft.com/office/drawing/2014/main" id="{00000000-0008-0000-0700-0000C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328" r="17709"/>
        <a:stretch>
          <a:fillRect/>
        </a:stretch>
      </xdr:blipFill>
      <xdr:spPr bwMode="auto">
        <a:xfrm>
          <a:off x="4772025" y="424616707"/>
          <a:ext cx="1295400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101311</xdr:colOff>
      <xdr:row>346</xdr:row>
      <xdr:rowOff>198293</xdr:rowOff>
    </xdr:from>
    <xdr:to>
      <xdr:col>6</xdr:col>
      <xdr:colOff>1282411</xdr:colOff>
      <xdr:row>346</xdr:row>
      <xdr:rowOff>1093643</xdr:rowOff>
    </xdr:to>
    <xdr:pic>
      <xdr:nvPicPr>
        <xdr:cNvPr id="712" name="Picture 164" descr="Hasil gambar untuk barrel bolt 627">
          <a:extLst>
            <a:ext uri="{FF2B5EF4-FFF2-40B4-BE49-F238E27FC236}">
              <a16:creationId xmlns:a16="http://schemas.microsoft.com/office/drawing/2014/main" id="{00000000-0008-0000-0700-0000C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006" t="49582" r="20468"/>
        <a:stretch>
          <a:fillRect/>
        </a:stretch>
      </xdr:blipFill>
      <xdr:spPr bwMode="auto">
        <a:xfrm>
          <a:off x="4825711" y="434147768"/>
          <a:ext cx="118110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44161</xdr:colOff>
      <xdr:row>353</xdr:row>
      <xdr:rowOff>67539</xdr:rowOff>
    </xdr:from>
    <xdr:to>
      <xdr:col>6</xdr:col>
      <xdr:colOff>1330036</xdr:colOff>
      <xdr:row>353</xdr:row>
      <xdr:rowOff>1296264</xdr:rowOff>
    </xdr:to>
    <xdr:pic>
      <xdr:nvPicPr>
        <xdr:cNvPr id="717" name="Picture 158" descr="Hasil gambar untuk harga door holder">
          <a:extLst>
            <a:ext uri="{FF2B5EF4-FFF2-40B4-BE49-F238E27FC236}">
              <a16:creationId xmlns:a16="http://schemas.microsoft.com/office/drawing/2014/main" id="{00000000-0008-0000-0700-0000C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254"/>
        <a:stretch>
          <a:fillRect/>
        </a:stretch>
      </xdr:blipFill>
      <xdr:spPr bwMode="auto">
        <a:xfrm>
          <a:off x="4772025" y="432554494"/>
          <a:ext cx="1285875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34636</xdr:colOff>
      <xdr:row>352</xdr:row>
      <xdr:rowOff>48489</xdr:rowOff>
    </xdr:from>
    <xdr:to>
      <xdr:col>6</xdr:col>
      <xdr:colOff>1330036</xdr:colOff>
      <xdr:row>352</xdr:row>
      <xdr:rowOff>1296264</xdr:rowOff>
    </xdr:to>
    <xdr:pic>
      <xdr:nvPicPr>
        <xdr:cNvPr id="718" name="Picture 159" descr="Gambar terkait">
          <a:extLst>
            <a:ext uri="{FF2B5EF4-FFF2-40B4-BE49-F238E27FC236}">
              <a16:creationId xmlns:a16="http://schemas.microsoft.com/office/drawing/2014/main" id="{00000000-0008-0000-0700-0000C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" r="18593"/>
        <a:stretch>
          <a:fillRect/>
        </a:stretch>
      </xdr:blipFill>
      <xdr:spPr bwMode="auto">
        <a:xfrm>
          <a:off x="4762500" y="431219262"/>
          <a:ext cx="12954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139411</xdr:colOff>
      <xdr:row>350</xdr:row>
      <xdr:rowOff>48490</xdr:rowOff>
    </xdr:from>
    <xdr:to>
      <xdr:col>6</xdr:col>
      <xdr:colOff>1225261</xdr:colOff>
      <xdr:row>350</xdr:row>
      <xdr:rowOff>1296265</xdr:rowOff>
    </xdr:to>
    <xdr:pic>
      <xdr:nvPicPr>
        <xdr:cNvPr id="719" name="Picture 160" descr="Gambar terkait">
          <a:extLst>
            <a:ext uri="{FF2B5EF4-FFF2-40B4-BE49-F238E27FC236}">
              <a16:creationId xmlns:a16="http://schemas.microsoft.com/office/drawing/2014/main" id="{00000000-0008-0000-0700-0000C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12" t="22887" r="14798" b="21947"/>
        <a:stretch>
          <a:fillRect/>
        </a:stretch>
      </xdr:blipFill>
      <xdr:spPr bwMode="auto">
        <a:xfrm>
          <a:off x="4867275" y="428586899"/>
          <a:ext cx="10858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82261</xdr:colOff>
      <xdr:row>351</xdr:row>
      <xdr:rowOff>58014</xdr:rowOff>
    </xdr:from>
    <xdr:to>
      <xdr:col>6</xdr:col>
      <xdr:colOff>1310986</xdr:colOff>
      <xdr:row>351</xdr:row>
      <xdr:rowOff>1286739</xdr:rowOff>
    </xdr:to>
    <xdr:pic>
      <xdr:nvPicPr>
        <xdr:cNvPr id="721" name="prod-img-primary" descr="engsel casement solid 12inc,camlock,engsel jendela alumunium solid">
          <a:extLst>
            <a:ext uri="{FF2B5EF4-FFF2-40B4-BE49-F238E27FC236}">
              <a16:creationId xmlns:a16="http://schemas.microsoft.com/office/drawing/2014/main" id="{00000000-0008-0000-0700-0000D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0125" y="429912605"/>
          <a:ext cx="1228725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63210</xdr:colOff>
      <xdr:row>354</xdr:row>
      <xdr:rowOff>67539</xdr:rowOff>
    </xdr:from>
    <xdr:to>
      <xdr:col>6</xdr:col>
      <xdr:colOff>1272885</xdr:colOff>
      <xdr:row>354</xdr:row>
      <xdr:rowOff>1277214</xdr:rowOff>
    </xdr:to>
    <xdr:pic>
      <xdr:nvPicPr>
        <xdr:cNvPr id="722" name="Picture 721" descr="https://ecs7.tokopedia.net/img/cache/300/product-1/2017/10/27/74718267/74718267_d5664711-7359-4876-97ab-58744d913f30_500_500.jpg">
          <a:extLst>
            <a:ext uri="{FF2B5EF4-FFF2-40B4-BE49-F238E27FC236}">
              <a16:creationId xmlns:a16="http://schemas.microsoft.com/office/drawing/2014/main" id="{00000000-0008-0000-0700-0000D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4" y="433870675"/>
          <a:ext cx="1209675" cy="1209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61479</xdr:colOff>
      <xdr:row>357</xdr:row>
      <xdr:rowOff>34636</xdr:rowOff>
    </xdr:from>
    <xdr:to>
      <xdr:col>6</xdr:col>
      <xdr:colOff>1328304</xdr:colOff>
      <xdr:row>357</xdr:row>
      <xdr:rowOff>1282411</xdr:rowOff>
    </xdr:to>
    <xdr:pic>
      <xdr:nvPicPr>
        <xdr:cNvPr id="724" name="Picture 152">
          <a:extLst>
            <a:ext uri="{FF2B5EF4-FFF2-40B4-BE49-F238E27FC236}">
              <a16:creationId xmlns:a16="http://schemas.microsoft.com/office/drawing/2014/main" id="{00000000-0008-0000-0700-0000D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9343" y="436885772"/>
          <a:ext cx="1266825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71004</xdr:colOff>
      <xdr:row>358</xdr:row>
      <xdr:rowOff>53686</xdr:rowOff>
    </xdr:from>
    <xdr:to>
      <xdr:col>6</xdr:col>
      <xdr:colOff>1328304</xdr:colOff>
      <xdr:row>358</xdr:row>
      <xdr:rowOff>1225261</xdr:rowOff>
    </xdr:to>
    <xdr:pic>
      <xdr:nvPicPr>
        <xdr:cNvPr id="725" name="Picture 153">
          <a:extLst>
            <a:ext uri="{FF2B5EF4-FFF2-40B4-BE49-F238E27FC236}">
              <a16:creationId xmlns:a16="http://schemas.microsoft.com/office/drawing/2014/main" id="{00000000-0008-0000-0700-0000D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9189"/>
        <a:stretch>
          <a:fillRect/>
        </a:stretch>
      </xdr:blipFill>
      <xdr:spPr bwMode="auto">
        <a:xfrm>
          <a:off x="4798868" y="438221004"/>
          <a:ext cx="125730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51954</xdr:colOff>
      <xdr:row>359</xdr:row>
      <xdr:rowOff>25110</xdr:rowOff>
    </xdr:from>
    <xdr:to>
      <xdr:col>6</xdr:col>
      <xdr:colOff>1318779</xdr:colOff>
      <xdr:row>359</xdr:row>
      <xdr:rowOff>1291935</xdr:rowOff>
    </xdr:to>
    <xdr:pic>
      <xdr:nvPicPr>
        <xdr:cNvPr id="726" name="Picture 154">
          <a:extLst>
            <a:ext uri="{FF2B5EF4-FFF2-40B4-BE49-F238E27FC236}">
              <a16:creationId xmlns:a16="http://schemas.microsoft.com/office/drawing/2014/main" id="{00000000-0008-0000-0700-0000D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9818" y="439508610"/>
          <a:ext cx="1266825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51954</xdr:colOff>
      <xdr:row>360</xdr:row>
      <xdr:rowOff>34635</xdr:rowOff>
    </xdr:from>
    <xdr:to>
      <xdr:col>6</xdr:col>
      <xdr:colOff>1337829</xdr:colOff>
      <xdr:row>360</xdr:row>
      <xdr:rowOff>1282410</xdr:rowOff>
    </xdr:to>
    <xdr:pic>
      <xdr:nvPicPr>
        <xdr:cNvPr id="727" name="Picture 155" descr="https://3.bp.blogspot.com/--yZNuhflK0o/WAV8NckAZMI/AAAAAAAAAL8/8RJkbcLURQ4VFCPTGqOQIJtnn8uhOnyHQCLcB/s640/Harga%2BAspal%2BHotmix.jpg">
          <a:extLst>
            <a:ext uri="{FF2B5EF4-FFF2-40B4-BE49-F238E27FC236}">
              <a16:creationId xmlns:a16="http://schemas.microsoft.com/office/drawing/2014/main" id="{00000000-0008-0000-0700-0000D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368"/>
        <a:stretch>
          <a:fillRect/>
        </a:stretch>
      </xdr:blipFill>
      <xdr:spPr bwMode="auto">
        <a:xfrm>
          <a:off x="4779818" y="440834317"/>
          <a:ext cx="1285875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51954</xdr:colOff>
      <xdr:row>361</xdr:row>
      <xdr:rowOff>25110</xdr:rowOff>
    </xdr:from>
    <xdr:to>
      <xdr:col>6</xdr:col>
      <xdr:colOff>1337829</xdr:colOff>
      <xdr:row>361</xdr:row>
      <xdr:rowOff>1282410</xdr:rowOff>
    </xdr:to>
    <xdr:pic>
      <xdr:nvPicPr>
        <xdr:cNvPr id="728" name="Picture 156" descr="https://3.bp.blogspot.com/--yZNuhflK0o/WAV8NckAZMI/AAAAAAAAAL8/8RJkbcLURQ4VFCPTGqOQIJtnn8uhOnyHQCLcB/s640/Harga%2BAspal%2BHotmix.jpg">
          <a:extLst>
            <a:ext uri="{FF2B5EF4-FFF2-40B4-BE49-F238E27FC236}">
              <a16:creationId xmlns:a16="http://schemas.microsoft.com/office/drawing/2014/main" id="{00000000-0008-0000-0700-0000D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368"/>
        <a:stretch>
          <a:fillRect/>
        </a:stretch>
      </xdr:blipFill>
      <xdr:spPr bwMode="auto">
        <a:xfrm>
          <a:off x="4779818" y="442140974"/>
          <a:ext cx="128587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51954</xdr:colOff>
      <xdr:row>362</xdr:row>
      <xdr:rowOff>44161</xdr:rowOff>
    </xdr:from>
    <xdr:to>
      <xdr:col>6</xdr:col>
      <xdr:colOff>1337829</xdr:colOff>
      <xdr:row>362</xdr:row>
      <xdr:rowOff>1291936</xdr:rowOff>
    </xdr:to>
    <xdr:pic>
      <xdr:nvPicPr>
        <xdr:cNvPr id="729" name="Picture 157" descr="https://3.bp.blogspot.com/--yZNuhflK0o/WAV8NckAZMI/AAAAAAAAAL8/8RJkbcLURQ4VFCPTGqOQIJtnn8uhOnyHQCLcB/s640/Harga%2BAspal%2BHotmix.jpg">
          <a:extLst>
            <a:ext uri="{FF2B5EF4-FFF2-40B4-BE49-F238E27FC236}">
              <a16:creationId xmlns:a16="http://schemas.microsoft.com/office/drawing/2014/main" id="{00000000-0008-0000-0700-0000D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368"/>
        <a:stretch>
          <a:fillRect/>
        </a:stretch>
      </xdr:blipFill>
      <xdr:spPr bwMode="auto">
        <a:xfrm>
          <a:off x="4779818" y="443476206"/>
          <a:ext cx="1285875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118629</xdr:colOff>
      <xdr:row>377</xdr:row>
      <xdr:rowOff>51954</xdr:rowOff>
    </xdr:from>
    <xdr:to>
      <xdr:col>6</xdr:col>
      <xdr:colOff>1318779</xdr:colOff>
      <xdr:row>377</xdr:row>
      <xdr:rowOff>1261629</xdr:rowOff>
    </xdr:to>
    <xdr:pic>
      <xdr:nvPicPr>
        <xdr:cNvPr id="731" name="Picture 146">
          <a:extLst>
            <a:ext uri="{FF2B5EF4-FFF2-40B4-BE49-F238E27FC236}">
              <a16:creationId xmlns:a16="http://schemas.microsoft.com/office/drawing/2014/main" id="{00000000-0008-0000-0700-0000D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6493" y="453944181"/>
          <a:ext cx="120015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61479</xdr:colOff>
      <xdr:row>376</xdr:row>
      <xdr:rowOff>32904</xdr:rowOff>
    </xdr:from>
    <xdr:to>
      <xdr:col>6</xdr:col>
      <xdr:colOff>1347354</xdr:colOff>
      <xdr:row>376</xdr:row>
      <xdr:rowOff>1299729</xdr:rowOff>
    </xdr:to>
    <xdr:pic>
      <xdr:nvPicPr>
        <xdr:cNvPr id="732" name="Picture 147" descr="https://ecs7.tokopedia.net/img/cache/300/product-1/2017/10/13/0/0_b430616e-5ead-4195-8a87-ce60439546fd_780_1040.jpg">
          <a:extLst>
            <a:ext uri="{FF2B5EF4-FFF2-40B4-BE49-F238E27FC236}">
              <a16:creationId xmlns:a16="http://schemas.microsoft.com/office/drawing/2014/main" id="{00000000-0008-0000-0700-0000D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9343" y="452608949"/>
          <a:ext cx="1285875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71004</xdr:colOff>
      <xdr:row>373</xdr:row>
      <xdr:rowOff>51954</xdr:rowOff>
    </xdr:from>
    <xdr:to>
      <xdr:col>6</xdr:col>
      <xdr:colOff>1328304</xdr:colOff>
      <xdr:row>373</xdr:row>
      <xdr:rowOff>1290204</xdr:rowOff>
    </xdr:to>
    <xdr:pic>
      <xdr:nvPicPr>
        <xdr:cNvPr id="733" name="Picture 148" descr="https://ecs7.tokopedia.net/img/cache/300/product-1/2014/2/22/3316212/3316212_e53c1050-9b75-11e3-8089-53562523fab8.jpg">
          <a:extLst>
            <a:ext uri="{FF2B5EF4-FFF2-40B4-BE49-F238E27FC236}">
              <a16:creationId xmlns:a16="http://schemas.microsoft.com/office/drawing/2014/main" id="{00000000-0008-0000-0700-0000D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8868" y="450896181"/>
          <a:ext cx="125730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51954</xdr:colOff>
      <xdr:row>372</xdr:row>
      <xdr:rowOff>42429</xdr:rowOff>
    </xdr:from>
    <xdr:to>
      <xdr:col>6</xdr:col>
      <xdr:colOff>1347354</xdr:colOff>
      <xdr:row>372</xdr:row>
      <xdr:rowOff>1290204</xdr:rowOff>
    </xdr:to>
    <xdr:pic>
      <xdr:nvPicPr>
        <xdr:cNvPr id="734" name="Picture 149" descr="Gambar terkait">
          <a:extLst>
            <a:ext uri="{FF2B5EF4-FFF2-40B4-BE49-F238E27FC236}">
              <a16:creationId xmlns:a16="http://schemas.microsoft.com/office/drawing/2014/main" id="{00000000-0008-0000-0700-0000D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313" t="4698" r="8463" b="4263"/>
        <a:stretch>
          <a:fillRect/>
        </a:stretch>
      </xdr:blipFill>
      <xdr:spPr bwMode="auto">
        <a:xfrm>
          <a:off x="4779818" y="449570474"/>
          <a:ext cx="12954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51954</xdr:colOff>
      <xdr:row>366</xdr:row>
      <xdr:rowOff>42429</xdr:rowOff>
    </xdr:from>
    <xdr:to>
      <xdr:col>6</xdr:col>
      <xdr:colOff>1299729</xdr:colOff>
      <xdr:row>366</xdr:row>
      <xdr:rowOff>1290204</xdr:rowOff>
    </xdr:to>
    <xdr:pic>
      <xdr:nvPicPr>
        <xdr:cNvPr id="735" name="Picture 150">
          <a:extLst>
            <a:ext uri="{FF2B5EF4-FFF2-40B4-BE49-F238E27FC236}">
              <a16:creationId xmlns:a16="http://schemas.microsoft.com/office/drawing/2014/main" id="{00000000-0008-0000-0700-0000D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9818" y="447838656"/>
          <a:ext cx="1247775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71004</xdr:colOff>
      <xdr:row>365</xdr:row>
      <xdr:rowOff>51954</xdr:rowOff>
    </xdr:from>
    <xdr:to>
      <xdr:col>6</xdr:col>
      <xdr:colOff>1299729</xdr:colOff>
      <xdr:row>365</xdr:row>
      <xdr:rowOff>1261629</xdr:rowOff>
    </xdr:to>
    <xdr:pic>
      <xdr:nvPicPr>
        <xdr:cNvPr id="736" name="large_image" descr="https://net.grundfos.com/RestServer/imaging/product?productnumber=11701K21&amp;frequency=50&amp;languagecode=ENU&amp;productrange=gma&amp;searchdomain=SALEABLE&amp;unitsystem=0&amp;w=615&amp;h=611">
          <a:extLst>
            <a:ext uri="{FF2B5EF4-FFF2-40B4-BE49-F238E27FC236}">
              <a16:creationId xmlns:a16="http://schemas.microsoft.com/office/drawing/2014/main" id="{00000000-0008-0000-0700-0000E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25" t="4346" r="6386" b="3911"/>
        <a:stretch>
          <a:fillRect/>
        </a:stretch>
      </xdr:blipFill>
      <xdr:spPr bwMode="auto">
        <a:xfrm>
          <a:off x="4798868" y="446531999"/>
          <a:ext cx="1228725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63211</xdr:colOff>
      <xdr:row>384</xdr:row>
      <xdr:rowOff>25110</xdr:rowOff>
    </xdr:from>
    <xdr:to>
      <xdr:col>6</xdr:col>
      <xdr:colOff>1301461</xdr:colOff>
      <xdr:row>384</xdr:row>
      <xdr:rowOff>1272885</xdr:rowOff>
    </xdr:to>
    <xdr:pic>
      <xdr:nvPicPr>
        <xdr:cNvPr id="737" name="Picture 139" descr="Garansi SELANG AIR TEBAL SELANG BENING TRANSPARAN 12 MURAH PER METER">
          <a:extLst>
            <a:ext uri="{FF2B5EF4-FFF2-40B4-BE49-F238E27FC236}">
              <a16:creationId xmlns:a16="http://schemas.microsoft.com/office/drawing/2014/main" id="{00000000-0008-0000-0700-0000E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463130610"/>
          <a:ext cx="12382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44161</xdr:colOff>
      <xdr:row>382</xdr:row>
      <xdr:rowOff>44161</xdr:rowOff>
    </xdr:from>
    <xdr:to>
      <xdr:col>6</xdr:col>
      <xdr:colOff>1330036</xdr:colOff>
      <xdr:row>382</xdr:row>
      <xdr:rowOff>1282411</xdr:rowOff>
    </xdr:to>
    <xdr:pic>
      <xdr:nvPicPr>
        <xdr:cNvPr id="738" name="Picture 140" descr="https://ecs7.tokopedia.net/img/cache/300/product-1/2017/6/27/0/0_c7cccebd-dc6a-413a-ad7d-4d7b9f7b370a_540_538.jpg">
          <a:extLst>
            <a:ext uri="{FF2B5EF4-FFF2-40B4-BE49-F238E27FC236}">
              <a16:creationId xmlns:a16="http://schemas.microsoft.com/office/drawing/2014/main" id="{00000000-0008-0000-0700-0000E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75"/>
        <a:stretch>
          <a:fillRect/>
        </a:stretch>
      </xdr:blipFill>
      <xdr:spPr bwMode="auto">
        <a:xfrm>
          <a:off x="4772025" y="460517297"/>
          <a:ext cx="1285875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34636</xdr:colOff>
      <xdr:row>383</xdr:row>
      <xdr:rowOff>110836</xdr:rowOff>
    </xdr:from>
    <xdr:to>
      <xdr:col>6</xdr:col>
      <xdr:colOff>1320511</xdr:colOff>
      <xdr:row>383</xdr:row>
      <xdr:rowOff>1234786</xdr:rowOff>
    </xdr:to>
    <xdr:pic>
      <xdr:nvPicPr>
        <xdr:cNvPr id="739" name="Picture 141">
          <a:extLst>
            <a:ext uri="{FF2B5EF4-FFF2-40B4-BE49-F238E27FC236}">
              <a16:creationId xmlns:a16="http://schemas.microsoft.com/office/drawing/2014/main" id="{00000000-0008-0000-0700-0000E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0" y="461900154"/>
          <a:ext cx="12858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91786</xdr:colOff>
      <xdr:row>380</xdr:row>
      <xdr:rowOff>34635</xdr:rowOff>
    </xdr:from>
    <xdr:to>
      <xdr:col>6</xdr:col>
      <xdr:colOff>1310986</xdr:colOff>
      <xdr:row>380</xdr:row>
      <xdr:rowOff>1263360</xdr:rowOff>
    </xdr:to>
    <xdr:pic>
      <xdr:nvPicPr>
        <xdr:cNvPr id="740" name="Picture 142" descr="Hasil gambar untuk harga pengki plastik">
          <a:extLst>
            <a:ext uri="{FF2B5EF4-FFF2-40B4-BE49-F238E27FC236}">
              <a16:creationId xmlns:a16="http://schemas.microsoft.com/office/drawing/2014/main" id="{00000000-0008-0000-0700-0000E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9650" y="457875408"/>
          <a:ext cx="12192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129886</xdr:colOff>
      <xdr:row>378</xdr:row>
      <xdr:rowOff>34636</xdr:rowOff>
    </xdr:from>
    <xdr:to>
      <xdr:col>6</xdr:col>
      <xdr:colOff>1291936</xdr:colOff>
      <xdr:row>378</xdr:row>
      <xdr:rowOff>1215736</xdr:rowOff>
    </xdr:to>
    <xdr:pic>
      <xdr:nvPicPr>
        <xdr:cNvPr id="741" name="Picture 143" descr="https://ecs7.tokopedia.net/img/cache/300/product-1/2018/2/9/10300133/10300133_00754043-b8d8-4220-84a4-1a5c7dc1b361_700_700.jpg">
          <a:extLst>
            <a:ext uri="{FF2B5EF4-FFF2-40B4-BE49-F238E27FC236}">
              <a16:creationId xmlns:a16="http://schemas.microsoft.com/office/drawing/2014/main" id="{00000000-0008-0000-0700-0000E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0" y="455243045"/>
          <a:ext cx="116205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72736</xdr:colOff>
      <xdr:row>379</xdr:row>
      <xdr:rowOff>63210</xdr:rowOff>
    </xdr:from>
    <xdr:to>
      <xdr:col>6</xdr:col>
      <xdr:colOff>1330036</xdr:colOff>
      <xdr:row>379</xdr:row>
      <xdr:rowOff>1244310</xdr:rowOff>
    </xdr:to>
    <xdr:pic>
      <xdr:nvPicPr>
        <xdr:cNvPr id="742" name="Picture 144" descr="https://ecs7.tokopedia.net/img/cache/300/product-1/2016/3/29/6599888/6599888_53418f3d-3981-4ce4-956f-6dab716d8c35.jpg">
          <a:extLst>
            <a:ext uri="{FF2B5EF4-FFF2-40B4-BE49-F238E27FC236}">
              <a16:creationId xmlns:a16="http://schemas.microsoft.com/office/drawing/2014/main" id="{00000000-0008-0000-0700-0000E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8">
          <a:clrChange>
            <a:clrFrom>
              <a:srgbClr val="B5C3C4"/>
            </a:clrFrom>
            <a:clrTo>
              <a:srgbClr val="B5C3C4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t="8858" b="5096"/>
        <a:stretch>
          <a:fillRect/>
        </a:stretch>
      </xdr:blipFill>
      <xdr:spPr bwMode="auto">
        <a:xfrm>
          <a:off x="4800600" y="456587801"/>
          <a:ext cx="12573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63211</xdr:colOff>
      <xdr:row>381</xdr:row>
      <xdr:rowOff>25110</xdr:rowOff>
    </xdr:from>
    <xdr:to>
      <xdr:col>6</xdr:col>
      <xdr:colOff>1291936</xdr:colOff>
      <xdr:row>381</xdr:row>
      <xdr:rowOff>1253835</xdr:rowOff>
    </xdr:to>
    <xdr:pic>
      <xdr:nvPicPr>
        <xdr:cNvPr id="743" name="Picture 145">
          <a:extLst>
            <a:ext uri="{FF2B5EF4-FFF2-40B4-BE49-F238E27FC236}">
              <a16:creationId xmlns:a16="http://schemas.microsoft.com/office/drawing/2014/main" id="{00000000-0008-0000-0700-0000E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459182065"/>
          <a:ext cx="1228725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63211</xdr:colOff>
      <xdr:row>391</xdr:row>
      <xdr:rowOff>50223</xdr:rowOff>
    </xdr:from>
    <xdr:to>
      <xdr:col>6</xdr:col>
      <xdr:colOff>1310986</xdr:colOff>
      <xdr:row>391</xdr:row>
      <xdr:rowOff>1297998</xdr:rowOff>
    </xdr:to>
    <xdr:pic>
      <xdr:nvPicPr>
        <xdr:cNvPr id="744" name="Picture 133" descr="Kawat Las Nikko 2.6 mm per batang ">
          <a:extLst>
            <a:ext uri="{FF2B5EF4-FFF2-40B4-BE49-F238E27FC236}">
              <a16:creationId xmlns:a16="http://schemas.microsoft.com/office/drawing/2014/main" id="{00000000-0008-0000-0700-0000E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471468450"/>
          <a:ext cx="1247775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44161</xdr:colOff>
      <xdr:row>390</xdr:row>
      <xdr:rowOff>59748</xdr:rowOff>
    </xdr:from>
    <xdr:to>
      <xdr:col>6</xdr:col>
      <xdr:colOff>1339561</xdr:colOff>
      <xdr:row>391</xdr:row>
      <xdr:rowOff>865</xdr:rowOff>
    </xdr:to>
    <xdr:pic>
      <xdr:nvPicPr>
        <xdr:cNvPr id="745" name="Picture 134" descr="https://ecs7.tokopedia.net/img/cache/300/product-1/2015/3/12/272700/272700_dd7d9188-c877-11e4-83f5-c54b2523fab8.jpg">
          <a:extLst>
            <a:ext uri="{FF2B5EF4-FFF2-40B4-BE49-F238E27FC236}">
              <a16:creationId xmlns:a16="http://schemas.microsoft.com/office/drawing/2014/main" id="{00000000-0008-0000-0700-0000E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467"/>
        <a:stretch>
          <a:fillRect/>
        </a:stretch>
      </xdr:blipFill>
      <xdr:spPr bwMode="auto">
        <a:xfrm>
          <a:off x="4772025" y="470161793"/>
          <a:ext cx="12954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34636</xdr:colOff>
      <xdr:row>389</xdr:row>
      <xdr:rowOff>50222</xdr:rowOff>
    </xdr:from>
    <xdr:to>
      <xdr:col>6</xdr:col>
      <xdr:colOff>1339561</xdr:colOff>
      <xdr:row>390</xdr:row>
      <xdr:rowOff>10390</xdr:rowOff>
    </xdr:to>
    <xdr:pic>
      <xdr:nvPicPr>
        <xdr:cNvPr id="746" name="Picture 135" descr="Gambar terkait">
          <a:extLst>
            <a:ext uri="{FF2B5EF4-FFF2-40B4-BE49-F238E27FC236}">
              <a16:creationId xmlns:a16="http://schemas.microsoft.com/office/drawing/2014/main" id="{00000000-0008-0000-0700-0000E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722"/>
        <a:stretch>
          <a:fillRect/>
        </a:stretch>
      </xdr:blipFill>
      <xdr:spPr bwMode="auto">
        <a:xfrm>
          <a:off x="4762500" y="468836086"/>
          <a:ext cx="13049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44161</xdr:colOff>
      <xdr:row>388</xdr:row>
      <xdr:rowOff>59747</xdr:rowOff>
    </xdr:from>
    <xdr:to>
      <xdr:col>6</xdr:col>
      <xdr:colOff>1282411</xdr:colOff>
      <xdr:row>388</xdr:row>
      <xdr:rowOff>1297997</xdr:rowOff>
    </xdr:to>
    <xdr:pic>
      <xdr:nvPicPr>
        <xdr:cNvPr id="747" name="Picture 136" descr="New MESRAN SUPER 4 LTR">
          <a:extLst>
            <a:ext uri="{FF2B5EF4-FFF2-40B4-BE49-F238E27FC236}">
              <a16:creationId xmlns:a16="http://schemas.microsoft.com/office/drawing/2014/main" id="{00000000-0008-0000-0700-0000E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467529429"/>
          <a:ext cx="123825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72736</xdr:colOff>
      <xdr:row>387</xdr:row>
      <xdr:rowOff>69272</xdr:rowOff>
    </xdr:from>
    <xdr:to>
      <xdr:col>6</xdr:col>
      <xdr:colOff>1272886</xdr:colOff>
      <xdr:row>387</xdr:row>
      <xdr:rowOff>1297997</xdr:rowOff>
    </xdr:to>
    <xdr:pic>
      <xdr:nvPicPr>
        <xdr:cNvPr id="748" name="Picture 137" descr="Hasil gambar untuk minyak solar">
          <a:extLst>
            <a:ext uri="{FF2B5EF4-FFF2-40B4-BE49-F238E27FC236}">
              <a16:creationId xmlns:a16="http://schemas.microsoft.com/office/drawing/2014/main" id="{00000000-0008-0000-0700-0000E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466222772"/>
          <a:ext cx="120015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72736</xdr:colOff>
      <xdr:row>385</xdr:row>
      <xdr:rowOff>69272</xdr:rowOff>
    </xdr:from>
    <xdr:to>
      <xdr:col>6</xdr:col>
      <xdr:colOff>1291936</xdr:colOff>
      <xdr:row>385</xdr:row>
      <xdr:rowOff>1297997</xdr:rowOff>
    </xdr:to>
    <xdr:pic>
      <xdr:nvPicPr>
        <xdr:cNvPr id="749" name="prod-img-primary" descr="Waterpass Stedic 60 cm">
          <a:extLst>
            <a:ext uri="{FF2B5EF4-FFF2-40B4-BE49-F238E27FC236}">
              <a16:creationId xmlns:a16="http://schemas.microsoft.com/office/drawing/2014/main" id="{00000000-0008-0000-0700-0000E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464490954"/>
          <a:ext cx="12192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63211</xdr:colOff>
      <xdr:row>392</xdr:row>
      <xdr:rowOff>50223</xdr:rowOff>
    </xdr:from>
    <xdr:to>
      <xdr:col>6</xdr:col>
      <xdr:colOff>1310986</xdr:colOff>
      <xdr:row>392</xdr:row>
      <xdr:rowOff>1297998</xdr:rowOff>
    </xdr:to>
    <xdr:pic>
      <xdr:nvPicPr>
        <xdr:cNvPr id="750" name="Picture 133" descr="Kawat Las Nikko 2.6 mm per batang ">
          <a:extLst>
            <a:ext uri="{FF2B5EF4-FFF2-40B4-BE49-F238E27FC236}">
              <a16:creationId xmlns:a16="http://schemas.microsoft.com/office/drawing/2014/main" id="{00000000-0008-0000-0700-0000E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472784632"/>
          <a:ext cx="1247775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110836</xdr:colOff>
      <xdr:row>401</xdr:row>
      <xdr:rowOff>80529</xdr:rowOff>
    </xdr:from>
    <xdr:to>
      <xdr:col>6</xdr:col>
      <xdr:colOff>1310986</xdr:colOff>
      <xdr:row>401</xdr:row>
      <xdr:rowOff>1280679</xdr:rowOff>
    </xdr:to>
    <xdr:pic>
      <xdr:nvPicPr>
        <xdr:cNvPr id="751" name="Picture 128">
          <a:extLst>
            <a:ext uri="{FF2B5EF4-FFF2-40B4-BE49-F238E27FC236}">
              <a16:creationId xmlns:a16="http://schemas.microsoft.com/office/drawing/2014/main" id="{00000000-0008-0000-0700-0000E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8700" y="482859484"/>
          <a:ext cx="120015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63211</xdr:colOff>
      <xdr:row>400</xdr:row>
      <xdr:rowOff>32904</xdr:rowOff>
    </xdr:from>
    <xdr:to>
      <xdr:col>6</xdr:col>
      <xdr:colOff>1320511</xdr:colOff>
      <xdr:row>400</xdr:row>
      <xdr:rowOff>1290204</xdr:rowOff>
    </xdr:to>
    <xdr:pic>
      <xdr:nvPicPr>
        <xdr:cNvPr id="752" name="Picture 129" descr="FURADAN 3GR">
          <a:extLst>
            <a:ext uri="{FF2B5EF4-FFF2-40B4-BE49-F238E27FC236}">
              <a16:creationId xmlns:a16="http://schemas.microsoft.com/office/drawing/2014/main" id="{00000000-0008-0000-0700-0000F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481495677"/>
          <a:ext cx="12573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34636</xdr:colOff>
      <xdr:row>399</xdr:row>
      <xdr:rowOff>42429</xdr:rowOff>
    </xdr:from>
    <xdr:to>
      <xdr:col>6</xdr:col>
      <xdr:colOff>1330036</xdr:colOff>
      <xdr:row>399</xdr:row>
      <xdr:rowOff>1290204</xdr:rowOff>
    </xdr:to>
    <xdr:pic>
      <xdr:nvPicPr>
        <xdr:cNvPr id="753" name="Picture 130" descr="Gambar terkait">
          <a:extLst>
            <a:ext uri="{FF2B5EF4-FFF2-40B4-BE49-F238E27FC236}">
              <a16:creationId xmlns:a16="http://schemas.microsoft.com/office/drawing/2014/main" id="{00000000-0008-0000-0700-0000F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676" b="22507"/>
        <a:stretch>
          <a:fillRect/>
        </a:stretch>
      </xdr:blipFill>
      <xdr:spPr bwMode="auto">
        <a:xfrm>
          <a:off x="4762500" y="480189020"/>
          <a:ext cx="12954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53686</xdr:colOff>
      <xdr:row>396</xdr:row>
      <xdr:rowOff>51954</xdr:rowOff>
    </xdr:from>
    <xdr:to>
      <xdr:col>6</xdr:col>
      <xdr:colOff>1339561</xdr:colOff>
      <xdr:row>396</xdr:row>
      <xdr:rowOff>1271154</xdr:rowOff>
    </xdr:to>
    <xdr:pic>
      <xdr:nvPicPr>
        <xdr:cNvPr id="754" name="Picture 131" descr="Hasil gambar untuk harga kolom beton pracetak">
          <a:extLst>
            <a:ext uri="{FF2B5EF4-FFF2-40B4-BE49-F238E27FC236}">
              <a16:creationId xmlns:a16="http://schemas.microsoft.com/office/drawing/2014/main" id="{00000000-0008-0000-0700-0000F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235" r="27390" b="9615"/>
        <a:stretch>
          <a:fillRect/>
        </a:stretch>
      </xdr:blipFill>
      <xdr:spPr bwMode="auto">
        <a:xfrm>
          <a:off x="4781550" y="477150545"/>
          <a:ext cx="1285875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53686</xdr:colOff>
      <xdr:row>397</xdr:row>
      <xdr:rowOff>51954</xdr:rowOff>
    </xdr:from>
    <xdr:to>
      <xdr:col>6</xdr:col>
      <xdr:colOff>1349086</xdr:colOff>
      <xdr:row>397</xdr:row>
      <xdr:rowOff>1280679</xdr:rowOff>
    </xdr:to>
    <xdr:pic>
      <xdr:nvPicPr>
        <xdr:cNvPr id="755" name="Picture 132" descr="Gambar terkait">
          <a:extLst>
            <a:ext uri="{FF2B5EF4-FFF2-40B4-BE49-F238E27FC236}">
              <a16:creationId xmlns:a16="http://schemas.microsoft.com/office/drawing/2014/main" id="{00000000-0008-0000-0700-0000F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511" r="10864"/>
        <a:stretch>
          <a:fillRect/>
        </a:stretch>
      </xdr:blipFill>
      <xdr:spPr bwMode="auto">
        <a:xfrm>
          <a:off x="4781550" y="478466727"/>
          <a:ext cx="12954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110836</xdr:colOff>
      <xdr:row>393</xdr:row>
      <xdr:rowOff>51954</xdr:rowOff>
    </xdr:from>
    <xdr:to>
      <xdr:col>6</xdr:col>
      <xdr:colOff>1330036</xdr:colOff>
      <xdr:row>393</xdr:row>
      <xdr:rowOff>1261629</xdr:rowOff>
    </xdr:to>
    <xdr:pic>
      <xdr:nvPicPr>
        <xdr:cNvPr id="756" name="Picture 262" descr="Hasil gambar untuk sewa alat las listrik">
          <a:extLst>
            <a:ext uri="{FF2B5EF4-FFF2-40B4-BE49-F238E27FC236}">
              <a16:creationId xmlns:a16="http://schemas.microsoft.com/office/drawing/2014/main" id="{00000000-0008-0000-0700-0000F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8700" y="474102545"/>
          <a:ext cx="1219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44161</xdr:colOff>
      <xdr:row>394</xdr:row>
      <xdr:rowOff>156729</xdr:rowOff>
    </xdr:from>
    <xdr:to>
      <xdr:col>6</xdr:col>
      <xdr:colOff>1352261</xdr:colOff>
      <xdr:row>394</xdr:row>
      <xdr:rowOff>1137804</xdr:rowOff>
    </xdr:to>
    <xdr:pic>
      <xdr:nvPicPr>
        <xdr:cNvPr id="757" name="Picture 756" descr="Hasil gambar untuk harga hcl 1 liter">
          <a:extLst>
            <a:ext uri="{FF2B5EF4-FFF2-40B4-BE49-F238E27FC236}">
              <a16:creationId xmlns:a16="http://schemas.microsoft.com/office/drawing/2014/main" id="{00000000-0008-0000-0700-0000F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475523502"/>
          <a:ext cx="1308100" cy="98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80529</xdr:colOff>
      <xdr:row>404</xdr:row>
      <xdr:rowOff>44160</xdr:rowOff>
    </xdr:from>
    <xdr:to>
      <xdr:col>6</xdr:col>
      <xdr:colOff>1280679</xdr:colOff>
      <xdr:row>404</xdr:row>
      <xdr:rowOff>1282410</xdr:rowOff>
    </xdr:to>
    <xdr:pic>
      <xdr:nvPicPr>
        <xdr:cNvPr id="758" name="Picture 125" descr="Hasil gambar untuk harga rumput gajah mini">
          <a:extLst>
            <a:ext uri="{FF2B5EF4-FFF2-40B4-BE49-F238E27FC236}">
              <a16:creationId xmlns:a16="http://schemas.microsoft.com/office/drawing/2014/main" id="{00000000-0008-0000-0700-0000F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02" t="2390" r="3061" b="2867"/>
        <a:stretch>
          <a:fillRect/>
        </a:stretch>
      </xdr:blipFill>
      <xdr:spPr bwMode="auto">
        <a:xfrm>
          <a:off x="4808393" y="486771660"/>
          <a:ext cx="120015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61479</xdr:colOff>
      <xdr:row>403</xdr:row>
      <xdr:rowOff>34636</xdr:rowOff>
    </xdr:from>
    <xdr:to>
      <xdr:col>6</xdr:col>
      <xdr:colOff>1309254</xdr:colOff>
      <xdr:row>403</xdr:row>
      <xdr:rowOff>1282411</xdr:rowOff>
    </xdr:to>
    <xdr:pic>
      <xdr:nvPicPr>
        <xdr:cNvPr id="759" name="Picture 126" descr="Hasil gambar untuk harga pohon kaca piring">
          <a:extLst>
            <a:ext uri="{FF2B5EF4-FFF2-40B4-BE49-F238E27FC236}">
              <a16:creationId xmlns:a16="http://schemas.microsoft.com/office/drawing/2014/main" id="{00000000-0008-0000-0700-0000F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9343" y="485445954"/>
          <a:ext cx="1247775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51954</xdr:colOff>
      <xdr:row>402</xdr:row>
      <xdr:rowOff>34636</xdr:rowOff>
    </xdr:from>
    <xdr:to>
      <xdr:col>6</xdr:col>
      <xdr:colOff>1318779</xdr:colOff>
      <xdr:row>402</xdr:row>
      <xdr:rowOff>1291936</xdr:rowOff>
    </xdr:to>
    <xdr:pic>
      <xdr:nvPicPr>
        <xdr:cNvPr id="760" name="Picture 127">
          <a:extLst>
            <a:ext uri="{FF2B5EF4-FFF2-40B4-BE49-F238E27FC236}">
              <a16:creationId xmlns:a16="http://schemas.microsoft.com/office/drawing/2014/main" id="{00000000-0008-0000-0700-0000F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9818" y="484129772"/>
          <a:ext cx="126682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190500</xdr:colOff>
      <xdr:row>193</xdr:row>
      <xdr:rowOff>190500</xdr:rowOff>
    </xdr:from>
    <xdr:to>
      <xdr:col>15</xdr:col>
      <xdr:colOff>195300</xdr:colOff>
      <xdr:row>193</xdr:row>
      <xdr:rowOff>1121145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>
          <a:off x="9944100" y="239448975"/>
          <a:ext cx="1224000" cy="930645"/>
        </a:xfrm>
        <a:prstGeom prst="rect">
          <a:avLst/>
        </a:prstGeom>
      </xdr:spPr>
    </xdr:pic>
    <xdr:clientData/>
  </xdr:twoCellAnchor>
  <xdr:oneCellAnchor>
    <xdr:from>
      <xdr:col>6</xdr:col>
      <xdr:colOff>95216</xdr:colOff>
      <xdr:row>301</xdr:row>
      <xdr:rowOff>42918</xdr:rowOff>
    </xdr:from>
    <xdr:ext cx="1241386" cy="1239816"/>
    <xdr:pic>
      <xdr:nvPicPr>
        <xdr:cNvPr id="371" name="Picture 370" descr="Hasil gambar untuk MCB 1P 16A DOMAE SCHNEIDER DOM 11342 SN">
          <a:extLst>
            <a:ext uri="{FF2B5EF4-FFF2-40B4-BE49-F238E27FC236}">
              <a16:creationId xmlns:a16="http://schemas.microsoft.com/office/drawing/2014/main" id="{00000000-0008-0000-07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4586" y="368983440"/>
          <a:ext cx="1241386" cy="1239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190500</xdr:colOff>
      <xdr:row>339</xdr:row>
      <xdr:rowOff>66262</xdr:rowOff>
    </xdr:from>
    <xdr:to>
      <xdr:col>6</xdr:col>
      <xdr:colOff>1219707</xdr:colOff>
      <xdr:row>339</xdr:row>
      <xdr:rowOff>1290262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7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4919870" y="419050305"/>
          <a:ext cx="1029207" cy="12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66675</xdr:colOff>
      <xdr:row>43</xdr:row>
      <xdr:rowOff>52416</xdr:rowOff>
    </xdr:from>
    <xdr:to>
      <xdr:col>6</xdr:col>
      <xdr:colOff>1290675</xdr:colOff>
      <xdr:row>43</xdr:row>
      <xdr:rowOff>1276416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700-00002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8"/>
        <a:srcRect t="5443" b="5443"/>
        <a:stretch/>
      </xdr:blipFill>
      <xdr:spPr>
        <a:xfrm>
          <a:off x="4791075" y="51106416"/>
          <a:ext cx="1224000" cy="12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76200</xdr:colOff>
      <xdr:row>249</xdr:row>
      <xdr:rowOff>219076</xdr:rowOff>
    </xdr:from>
    <xdr:to>
      <xdr:col>6</xdr:col>
      <xdr:colOff>1300200</xdr:colOff>
      <xdr:row>249</xdr:row>
      <xdr:rowOff>1145865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7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flipH="1">
          <a:off x="4800600" y="308152801"/>
          <a:ext cx="1224000" cy="926789"/>
        </a:xfrm>
        <a:prstGeom prst="rect">
          <a:avLst/>
        </a:prstGeom>
      </xdr:spPr>
    </xdr:pic>
    <xdr:clientData/>
  </xdr:twoCellAnchor>
  <xdr:oneCellAnchor>
    <xdr:from>
      <xdr:col>6</xdr:col>
      <xdr:colOff>72736</xdr:colOff>
      <xdr:row>147</xdr:row>
      <xdr:rowOff>311728</xdr:rowOff>
    </xdr:from>
    <xdr:ext cx="1260762" cy="866774"/>
    <xdr:pic>
      <xdr:nvPicPr>
        <xdr:cNvPr id="376" name="Picture 375" descr="Tabel Baja WF, CNP, H-Beam, Profil &amp; Berat Baja Terlengkap">
          <a:extLst>
            <a:ext uri="{FF2B5EF4-FFF2-40B4-BE49-F238E27FC236}">
              <a16:creationId xmlns:a16="http://schemas.microsoft.com/office/drawing/2014/main" id="{00000000-0008-0000-0700-00007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7136" y="181734403"/>
          <a:ext cx="1260762" cy="8667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76200</xdr:colOff>
      <xdr:row>149</xdr:row>
      <xdr:rowOff>247650</xdr:rowOff>
    </xdr:from>
    <xdr:to>
      <xdr:col>6</xdr:col>
      <xdr:colOff>1336962</xdr:colOff>
      <xdr:row>149</xdr:row>
      <xdr:rowOff>1114424</xdr:rowOff>
    </xdr:to>
    <xdr:pic>
      <xdr:nvPicPr>
        <xdr:cNvPr id="378" name="Picture 377" descr="Tabel Baja WF, CNP, H-Beam, Profil &amp; Berat Baja Terlengkap">
          <a:extLst>
            <a:ext uri="{FF2B5EF4-FFF2-40B4-BE49-F238E27FC236}">
              <a16:creationId xmlns:a16="http://schemas.microsoft.com/office/drawing/2014/main" id="{00000000-0008-0000-0700-00007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182984775"/>
          <a:ext cx="1260762" cy="8667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478323</xdr:colOff>
      <xdr:row>192</xdr:row>
      <xdr:rowOff>132104</xdr:rowOff>
    </xdr:from>
    <xdr:to>
      <xdr:col>12</xdr:col>
      <xdr:colOff>519123</xdr:colOff>
      <xdr:row>192</xdr:row>
      <xdr:rowOff>1064259</xdr:rowOff>
    </xdr:to>
    <xdr:pic>
      <xdr:nvPicPr>
        <xdr:cNvPr id="396" name="Picture 395">
          <a:extLst>
            <a:ext uri="{FF2B5EF4-FFF2-40B4-BE49-F238E27FC236}">
              <a16:creationId xmlns:a16="http://schemas.microsoft.com/office/drawing/2014/main" id="{00000000-0008-0000-07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>
          <a:off x="8403123" y="242019479"/>
          <a:ext cx="1260000" cy="932155"/>
        </a:xfrm>
        <a:prstGeom prst="rect">
          <a:avLst/>
        </a:prstGeom>
      </xdr:spPr>
    </xdr:pic>
    <xdr:clientData/>
  </xdr:twoCellAnchor>
  <xdr:oneCellAnchor>
    <xdr:from>
      <xdr:col>10</xdr:col>
      <xdr:colOff>47198</xdr:colOff>
      <xdr:row>121</xdr:row>
      <xdr:rowOff>41605</xdr:rowOff>
    </xdr:from>
    <xdr:ext cx="1216686" cy="1198307"/>
    <xdr:pic>
      <xdr:nvPicPr>
        <xdr:cNvPr id="410" name="Picture 409">
          <a:extLst>
            <a:ext uri="{FF2B5EF4-FFF2-40B4-BE49-F238E27FC236}">
              <a16:creationId xmlns:a16="http://schemas.microsoft.com/office/drawing/2014/main" id="{00000000-0008-0000-0700-00009A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663" t="23747" r="51633" b="17158"/>
        <a:stretch/>
      </xdr:blipFill>
      <xdr:spPr>
        <a:xfrm>
          <a:off x="4776568" y="150669127"/>
          <a:ext cx="1216686" cy="1198307"/>
        </a:xfrm>
        <a:prstGeom prst="rect">
          <a:avLst/>
        </a:prstGeom>
      </xdr:spPr>
    </xdr:pic>
    <xdr:clientData/>
  </xdr:oneCellAnchor>
  <xdr:oneCellAnchor>
    <xdr:from>
      <xdr:col>6</xdr:col>
      <xdr:colOff>72736</xdr:colOff>
      <xdr:row>146</xdr:row>
      <xdr:rowOff>311728</xdr:rowOff>
    </xdr:from>
    <xdr:ext cx="1260762" cy="866774"/>
    <xdr:pic>
      <xdr:nvPicPr>
        <xdr:cNvPr id="383" name="Picture 382" descr="Tabel Baja WF, CNP, H-Beam, Profil &amp; Berat Baja Terlengkap">
          <a:extLst>
            <a:ext uri="{FF2B5EF4-FFF2-40B4-BE49-F238E27FC236}">
              <a16:creationId xmlns:a16="http://schemas.microsoft.com/office/drawing/2014/main" id="{00000000-0008-0000-07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2106" y="182040445"/>
          <a:ext cx="1260762" cy="8667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66675</xdr:colOff>
      <xdr:row>355</xdr:row>
      <xdr:rowOff>266700</xdr:rowOff>
    </xdr:from>
    <xdr:to>
      <xdr:col>6</xdr:col>
      <xdr:colOff>1290675</xdr:colOff>
      <xdr:row>355</xdr:row>
      <xdr:rowOff>1074778</xdr:rowOff>
    </xdr:to>
    <xdr:pic>
      <xdr:nvPicPr>
        <xdr:cNvPr id="452" name="Picture 451">
          <a:extLst>
            <a:ext uri="{FF2B5EF4-FFF2-40B4-BE49-F238E27FC236}">
              <a16:creationId xmlns:a16="http://schemas.microsoft.com/office/drawing/2014/main" id="{00000000-0008-0000-07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flipH="1">
          <a:off x="4791075" y="439969275"/>
          <a:ext cx="1224000" cy="808078"/>
        </a:xfrm>
        <a:prstGeom prst="rect">
          <a:avLst/>
        </a:prstGeom>
      </xdr:spPr>
    </xdr:pic>
    <xdr:clientData/>
  </xdr:twoCellAnchor>
  <xdr:twoCellAnchor editAs="oneCell">
    <xdr:from>
      <xdr:col>6</xdr:col>
      <xdr:colOff>57979</xdr:colOff>
      <xdr:row>367</xdr:row>
      <xdr:rowOff>33131</xdr:rowOff>
    </xdr:from>
    <xdr:to>
      <xdr:col>6</xdr:col>
      <xdr:colOff>1277766</xdr:colOff>
      <xdr:row>367</xdr:row>
      <xdr:rowOff>1293131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00000000-0008-0000-07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>
          <a:off x="4787349" y="457108892"/>
          <a:ext cx="1219787" cy="1260000"/>
        </a:xfrm>
        <a:prstGeom prst="rect">
          <a:avLst/>
        </a:prstGeom>
      </xdr:spPr>
    </xdr:pic>
    <xdr:clientData/>
  </xdr:twoCellAnchor>
  <xdr:oneCellAnchor>
    <xdr:from>
      <xdr:col>10</xdr:col>
      <xdr:colOff>66261</xdr:colOff>
      <xdr:row>119</xdr:row>
      <xdr:rowOff>41414</xdr:rowOff>
    </xdr:from>
    <xdr:ext cx="1260000" cy="1260000"/>
    <xdr:pic>
      <xdr:nvPicPr>
        <xdr:cNvPr id="386" name="Picture 385">
          <a:extLst>
            <a:ext uri="{FF2B5EF4-FFF2-40B4-BE49-F238E27FC236}">
              <a16:creationId xmlns:a16="http://schemas.microsoft.com/office/drawing/2014/main" id="{00000000-0008-0000-0700-00008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>
          <a:off x="4790661" y="147783689"/>
          <a:ext cx="1260000" cy="1260000"/>
        </a:xfrm>
        <a:prstGeom prst="rect">
          <a:avLst/>
        </a:prstGeom>
      </xdr:spPr>
    </xdr:pic>
    <xdr:clientData/>
  </xdr:oneCellAnchor>
  <xdr:twoCellAnchor editAs="oneCell">
    <xdr:from>
      <xdr:col>6</xdr:col>
      <xdr:colOff>57150</xdr:colOff>
      <xdr:row>119</xdr:row>
      <xdr:rowOff>38100</xdr:rowOff>
    </xdr:from>
    <xdr:to>
      <xdr:col>6</xdr:col>
      <xdr:colOff>1305338</xdr:colOff>
      <xdr:row>119</xdr:row>
      <xdr:rowOff>1298100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00000000-0008-0000-07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>
          <a:off x="4781550" y="147780375"/>
          <a:ext cx="1248188" cy="1260000"/>
        </a:xfrm>
        <a:prstGeom prst="rect">
          <a:avLst/>
        </a:prstGeom>
      </xdr:spPr>
    </xdr:pic>
    <xdr:clientData/>
  </xdr:twoCellAnchor>
  <xdr:twoCellAnchor editAs="oneCell">
    <xdr:from>
      <xdr:col>6</xdr:col>
      <xdr:colOff>238126</xdr:colOff>
      <xdr:row>374</xdr:row>
      <xdr:rowOff>28575</xdr:rowOff>
    </xdr:from>
    <xdr:to>
      <xdr:col>6</xdr:col>
      <xdr:colOff>1158503</xdr:colOff>
      <xdr:row>374</xdr:row>
      <xdr:rowOff>1288575</xdr:rowOff>
    </xdr:to>
    <xdr:pic>
      <xdr:nvPicPr>
        <xdr:cNvPr id="388" name="Picture 387">
          <a:extLst>
            <a:ext uri="{FF2B5EF4-FFF2-40B4-BE49-F238E27FC236}">
              <a16:creationId xmlns:a16="http://schemas.microsoft.com/office/drawing/2014/main" id="{00000000-0008-0000-0700-00008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>
          <a:off x="4962526" y="458047725"/>
          <a:ext cx="920377" cy="1260000"/>
        </a:xfrm>
        <a:prstGeom prst="rect">
          <a:avLst/>
        </a:prstGeom>
      </xdr:spPr>
    </xdr:pic>
    <xdr:clientData/>
  </xdr:twoCellAnchor>
  <xdr:twoCellAnchor editAs="oneCell">
    <xdr:from>
      <xdr:col>6</xdr:col>
      <xdr:colOff>57150</xdr:colOff>
      <xdr:row>340</xdr:row>
      <xdr:rowOff>114300</xdr:rowOff>
    </xdr:from>
    <xdr:to>
      <xdr:col>6</xdr:col>
      <xdr:colOff>1317150</xdr:colOff>
      <xdr:row>340</xdr:row>
      <xdr:rowOff>1198204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>
          <a:extLst>
            <a:ext uri="{BEBA8EAE-BF5A-486C-A8C5-ECC9F3942E4B}">
              <a14:imgProps xmlns:a14="http://schemas.microsoft.com/office/drawing/2010/main">
                <a14:imgLayer r:embed="rId258">
                  <a14:imgEffect>
                    <a14:brightnessContrast bright="20000" contrast="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4781550" y="427081950"/>
          <a:ext cx="1260000" cy="1083904"/>
        </a:xfrm>
        <a:prstGeom prst="rect">
          <a:avLst/>
        </a:prstGeom>
      </xdr:spPr>
    </xdr:pic>
    <xdr:clientData/>
  </xdr:twoCellAnchor>
  <xdr:twoCellAnchor editAs="oneCell">
    <xdr:from>
      <xdr:col>6</xdr:col>
      <xdr:colOff>57150</xdr:colOff>
      <xdr:row>315</xdr:row>
      <xdr:rowOff>19050</xdr:rowOff>
    </xdr:from>
    <xdr:to>
      <xdr:col>6</xdr:col>
      <xdr:colOff>1303304</xdr:colOff>
      <xdr:row>315</xdr:row>
      <xdr:rowOff>1279050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00000000-0008-0000-07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>
          <a:off x="4781550" y="394125450"/>
          <a:ext cx="1246154" cy="12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581025</xdr:colOff>
      <xdr:row>192</xdr:row>
      <xdr:rowOff>161925</xdr:rowOff>
    </xdr:from>
    <xdr:to>
      <xdr:col>9</xdr:col>
      <xdr:colOff>579199</xdr:colOff>
      <xdr:row>192</xdr:row>
      <xdr:rowOff>1059218</xdr:rowOff>
    </xdr:to>
    <xdr:pic>
      <xdr:nvPicPr>
        <xdr:cNvPr id="398" name="Picture 397">
          <a:extLst>
            <a:ext uri="{FF2B5EF4-FFF2-40B4-BE49-F238E27FC236}">
              <a16:creationId xmlns:a16="http://schemas.microsoft.com/office/drawing/2014/main" id="{00000000-0008-0000-0700-00008E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0">
          <a:clrChange>
            <a:clrFrom>
              <a:srgbClr val="1F1F20"/>
            </a:clrFrom>
            <a:clrTo>
              <a:srgbClr val="1F1F20">
                <a:alpha val="0"/>
              </a:srgbClr>
            </a:clrTo>
          </a:clrChange>
        </a:blip>
        <a:srcRect l="1629" t="2074" r="2082" b="3990"/>
        <a:stretch/>
      </xdr:blipFill>
      <xdr:spPr>
        <a:xfrm>
          <a:off x="6677025" y="242049300"/>
          <a:ext cx="1217374" cy="897293"/>
        </a:xfrm>
        <a:prstGeom prst="rect">
          <a:avLst/>
        </a:prstGeom>
      </xdr:spPr>
    </xdr:pic>
    <xdr:clientData/>
  </xdr:twoCellAnchor>
  <xdr:twoCellAnchor editAs="oneCell">
    <xdr:from>
      <xdr:col>8</xdr:col>
      <xdr:colOff>164824</xdr:colOff>
      <xdr:row>193</xdr:row>
      <xdr:rowOff>244750</xdr:rowOff>
    </xdr:from>
    <xdr:to>
      <xdr:col>10</xdr:col>
      <xdr:colOff>198998</xdr:colOff>
      <xdr:row>193</xdr:row>
      <xdr:rowOff>1210586</xdr:rowOff>
    </xdr:to>
    <xdr:pic>
      <xdr:nvPicPr>
        <xdr:cNvPr id="399" name="Picture 398">
          <a:extLst>
            <a:ext uri="{FF2B5EF4-FFF2-40B4-BE49-F238E27FC236}">
              <a16:creationId xmlns:a16="http://schemas.microsoft.com/office/drawing/2014/main" id="{00000000-0008-0000-07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>
          <a:off x="6882020" y="241235533"/>
          <a:ext cx="1260000" cy="965836"/>
        </a:xfrm>
        <a:prstGeom prst="rect">
          <a:avLst/>
        </a:prstGeom>
      </xdr:spPr>
    </xdr:pic>
    <xdr:clientData/>
  </xdr:twoCellAnchor>
  <xdr:twoCellAnchor editAs="oneCell">
    <xdr:from>
      <xdr:col>6</xdr:col>
      <xdr:colOff>177511</xdr:colOff>
      <xdr:row>349</xdr:row>
      <xdr:rowOff>86590</xdr:rowOff>
    </xdr:from>
    <xdr:to>
      <xdr:col>6</xdr:col>
      <xdr:colOff>1177636</xdr:colOff>
      <xdr:row>349</xdr:row>
      <xdr:rowOff>1229590</xdr:rowOff>
    </xdr:to>
    <xdr:pic>
      <xdr:nvPicPr>
        <xdr:cNvPr id="528" name="Picture 161" descr="Engsel Pintu SOLID EK 08 Ball Bearing (4 BB) - 1">
          <a:extLst>
            <a:ext uri="{FF2B5EF4-FFF2-40B4-BE49-F238E27FC236}">
              <a16:creationId xmlns:a16="http://schemas.microsoft.com/office/drawing/2014/main" id="{00000000-0008-0000-0700-00001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70" t="27267" r="22118" b="7143"/>
        <a:stretch>
          <a:fillRect/>
        </a:stretch>
      </xdr:blipFill>
      <xdr:spPr bwMode="auto">
        <a:xfrm>
          <a:off x="4901911" y="426644665"/>
          <a:ext cx="100012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</xdr:col>
      <xdr:colOff>22412</xdr:colOff>
      <xdr:row>120</xdr:row>
      <xdr:rowOff>64224</xdr:rowOff>
    </xdr:from>
    <xdr:ext cx="1257300" cy="1190586"/>
    <xdr:pic>
      <xdr:nvPicPr>
        <xdr:cNvPr id="387" name="Picture 386">
          <a:extLst>
            <a:ext uri="{FF2B5EF4-FFF2-40B4-BE49-F238E27FC236}">
              <a16:creationId xmlns:a16="http://schemas.microsoft.com/office/drawing/2014/main" id="{00000000-0008-0000-0700-00008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>
          <a:off x="4751782" y="148057876"/>
          <a:ext cx="1257300" cy="1190586"/>
        </a:xfrm>
        <a:prstGeom prst="rect">
          <a:avLst/>
        </a:prstGeom>
      </xdr:spPr>
    </xdr:pic>
    <xdr:clientData/>
  </xdr:oneCellAnchor>
  <xdr:twoCellAnchor editAs="oneCell">
    <xdr:from>
      <xdr:col>6</xdr:col>
      <xdr:colOff>175779</xdr:colOff>
      <xdr:row>364</xdr:row>
      <xdr:rowOff>44160</xdr:rowOff>
    </xdr:from>
    <xdr:to>
      <xdr:col>6</xdr:col>
      <xdr:colOff>1356879</xdr:colOff>
      <xdr:row>364</xdr:row>
      <xdr:rowOff>1234785</xdr:rowOff>
    </xdr:to>
    <xdr:pic>
      <xdr:nvPicPr>
        <xdr:cNvPr id="392" name="Picture 229" descr="Pompa Sumur Dalam Grundfos JD Basic 7 - Pompa Jetpump Grundfos">
          <a:extLst>
            <a:ext uri="{FF2B5EF4-FFF2-40B4-BE49-F238E27FC236}">
              <a16:creationId xmlns:a16="http://schemas.microsoft.com/office/drawing/2014/main" id="{00000000-0008-0000-0700-00008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0179" y="455843985"/>
          <a:ext cx="11811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34636</xdr:colOff>
      <xdr:row>342</xdr:row>
      <xdr:rowOff>17318</xdr:rowOff>
    </xdr:from>
    <xdr:to>
      <xdr:col>6</xdr:col>
      <xdr:colOff>1330036</xdr:colOff>
      <xdr:row>342</xdr:row>
      <xdr:rowOff>1293668</xdr:rowOff>
    </xdr:to>
    <xdr:pic>
      <xdr:nvPicPr>
        <xdr:cNvPr id="403" name="Picture 165" descr="KUNCI BODY PELOR MERK SOLID PINTU 2">
          <a:extLst>
            <a:ext uri="{FF2B5EF4-FFF2-40B4-BE49-F238E27FC236}">
              <a16:creationId xmlns:a16="http://schemas.microsoft.com/office/drawing/2014/main" id="{00000000-0008-0000-07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237" r="14539" b="13174"/>
        <a:stretch>
          <a:fillRect/>
        </a:stretch>
      </xdr:blipFill>
      <xdr:spPr bwMode="auto">
        <a:xfrm>
          <a:off x="4759036" y="428708993"/>
          <a:ext cx="1295400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44161</xdr:colOff>
      <xdr:row>343</xdr:row>
      <xdr:rowOff>26844</xdr:rowOff>
    </xdr:from>
    <xdr:to>
      <xdr:col>6</xdr:col>
      <xdr:colOff>1339561</xdr:colOff>
      <xdr:row>343</xdr:row>
      <xdr:rowOff>1284144</xdr:rowOff>
    </xdr:to>
    <xdr:pic>
      <xdr:nvPicPr>
        <xdr:cNvPr id="404" name="Picture 166" descr="Grendel Tanam / Flush Bolt 644 SOLID 12&quot;">
          <a:extLst>
            <a:ext uri="{FF2B5EF4-FFF2-40B4-BE49-F238E27FC236}">
              <a16:creationId xmlns:a16="http://schemas.microsoft.com/office/drawing/2014/main" id="{00000000-0008-0000-07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62" t="4237" r="3589" b="2542"/>
        <a:stretch>
          <a:fillRect/>
        </a:stretch>
      </xdr:blipFill>
      <xdr:spPr bwMode="auto">
        <a:xfrm>
          <a:off x="4768561" y="430032969"/>
          <a:ext cx="12954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53686</xdr:colOff>
      <xdr:row>345</xdr:row>
      <xdr:rowOff>93518</xdr:rowOff>
    </xdr:from>
    <xdr:to>
      <xdr:col>6</xdr:col>
      <xdr:colOff>1320511</xdr:colOff>
      <xdr:row>345</xdr:row>
      <xdr:rowOff>1246043</xdr:rowOff>
    </xdr:to>
    <xdr:pic>
      <xdr:nvPicPr>
        <xdr:cNvPr id="407" name="Picture 167">
          <a:extLst>
            <a:ext uri="{FF2B5EF4-FFF2-40B4-BE49-F238E27FC236}">
              <a16:creationId xmlns:a16="http://schemas.microsoft.com/office/drawing/2014/main" id="{00000000-0008-0000-0700-00009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8086" y="432728543"/>
          <a:ext cx="1266825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82261</xdr:colOff>
      <xdr:row>344</xdr:row>
      <xdr:rowOff>45894</xdr:rowOff>
    </xdr:from>
    <xdr:to>
      <xdr:col>6</xdr:col>
      <xdr:colOff>1301461</xdr:colOff>
      <xdr:row>344</xdr:row>
      <xdr:rowOff>1265094</xdr:rowOff>
    </xdr:to>
    <xdr:pic>
      <xdr:nvPicPr>
        <xdr:cNvPr id="409" name="Picture 168" descr="https://ecs7.tokopedia.net/img/cache/300/product-1/2017/9/9/18498989/18498989_04a59d0e-0286-4a8b-95bc-f809caaf8853_800_800.jpg">
          <a:extLst>
            <a:ext uri="{FF2B5EF4-FFF2-40B4-BE49-F238E27FC236}">
              <a16:creationId xmlns:a16="http://schemas.microsoft.com/office/drawing/2014/main" id="{00000000-0008-0000-07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6661" y="431366469"/>
          <a:ext cx="1219200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139411</xdr:colOff>
      <xdr:row>311</xdr:row>
      <xdr:rowOff>89187</xdr:rowOff>
    </xdr:from>
    <xdr:to>
      <xdr:col>6</xdr:col>
      <xdr:colOff>1244311</xdr:colOff>
      <xdr:row>311</xdr:row>
      <xdr:rowOff>1194087</xdr:rowOff>
    </xdr:to>
    <xdr:pic>
      <xdr:nvPicPr>
        <xdr:cNvPr id="422" name="Picture 181" descr="Philips Lampu LED 5 Watt Coolday Light">
          <a:extLst>
            <a:ext uri="{FF2B5EF4-FFF2-40B4-BE49-F238E27FC236}">
              <a16:creationId xmlns:a16="http://schemas.microsoft.com/office/drawing/2014/main" id="{00000000-0008-0000-0700-0000A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3811" y="388937787"/>
          <a:ext cx="11049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34636</xdr:colOff>
      <xdr:row>314</xdr:row>
      <xdr:rowOff>43294</xdr:rowOff>
    </xdr:from>
    <xdr:to>
      <xdr:col>6</xdr:col>
      <xdr:colOff>1291936</xdr:colOff>
      <xdr:row>314</xdr:row>
      <xdr:rowOff>1241712</xdr:rowOff>
    </xdr:to>
    <xdr:pic>
      <xdr:nvPicPr>
        <xdr:cNvPr id="423" name="Picture 182" descr="PHILIPS LED Downlight Eridani 5W">
          <a:extLst>
            <a:ext uri="{FF2B5EF4-FFF2-40B4-BE49-F238E27FC236}">
              <a16:creationId xmlns:a16="http://schemas.microsoft.com/office/drawing/2014/main" id="{00000000-0008-0000-0700-0000A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0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602"/>
        <a:stretch>
          <a:fillRect/>
        </a:stretch>
      </xdr:blipFill>
      <xdr:spPr bwMode="auto">
        <a:xfrm>
          <a:off x="4759036" y="392835244"/>
          <a:ext cx="1257300" cy="1198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</xdr:col>
      <xdr:colOff>139411</xdr:colOff>
      <xdr:row>313</xdr:row>
      <xdr:rowOff>89187</xdr:rowOff>
    </xdr:from>
    <xdr:ext cx="1104900" cy="1104900"/>
    <xdr:pic>
      <xdr:nvPicPr>
        <xdr:cNvPr id="425" name="Picture 181" descr="Philips Lampu LED 5 Watt Coolday Light">
          <a:extLst>
            <a:ext uri="{FF2B5EF4-FFF2-40B4-BE49-F238E27FC236}">
              <a16:creationId xmlns:a16="http://schemas.microsoft.com/office/drawing/2014/main" id="{00000000-0008-0000-07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3811" y="391566687"/>
          <a:ext cx="11049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139411</xdr:colOff>
      <xdr:row>312</xdr:row>
      <xdr:rowOff>89187</xdr:rowOff>
    </xdr:from>
    <xdr:ext cx="1104900" cy="1104900"/>
    <xdr:pic>
      <xdr:nvPicPr>
        <xdr:cNvPr id="426" name="Picture 181" descr="Philips Lampu LED 5 Watt Coolday Light">
          <a:extLst>
            <a:ext uri="{FF2B5EF4-FFF2-40B4-BE49-F238E27FC236}">
              <a16:creationId xmlns:a16="http://schemas.microsoft.com/office/drawing/2014/main" id="{00000000-0008-0000-0700-0000A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3811" y="390252237"/>
          <a:ext cx="11049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57150</xdr:colOff>
      <xdr:row>126</xdr:row>
      <xdr:rowOff>209550</xdr:rowOff>
    </xdr:from>
    <xdr:to>
      <xdr:col>6</xdr:col>
      <xdr:colOff>1317150</xdr:colOff>
      <xdr:row>126</xdr:row>
      <xdr:rowOff>1134974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00000000-0008-0000-07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>
          <a:off x="4781550" y="157152975"/>
          <a:ext cx="1260000" cy="925424"/>
        </a:xfrm>
        <a:prstGeom prst="rect">
          <a:avLst/>
        </a:prstGeom>
      </xdr:spPr>
    </xdr:pic>
    <xdr:clientData/>
  </xdr:twoCellAnchor>
  <xdr:twoCellAnchor editAs="oneCell">
    <xdr:from>
      <xdr:col>14</xdr:col>
      <xdr:colOff>7040</xdr:colOff>
      <xdr:row>192</xdr:row>
      <xdr:rowOff>39343</xdr:rowOff>
    </xdr:from>
    <xdr:to>
      <xdr:col>15</xdr:col>
      <xdr:colOff>396859</xdr:colOff>
      <xdr:row>192</xdr:row>
      <xdr:rowOff>1263343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00000000-0008-0000-07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>
          <a:off x="10401714" y="239713191"/>
          <a:ext cx="1002732" cy="1224000"/>
        </a:xfrm>
        <a:prstGeom prst="rect">
          <a:avLst/>
        </a:prstGeom>
      </xdr:spPr>
    </xdr:pic>
    <xdr:clientData/>
  </xdr:twoCellAnchor>
  <xdr:twoCellAnchor editAs="oneCell">
    <xdr:from>
      <xdr:col>11</xdr:col>
      <xdr:colOff>142875</xdr:colOff>
      <xdr:row>161</xdr:row>
      <xdr:rowOff>47625</xdr:rowOff>
    </xdr:from>
    <xdr:to>
      <xdr:col>12</xdr:col>
      <xdr:colOff>399184</xdr:colOff>
      <xdr:row>161</xdr:row>
      <xdr:rowOff>1271625</xdr:rowOff>
    </xdr:to>
    <xdr:pic>
      <xdr:nvPicPr>
        <xdr:cNvPr id="391" name="Picture 390" descr="https://upvcjakarta.com/wp-content/uploads/Pricelist-agustus-2019.jpg">
          <a:extLst>
            <a:ext uri="{FF2B5EF4-FFF2-40B4-BE49-F238E27FC236}">
              <a16:creationId xmlns:a16="http://schemas.microsoft.com/office/drawing/2014/main" id="{00000000-0008-0000-07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201187050"/>
          <a:ext cx="865909" cy="12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447675</xdr:colOff>
      <xdr:row>190</xdr:row>
      <xdr:rowOff>47625</xdr:rowOff>
    </xdr:from>
    <xdr:to>
      <xdr:col>6</xdr:col>
      <xdr:colOff>928723</xdr:colOff>
      <xdr:row>190</xdr:row>
      <xdr:rowOff>1271625</xdr:rowOff>
    </xdr:to>
    <xdr:pic>
      <xdr:nvPicPr>
        <xdr:cNvPr id="412" name="Picture 411">
          <a:extLst>
            <a:ext uri="{FF2B5EF4-FFF2-40B4-BE49-F238E27FC236}">
              <a16:creationId xmlns:a16="http://schemas.microsoft.com/office/drawing/2014/main" id="{00000000-0008-0000-0700-00009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>
          <a:off x="5172075" y="239306100"/>
          <a:ext cx="481048" cy="12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75911</xdr:colOff>
      <xdr:row>234</xdr:row>
      <xdr:rowOff>84139</xdr:rowOff>
    </xdr:from>
    <xdr:to>
      <xdr:col>6</xdr:col>
      <xdr:colOff>1244310</xdr:colOff>
      <xdr:row>234</xdr:row>
      <xdr:rowOff>1237750</xdr:rowOff>
    </xdr:to>
    <xdr:pic>
      <xdr:nvPicPr>
        <xdr:cNvPr id="495" name="Picture 494">
          <a:extLst>
            <a:ext uri="{FF2B5EF4-FFF2-40B4-BE49-F238E27FC236}">
              <a16:creationId xmlns:a16="http://schemas.microsoft.com/office/drawing/2014/main" id="{00000000-0008-0000-07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0311" y="292654039"/>
          <a:ext cx="1168399" cy="1153611"/>
        </a:xfrm>
        <a:prstGeom prst="rect">
          <a:avLst/>
        </a:prstGeom>
      </xdr:spPr>
    </xdr:pic>
    <xdr:clientData/>
  </xdr:twoCellAnchor>
  <xdr:oneCellAnchor>
    <xdr:from>
      <xdr:col>14</xdr:col>
      <xdr:colOff>66676</xdr:colOff>
      <xdr:row>104</xdr:row>
      <xdr:rowOff>28575</xdr:rowOff>
    </xdr:from>
    <xdr:ext cx="933333" cy="1260000"/>
    <xdr:pic>
      <xdr:nvPicPr>
        <xdr:cNvPr id="509" name="Picture 508">
          <a:extLst>
            <a:ext uri="{FF2B5EF4-FFF2-40B4-BE49-F238E27FC236}">
              <a16:creationId xmlns:a16="http://schemas.microsoft.com/office/drawing/2014/main" id="{00000000-0008-0000-07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>
          <a:off x="4791076" y="126739650"/>
          <a:ext cx="933333" cy="1260000"/>
        </a:xfrm>
        <a:prstGeom prst="rect">
          <a:avLst/>
        </a:prstGeom>
      </xdr:spPr>
    </xdr:pic>
    <xdr:clientData/>
  </xdr:oneCellAnchor>
  <xdr:twoCellAnchor editAs="oneCell">
    <xdr:from>
      <xdr:col>6</xdr:col>
      <xdr:colOff>295275</xdr:colOff>
      <xdr:row>107</xdr:row>
      <xdr:rowOff>57150</xdr:rowOff>
    </xdr:from>
    <xdr:to>
      <xdr:col>6</xdr:col>
      <xdr:colOff>1054999</xdr:colOff>
      <xdr:row>107</xdr:row>
      <xdr:rowOff>1281150</xdr:rowOff>
    </xdr:to>
    <xdr:pic>
      <xdr:nvPicPr>
        <xdr:cNvPr id="527" name="Picture 526">
          <a:extLst>
            <a:ext uri="{FF2B5EF4-FFF2-40B4-BE49-F238E27FC236}">
              <a16:creationId xmlns:a16="http://schemas.microsoft.com/office/drawing/2014/main" id="{00000000-0008-0000-07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>
          <a:off x="5019675" y="132026025"/>
          <a:ext cx="759724" cy="12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57150</xdr:colOff>
      <xdr:row>188</xdr:row>
      <xdr:rowOff>171450</xdr:rowOff>
    </xdr:from>
    <xdr:to>
      <xdr:col>6</xdr:col>
      <xdr:colOff>1317150</xdr:colOff>
      <xdr:row>188</xdr:row>
      <xdr:rowOff>1135350</xdr:rowOff>
    </xdr:to>
    <xdr:pic>
      <xdr:nvPicPr>
        <xdr:cNvPr id="390" name="Picture 389" descr="https://suryamandiridoor.com/wp-content/uploads/2015/09/Folding-Gate-jkt.jpg">
          <a:extLst>
            <a:ext uri="{FF2B5EF4-FFF2-40B4-BE49-F238E27FC236}">
              <a16:creationId xmlns:a16="http://schemas.microsoft.com/office/drawing/2014/main" id="{00000000-0008-0000-0700-00008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1550" y="236801025"/>
          <a:ext cx="1260000" cy="96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41415</xdr:colOff>
      <xdr:row>232</xdr:row>
      <xdr:rowOff>49698</xdr:rowOff>
    </xdr:from>
    <xdr:to>
      <xdr:col>6</xdr:col>
      <xdr:colOff>1332615</xdr:colOff>
      <xdr:row>232</xdr:row>
      <xdr:rowOff>1273698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00000000-0008-0000-07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>
          <a:off x="4770785" y="287439655"/>
          <a:ext cx="1291200" cy="12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347943</xdr:colOff>
      <xdr:row>91</xdr:row>
      <xdr:rowOff>66675</xdr:rowOff>
    </xdr:from>
    <xdr:to>
      <xdr:col>6</xdr:col>
      <xdr:colOff>1052793</xdr:colOff>
      <xdr:row>91</xdr:row>
      <xdr:rowOff>1266825</xdr:rowOff>
    </xdr:to>
    <xdr:pic>
      <xdr:nvPicPr>
        <xdr:cNvPr id="405" name="Picture 239" descr="Hasil gambar untuk harga kompon gypsum">
          <a:extLst>
            <a:ext uri="{FF2B5EF4-FFF2-40B4-BE49-F238E27FC236}">
              <a16:creationId xmlns:a16="http://schemas.microsoft.com/office/drawing/2014/main" id="{00000000-0008-0000-07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2343" y="112814100"/>
          <a:ext cx="70485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</xdr:col>
      <xdr:colOff>52668</xdr:colOff>
      <xdr:row>90</xdr:row>
      <xdr:rowOff>108698</xdr:rowOff>
    </xdr:from>
    <xdr:ext cx="1276350" cy="1165412"/>
    <xdr:pic>
      <xdr:nvPicPr>
        <xdr:cNvPr id="406" name="Picture 237">
          <a:extLst>
            <a:ext uri="{FF2B5EF4-FFF2-40B4-BE49-F238E27FC236}">
              <a16:creationId xmlns:a16="http://schemas.microsoft.com/office/drawing/2014/main" id="{00000000-0008-0000-07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7068" y="111541673"/>
          <a:ext cx="1276350" cy="11654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66676</xdr:colOff>
      <xdr:row>103</xdr:row>
      <xdr:rowOff>28575</xdr:rowOff>
    </xdr:from>
    <xdr:ext cx="933333" cy="1260000"/>
    <xdr:pic>
      <xdr:nvPicPr>
        <xdr:cNvPr id="483" name="Picture 482">
          <a:extLst>
            <a:ext uri="{FF2B5EF4-FFF2-40B4-BE49-F238E27FC236}">
              <a16:creationId xmlns:a16="http://schemas.microsoft.com/office/drawing/2014/main" id="{00000000-0008-0000-07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>
          <a:off x="4796046" y="128268205"/>
          <a:ext cx="933333" cy="1260000"/>
        </a:xfrm>
        <a:prstGeom prst="rect">
          <a:avLst/>
        </a:prstGeom>
      </xdr:spPr>
    </xdr:pic>
    <xdr:clientData/>
  </xdr:oneCellAnchor>
  <xdr:twoCellAnchor editAs="oneCell">
    <xdr:from>
      <xdr:col>6</xdr:col>
      <xdr:colOff>74545</xdr:colOff>
      <xdr:row>111</xdr:row>
      <xdr:rowOff>49698</xdr:rowOff>
    </xdr:from>
    <xdr:to>
      <xdr:col>6</xdr:col>
      <xdr:colOff>1282853</xdr:colOff>
      <xdr:row>111</xdr:row>
      <xdr:rowOff>1273698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7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>
          <a:off x="4803915" y="136190937"/>
          <a:ext cx="1208308" cy="12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57981</xdr:colOff>
      <xdr:row>193</xdr:row>
      <xdr:rowOff>173940</xdr:rowOff>
    </xdr:from>
    <xdr:to>
      <xdr:col>6</xdr:col>
      <xdr:colOff>1317981</xdr:colOff>
      <xdr:row>193</xdr:row>
      <xdr:rowOff>1106095</xdr:rowOff>
    </xdr:to>
    <xdr:pic>
      <xdr:nvPicPr>
        <xdr:cNvPr id="394" name="Picture 393">
          <a:extLst>
            <a:ext uri="{FF2B5EF4-FFF2-40B4-BE49-F238E27FC236}">
              <a16:creationId xmlns:a16="http://schemas.microsoft.com/office/drawing/2014/main" id="{00000000-0008-0000-07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>
          <a:off x="4787351" y="241164723"/>
          <a:ext cx="1260000" cy="932155"/>
        </a:xfrm>
        <a:prstGeom prst="rect">
          <a:avLst/>
        </a:prstGeom>
      </xdr:spPr>
    </xdr:pic>
    <xdr:clientData/>
  </xdr:twoCellAnchor>
  <xdr:twoCellAnchor editAs="oneCell">
    <xdr:from>
      <xdr:col>6</xdr:col>
      <xdr:colOff>231920</xdr:colOff>
      <xdr:row>192</xdr:row>
      <xdr:rowOff>41413</xdr:rowOff>
    </xdr:from>
    <xdr:to>
      <xdr:col>6</xdr:col>
      <xdr:colOff>1148042</xdr:colOff>
      <xdr:row>192</xdr:row>
      <xdr:rowOff>1265413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00000000-0008-0000-07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>
          <a:off x="4961290" y="239715261"/>
          <a:ext cx="916122" cy="12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66261</xdr:colOff>
      <xdr:row>194</xdr:row>
      <xdr:rowOff>215347</xdr:rowOff>
    </xdr:from>
    <xdr:to>
      <xdr:col>6</xdr:col>
      <xdr:colOff>1326261</xdr:colOff>
      <xdr:row>194</xdr:row>
      <xdr:rowOff>1140989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00000000-0008-0000-07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>
          <a:off x="4795631" y="242523064"/>
          <a:ext cx="1260000" cy="925642"/>
        </a:xfrm>
        <a:prstGeom prst="rect">
          <a:avLst/>
        </a:prstGeom>
      </xdr:spPr>
    </xdr:pic>
    <xdr:clientData/>
  </xdr:twoCellAnchor>
  <xdr:twoCellAnchor editAs="oneCell">
    <xdr:from>
      <xdr:col>6</xdr:col>
      <xdr:colOff>57978</xdr:colOff>
      <xdr:row>109</xdr:row>
      <xdr:rowOff>339587</xdr:rowOff>
    </xdr:from>
    <xdr:to>
      <xdr:col>6</xdr:col>
      <xdr:colOff>1317978</xdr:colOff>
      <xdr:row>109</xdr:row>
      <xdr:rowOff>975674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00000000-0008-0000-07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>
          <a:off x="4787348" y="133846957"/>
          <a:ext cx="1260000" cy="636087"/>
        </a:xfrm>
        <a:prstGeom prst="rect">
          <a:avLst/>
        </a:prstGeom>
      </xdr:spPr>
    </xdr:pic>
    <xdr:clientData/>
  </xdr:twoCellAnchor>
  <xdr:oneCellAnchor>
    <xdr:from>
      <xdr:col>6</xdr:col>
      <xdr:colOff>66676</xdr:colOff>
      <xdr:row>105</xdr:row>
      <xdr:rowOff>28575</xdr:rowOff>
    </xdr:from>
    <xdr:ext cx="933333" cy="1260000"/>
    <xdr:pic>
      <xdr:nvPicPr>
        <xdr:cNvPr id="469" name="Picture 468">
          <a:extLst>
            <a:ext uri="{FF2B5EF4-FFF2-40B4-BE49-F238E27FC236}">
              <a16:creationId xmlns:a16="http://schemas.microsoft.com/office/drawing/2014/main" id="{00000000-0008-0000-07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>
          <a:off x="9235524" y="125634336"/>
          <a:ext cx="933333" cy="1260000"/>
        </a:xfrm>
        <a:prstGeom prst="rect">
          <a:avLst/>
        </a:prstGeom>
      </xdr:spPr>
    </xdr:pic>
    <xdr:clientData/>
  </xdr:oneCellAnchor>
  <xdr:twoCellAnchor editAs="oneCell">
    <xdr:from>
      <xdr:col>6</xdr:col>
      <xdr:colOff>47625</xdr:colOff>
      <xdr:row>235</xdr:row>
      <xdr:rowOff>28575</xdr:rowOff>
    </xdr:from>
    <xdr:to>
      <xdr:col>6</xdr:col>
      <xdr:colOff>1307625</xdr:colOff>
      <xdr:row>235</xdr:row>
      <xdr:rowOff>1227895</xdr:rowOff>
    </xdr:to>
    <xdr:pic>
      <xdr:nvPicPr>
        <xdr:cNvPr id="482" name="Picture 481">
          <a:extLst>
            <a:ext uri="{FF2B5EF4-FFF2-40B4-BE49-F238E27FC236}">
              <a16:creationId xmlns:a16="http://schemas.microsoft.com/office/drawing/2014/main" id="{00000000-0008-0000-07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>
          <a:off x="4772025" y="293912925"/>
          <a:ext cx="1260000" cy="1199320"/>
        </a:xfrm>
        <a:prstGeom prst="rect">
          <a:avLst/>
        </a:prstGeom>
      </xdr:spPr>
    </xdr:pic>
    <xdr:clientData/>
  </xdr:twoCellAnchor>
  <xdr:twoCellAnchor editAs="oneCell">
    <xdr:from>
      <xdr:col>6</xdr:col>
      <xdr:colOff>57150</xdr:colOff>
      <xdr:row>237</xdr:row>
      <xdr:rowOff>219076</xdr:rowOff>
    </xdr:from>
    <xdr:to>
      <xdr:col>6</xdr:col>
      <xdr:colOff>1317150</xdr:colOff>
      <xdr:row>237</xdr:row>
      <xdr:rowOff>1146713</xdr:rowOff>
    </xdr:to>
    <xdr:pic>
      <xdr:nvPicPr>
        <xdr:cNvPr id="489" name="Picture 488">
          <a:extLst>
            <a:ext uri="{FF2B5EF4-FFF2-40B4-BE49-F238E27FC236}">
              <a16:creationId xmlns:a16="http://schemas.microsoft.com/office/drawing/2014/main" id="{00000000-0008-0000-07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>
          <a:off x="4781550" y="296732326"/>
          <a:ext cx="1260000" cy="927637"/>
        </a:xfrm>
        <a:prstGeom prst="rect">
          <a:avLst/>
        </a:prstGeom>
      </xdr:spPr>
    </xdr:pic>
    <xdr:clientData/>
  </xdr:twoCellAnchor>
  <xdr:twoCellAnchor editAs="oneCell">
    <xdr:from>
      <xdr:col>6</xdr:col>
      <xdr:colOff>209550</xdr:colOff>
      <xdr:row>240</xdr:row>
      <xdr:rowOff>38100</xdr:rowOff>
    </xdr:from>
    <xdr:to>
      <xdr:col>6</xdr:col>
      <xdr:colOff>1144811</xdr:colOff>
      <xdr:row>240</xdr:row>
      <xdr:rowOff>1262100</xdr:rowOff>
    </xdr:to>
    <xdr:pic>
      <xdr:nvPicPr>
        <xdr:cNvPr id="490" name="Picture 489">
          <a:extLst>
            <a:ext uri="{FF2B5EF4-FFF2-40B4-BE49-F238E27FC236}">
              <a16:creationId xmlns:a16="http://schemas.microsoft.com/office/drawing/2014/main" id="{00000000-0008-0000-07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>
          <a:off x="4933950" y="300494700"/>
          <a:ext cx="935261" cy="12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85725</xdr:colOff>
      <xdr:row>247</xdr:row>
      <xdr:rowOff>28575</xdr:rowOff>
    </xdr:from>
    <xdr:to>
      <xdr:col>6</xdr:col>
      <xdr:colOff>1283809</xdr:colOff>
      <xdr:row>247</xdr:row>
      <xdr:rowOff>1288575</xdr:rowOff>
    </xdr:to>
    <xdr:pic>
      <xdr:nvPicPr>
        <xdr:cNvPr id="491" name="Picture 490">
          <a:extLst>
            <a:ext uri="{FF2B5EF4-FFF2-40B4-BE49-F238E27FC236}">
              <a16:creationId xmlns:a16="http://schemas.microsoft.com/office/drawing/2014/main" id="{00000000-0008-0000-07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>
          <a:off x="4810125" y="309686325"/>
          <a:ext cx="1198084" cy="1260000"/>
        </a:xfrm>
        <a:prstGeom prst="rect">
          <a:avLst/>
        </a:prstGeom>
      </xdr:spPr>
    </xdr:pic>
    <xdr:clientData/>
  </xdr:twoCellAnchor>
  <xdr:twoCellAnchor editAs="oneCell">
    <xdr:from>
      <xdr:col>6</xdr:col>
      <xdr:colOff>66261</xdr:colOff>
      <xdr:row>322</xdr:row>
      <xdr:rowOff>91110</xdr:rowOff>
    </xdr:from>
    <xdr:to>
      <xdr:col>6</xdr:col>
      <xdr:colOff>1326261</xdr:colOff>
      <xdr:row>322</xdr:row>
      <xdr:rowOff>1217343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7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>
          <a:off x="4795631" y="401955001"/>
          <a:ext cx="1260000" cy="1126233"/>
        </a:xfrm>
        <a:prstGeom prst="rect">
          <a:avLst/>
        </a:prstGeom>
      </xdr:spPr>
    </xdr:pic>
    <xdr:clientData/>
  </xdr:twoCellAnchor>
  <xdr:twoCellAnchor editAs="oneCell">
    <xdr:from>
      <xdr:col>6</xdr:col>
      <xdr:colOff>99391</xdr:colOff>
      <xdr:row>368</xdr:row>
      <xdr:rowOff>124239</xdr:rowOff>
    </xdr:from>
    <xdr:to>
      <xdr:col>6</xdr:col>
      <xdr:colOff>1323391</xdr:colOff>
      <xdr:row>368</xdr:row>
      <xdr:rowOff>1019057</xdr:rowOff>
    </xdr:to>
    <xdr:pic>
      <xdr:nvPicPr>
        <xdr:cNvPr id="395" name="Picture 394">
          <a:extLst>
            <a:ext uri="{FF2B5EF4-FFF2-40B4-BE49-F238E27FC236}">
              <a16:creationId xmlns:a16="http://schemas.microsoft.com/office/drawing/2014/main" id="{00000000-0008-0000-07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>
          <a:off x="4828761" y="459833869"/>
          <a:ext cx="1224000" cy="894818"/>
        </a:xfrm>
        <a:prstGeom prst="rect">
          <a:avLst/>
        </a:prstGeom>
      </xdr:spPr>
    </xdr:pic>
    <xdr:clientData/>
  </xdr:twoCellAnchor>
  <xdr:twoCellAnchor editAs="oneCell">
    <xdr:from>
      <xdr:col>6</xdr:col>
      <xdr:colOff>306457</xdr:colOff>
      <xdr:row>369</xdr:row>
      <xdr:rowOff>41412</xdr:rowOff>
    </xdr:from>
    <xdr:to>
      <xdr:col>6</xdr:col>
      <xdr:colOff>953889</xdr:colOff>
      <xdr:row>369</xdr:row>
      <xdr:rowOff>1265412</xdr:rowOff>
    </xdr:to>
    <xdr:pic>
      <xdr:nvPicPr>
        <xdr:cNvPr id="397" name="Picture 396">
          <a:extLst>
            <a:ext uri="{FF2B5EF4-FFF2-40B4-BE49-F238E27FC236}">
              <a16:creationId xmlns:a16="http://schemas.microsoft.com/office/drawing/2014/main" id="{00000000-0008-0000-07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>
          <a:off x="5035827" y="461067977"/>
          <a:ext cx="647432" cy="12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157370</xdr:colOff>
      <xdr:row>250</xdr:row>
      <xdr:rowOff>115957</xdr:rowOff>
    </xdr:from>
    <xdr:to>
      <xdr:col>6</xdr:col>
      <xdr:colOff>1323392</xdr:colOff>
      <xdr:row>250</xdr:row>
      <xdr:rowOff>1250674</xdr:rowOff>
    </xdr:to>
    <xdr:pic>
      <xdr:nvPicPr>
        <xdr:cNvPr id="402" name="Picture 401">
          <a:extLst>
            <a:ext uri="{FF2B5EF4-FFF2-40B4-BE49-F238E27FC236}">
              <a16:creationId xmlns:a16="http://schemas.microsoft.com/office/drawing/2014/main" id="{00000000-0008-0000-0700-000092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3"/>
        <a:srcRect l="4736" t="5301" b="3925"/>
        <a:stretch/>
      </xdr:blipFill>
      <xdr:spPr>
        <a:xfrm>
          <a:off x="4886740" y="312527674"/>
          <a:ext cx="1166022" cy="1134717"/>
        </a:xfrm>
        <a:prstGeom prst="rect">
          <a:avLst/>
        </a:prstGeom>
      </xdr:spPr>
    </xdr:pic>
    <xdr:clientData/>
  </xdr:twoCellAnchor>
  <xdr:twoCellAnchor editAs="oneCell">
    <xdr:from>
      <xdr:col>6</xdr:col>
      <xdr:colOff>115956</xdr:colOff>
      <xdr:row>251</xdr:row>
      <xdr:rowOff>190500</xdr:rowOff>
    </xdr:from>
    <xdr:to>
      <xdr:col>6</xdr:col>
      <xdr:colOff>1339956</xdr:colOff>
      <xdr:row>251</xdr:row>
      <xdr:rowOff>1214349</xdr:rowOff>
    </xdr:to>
    <xdr:pic>
      <xdr:nvPicPr>
        <xdr:cNvPr id="411" name="Picture 410">
          <a:extLst>
            <a:ext uri="{FF2B5EF4-FFF2-40B4-BE49-F238E27FC236}">
              <a16:creationId xmlns:a16="http://schemas.microsoft.com/office/drawing/2014/main" id="{00000000-0008-0000-07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>
          <a:off x="4845326" y="313919152"/>
          <a:ext cx="1224000" cy="1023849"/>
        </a:xfrm>
        <a:prstGeom prst="rect">
          <a:avLst/>
        </a:prstGeom>
      </xdr:spPr>
    </xdr:pic>
    <xdr:clientData/>
  </xdr:twoCellAnchor>
  <xdr:twoCellAnchor editAs="oneCell">
    <xdr:from>
      <xdr:col>6</xdr:col>
      <xdr:colOff>49696</xdr:colOff>
      <xdr:row>131</xdr:row>
      <xdr:rowOff>530087</xdr:rowOff>
    </xdr:from>
    <xdr:to>
      <xdr:col>6</xdr:col>
      <xdr:colOff>1309696</xdr:colOff>
      <xdr:row>131</xdr:row>
      <xdr:rowOff>784399</xdr:rowOff>
    </xdr:to>
    <xdr:pic>
      <xdr:nvPicPr>
        <xdr:cNvPr id="400" name="Picture 399">
          <a:extLst>
            <a:ext uri="{FF2B5EF4-FFF2-40B4-BE49-F238E27FC236}">
              <a16:creationId xmlns:a16="http://schemas.microsoft.com/office/drawing/2014/main" id="{00000000-0008-0000-07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>
          <a:off x="4774096" y="133813412"/>
          <a:ext cx="1260000" cy="254312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117</xdr:row>
      <xdr:rowOff>33130</xdr:rowOff>
    </xdr:from>
    <xdr:to>
      <xdr:col>6</xdr:col>
      <xdr:colOff>1008205</xdr:colOff>
      <xdr:row>117</xdr:row>
      <xdr:rowOff>1257130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00000000-0008-0000-07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>
          <a:off x="5110370" y="144075978"/>
          <a:ext cx="627205" cy="12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85725</xdr:colOff>
      <xdr:row>29</xdr:row>
      <xdr:rowOff>95250</xdr:rowOff>
    </xdr:from>
    <xdr:to>
      <xdr:col>6</xdr:col>
      <xdr:colOff>1309725</xdr:colOff>
      <xdr:row>29</xdr:row>
      <xdr:rowOff>1285875</xdr:rowOff>
    </xdr:to>
    <xdr:pic>
      <xdr:nvPicPr>
        <xdr:cNvPr id="401" name="Picture 400" descr="Jual SEMEN TIGA RODA 50KG - Jakarta Barat - one piece97 | Tokopedia">
          <a:extLst>
            <a:ext uri="{FF2B5EF4-FFF2-40B4-BE49-F238E27FC236}">
              <a16:creationId xmlns:a16="http://schemas.microsoft.com/office/drawing/2014/main" id="{00000000-0008-0000-0700-000091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" b="2727"/>
        <a:stretch/>
      </xdr:blipFill>
      <xdr:spPr bwMode="auto">
        <a:xfrm>
          <a:off x="4810125" y="32746950"/>
          <a:ext cx="1224000" cy="1190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349624</xdr:colOff>
      <xdr:row>86</xdr:row>
      <xdr:rowOff>43142</xdr:rowOff>
    </xdr:from>
    <xdr:to>
      <xdr:col>6</xdr:col>
      <xdr:colOff>1054474</xdr:colOff>
      <xdr:row>86</xdr:row>
      <xdr:rowOff>1243292</xdr:rowOff>
    </xdr:to>
    <xdr:pic>
      <xdr:nvPicPr>
        <xdr:cNvPr id="413" name="Picture 236" descr="Hasil gambar untuk harga kompon gypsum">
          <a:extLst>
            <a:ext uri="{FF2B5EF4-FFF2-40B4-BE49-F238E27FC236}">
              <a16:creationId xmlns:a16="http://schemas.microsoft.com/office/drawing/2014/main" id="{00000000-0008-0000-07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4024" y="104903867"/>
          <a:ext cx="70485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54349</xdr:colOff>
      <xdr:row>85</xdr:row>
      <xdr:rowOff>33617</xdr:rowOff>
    </xdr:from>
    <xdr:to>
      <xdr:col>6</xdr:col>
      <xdr:colOff>1302124</xdr:colOff>
      <xdr:row>85</xdr:row>
      <xdr:rowOff>1281392</xdr:rowOff>
    </xdr:to>
    <xdr:pic>
      <xdr:nvPicPr>
        <xdr:cNvPr id="414" name="Picture 235" descr="GIPSUM GYPSUM JAYABOARD 9MM 1 2 X 2 4mm">
          <a:extLst>
            <a:ext uri="{FF2B5EF4-FFF2-40B4-BE49-F238E27FC236}">
              <a16:creationId xmlns:a16="http://schemas.microsoft.com/office/drawing/2014/main" id="{00000000-0008-0000-07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8749" y="103579892"/>
          <a:ext cx="1247775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62753</xdr:colOff>
      <xdr:row>89</xdr:row>
      <xdr:rowOff>142315</xdr:rowOff>
    </xdr:from>
    <xdr:to>
      <xdr:col>6</xdr:col>
      <xdr:colOff>1310528</xdr:colOff>
      <xdr:row>89</xdr:row>
      <xdr:rowOff>1251698</xdr:rowOff>
    </xdr:to>
    <xdr:pic>
      <xdr:nvPicPr>
        <xdr:cNvPr id="415" name="Picture 235" descr="GIPSUM GYPSUM JAYABOARD 9MM 1 2 X 2 4mm">
          <a:extLst>
            <a:ext uri="{FF2B5EF4-FFF2-40B4-BE49-F238E27FC236}">
              <a16:creationId xmlns:a16="http://schemas.microsoft.com/office/drawing/2014/main" id="{00000000-0008-0000-0700-00009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7153" y="108946390"/>
          <a:ext cx="1247775" cy="1109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114300</xdr:colOff>
      <xdr:row>48</xdr:row>
      <xdr:rowOff>76200</xdr:rowOff>
    </xdr:from>
    <xdr:to>
      <xdr:col>6</xdr:col>
      <xdr:colOff>1276350</xdr:colOff>
      <xdr:row>48</xdr:row>
      <xdr:rowOff>1247775</xdr:rowOff>
    </xdr:to>
    <xdr:pic>
      <xdr:nvPicPr>
        <xdr:cNvPr id="417" name="Picture 416" descr="https://tokocatlancar.co.id/img_produk/20170411013013.png">
          <a:extLst>
            <a:ext uri="{FF2B5EF4-FFF2-40B4-BE49-F238E27FC236}">
              <a16:creationId xmlns:a16="http://schemas.microsoft.com/office/drawing/2014/main" id="{00000000-0008-0000-07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8700" y="56797575"/>
          <a:ext cx="116205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104776</xdr:colOff>
      <xdr:row>46</xdr:row>
      <xdr:rowOff>47625</xdr:rowOff>
    </xdr:from>
    <xdr:to>
      <xdr:col>6</xdr:col>
      <xdr:colOff>1224651</xdr:colOff>
      <xdr:row>46</xdr:row>
      <xdr:rowOff>1271625</xdr:rowOff>
    </xdr:to>
    <xdr:pic>
      <xdr:nvPicPr>
        <xdr:cNvPr id="418" name="Picture 417">
          <a:extLst>
            <a:ext uri="{FF2B5EF4-FFF2-40B4-BE49-F238E27FC236}">
              <a16:creationId xmlns:a16="http://schemas.microsoft.com/office/drawing/2014/main" id="{00000000-0008-0000-0700-0000A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>
          <a:off x="4829176" y="54140100"/>
          <a:ext cx="1119875" cy="12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1304925</xdr:colOff>
      <xdr:row>46</xdr:row>
      <xdr:rowOff>9527</xdr:rowOff>
    </xdr:to>
    <xdr:pic>
      <xdr:nvPicPr>
        <xdr:cNvPr id="419" name="Picture 418" descr="https://tokocatlancar.co.id/img_produk/20170419104618.png">
          <a:extLst>
            <a:ext uri="{FF2B5EF4-FFF2-40B4-BE49-F238E27FC236}">
              <a16:creationId xmlns:a16="http://schemas.microsoft.com/office/drawing/2014/main" id="{00000000-0008-0000-0700-0000A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52778025"/>
          <a:ext cx="1304925" cy="1323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76200</xdr:colOff>
      <xdr:row>47</xdr:row>
      <xdr:rowOff>28575</xdr:rowOff>
    </xdr:from>
    <xdr:to>
      <xdr:col>6</xdr:col>
      <xdr:colOff>1314450</xdr:colOff>
      <xdr:row>47</xdr:row>
      <xdr:rowOff>1266825</xdr:rowOff>
    </xdr:to>
    <xdr:pic>
      <xdr:nvPicPr>
        <xdr:cNvPr id="427" name="Picture 426" descr="https://tokocatlancar.co.id/img_produk/20170411020512.png">
          <a:extLst>
            <a:ext uri="{FF2B5EF4-FFF2-40B4-BE49-F238E27FC236}">
              <a16:creationId xmlns:a16="http://schemas.microsoft.com/office/drawing/2014/main" id="{00000000-0008-0000-07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55435500"/>
          <a:ext cx="123825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145677</xdr:colOff>
      <xdr:row>49</xdr:row>
      <xdr:rowOff>78441</xdr:rowOff>
    </xdr:from>
    <xdr:to>
      <xdr:col>6</xdr:col>
      <xdr:colOff>1269627</xdr:colOff>
      <xdr:row>50</xdr:row>
      <xdr:rowOff>2241</xdr:rowOff>
    </xdr:to>
    <xdr:pic>
      <xdr:nvPicPr>
        <xdr:cNvPr id="453" name="Picture 452" descr="https://tokocatlancar.co.id/img_produk/20170411024023.png">
          <a:extLst>
            <a:ext uri="{FF2B5EF4-FFF2-40B4-BE49-F238E27FC236}">
              <a16:creationId xmlns:a16="http://schemas.microsoft.com/office/drawing/2014/main" id="{00000000-0008-0000-0700-0000C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497" t="11784" r="15089" b="11903"/>
        <a:stretch>
          <a:fillRect/>
        </a:stretch>
      </xdr:blipFill>
      <xdr:spPr bwMode="auto">
        <a:xfrm>
          <a:off x="4870077" y="58114266"/>
          <a:ext cx="112395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223631</xdr:colOff>
      <xdr:row>248</xdr:row>
      <xdr:rowOff>49696</xdr:rowOff>
    </xdr:from>
    <xdr:to>
      <xdr:col>6</xdr:col>
      <xdr:colOff>1143681</xdr:colOff>
      <xdr:row>248</xdr:row>
      <xdr:rowOff>1273696</xdr:rowOff>
    </xdr:to>
    <xdr:pic>
      <xdr:nvPicPr>
        <xdr:cNvPr id="393" name="Picture 392">
          <a:extLst>
            <a:ext uri="{FF2B5EF4-FFF2-40B4-BE49-F238E27FC236}">
              <a16:creationId xmlns:a16="http://schemas.microsoft.com/office/drawing/2014/main" id="{00000000-0008-0000-0700-00008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4" cstate="print">
          <a:clrChange>
            <a:clrFrom>
              <a:srgbClr val="22B14C"/>
            </a:clrFrom>
            <a:clrTo>
              <a:srgbClr val="22B14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8031" y="310612321"/>
          <a:ext cx="920050" cy="12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74543</xdr:colOff>
      <xdr:row>370</xdr:row>
      <xdr:rowOff>273327</xdr:rowOff>
    </xdr:from>
    <xdr:to>
      <xdr:col>6</xdr:col>
      <xdr:colOff>1298543</xdr:colOff>
      <xdr:row>370</xdr:row>
      <xdr:rowOff>1100660</xdr:rowOff>
    </xdr:to>
    <xdr:pic>
      <xdr:nvPicPr>
        <xdr:cNvPr id="424" name="Picture 423">
          <a:extLst>
            <a:ext uri="{FF2B5EF4-FFF2-40B4-BE49-F238E27FC236}">
              <a16:creationId xmlns:a16="http://schemas.microsoft.com/office/drawing/2014/main" id="{00000000-0008-0000-0700-0000A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>
          <a:off x="4798943" y="465769602"/>
          <a:ext cx="1224000" cy="827333"/>
        </a:xfrm>
        <a:prstGeom prst="rect">
          <a:avLst/>
        </a:prstGeom>
      </xdr:spPr>
    </xdr:pic>
    <xdr:clientData/>
  </xdr:twoCellAnchor>
  <xdr:twoCellAnchor editAs="oneCell">
    <xdr:from>
      <xdr:col>6</xdr:col>
      <xdr:colOff>66261</xdr:colOff>
      <xdr:row>328</xdr:row>
      <xdr:rowOff>66261</xdr:rowOff>
    </xdr:from>
    <xdr:to>
      <xdr:col>6</xdr:col>
      <xdr:colOff>1317313</xdr:colOff>
      <xdr:row>328</xdr:row>
      <xdr:rowOff>1290261</xdr:rowOff>
    </xdr:to>
    <xdr:pic>
      <xdr:nvPicPr>
        <xdr:cNvPr id="454" name="Picture 453">
          <a:extLst>
            <a:ext uri="{FF2B5EF4-FFF2-40B4-BE49-F238E27FC236}">
              <a16:creationId xmlns:a16="http://schemas.microsoft.com/office/drawing/2014/main" id="{00000000-0008-0000-07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>
          <a:off x="4790661" y="413070261"/>
          <a:ext cx="1251052" cy="12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66261</xdr:colOff>
      <xdr:row>103</xdr:row>
      <xdr:rowOff>331304</xdr:rowOff>
    </xdr:from>
    <xdr:to>
      <xdr:col>6</xdr:col>
      <xdr:colOff>1326261</xdr:colOff>
      <xdr:row>103</xdr:row>
      <xdr:rowOff>965146</xdr:rowOff>
    </xdr:to>
    <xdr:pic>
      <xdr:nvPicPr>
        <xdr:cNvPr id="472" name="Picture 471">
          <a:extLst>
            <a:ext uri="{FF2B5EF4-FFF2-40B4-BE49-F238E27FC236}">
              <a16:creationId xmlns:a16="http://schemas.microsoft.com/office/drawing/2014/main" id="{00000000-0008-0000-07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>
          <a:off x="4790661" y="125727929"/>
          <a:ext cx="1260000" cy="633842"/>
        </a:xfrm>
        <a:prstGeom prst="rect">
          <a:avLst/>
        </a:prstGeom>
      </xdr:spPr>
    </xdr:pic>
    <xdr:clientData/>
  </xdr:twoCellAnchor>
  <xdr:twoCellAnchor editAs="oneCell">
    <xdr:from>
      <xdr:col>6</xdr:col>
      <xdr:colOff>82826</xdr:colOff>
      <xdr:row>106</xdr:row>
      <xdr:rowOff>41413</xdr:rowOff>
    </xdr:from>
    <xdr:to>
      <xdr:col>6</xdr:col>
      <xdr:colOff>1295596</xdr:colOff>
      <xdr:row>106</xdr:row>
      <xdr:rowOff>1265413</xdr:rowOff>
    </xdr:to>
    <xdr:pic>
      <xdr:nvPicPr>
        <xdr:cNvPr id="488" name="Picture 487">
          <a:extLst>
            <a:ext uri="{FF2B5EF4-FFF2-40B4-BE49-F238E27FC236}">
              <a16:creationId xmlns:a16="http://schemas.microsoft.com/office/drawing/2014/main" id="{00000000-0008-0000-07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>
          <a:off x="4807226" y="129381388"/>
          <a:ext cx="1212770" cy="12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57978</xdr:colOff>
      <xdr:row>113</xdr:row>
      <xdr:rowOff>41413</xdr:rowOff>
    </xdr:from>
    <xdr:to>
      <xdr:col>6</xdr:col>
      <xdr:colOff>1289510</xdr:colOff>
      <xdr:row>113</xdr:row>
      <xdr:rowOff>1265413</xdr:rowOff>
    </xdr:to>
    <xdr:pic>
      <xdr:nvPicPr>
        <xdr:cNvPr id="498" name="Picture 497">
          <a:extLst>
            <a:ext uri="{FF2B5EF4-FFF2-40B4-BE49-F238E27FC236}">
              <a16:creationId xmlns:a16="http://schemas.microsoft.com/office/drawing/2014/main" id="{00000000-0008-0000-07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>
          <a:off x="4782378" y="138582538"/>
          <a:ext cx="1231532" cy="1224000"/>
        </a:xfrm>
        <a:prstGeom prst="rect">
          <a:avLst/>
        </a:prstGeom>
        <a:ln w="19050">
          <a:solidFill>
            <a:schemeClr val="tx1"/>
          </a:solidFill>
        </a:ln>
      </xdr:spPr>
    </xdr:pic>
    <xdr:clientData/>
  </xdr:twoCellAnchor>
  <xdr:twoCellAnchor editAs="oneCell">
    <xdr:from>
      <xdr:col>6</xdr:col>
      <xdr:colOff>57979</xdr:colOff>
      <xdr:row>121</xdr:row>
      <xdr:rowOff>41413</xdr:rowOff>
    </xdr:from>
    <xdr:to>
      <xdr:col>6</xdr:col>
      <xdr:colOff>1278224</xdr:colOff>
      <xdr:row>121</xdr:row>
      <xdr:rowOff>1265413</xdr:rowOff>
    </xdr:to>
    <xdr:pic>
      <xdr:nvPicPr>
        <xdr:cNvPr id="503" name="Picture 502">
          <a:extLst>
            <a:ext uri="{FF2B5EF4-FFF2-40B4-BE49-F238E27FC236}">
              <a16:creationId xmlns:a16="http://schemas.microsoft.com/office/drawing/2014/main" id="{00000000-0008-0000-07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>
          <a:off x="4782379" y="149098138"/>
          <a:ext cx="1220245" cy="12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149088</xdr:colOff>
      <xdr:row>233</xdr:row>
      <xdr:rowOff>132522</xdr:rowOff>
    </xdr:from>
    <xdr:to>
      <xdr:col>6</xdr:col>
      <xdr:colOff>1209260</xdr:colOff>
      <xdr:row>233</xdr:row>
      <xdr:rowOff>1189635</xdr:rowOff>
    </xdr:to>
    <xdr:pic>
      <xdr:nvPicPr>
        <xdr:cNvPr id="451" name="Picture 450">
          <a:extLst>
            <a:ext uri="{FF2B5EF4-FFF2-40B4-BE49-F238E27FC236}">
              <a16:creationId xmlns:a16="http://schemas.microsoft.com/office/drawing/2014/main" id="{516204CD-1311-4BE2-95A0-E35CF7AE6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8458" y="291473283"/>
          <a:ext cx="1060172" cy="10571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82827</xdr:colOff>
      <xdr:row>244</xdr:row>
      <xdr:rowOff>82826</xdr:rowOff>
    </xdr:from>
    <xdr:to>
      <xdr:col>6</xdr:col>
      <xdr:colOff>1292087</xdr:colOff>
      <xdr:row>244</xdr:row>
      <xdr:rowOff>1288403</xdr:rowOff>
    </xdr:to>
    <xdr:pic>
      <xdr:nvPicPr>
        <xdr:cNvPr id="455" name="Picture 454">
          <a:extLst>
            <a:ext uri="{FF2B5EF4-FFF2-40B4-BE49-F238E27FC236}">
              <a16:creationId xmlns:a16="http://schemas.microsoft.com/office/drawing/2014/main" id="{50104AE7-7203-4DA5-8163-C76ED2A14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2197" y="305909869"/>
          <a:ext cx="1209260" cy="12055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91109</xdr:colOff>
      <xdr:row>243</xdr:row>
      <xdr:rowOff>41413</xdr:rowOff>
    </xdr:from>
    <xdr:to>
      <xdr:col>6</xdr:col>
      <xdr:colOff>1278949</xdr:colOff>
      <xdr:row>243</xdr:row>
      <xdr:rowOff>1225826</xdr:rowOff>
    </xdr:to>
    <xdr:pic>
      <xdr:nvPicPr>
        <xdr:cNvPr id="486" name="Picture 485">
          <a:extLst>
            <a:ext uri="{FF2B5EF4-FFF2-40B4-BE49-F238E27FC236}">
              <a16:creationId xmlns:a16="http://schemas.microsoft.com/office/drawing/2014/main" id="{F19AB51F-8CD0-446B-9BB8-7A87FEECF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0479" y="304551522"/>
          <a:ext cx="1187840" cy="11844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50789</xdr:colOff>
      <xdr:row>242</xdr:row>
      <xdr:rowOff>198784</xdr:rowOff>
    </xdr:from>
    <xdr:to>
      <xdr:col>6</xdr:col>
      <xdr:colOff>1266023</xdr:colOff>
      <xdr:row>242</xdr:row>
      <xdr:rowOff>1143000</xdr:rowOff>
    </xdr:to>
    <xdr:pic>
      <xdr:nvPicPr>
        <xdr:cNvPr id="505" name="Picture 504">
          <a:extLst>
            <a:ext uri="{FF2B5EF4-FFF2-40B4-BE49-F238E27FC236}">
              <a16:creationId xmlns:a16="http://schemas.microsoft.com/office/drawing/2014/main" id="{79908870-4150-49D8-BDC7-6E5B37FEA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4780159" y="303391958"/>
          <a:ext cx="1215234" cy="9442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157371</xdr:colOff>
      <xdr:row>129</xdr:row>
      <xdr:rowOff>132522</xdr:rowOff>
    </xdr:from>
    <xdr:to>
      <xdr:col>6</xdr:col>
      <xdr:colOff>1255111</xdr:colOff>
      <xdr:row>129</xdr:row>
      <xdr:rowOff>1225828</xdr:rowOff>
    </xdr:to>
    <xdr:pic>
      <xdr:nvPicPr>
        <xdr:cNvPr id="506" name="Picture 505">
          <a:extLst>
            <a:ext uri="{FF2B5EF4-FFF2-40B4-BE49-F238E27FC236}">
              <a16:creationId xmlns:a16="http://schemas.microsoft.com/office/drawing/2014/main" id="{2993A614-0F80-414E-A9CC-74B3DF11D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741" y="159978587"/>
          <a:ext cx="1097740" cy="10933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57977</xdr:colOff>
      <xdr:row>2</xdr:row>
      <xdr:rowOff>16565</xdr:rowOff>
    </xdr:from>
    <xdr:to>
      <xdr:col>1</xdr:col>
      <xdr:colOff>488674</xdr:colOff>
      <xdr:row>2</xdr:row>
      <xdr:rowOff>490876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977" y="397565"/>
          <a:ext cx="430697" cy="474311"/>
        </a:xfrm>
        <a:prstGeom prst="rect">
          <a:avLst/>
        </a:prstGeom>
      </xdr:spPr>
    </xdr:pic>
    <xdr:clientData/>
  </xdr:twoCellAnchor>
  <xdr:twoCellAnchor editAs="oneCell">
    <xdr:from>
      <xdr:col>3</xdr:col>
      <xdr:colOff>74545</xdr:colOff>
      <xdr:row>2</xdr:row>
      <xdr:rowOff>24848</xdr:rowOff>
    </xdr:from>
    <xdr:to>
      <xdr:col>3</xdr:col>
      <xdr:colOff>548477</xdr:colOff>
      <xdr:row>2</xdr:row>
      <xdr:rowOff>546652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26197" y="405848"/>
          <a:ext cx="473932" cy="521804"/>
        </a:xfrm>
        <a:prstGeom prst="rect">
          <a:avLst/>
        </a:prstGeom>
      </xdr:spPr>
    </xdr:pic>
    <xdr:clientData/>
  </xdr:twoCellAnchor>
  <xdr:twoCellAnchor editAs="oneCell">
    <xdr:from>
      <xdr:col>2</xdr:col>
      <xdr:colOff>82825</xdr:colOff>
      <xdr:row>2</xdr:row>
      <xdr:rowOff>16564</xdr:rowOff>
    </xdr:from>
    <xdr:to>
      <xdr:col>2</xdr:col>
      <xdr:colOff>526565</xdr:colOff>
      <xdr:row>2</xdr:row>
      <xdr:rowOff>505239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13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21564" y="397564"/>
          <a:ext cx="443740" cy="488675"/>
        </a:xfrm>
        <a:prstGeom prst="rect">
          <a:avLst/>
        </a:prstGeom>
      </xdr:spPr>
    </xdr:pic>
    <xdr:clientData/>
  </xdr:twoCellAnchor>
  <xdr:twoCellAnchor editAs="oneCell">
    <xdr:from>
      <xdr:col>4</xdr:col>
      <xdr:colOff>124240</xdr:colOff>
      <xdr:row>2</xdr:row>
      <xdr:rowOff>66261</xdr:rowOff>
    </xdr:from>
    <xdr:to>
      <xdr:col>4</xdr:col>
      <xdr:colOff>521805</xdr:colOff>
      <xdr:row>2</xdr:row>
      <xdr:rowOff>547265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88805" y="447261"/>
          <a:ext cx="397565" cy="481004"/>
        </a:xfrm>
        <a:prstGeom prst="rect">
          <a:avLst/>
        </a:prstGeom>
      </xdr:spPr>
    </xdr:pic>
    <xdr:clientData/>
  </xdr:twoCellAnchor>
  <xdr:twoCellAnchor editAs="oneCell">
    <xdr:from>
      <xdr:col>6</xdr:col>
      <xdr:colOff>74547</xdr:colOff>
      <xdr:row>2</xdr:row>
      <xdr:rowOff>16566</xdr:rowOff>
    </xdr:from>
    <xdr:to>
      <xdr:col>6</xdr:col>
      <xdr:colOff>557224</xdr:colOff>
      <xdr:row>2</xdr:row>
      <xdr:rowOff>554936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364938" y="397566"/>
          <a:ext cx="482677" cy="538370"/>
        </a:xfrm>
        <a:prstGeom prst="rect">
          <a:avLst/>
        </a:prstGeom>
      </xdr:spPr>
    </xdr:pic>
    <xdr:clientData/>
  </xdr:twoCellAnchor>
  <xdr:twoCellAnchor editAs="oneCell">
    <xdr:from>
      <xdr:col>7</xdr:col>
      <xdr:colOff>66263</xdr:colOff>
      <xdr:row>2</xdr:row>
      <xdr:rowOff>49698</xdr:rowOff>
    </xdr:from>
    <xdr:to>
      <xdr:col>7</xdr:col>
      <xdr:colOff>530461</xdr:colOff>
      <xdr:row>2</xdr:row>
      <xdr:rowOff>530089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969567" y="430698"/>
          <a:ext cx="464198" cy="480391"/>
        </a:xfrm>
        <a:prstGeom prst="rect">
          <a:avLst/>
        </a:prstGeom>
      </xdr:spPr>
    </xdr:pic>
    <xdr:clientData/>
  </xdr:twoCellAnchor>
  <xdr:twoCellAnchor editAs="oneCell">
    <xdr:from>
      <xdr:col>8</xdr:col>
      <xdr:colOff>86137</xdr:colOff>
      <xdr:row>2</xdr:row>
      <xdr:rowOff>44725</xdr:rowOff>
    </xdr:from>
    <xdr:to>
      <xdr:col>8</xdr:col>
      <xdr:colOff>550335</xdr:colOff>
      <xdr:row>2</xdr:row>
      <xdr:rowOff>525116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13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602354" y="425725"/>
          <a:ext cx="464198" cy="480391"/>
        </a:xfrm>
        <a:prstGeom prst="rect">
          <a:avLst/>
        </a:prstGeom>
      </xdr:spPr>
    </xdr:pic>
    <xdr:clientData/>
  </xdr:twoCellAnchor>
  <xdr:twoCellAnchor editAs="oneCell">
    <xdr:from>
      <xdr:col>9</xdr:col>
      <xdr:colOff>16567</xdr:colOff>
      <xdr:row>2</xdr:row>
      <xdr:rowOff>215342</xdr:rowOff>
    </xdr:from>
    <xdr:to>
      <xdr:col>9</xdr:col>
      <xdr:colOff>579785</xdr:colOff>
      <xdr:row>2</xdr:row>
      <xdr:rowOff>485217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145697" y="596342"/>
          <a:ext cx="563218" cy="269875"/>
        </a:xfrm>
        <a:prstGeom prst="rect">
          <a:avLst/>
        </a:prstGeom>
      </xdr:spPr>
    </xdr:pic>
    <xdr:clientData/>
  </xdr:twoCellAnchor>
  <xdr:twoCellAnchor editAs="oneCell">
    <xdr:from>
      <xdr:col>10</xdr:col>
      <xdr:colOff>66260</xdr:colOff>
      <xdr:row>2</xdr:row>
      <xdr:rowOff>57981</xdr:rowOff>
    </xdr:from>
    <xdr:to>
      <xdr:col>10</xdr:col>
      <xdr:colOff>542292</xdr:colOff>
      <xdr:row>2</xdr:row>
      <xdr:rowOff>521807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1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808303" y="438981"/>
          <a:ext cx="476032" cy="463826"/>
        </a:xfrm>
        <a:prstGeom prst="rect">
          <a:avLst/>
        </a:prstGeom>
      </xdr:spPr>
    </xdr:pic>
    <xdr:clientData/>
  </xdr:twoCellAnchor>
  <xdr:twoCellAnchor editAs="oneCell">
    <xdr:from>
      <xdr:col>11</xdr:col>
      <xdr:colOff>140809</xdr:colOff>
      <xdr:row>2</xdr:row>
      <xdr:rowOff>33132</xdr:rowOff>
    </xdr:from>
    <xdr:to>
      <xdr:col>11</xdr:col>
      <xdr:colOff>480314</xdr:colOff>
      <xdr:row>2</xdr:row>
      <xdr:rowOff>530088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1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495766" y="414132"/>
          <a:ext cx="339505" cy="496956"/>
        </a:xfrm>
        <a:prstGeom prst="rect">
          <a:avLst/>
        </a:prstGeom>
      </xdr:spPr>
    </xdr:pic>
    <xdr:clientData/>
  </xdr:twoCellAnchor>
  <xdr:twoCellAnchor editAs="oneCell">
    <xdr:from>
      <xdr:col>12</xdr:col>
      <xdr:colOff>107675</xdr:colOff>
      <xdr:row>2</xdr:row>
      <xdr:rowOff>74546</xdr:rowOff>
    </xdr:from>
    <xdr:to>
      <xdr:col>12</xdr:col>
      <xdr:colOff>523519</xdr:colOff>
      <xdr:row>2</xdr:row>
      <xdr:rowOff>505242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13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075545" y="455546"/>
          <a:ext cx="415844" cy="430696"/>
        </a:xfrm>
        <a:prstGeom prst="rect">
          <a:avLst/>
        </a:prstGeom>
      </xdr:spPr>
    </xdr:pic>
    <xdr:clientData/>
  </xdr:twoCellAnchor>
  <xdr:twoCellAnchor editAs="oneCell">
    <xdr:from>
      <xdr:col>13</xdr:col>
      <xdr:colOff>66261</xdr:colOff>
      <xdr:row>2</xdr:row>
      <xdr:rowOff>115956</xdr:rowOff>
    </xdr:from>
    <xdr:to>
      <xdr:col>13</xdr:col>
      <xdr:colOff>561342</xdr:colOff>
      <xdr:row>2</xdr:row>
      <xdr:rowOff>480391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13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647044" y="496956"/>
          <a:ext cx="495081" cy="364435"/>
        </a:xfrm>
        <a:prstGeom prst="rect">
          <a:avLst/>
        </a:prstGeom>
      </xdr:spPr>
    </xdr:pic>
    <xdr:clientData/>
  </xdr:twoCellAnchor>
  <xdr:twoCellAnchor editAs="oneCell">
    <xdr:from>
      <xdr:col>14</xdr:col>
      <xdr:colOff>74543</xdr:colOff>
      <xdr:row>2</xdr:row>
      <xdr:rowOff>57979</xdr:rowOff>
    </xdr:from>
    <xdr:to>
      <xdr:col>14</xdr:col>
      <xdr:colOff>546651</xdr:colOff>
      <xdr:row>2</xdr:row>
      <xdr:rowOff>544840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13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9268239" y="438979"/>
          <a:ext cx="472108" cy="486861"/>
        </a:xfrm>
        <a:prstGeom prst="rect">
          <a:avLst/>
        </a:prstGeom>
      </xdr:spPr>
    </xdr:pic>
    <xdr:clientData/>
  </xdr:twoCellAnchor>
  <xdr:twoCellAnchor editAs="oneCell">
    <xdr:from>
      <xdr:col>15</xdr:col>
      <xdr:colOff>33130</xdr:colOff>
      <xdr:row>2</xdr:row>
      <xdr:rowOff>207065</xdr:rowOff>
    </xdr:from>
    <xdr:to>
      <xdr:col>15</xdr:col>
      <xdr:colOff>581243</xdr:colOff>
      <xdr:row>2</xdr:row>
      <xdr:rowOff>414130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13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9839739" y="588065"/>
          <a:ext cx="548113" cy="207065"/>
        </a:xfrm>
        <a:prstGeom prst="rect">
          <a:avLst/>
        </a:prstGeom>
      </xdr:spPr>
    </xdr:pic>
    <xdr:clientData/>
  </xdr:twoCellAnchor>
  <xdr:twoCellAnchor editAs="oneCell">
    <xdr:from>
      <xdr:col>16</xdr:col>
      <xdr:colOff>115956</xdr:colOff>
      <xdr:row>2</xdr:row>
      <xdr:rowOff>57978</xdr:rowOff>
    </xdr:from>
    <xdr:to>
      <xdr:col>16</xdr:col>
      <xdr:colOff>499191</xdr:colOff>
      <xdr:row>2</xdr:row>
      <xdr:rowOff>496956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13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535478" y="438978"/>
          <a:ext cx="383235" cy="438978"/>
        </a:xfrm>
        <a:prstGeom prst="rect">
          <a:avLst/>
        </a:prstGeom>
      </xdr:spPr>
    </xdr:pic>
    <xdr:clientData/>
  </xdr:twoCellAnchor>
  <xdr:twoCellAnchor editAs="oneCell">
    <xdr:from>
      <xdr:col>17</xdr:col>
      <xdr:colOff>74543</xdr:colOff>
      <xdr:row>2</xdr:row>
      <xdr:rowOff>66262</xdr:rowOff>
    </xdr:from>
    <xdr:to>
      <xdr:col>17</xdr:col>
      <xdr:colOff>557108</xdr:colOff>
      <xdr:row>2</xdr:row>
      <xdr:rowOff>554936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13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1106978" y="447262"/>
          <a:ext cx="482565" cy="488674"/>
        </a:xfrm>
        <a:prstGeom prst="rect">
          <a:avLst/>
        </a:prstGeom>
      </xdr:spPr>
    </xdr:pic>
    <xdr:clientData/>
  </xdr:twoCellAnchor>
  <xdr:twoCellAnchor editAs="oneCell">
    <xdr:from>
      <xdr:col>5</xdr:col>
      <xdr:colOff>140805</xdr:colOff>
      <xdr:row>2</xdr:row>
      <xdr:rowOff>41413</xdr:rowOff>
    </xdr:from>
    <xdr:to>
      <xdr:col>5</xdr:col>
      <xdr:colOff>538370</xdr:colOff>
      <xdr:row>2</xdr:row>
      <xdr:rowOff>522417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13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05370" y="422413"/>
          <a:ext cx="397565" cy="48100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JI%20SOLEKHAN\projekt\2019\MEI\PAK%20JULI\RAB\RAB%20BAPAK%20JUL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AP "/>
      <sheetName val="BOQ"/>
      <sheetName val="HRGST"/>
      <sheetName val="Q1"/>
      <sheetName val="KUNCI"/>
      <sheetName val="Sheet4"/>
      <sheetName val="Sheet5"/>
      <sheetName val="Sheet6"/>
      <sheetName val="BAHAN"/>
      <sheetName val="KEB.MATERIAL"/>
      <sheetName val="A"/>
      <sheetName val="B"/>
      <sheetName val="C"/>
      <sheetName val="D"/>
      <sheetName val="E"/>
      <sheetName val="F"/>
      <sheetName val="G"/>
      <sheetName val="H"/>
      <sheetName val="I"/>
      <sheetName val="J"/>
      <sheetName val="K"/>
      <sheetName val="L"/>
      <sheetName val="M"/>
      <sheetName val="N"/>
      <sheetName val="O"/>
      <sheetName val="P"/>
      <sheetName val="R"/>
      <sheetName val="UPAH"/>
      <sheetName val="Sheet1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8">
          <cell r="I8">
            <v>1.37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5.vml"/><Relationship Id="rId3" Type="http://schemas.openxmlformats.org/officeDocument/2006/relationships/hyperlink" Target="https://www.tokopedia.com/tokoputrasejati/roof-drain-pvc-4?trkid=f=Ca0000L000P1W0S0Sh,Co0Po0Fr0Cb0_src=search_page=1_ob=23_q=roof+drain_po=9_catid=4150&amp;lt=/searchproduct%20-%20p2%20-%20product" TargetMode="External"/><Relationship Id="rId7" Type="http://schemas.openxmlformats.org/officeDocument/2006/relationships/drawing" Target="../drawings/drawing3.xml"/><Relationship Id="rId2" Type="http://schemas.openxmlformats.org/officeDocument/2006/relationships/hyperlink" Target="https://www.tokopedia.com/cahayabarugroup/floor-drain-chrome-model-toto?src=topads" TargetMode="External"/><Relationship Id="rId1" Type="http://schemas.openxmlformats.org/officeDocument/2006/relationships/hyperlink" Target="https://www.tokopedia.com/harry-wallpaper/vertical-blind-gorden-kantor-transparan-m2" TargetMode="External"/><Relationship Id="rId6" Type="http://schemas.openxmlformats.org/officeDocument/2006/relationships/printerSettings" Target="../printerSettings/printerSettings7.bin"/><Relationship Id="rId5" Type="http://schemas.openxmlformats.org/officeDocument/2006/relationships/hyperlink" Target="https://www.tokopedia.com/jakartapiranti/stainless-kitchen-sink-modena-ks-3101-tempat-cuci-piring" TargetMode="External"/><Relationship Id="rId4" Type="http://schemas.openxmlformats.org/officeDocument/2006/relationships/hyperlink" Target="https://www.google.com/aclk?sa=l&amp;ai=DChcSEwjdwrbc4b7bAhVOE48KHQx1DkIYABARGgJzYg&amp;sig=AOD64_2dIvDuEWRRVVFYnvkz8HnEeaHKiQ&amp;ctype=5&amp;q=&amp;ved=0ahUKEwizjLPc4b7bAhUJb30KHUgCAP0Q2CkImwI&amp;adurl=" TargetMode="External"/><Relationship Id="rId9" Type="http://schemas.openxmlformats.org/officeDocument/2006/relationships/comments" Target="../comments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9.bin"/><Relationship Id="rId4" Type="http://schemas.openxmlformats.org/officeDocument/2006/relationships/comments" Target="../comments15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T233"/>
  <sheetViews>
    <sheetView tabSelected="1" view="pageBreakPreview" zoomScaleNormal="130" zoomScaleSheetLayoutView="100" workbookViewId="0">
      <selection activeCell="F10" sqref="F10"/>
    </sheetView>
  </sheetViews>
  <sheetFormatPr defaultColWidth="9.140625" defaultRowHeight="14.45" customHeight="1"/>
  <cols>
    <col min="1" max="1" width="5" style="1414" customWidth="1"/>
    <col min="2" max="2" width="13.7109375" style="1414" customWidth="1"/>
    <col min="3" max="3" width="5.5703125" style="1414" customWidth="1"/>
    <col min="4" max="4" width="9.140625" style="1414"/>
    <col min="5" max="5" width="7.7109375" style="1414" customWidth="1"/>
    <col min="6" max="6" width="9" style="1414" customWidth="1"/>
    <col min="7" max="7" width="3.85546875" style="1414" customWidth="1"/>
    <col min="8" max="8" width="7.140625" style="1414" customWidth="1"/>
    <col min="9" max="9" width="4.42578125" style="1414" customWidth="1"/>
    <col min="10" max="10" width="18.140625" style="1414" customWidth="1"/>
    <col min="11" max="11" width="1.7109375" style="1414" customWidth="1"/>
    <col min="12" max="12" width="4.42578125" style="1414" customWidth="1"/>
    <col min="13" max="13" width="19.140625" style="1414" customWidth="1"/>
    <col min="14" max="14" width="3.7109375" style="1414" customWidth="1"/>
    <col min="15" max="15" width="12.85546875" style="1415" customWidth="1"/>
    <col min="16" max="16" width="8.7109375" style="1416" customWidth="1"/>
    <col min="17" max="19" width="8.7109375" style="1414" customWidth="1"/>
    <col min="20" max="16384" width="9.140625" style="1414"/>
  </cols>
  <sheetData>
    <row r="1" spans="1:18" s="2312" customFormat="1" ht="14.45" customHeight="1">
      <c r="A1" s="2658" t="s">
        <v>0</v>
      </c>
      <c r="B1" s="2658"/>
      <c r="C1" s="2658"/>
      <c r="D1" s="2658"/>
      <c r="E1" s="2658"/>
      <c r="F1" s="2658"/>
      <c r="G1" s="2658"/>
      <c r="H1" s="2658"/>
      <c r="I1" s="2658"/>
      <c r="J1" s="2658"/>
      <c r="K1" s="2658"/>
      <c r="L1" s="2658"/>
      <c r="M1" s="2658"/>
      <c r="O1" s="2313"/>
      <c r="P1" s="2314"/>
    </row>
    <row r="2" spans="1:18" s="2312" customFormat="1" ht="14.45" customHeight="1">
      <c r="A2" s="2659" t="s">
        <v>2839</v>
      </c>
      <c r="B2" s="2659"/>
      <c r="C2" s="2659"/>
      <c r="D2" s="2659"/>
      <c r="E2" s="2659"/>
      <c r="F2" s="2659"/>
      <c r="G2" s="2659"/>
      <c r="H2" s="2659"/>
      <c r="I2" s="2659"/>
      <c r="J2" s="2659"/>
      <c r="K2" s="2659"/>
      <c r="L2" s="2659"/>
      <c r="M2" s="2659"/>
      <c r="O2" s="2313"/>
      <c r="P2" s="2314"/>
    </row>
    <row r="3" spans="1:18" s="2312" customFormat="1" ht="14.45" customHeight="1" thickBot="1">
      <c r="A3" s="2312" t="s">
        <v>1</v>
      </c>
      <c r="O3" s="2520" t="s">
        <v>2045</v>
      </c>
      <c r="P3" s="2521" t="s">
        <v>2009</v>
      </c>
      <c r="Q3" s="2522" t="s">
        <v>1791</v>
      </c>
    </row>
    <row r="4" spans="1:18" s="2312" customFormat="1" ht="14.45" customHeight="1" thickTop="1" thickBot="1">
      <c r="A4" s="2315"/>
      <c r="B4" s="1417" t="s">
        <v>2</v>
      </c>
      <c r="C4" s="1417" t="s">
        <v>2597</v>
      </c>
      <c r="D4" s="1417"/>
      <c r="E4" s="1417"/>
      <c r="F4" s="1417"/>
      <c r="G4" s="1417"/>
      <c r="H4" s="1417" t="s">
        <v>3</v>
      </c>
      <c r="I4" s="1417"/>
      <c r="J4" s="1417"/>
      <c r="K4" s="1417" t="s">
        <v>4</v>
      </c>
      <c r="L4" s="1417"/>
      <c r="M4" s="2083" t="str">
        <f>O4&amp;" m x "&amp;P4&amp;" m ("&amp;Q4&amp;" m²)"</f>
        <v>35 m x 66 m (2310 m²)</v>
      </c>
      <c r="O4" s="2517">
        <v>35</v>
      </c>
      <c r="P4" s="2518">
        <v>66</v>
      </c>
      <c r="Q4" s="2519">
        <v>2310</v>
      </c>
    </row>
    <row r="5" spans="1:18" s="2312" customFormat="1" ht="14.45" customHeight="1">
      <c r="A5" s="2316"/>
      <c r="B5" s="1419" t="s">
        <v>5</v>
      </c>
      <c r="C5" s="1419" t="s">
        <v>2598</v>
      </c>
      <c r="D5" s="1419"/>
      <c r="E5" s="1419"/>
      <c r="F5" s="1419"/>
      <c r="G5" s="1419"/>
      <c r="H5" s="1419" t="s">
        <v>2371</v>
      </c>
      <c r="I5" s="1419"/>
      <c r="J5" s="1419"/>
      <c r="K5" s="1419" t="s">
        <v>4</v>
      </c>
      <c r="L5" s="1419"/>
      <c r="M5" s="2523">
        <v>481</v>
      </c>
      <c r="O5" s="1415"/>
      <c r="P5" s="2317"/>
      <c r="Q5" s="2317"/>
      <c r="R5" s="2318"/>
    </row>
    <row r="6" spans="1:18" s="2312" customFormat="1" ht="14.45" customHeight="1">
      <c r="A6" s="2316"/>
      <c r="B6" s="1419" t="s">
        <v>6</v>
      </c>
      <c r="C6" s="1419" t="s">
        <v>2840</v>
      </c>
      <c r="D6" s="1419"/>
      <c r="E6" s="1419"/>
      <c r="F6" s="1419"/>
      <c r="G6" s="1419"/>
      <c r="H6" s="1419" t="s">
        <v>2372</v>
      </c>
      <c r="I6" s="1419"/>
      <c r="J6" s="1419"/>
      <c r="K6" s="1419" t="s">
        <v>4</v>
      </c>
      <c r="L6" s="1419"/>
      <c r="M6" s="2523">
        <v>0</v>
      </c>
      <c r="O6" s="1415"/>
      <c r="P6" s="2317"/>
      <c r="Q6" s="2317"/>
    </row>
    <row r="7" spans="1:18" s="2312" customFormat="1" ht="14.45" customHeight="1">
      <c r="A7" s="2316"/>
      <c r="B7" s="1419" t="s">
        <v>7</v>
      </c>
      <c r="C7" s="1419" t="s">
        <v>3018</v>
      </c>
      <c r="D7" s="1419"/>
      <c r="E7" s="1419"/>
      <c r="F7" s="1419"/>
      <c r="G7" s="1419"/>
      <c r="H7" s="1419" t="s">
        <v>2373</v>
      </c>
      <c r="I7" s="1419"/>
      <c r="J7" s="1419"/>
      <c r="K7" s="1419" t="s">
        <v>4</v>
      </c>
      <c r="L7" s="1419"/>
      <c r="M7" s="2523"/>
      <c r="O7" s="1415"/>
      <c r="P7" s="2317"/>
      <c r="Q7" s="2317"/>
    </row>
    <row r="8" spans="1:18" s="2312" customFormat="1" ht="14.45" customHeight="1">
      <c r="A8" s="2316"/>
      <c r="B8" s="1419" t="s">
        <v>8</v>
      </c>
      <c r="C8" s="1419" t="s">
        <v>3017</v>
      </c>
      <c r="D8" s="1419"/>
      <c r="E8" s="1419"/>
      <c r="F8" s="1419"/>
      <c r="G8" s="1419"/>
      <c r="H8" s="1419"/>
      <c r="I8" s="1419"/>
      <c r="J8" s="1419"/>
      <c r="K8" s="1419"/>
      <c r="L8" s="1419"/>
      <c r="M8" s="2523"/>
      <c r="O8" s="1415"/>
      <c r="P8" s="2317"/>
      <c r="Q8" s="2317"/>
    </row>
    <row r="9" spans="1:18" s="2312" customFormat="1" ht="14.45" customHeight="1">
      <c r="A9" s="2316"/>
      <c r="B9" s="1419" t="s">
        <v>9</v>
      </c>
      <c r="C9" s="1419" t="s">
        <v>3017</v>
      </c>
      <c r="D9" s="1419"/>
      <c r="E9" s="1419"/>
      <c r="F9" s="1419"/>
      <c r="G9" s="1419"/>
      <c r="H9" s="1419"/>
      <c r="I9" s="1419"/>
      <c r="J9" s="1419"/>
      <c r="K9" s="1419"/>
      <c r="L9" s="1419"/>
      <c r="M9" s="2523"/>
      <c r="O9" s="1415"/>
      <c r="P9" s="2319"/>
      <c r="Q9" s="2317"/>
    </row>
    <row r="10" spans="1:18" s="2312" customFormat="1" ht="14.45" customHeight="1">
      <c r="A10" s="2316"/>
      <c r="B10" s="1419" t="s">
        <v>10</v>
      </c>
      <c r="C10" s="1419" t="s">
        <v>3017</v>
      </c>
      <c r="D10" s="1419"/>
      <c r="E10" s="1419"/>
      <c r="F10" s="1419"/>
      <c r="G10" s="1419"/>
      <c r="H10" s="1419"/>
      <c r="I10" s="1419"/>
      <c r="J10" s="1419"/>
      <c r="K10" s="1419"/>
      <c r="L10" s="1419"/>
      <c r="M10" s="2523"/>
      <c r="O10" s="1415"/>
      <c r="P10" s="2319"/>
      <c r="Q10" s="2317"/>
    </row>
    <row r="11" spans="1:18" s="2312" customFormat="1" ht="14.45" customHeight="1" thickBot="1">
      <c r="A11" s="2320"/>
      <c r="B11" s="1420"/>
      <c r="C11" s="1420"/>
      <c r="D11" s="1420"/>
      <c r="E11" s="1420"/>
      <c r="F11" s="1420"/>
      <c r="G11" s="1420"/>
      <c r="H11" s="1420" t="s">
        <v>11</v>
      </c>
      <c r="I11" s="1420"/>
      <c r="J11" s="1420"/>
      <c r="K11" s="1420" t="s">
        <v>4</v>
      </c>
      <c r="L11" s="1420"/>
      <c r="M11" s="2524">
        <f>SUM(M5:M10)</f>
        <v>481</v>
      </c>
      <c r="O11" s="1415"/>
      <c r="P11" s="2314"/>
    </row>
    <row r="12" spans="1:18" ht="14.45" customHeight="1" thickTop="1" thickBot="1">
      <c r="M12" s="1421"/>
    </row>
    <row r="13" spans="1:18" s="1462" customFormat="1" ht="13.5" thickTop="1">
      <c r="A13" s="2660" t="s">
        <v>157</v>
      </c>
      <c r="B13" s="2650" t="s">
        <v>158</v>
      </c>
      <c r="C13" s="2662"/>
      <c r="D13" s="2662"/>
      <c r="E13" s="2662"/>
      <c r="F13" s="2662"/>
      <c r="G13" s="2662"/>
      <c r="H13" s="2663"/>
      <c r="I13" s="2650" t="s">
        <v>159</v>
      </c>
      <c r="J13" s="2662"/>
      <c r="K13" s="2663"/>
      <c r="L13" s="2650" t="s">
        <v>160</v>
      </c>
      <c r="M13" s="2651"/>
      <c r="O13" s="1463"/>
      <c r="P13" s="1464"/>
    </row>
    <row r="14" spans="1:18" s="1462" customFormat="1" ht="14.45" customHeight="1" thickBot="1">
      <c r="A14" s="2661"/>
      <c r="B14" s="2664"/>
      <c r="C14" s="2665"/>
      <c r="D14" s="2665"/>
      <c r="E14" s="2665"/>
      <c r="F14" s="2665"/>
      <c r="G14" s="2665"/>
      <c r="H14" s="2666"/>
      <c r="I14" s="2664" t="s">
        <v>2659</v>
      </c>
      <c r="J14" s="2665"/>
      <c r="K14" s="2666"/>
      <c r="L14" s="2664" t="s">
        <v>2659</v>
      </c>
      <c r="M14" s="2667"/>
      <c r="O14" s="1463"/>
      <c r="P14" s="1464"/>
    </row>
    <row r="15" spans="1:18" ht="14.25" customHeight="1" thickTop="1">
      <c r="A15" s="998" t="s">
        <v>17</v>
      </c>
      <c r="B15" s="1434" t="str">
        <f>BOQ!$B$16</f>
        <v>PEKERJAAN PERSIAPAN</v>
      </c>
      <c r="C15" s="1434"/>
      <c r="D15" s="1434"/>
      <c r="E15" s="1434"/>
      <c r="F15" s="1434"/>
      <c r="G15" s="1434"/>
      <c r="H15" s="1434"/>
      <c r="I15" s="1422" t="s">
        <v>161</v>
      </c>
      <c r="J15" s="1426">
        <f>BOQ!$L$30</f>
        <v>0</v>
      </c>
      <c r="K15" s="1435"/>
      <c r="L15" s="1422" t="s">
        <v>161</v>
      </c>
      <c r="M15" s="1428">
        <f>J15</f>
        <v>0</v>
      </c>
    </row>
    <row r="16" spans="1:18" ht="14.45" customHeight="1">
      <c r="A16" s="998" t="s">
        <v>40</v>
      </c>
      <c r="B16" s="1434" t="str">
        <f>BOQ!$B$31</f>
        <v>PEKERJAAN GALIAN TANAH + URUGAN</v>
      </c>
      <c r="C16" s="1434"/>
      <c r="D16" s="1434"/>
      <c r="E16" s="1434"/>
      <c r="F16" s="1434"/>
      <c r="G16" s="1434"/>
      <c r="H16" s="1434"/>
      <c r="I16" s="1422" t="s">
        <v>161</v>
      </c>
      <c r="J16" s="1426">
        <f>BOQ!$L$41</f>
        <v>0</v>
      </c>
      <c r="K16" s="1435"/>
      <c r="L16" s="1422" t="s">
        <v>161</v>
      </c>
      <c r="M16" s="1428">
        <f>J16</f>
        <v>0</v>
      </c>
      <c r="R16" s="1462"/>
    </row>
    <row r="17" spans="1:18" ht="14.45" customHeight="1">
      <c r="A17" s="998" t="s">
        <v>40</v>
      </c>
      <c r="B17" s="1434" t="str">
        <f>BOQ!$B$42</f>
        <v>PEKERJAAN STRUKTUR BETON BERTULANG</v>
      </c>
      <c r="C17" s="1434"/>
      <c r="D17" s="1434"/>
      <c r="E17" s="1434"/>
      <c r="F17" s="1434"/>
      <c r="G17" s="1434"/>
      <c r="H17" s="1434"/>
      <c r="I17" s="1422"/>
      <c r="J17" s="1426"/>
      <c r="K17" s="1435"/>
      <c r="L17" s="1422" t="s">
        <v>161</v>
      </c>
      <c r="M17" s="2053">
        <f>SUM(J18:J23)</f>
        <v>0</v>
      </c>
    </row>
    <row r="18" spans="1:18" ht="14.45" customHeight="1">
      <c r="A18" s="998" t="s">
        <v>42</v>
      </c>
      <c r="B18" s="1434" t="str">
        <f>BOQ!$B$43</f>
        <v>Lantai 1 &amp; Pondasi</v>
      </c>
      <c r="C18" s="1434"/>
      <c r="D18" s="1434"/>
      <c r="E18" s="1434"/>
      <c r="F18" s="1434"/>
      <c r="G18" s="1434"/>
      <c r="H18" s="1434"/>
      <c r="I18" s="1422" t="s">
        <v>161</v>
      </c>
      <c r="J18" s="1426">
        <f>BOQ!L119</f>
        <v>0</v>
      </c>
      <c r="K18" s="1435"/>
      <c r="L18" s="1422"/>
      <c r="M18" s="2053"/>
      <c r="R18" s="1462"/>
    </row>
    <row r="19" spans="1:18" ht="14.45" customHeight="1">
      <c r="A19" s="998" t="s">
        <v>60</v>
      </c>
      <c r="B19" s="1434" t="str">
        <f>BOQ!$B$120</f>
        <v>Lantai 2 dan Mezannine</v>
      </c>
      <c r="C19" s="1434"/>
      <c r="D19" s="1434"/>
      <c r="E19" s="1434"/>
      <c r="F19" s="1434"/>
      <c r="G19" s="1434"/>
      <c r="H19" s="1434"/>
      <c r="I19" s="1422" t="s">
        <v>161</v>
      </c>
      <c r="J19" s="1426">
        <f>BOQ!L204</f>
        <v>0</v>
      </c>
      <c r="K19" s="1435"/>
      <c r="L19" s="1422"/>
      <c r="M19" s="1428"/>
    </row>
    <row r="20" spans="1:18" ht="14.45" customHeight="1">
      <c r="A20" s="998" t="s">
        <v>71</v>
      </c>
      <c r="B20" s="1434" t="str">
        <f>BOQ!$B$205</f>
        <v>Lantai Atap</v>
      </c>
      <c r="C20" s="1434"/>
      <c r="D20" s="1434"/>
      <c r="E20" s="1434"/>
      <c r="F20" s="1434"/>
      <c r="G20" s="1434"/>
      <c r="H20" s="1434"/>
      <c r="I20" s="1422" t="s">
        <v>161</v>
      </c>
      <c r="J20" s="1426">
        <f>BOQ!L267</f>
        <v>0</v>
      </c>
      <c r="K20" s="1435"/>
      <c r="L20" s="1422"/>
      <c r="M20" s="1428"/>
      <c r="R20" s="1462"/>
    </row>
    <row r="21" spans="1:18" ht="14.45" hidden="1" customHeight="1">
      <c r="A21" s="1789" t="s">
        <v>1413</v>
      </c>
      <c r="B21" s="2377" t="str">
        <f>BOQ!$B$268</f>
        <v>Lantai Atap</v>
      </c>
      <c r="C21" s="2377"/>
      <c r="D21" s="2377"/>
      <c r="E21" s="2377"/>
      <c r="F21" s="2377"/>
      <c r="G21" s="2377"/>
      <c r="H21" s="2377"/>
      <c r="I21" s="1422" t="s">
        <v>161</v>
      </c>
      <c r="J21" s="2379">
        <f>BOQ!$L$334</f>
        <v>0</v>
      </c>
      <c r="K21" s="2380"/>
      <c r="L21" s="2378"/>
      <c r="M21" s="2053"/>
    </row>
    <row r="22" spans="1:18" ht="14.45" hidden="1" customHeight="1">
      <c r="A22" s="998" t="s">
        <v>1010</v>
      </c>
      <c r="B22" s="1434" t="str">
        <f>BOQ!$B$335</f>
        <v>Lantai 4</v>
      </c>
      <c r="C22" s="1434"/>
      <c r="D22" s="1434"/>
      <c r="E22" s="1434"/>
      <c r="F22" s="1434"/>
      <c r="G22" s="1434"/>
      <c r="H22" s="1434"/>
      <c r="I22" s="1422" t="s">
        <v>161</v>
      </c>
      <c r="J22" s="1426">
        <f>BOQ!L383</f>
        <v>0</v>
      </c>
      <c r="K22" s="1435"/>
      <c r="L22" s="1422"/>
      <c r="M22" s="1428"/>
      <c r="R22" s="1462"/>
    </row>
    <row r="23" spans="1:18" ht="14.45" hidden="1" customHeight="1">
      <c r="A23" s="998" t="s">
        <v>1022</v>
      </c>
      <c r="B23" s="1434" t="s">
        <v>72</v>
      </c>
      <c r="C23" s="1434"/>
      <c r="D23" s="1434"/>
      <c r="E23" s="1434"/>
      <c r="F23" s="1434"/>
      <c r="G23" s="1434"/>
      <c r="H23" s="1434"/>
      <c r="I23" s="1422" t="s">
        <v>161</v>
      </c>
      <c r="J23" s="1426">
        <f>BOQ!$L$432</f>
        <v>0</v>
      </c>
      <c r="K23" s="1435"/>
      <c r="L23" s="1422"/>
      <c r="M23" s="1428"/>
      <c r="R23" s="1462"/>
    </row>
    <row r="24" spans="1:18" ht="14.45" customHeight="1">
      <c r="A24" s="998" t="s">
        <v>73</v>
      </c>
      <c r="B24" s="1434" t="str">
        <f>BOQ!$B$433</f>
        <v>PEKERJAAN DINDING</v>
      </c>
      <c r="C24" s="1434"/>
      <c r="D24" s="1434"/>
      <c r="E24" s="1434"/>
      <c r="F24" s="1434"/>
      <c r="G24" s="1434"/>
      <c r="H24" s="1434"/>
      <c r="I24" s="1422"/>
      <c r="J24" s="1426"/>
      <c r="K24" s="1435"/>
      <c r="L24" s="1422" t="s">
        <v>161</v>
      </c>
      <c r="M24" s="2053">
        <f>SUM(J25:J30)</f>
        <v>0</v>
      </c>
    </row>
    <row r="25" spans="1:18" ht="14.45" customHeight="1">
      <c r="A25" s="998" t="s">
        <v>42</v>
      </c>
      <c r="B25" s="1434" t="str">
        <f>BOQ!$B$434</f>
        <v>Lantai 1</v>
      </c>
      <c r="C25" s="1434"/>
      <c r="D25" s="1434"/>
      <c r="E25" s="1434"/>
      <c r="F25" s="1434"/>
      <c r="G25" s="1434"/>
      <c r="H25" s="1434"/>
      <c r="I25" s="1422" t="s">
        <v>161</v>
      </c>
      <c r="J25" s="1426">
        <f>BOQ!L439</f>
        <v>0</v>
      </c>
      <c r="K25" s="1435"/>
      <c r="L25" s="1422"/>
      <c r="M25" s="1428"/>
      <c r="R25" s="1462"/>
    </row>
    <row r="26" spans="1:18" ht="14.45" customHeight="1">
      <c r="A26" s="998" t="s">
        <v>60</v>
      </c>
      <c r="B26" s="1434" t="str">
        <f>BOQ!$B$440</f>
        <v>Lantai 2</v>
      </c>
      <c r="C26" s="1434"/>
      <c r="D26" s="1434"/>
      <c r="E26" s="1434"/>
      <c r="F26" s="1434"/>
      <c r="G26" s="1434"/>
      <c r="H26" s="1434"/>
      <c r="I26" s="1422" t="s">
        <v>161</v>
      </c>
      <c r="J26" s="1426">
        <f>BOQ!L445</f>
        <v>0</v>
      </c>
      <c r="K26" s="1435"/>
      <c r="L26" s="1422"/>
      <c r="M26" s="1428"/>
    </row>
    <row r="27" spans="1:18" ht="14.45" customHeight="1">
      <c r="A27" s="998" t="s">
        <v>71</v>
      </c>
      <c r="B27" s="1434" t="str">
        <f>BOQ!$B$446</f>
        <v>Lantai Atap</v>
      </c>
      <c r="C27" s="1434"/>
      <c r="D27" s="1434"/>
      <c r="E27" s="1434"/>
      <c r="F27" s="1434"/>
      <c r="G27" s="1434"/>
      <c r="H27" s="1434"/>
      <c r="I27" s="1422" t="s">
        <v>161</v>
      </c>
      <c r="J27" s="1426">
        <f>BOQ!L451</f>
        <v>0</v>
      </c>
      <c r="K27" s="1435"/>
      <c r="L27" s="1422"/>
      <c r="M27" s="1428"/>
      <c r="R27" s="1462"/>
    </row>
    <row r="28" spans="1:18" ht="14.45" hidden="1" customHeight="1">
      <c r="A28" s="1789" t="s">
        <v>1413</v>
      </c>
      <c r="B28" s="2377" t="str">
        <f>BOQ!$B$452</f>
        <v>Lantai Atap</v>
      </c>
      <c r="C28" s="2377"/>
      <c r="D28" s="2377"/>
      <c r="E28" s="2377"/>
      <c r="F28" s="2377"/>
      <c r="G28" s="2377"/>
      <c r="H28" s="2377"/>
      <c r="I28" s="1422" t="s">
        <v>161</v>
      </c>
      <c r="J28" s="2379">
        <f>BOQ!$L$457</f>
        <v>0</v>
      </c>
      <c r="K28" s="2380"/>
      <c r="L28" s="2378"/>
      <c r="M28" s="2053"/>
    </row>
    <row r="29" spans="1:18" ht="14.25" hidden="1" customHeight="1">
      <c r="A29" s="998" t="s">
        <v>1010</v>
      </c>
      <c r="B29" s="1434" t="str">
        <f>BOQ!$B$458</f>
        <v>Lantai 4</v>
      </c>
      <c r="C29" s="1434"/>
      <c r="D29" s="1434"/>
      <c r="E29" s="1434"/>
      <c r="F29" s="1434"/>
      <c r="G29" s="1434"/>
      <c r="H29" s="1434"/>
      <c r="I29" s="1422" t="s">
        <v>161</v>
      </c>
      <c r="J29" s="1426">
        <f>BOQ!L463</f>
        <v>0</v>
      </c>
      <c r="K29" s="1435"/>
      <c r="L29" s="1422"/>
      <c r="M29" s="1428"/>
      <c r="R29" s="1462"/>
    </row>
    <row r="30" spans="1:18" ht="14.45" hidden="1" customHeight="1">
      <c r="A30" s="998" t="s">
        <v>1022</v>
      </c>
      <c r="B30" s="1434" t="s">
        <v>72</v>
      </c>
      <c r="C30" s="1434"/>
      <c r="D30" s="1434"/>
      <c r="E30" s="1434"/>
      <c r="F30" s="1434"/>
      <c r="G30" s="1434"/>
      <c r="H30" s="1434"/>
      <c r="I30" s="1422" t="s">
        <v>161</v>
      </c>
      <c r="J30" s="1426">
        <f>BOQ!$L$469</f>
        <v>0</v>
      </c>
      <c r="K30" s="1435"/>
      <c r="L30" s="1422"/>
      <c r="M30" s="1428"/>
      <c r="R30" s="1462"/>
    </row>
    <row r="31" spans="1:18" ht="14.45" customHeight="1">
      <c r="A31" s="998" t="s">
        <v>75</v>
      </c>
      <c r="B31" s="1434" t="str">
        <f>BOQ!$B$470</f>
        <v>PEKERJAAN ATAP</v>
      </c>
      <c r="C31" s="1434"/>
      <c r="D31" s="1434"/>
      <c r="E31" s="1434"/>
      <c r="F31" s="1434"/>
      <c r="G31" s="1434"/>
      <c r="H31" s="1434"/>
      <c r="I31" s="1422" t="s">
        <v>161</v>
      </c>
      <c r="J31" s="1426">
        <f>BOQ!L495</f>
        <v>0</v>
      </c>
      <c r="K31" s="1435"/>
      <c r="L31" s="1422" t="s">
        <v>161</v>
      </c>
      <c r="M31" s="1428">
        <f>J31</f>
        <v>0</v>
      </c>
    </row>
    <row r="32" spans="1:18" ht="14.45" customHeight="1">
      <c r="A32" s="998" t="s">
        <v>78</v>
      </c>
      <c r="B32" s="1434" t="str">
        <f>BOQ!B496</f>
        <v>PEKERJAAN KUSEN, PINTU DAN JENDELA</v>
      </c>
      <c r="C32" s="1434"/>
      <c r="D32" s="1434"/>
      <c r="E32" s="1434"/>
      <c r="F32" s="1434"/>
      <c r="G32" s="1434"/>
      <c r="H32" s="1434"/>
      <c r="I32" s="1422"/>
      <c r="J32" s="1426"/>
      <c r="K32" s="1435"/>
      <c r="L32" s="1422" t="s">
        <v>161</v>
      </c>
      <c r="M32" s="2053">
        <f>SUM(J33:J36)</f>
        <v>0</v>
      </c>
      <c r="R32" s="1462"/>
    </row>
    <row r="33" spans="1:18" ht="14.45" customHeight="1">
      <c r="A33" s="998" t="s">
        <v>42</v>
      </c>
      <c r="B33" s="1434" t="str">
        <f>BOQ!$B$497</f>
        <v>Lantai 1</v>
      </c>
      <c r="C33" s="1434"/>
      <c r="D33" s="1434"/>
      <c r="E33" s="1434"/>
      <c r="F33" s="1434"/>
      <c r="G33" s="1434"/>
      <c r="H33" s="1434"/>
      <c r="I33" s="1422" t="s">
        <v>161</v>
      </c>
      <c r="J33" s="1426">
        <f>BOQ!L527</f>
        <v>0</v>
      </c>
      <c r="K33" s="1435"/>
      <c r="L33" s="1422"/>
      <c r="M33" s="1428"/>
    </row>
    <row r="34" spans="1:18" ht="14.45" customHeight="1">
      <c r="A34" s="998" t="s">
        <v>60</v>
      </c>
      <c r="B34" s="1434" t="str">
        <f>BOQ!$B$528</f>
        <v>Lantai 2 dan Mezzanine</v>
      </c>
      <c r="C34" s="1434"/>
      <c r="D34" s="1434"/>
      <c r="E34" s="1434"/>
      <c r="F34" s="1434"/>
      <c r="G34" s="1434"/>
      <c r="H34" s="1434"/>
      <c r="I34" s="1422" t="s">
        <v>161</v>
      </c>
      <c r="J34" s="1426">
        <f>BOQ!L558</f>
        <v>0</v>
      </c>
      <c r="K34" s="1435"/>
      <c r="L34" s="1422"/>
      <c r="M34" s="1428"/>
      <c r="R34" s="1462"/>
    </row>
    <row r="35" spans="1:18" ht="14.45" customHeight="1">
      <c r="A35" s="998" t="s">
        <v>71</v>
      </c>
      <c r="B35" s="1434" t="str">
        <f>BOQ!$B$559</f>
        <v>Lantai Atap</v>
      </c>
      <c r="C35" s="1434"/>
      <c r="D35" s="1434"/>
      <c r="E35" s="1434"/>
      <c r="F35" s="1434"/>
      <c r="G35" s="1434"/>
      <c r="H35" s="1434"/>
      <c r="I35" s="1422" t="s">
        <v>161</v>
      </c>
      <c r="J35" s="1426">
        <f>BOQ!L589</f>
        <v>0</v>
      </c>
      <c r="K35" s="1435"/>
      <c r="L35" s="1422"/>
      <c r="M35" s="1428"/>
    </row>
    <row r="36" spans="1:18" ht="14.45" hidden="1" customHeight="1">
      <c r="A36" s="1789" t="s">
        <v>1413</v>
      </c>
      <c r="B36" s="2377" t="str">
        <f>BOQ!$B$590</f>
        <v>Lantai 4</v>
      </c>
      <c r="C36" s="2377"/>
      <c r="D36" s="2377"/>
      <c r="E36" s="2377"/>
      <c r="F36" s="2377"/>
      <c r="G36" s="2377"/>
      <c r="H36" s="2377"/>
      <c r="I36" s="1422" t="s">
        <v>161</v>
      </c>
      <c r="J36" s="2379">
        <f>BOQ!$L$620</f>
        <v>0</v>
      </c>
      <c r="K36" s="2380"/>
      <c r="L36" s="2378"/>
      <c r="M36" s="2053"/>
      <c r="R36" s="1462"/>
    </row>
    <row r="37" spans="1:18" ht="14.45" customHeight="1">
      <c r="A37" s="998" t="s">
        <v>82</v>
      </c>
      <c r="B37" s="1434" t="str">
        <f>BOQ!B621</f>
        <v>PEKERJAAN ENGSEL DAN KUNCI</v>
      </c>
      <c r="C37" s="1434"/>
      <c r="D37" s="1434"/>
      <c r="E37" s="1434"/>
      <c r="F37" s="1434"/>
      <c r="G37" s="1434"/>
      <c r="H37" s="1434"/>
      <c r="I37" s="1422" t="s">
        <v>161</v>
      </c>
      <c r="J37" s="1426">
        <f>BOQ!L635</f>
        <v>0</v>
      </c>
      <c r="K37" s="1435"/>
      <c r="L37" s="1422" t="s">
        <v>161</v>
      </c>
      <c r="M37" s="1428">
        <f>J37</f>
        <v>0</v>
      </c>
    </row>
    <row r="38" spans="1:18" ht="14.45" customHeight="1">
      <c r="A38" s="998" t="s">
        <v>95</v>
      </c>
      <c r="B38" s="1434" t="str">
        <f>BOQ!B636</f>
        <v>PEKERJAAN INSTALASI AIR  &amp; SANITARI</v>
      </c>
      <c r="C38" s="1434"/>
      <c r="D38" s="1434"/>
      <c r="E38" s="1434"/>
      <c r="F38" s="1434"/>
      <c r="G38" s="1434"/>
      <c r="H38" s="1434"/>
      <c r="I38" s="1422"/>
      <c r="J38" s="1426"/>
      <c r="K38" s="1435"/>
      <c r="L38" s="1422" t="s">
        <v>161</v>
      </c>
      <c r="M38" s="2053">
        <f>SUM(J39:J44)</f>
        <v>0</v>
      </c>
      <c r="R38" s="1462"/>
    </row>
    <row r="39" spans="1:18" ht="14.45" customHeight="1">
      <c r="A39" s="998" t="s">
        <v>42</v>
      </c>
      <c r="B39" s="1434" t="str">
        <f>BOQ!$B$637</f>
        <v>Lantai 1</v>
      </c>
      <c r="C39" s="1434"/>
      <c r="D39" s="1434"/>
      <c r="E39" s="1434"/>
      <c r="F39" s="1434"/>
      <c r="G39" s="1434"/>
      <c r="H39" s="1434"/>
      <c r="I39" s="1422" t="s">
        <v>161</v>
      </c>
      <c r="J39" s="1426">
        <f>BOQ!L679</f>
        <v>0</v>
      </c>
      <c r="K39" s="1435"/>
      <c r="L39" s="1422"/>
      <c r="M39" s="1428"/>
    </row>
    <row r="40" spans="1:18" ht="14.45" customHeight="1">
      <c r="A40" s="998" t="s">
        <v>60</v>
      </c>
      <c r="B40" s="1434" t="str">
        <f>BOQ!$B$680</f>
        <v>Lantai 2</v>
      </c>
      <c r="C40" s="1434"/>
      <c r="D40" s="1434"/>
      <c r="E40" s="1434"/>
      <c r="F40" s="1434"/>
      <c r="G40" s="1434"/>
      <c r="H40" s="1434"/>
      <c r="I40" s="1422" t="s">
        <v>161</v>
      </c>
      <c r="J40" s="1426">
        <f>BOQ!L717</f>
        <v>0</v>
      </c>
      <c r="K40" s="1435"/>
      <c r="L40" s="1422"/>
      <c r="M40" s="1428"/>
      <c r="R40" s="1462"/>
    </row>
    <row r="41" spans="1:18" ht="14.45" customHeight="1">
      <c r="A41" s="998" t="s">
        <v>71</v>
      </c>
      <c r="B41" s="1434" t="str">
        <f>BOQ!$B$718</f>
        <v>Lantai Atap</v>
      </c>
      <c r="C41" s="1434"/>
      <c r="D41" s="1434"/>
      <c r="E41" s="1434"/>
      <c r="F41" s="1434"/>
      <c r="G41" s="1434"/>
      <c r="H41" s="1434"/>
      <c r="I41" s="1422" t="s">
        <v>161</v>
      </c>
      <c r="J41" s="1426">
        <f>BOQ!L756</f>
        <v>0</v>
      </c>
      <c r="K41" s="1435"/>
      <c r="L41" s="1422"/>
      <c r="M41" s="1428"/>
    </row>
    <row r="42" spans="1:18" ht="14.45" hidden="1" customHeight="1">
      <c r="A42" s="1789" t="s">
        <v>1413</v>
      </c>
      <c r="B42" s="2377" t="str">
        <f>BOQ!$B$757</f>
        <v>Lantai Atap</v>
      </c>
      <c r="C42" s="2377"/>
      <c r="D42" s="2377"/>
      <c r="E42" s="2377"/>
      <c r="F42" s="2377"/>
      <c r="G42" s="2377"/>
      <c r="H42" s="2377"/>
      <c r="I42" s="1422" t="s">
        <v>161</v>
      </c>
      <c r="J42" s="2379">
        <f>BOQ!$L$795</f>
        <v>0</v>
      </c>
      <c r="K42" s="2380"/>
      <c r="L42" s="2378"/>
      <c r="M42" s="2053"/>
      <c r="R42" s="1462"/>
    </row>
    <row r="43" spans="1:18" ht="14.45" hidden="1" customHeight="1">
      <c r="A43" s="998" t="s">
        <v>1010</v>
      </c>
      <c r="B43" s="1434" t="str">
        <f>BOQ!$B$796</f>
        <v>Lantai 4</v>
      </c>
      <c r="C43" s="1434"/>
      <c r="D43" s="1434"/>
      <c r="E43" s="1434"/>
      <c r="F43" s="1434"/>
      <c r="G43" s="1434"/>
      <c r="H43" s="1434"/>
      <c r="I43" s="1422" t="s">
        <v>161</v>
      </c>
      <c r="J43" s="1426">
        <f>BOQ!L834</f>
        <v>0</v>
      </c>
      <c r="K43" s="1435"/>
      <c r="L43" s="1422"/>
      <c r="M43" s="1428"/>
      <c r="N43" s="1414" t="s">
        <v>163</v>
      </c>
      <c r="P43" s="1434"/>
    </row>
    <row r="44" spans="1:18" ht="14.45" hidden="1" customHeight="1">
      <c r="A44" s="998" t="s">
        <v>1022</v>
      </c>
      <c r="B44" s="1434" t="s">
        <v>72</v>
      </c>
      <c r="C44" s="1434"/>
      <c r="D44" s="1434"/>
      <c r="E44" s="1434"/>
      <c r="F44" s="1434"/>
      <c r="G44" s="1434"/>
      <c r="H44" s="1434"/>
      <c r="I44" s="1422" t="s">
        <v>161</v>
      </c>
      <c r="J44" s="1426">
        <f>BOQ!$L$873</f>
        <v>0</v>
      </c>
      <c r="K44" s="1435"/>
      <c r="L44" s="1422"/>
      <c r="M44" s="1428"/>
      <c r="N44" s="1414" t="s">
        <v>163</v>
      </c>
      <c r="P44" s="1434"/>
    </row>
    <row r="45" spans="1:18" ht="14.45" customHeight="1">
      <c r="A45" s="998" t="s">
        <v>97</v>
      </c>
      <c r="B45" s="1434" t="str">
        <f>BOQ!B874</f>
        <v>PEKERJAAN PLAFOND</v>
      </c>
      <c r="C45" s="1434"/>
      <c r="D45" s="1434"/>
      <c r="E45" s="1434"/>
      <c r="F45" s="1434"/>
      <c r="G45" s="1434"/>
      <c r="H45" s="1434"/>
      <c r="I45" s="1422"/>
      <c r="J45" s="1426"/>
      <c r="K45" s="1435"/>
      <c r="L45" s="1422" t="s">
        <v>161</v>
      </c>
      <c r="M45" s="2053">
        <f>SUM(J46:J50)</f>
        <v>0</v>
      </c>
      <c r="P45" s="1434"/>
      <c r="R45" s="1462"/>
    </row>
    <row r="46" spans="1:18" ht="14.45" customHeight="1">
      <c r="A46" s="998" t="s">
        <v>42</v>
      </c>
      <c r="B46" s="1434" t="str">
        <f>BOQ!$B$875</f>
        <v>Lantai 1</v>
      </c>
      <c r="C46" s="1434"/>
      <c r="D46" s="1434"/>
      <c r="E46" s="1434"/>
      <c r="F46" s="1434"/>
      <c r="G46" s="1434"/>
      <c r="H46" s="1434"/>
      <c r="I46" s="1422" t="s">
        <v>161</v>
      </c>
      <c r="J46" s="1426">
        <f>BOQ!L882</f>
        <v>0</v>
      </c>
      <c r="K46" s="1435"/>
      <c r="L46" s="1422"/>
      <c r="M46" s="1428"/>
      <c r="P46" s="1434"/>
    </row>
    <row r="47" spans="1:18" ht="14.45" customHeight="1">
      <c r="A47" s="998" t="s">
        <v>60</v>
      </c>
      <c r="B47" s="1434" t="str">
        <f>BOQ!$B$883</f>
        <v>Lantai 2</v>
      </c>
      <c r="C47" s="1434"/>
      <c r="D47" s="1434"/>
      <c r="E47" s="1434"/>
      <c r="F47" s="1434"/>
      <c r="G47" s="1434"/>
      <c r="H47" s="1434"/>
      <c r="I47" s="1422" t="s">
        <v>161</v>
      </c>
      <c r="J47" s="1426">
        <f>BOQ!L890</f>
        <v>0</v>
      </c>
      <c r="K47" s="1435"/>
      <c r="L47" s="1422"/>
      <c r="M47" s="1428"/>
      <c r="P47" s="1434"/>
      <c r="R47" s="1462"/>
    </row>
    <row r="48" spans="1:18" ht="14.45" customHeight="1">
      <c r="A48" s="998" t="s">
        <v>71</v>
      </c>
      <c r="B48" s="1434" t="str">
        <f>BOQ!$B$891</f>
        <v>Lantai Atap</v>
      </c>
      <c r="C48" s="1434"/>
      <c r="D48" s="1434"/>
      <c r="E48" s="1434"/>
      <c r="F48" s="1434"/>
      <c r="G48" s="1434"/>
      <c r="H48" s="1434"/>
      <c r="I48" s="1422" t="s">
        <v>161</v>
      </c>
      <c r="J48" s="1426">
        <f>BOQ!$L$898</f>
        <v>0</v>
      </c>
      <c r="K48" s="1435"/>
      <c r="L48" s="1422"/>
      <c r="M48" s="1428"/>
      <c r="P48" s="1434"/>
    </row>
    <row r="49" spans="1:18" ht="14.45" hidden="1" customHeight="1">
      <c r="A49" s="998" t="s">
        <v>1413</v>
      </c>
      <c r="B49" s="2377" t="str">
        <f>BOQ!$B$899</f>
        <v>Lantai Atap</v>
      </c>
      <c r="C49" s="2377"/>
      <c r="D49" s="2377"/>
      <c r="E49" s="2377"/>
      <c r="F49" s="2377"/>
      <c r="G49" s="2377"/>
      <c r="H49" s="2377"/>
      <c r="I49" s="1422" t="s">
        <v>161</v>
      </c>
      <c r="J49" s="2379">
        <f>BOQ!$L$906</f>
        <v>0</v>
      </c>
      <c r="K49" s="2380"/>
      <c r="L49" s="2378"/>
      <c r="M49" s="2053"/>
      <c r="P49" s="2074"/>
      <c r="R49" s="1462"/>
    </row>
    <row r="50" spans="1:18" ht="14.45" hidden="1" customHeight="1">
      <c r="A50" s="1789" t="s">
        <v>1413</v>
      </c>
      <c r="B50" s="1434" t="str">
        <f>BOQ!$B$796</f>
        <v>Lantai 4</v>
      </c>
      <c r="C50" s="2377"/>
      <c r="D50" s="2377"/>
      <c r="E50" s="2377"/>
      <c r="F50" s="2377"/>
      <c r="G50" s="2377"/>
      <c r="H50" s="2377"/>
      <c r="I50" s="1422" t="s">
        <v>161</v>
      </c>
      <c r="J50" s="2379">
        <f>BOQ!$L$914</f>
        <v>0</v>
      </c>
      <c r="K50" s="2380"/>
      <c r="L50" s="2378"/>
      <c r="M50" s="2053"/>
      <c r="P50" s="2074"/>
      <c r="R50" s="1462"/>
    </row>
    <row r="51" spans="1:18" ht="14.45" customHeight="1">
      <c r="A51" s="998" t="s">
        <v>101</v>
      </c>
      <c r="B51" s="1434" t="str">
        <f>BOQ!B915</f>
        <v>PEKERJAAN KERAMIK LANTAI &amp; DINDING</v>
      </c>
      <c r="C51" s="1434"/>
      <c r="D51" s="1434"/>
      <c r="E51" s="1434"/>
      <c r="F51" s="1434"/>
      <c r="G51" s="1434"/>
      <c r="H51" s="1434"/>
      <c r="I51" s="1422"/>
      <c r="J51" s="1426"/>
      <c r="K51" s="1435"/>
      <c r="L51" s="1422" t="s">
        <v>161</v>
      </c>
      <c r="M51" s="2053">
        <f>SUM(J52:J63)</f>
        <v>0</v>
      </c>
      <c r="P51" s="1414"/>
    </row>
    <row r="52" spans="1:18" ht="14.45" customHeight="1">
      <c r="A52" s="998" t="s">
        <v>42</v>
      </c>
      <c r="B52" s="1434" t="str">
        <f>BOQ!$B$916</f>
        <v>Pasangan keramik Lantai 1</v>
      </c>
      <c r="C52" s="1434"/>
      <c r="D52" s="1434"/>
      <c r="E52" s="1434"/>
      <c r="F52" s="1434"/>
      <c r="G52" s="1434"/>
      <c r="H52" s="1434"/>
      <c r="I52" s="1422" t="s">
        <v>161</v>
      </c>
      <c r="J52" s="1426">
        <f>BOQ!L931</f>
        <v>0</v>
      </c>
      <c r="K52" s="1435"/>
      <c r="L52" s="1422"/>
      <c r="M52" s="1428"/>
      <c r="R52" s="1462"/>
    </row>
    <row r="53" spans="1:18" ht="14.45" customHeight="1">
      <c r="A53" s="1201" t="s">
        <v>60</v>
      </c>
      <c r="B53" s="1434" t="str">
        <f>BOQ!$B$932</f>
        <v>Pasangan keramik Lantai 2 dan Mezzanine</v>
      </c>
      <c r="C53" s="1418"/>
      <c r="D53" s="1418"/>
      <c r="E53" s="1418"/>
      <c r="F53" s="1418"/>
      <c r="G53" s="1418"/>
      <c r="H53" s="1418"/>
      <c r="I53" s="1422" t="s">
        <v>161</v>
      </c>
      <c r="J53" s="1426">
        <f>BOQ!L939</f>
        <v>0</v>
      </c>
      <c r="K53" s="1427"/>
      <c r="L53" s="1429"/>
      <c r="M53" s="1430"/>
    </row>
    <row r="54" spans="1:18" ht="14.45" customHeight="1">
      <c r="A54" s="1201" t="s">
        <v>71</v>
      </c>
      <c r="B54" s="1434" t="str">
        <f>BOQ!$B$940</f>
        <v>Pasangan keramik Lantai Atap</v>
      </c>
      <c r="C54" s="1418"/>
      <c r="D54" s="1418"/>
      <c r="E54" s="1418"/>
      <c r="F54" s="1418"/>
      <c r="G54" s="1418"/>
      <c r="H54" s="1418"/>
      <c r="I54" s="1422" t="s">
        <v>161</v>
      </c>
      <c r="J54" s="1426">
        <f>BOQ!L944</f>
        <v>0</v>
      </c>
      <c r="K54" s="1427"/>
      <c r="L54" s="1429"/>
      <c r="M54" s="1430"/>
      <c r="R54" s="1462"/>
    </row>
    <row r="55" spans="1:18" ht="14.45" hidden="1" customHeight="1">
      <c r="A55" s="1789" t="s">
        <v>1413</v>
      </c>
      <c r="B55" s="1434" t="str">
        <f>BOQ!$B$945</f>
        <v>Pasangan keramik Lantai Atap</v>
      </c>
      <c r="C55" s="2377"/>
      <c r="D55" s="2377"/>
      <c r="E55" s="2377"/>
      <c r="F55" s="2377"/>
      <c r="G55" s="2377"/>
      <c r="H55" s="2377"/>
      <c r="I55" s="1422" t="s">
        <v>161</v>
      </c>
      <c r="J55" s="2379">
        <f>BOQ!$L$949</f>
        <v>0</v>
      </c>
      <c r="K55" s="2380"/>
      <c r="L55" s="2381"/>
      <c r="M55" s="2382"/>
    </row>
    <row r="56" spans="1:18" ht="14.45" hidden="1" customHeight="1">
      <c r="A56" s="1201" t="s">
        <v>1010</v>
      </c>
      <c r="B56" s="1434" t="str">
        <f>BOQ!$B$950</f>
        <v>Pasangan keramik Lantai 4</v>
      </c>
      <c r="C56" s="1418"/>
      <c r="D56" s="1418"/>
      <c r="E56" s="1418"/>
      <c r="F56" s="1418"/>
      <c r="G56" s="1418"/>
      <c r="H56" s="1418"/>
      <c r="I56" s="1422" t="s">
        <v>161</v>
      </c>
      <c r="J56" s="1426">
        <f>BOQ!L958</f>
        <v>0</v>
      </c>
      <c r="K56" s="1427"/>
      <c r="L56" s="1422"/>
      <c r="M56" s="1430"/>
      <c r="R56" s="1462"/>
    </row>
    <row r="57" spans="1:18" ht="14.45" hidden="1" customHeight="1">
      <c r="A57" s="1201" t="s">
        <v>1022</v>
      </c>
      <c r="B57" s="1434" t="s">
        <v>2207</v>
      </c>
      <c r="C57" s="1418"/>
      <c r="D57" s="1418"/>
      <c r="E57" s="1418"/>
      <c r="F57" s="1418"/>
      <c r="G57" s="1418"/>
      <c r="H57" s="1418"/>
      <c r="I57" s="1422" t="s">
        <v>161</v>
      </c>
      <c r="J57" s="1426">
        <f>BOQ!$L$961</f>
        <v>0</v>
      </c>
      <c r="K57" s="1427"/>
      <c r="L57" s="1422"/>
      <c r="M57" s="1430"/>
      <c r="R57" s="1462"/>
    </row>
    <row r="58" spans="1:18" ht="14.45" customHeight="1">
      <c r="A58" s="1203" t="s">
        <v>1413</v>
      </c>
      <c r="B58" s="1434" t="str">
        <f>BOQ!$B$962</f>
        <v>Pasangan Dinding Keramik Lantai 1</v>
      </c>
      <c r="C58" s="1436"/>
      <c r="D58" s="1436"/>
      <c r="E58" s="1436"/>
      <c r="F58" s="1436"/>
      <c r="G58" s="1436"/>
      <c r="H58" s="1436"/>
      <c r="I58" s="1422" t="s">
        <v>161</v>
      </c>
      <c r="J58" s="1426">
        <f>BOQ!L966</f>
        <v>0</v>
      </c>
      <c r="K58" s="1437"/>
      <c r="L58" s="1422"/>
      <c r="M58" s="1428"/>
    </row>
    <row r="59" spans="1:18" ht="14.45" customHeight="1">
      <c r="A59" s="1203" t="s">
        <v>1010</v>
      </c>
      <c r="B59" s="1434" t="str">
        <f>BOQ!$B$967</f>
        <v>Pasangan Dinding Keramik Lantai 2</v>
      </c>
      <c r="C59" s="1436"/>
      <c r="D59" s="1436"/>
      <c r="E59" s="1436"/>
      <c r="F59" s="1436"/>
      <c r="G59" s="1436"/>
      <c r="H59" s="1436"/>
      <c r="I59" s="1422" t="s">
        <v>161</v>
      </c>
      <c r="J59" s="1426">
        <f>BOQ!L970</f>
        <v>0</v>
      </c>
      <c r="K59" s="1437"/>
      <c r="L59" s="1422"/>
      <c r="M59" s="1428"/>
      <c r="R59" s="1462"/>
    </row>
    <row r="60" spans="1:18" ht="14.45" customHeight="1">
      <c r="A60" s="1789" t="s">
        <v>1022</v>
      </c>
      <c r="B60" s="1434" t="str">
        <f>BOQ!$B$971</f>
        <v>Pasangan Dinding Waterproofing Lantai Atap</v>
      </c>
      <c r="C60" s="1790"/>
      <c r="D60" s="1790"/>
      <c r="E60" s="1790"/>
      <c r="F60" s="1790"/>
      <c r="G60" s="1790"/>
      <c r="H60" s="1790"/>
      <c r="I60" s="1422" t="s">
        <v>161</v>
      </c>
      <c r="J60" s="1791">
        <f>BOQ!L974</f>
        <v>0</v>
      </c>
      <c r="K60" s="1792"/>
      <c r="L60" s="1790"/>
      <c r="M60" s="1793"/>
    </row>
    <row r="61" spans="1:18" ht="14.45" hidden="1" customHeight="1">
      <c r="A61" s="1789" t="s">
        <v>1035</v>
      </c>
      <c r="B61" s="2377" t="str">
        <f>BOQ!$B$975</f>
        <v>Pasangan Dinding Keramik Lantai Atap</v>
      </c>
      <c r="C61" s="2377"/>
      <c r="D61" s="2377"/>
      <c r="E61" s="2377"/>
      <c r="F61" s="2377"/>
      <c r="G61" s="2377"/>
      <c r="H61" s="2377"/>
      <c r="I61" s="1422" t="s">
        <v>161</v>
      </c>
      <c r="J61" s="2379">
        <f>BOQ!$L$977</f>
        <v>0</v>
      </c>
      <c r="K61" s="2380"/>
      <c r="L61" s="2377"/>
      <c r="M61" s="2053"/>
      <c r="R61" s="1462"/>
    </row>
    <row r="62" spans="1:18" ht="14.45" hidden="1" customHeight="1">
      <c r="A62" s="1789" t="s">
        <v>1100</v>
      </c>
      <c r="B62" s="2377" t="s">
        <v>2619</v>
      </c>
      <c r="C62" s="2377"/>
      <c r="D62" s="2377"/>
      <c r="E62" s="2377"/>
      <c r="F62" s="2377"/>
      <c r="G62" s="2377"/>
      <c r="H62" s="2377"/>
      <c r="I62" s="1422" t="s">
        <v>161</v>
      </c>
      <c r="J62" s="2379">
        <f>BOQ!$L$981</f>
        <v>0</v>
      </c>
      <c r="K62" s="2380"/>
      <c r="L62" s="2377"/>
      <c r="M62" s="2053"/>
      <c r="R62" s="1462"/>
    </row>
    <row r="63" spans="1:18" ht="14.45" hidden="1" customHeight="1">
      <c r="A63" s="1789" t="s">
        <v>1111</v>
      </c>
      <c r="B63" s="2377" t="s">
        <v>2208</v>
      </c>
      <c r="C63" s="2377"/>
      <c r="D63" s="2377"/>
      <c r="E63" s="2377"/>
      <c r="F63" s="2377"/>
      <c r="G63" s="2377"/>
      <c r="H63" s="2377"/>
      <c r="I63" s="1422" t="s">
        <v>161</v>
      </c>
      <c r="J63" s="2379">
        <f>BOQ!$L$984</f>
        <v>0</v>
      </c>
      <c r="K63" s="2380"/>
      <c r="L63" s="2377"/>
      <c r="M63" s="2053"/>
      <c r="R63" s="1462"/>
    </row>
    <row r="64" spans="1:18" ht="14.45" customHeight="1">
      <c r="A64" s="1201" t="s">
        <v>116</v>
      </c>
      <c r="B64" s="1418" t="str">
        <f>BOQ!B985</f>
        <v>PEKERJAAN INSTALASI LISTRIK</v>
      </c>
      <c r="C64" s="1418"/>
      <c r="D64" s="1418"/>
      <c r="E64" s="1418"/>
      <c r="F64" s="1418"/>
      <c r="G64" s="1418"/>
      <c r="H64" s="1418"/>
      <c r="I64" s="1422"/>
      <c r="J64" s="1426"/>
      <c r="K64" s="1427"/>
      <c r="L64" s="1422" t="s">
        <v>161</v>
      </c>
      <c r="M64" s="2053">
        <f>SUM(J65:J70)</f>
        <v>0</v>
      </c>
    </row>
    <row r="65" spans="1:20" ht="14.45" customHeight="1">
      <c r="A65" s="1201" t="s">
        <v>42</v>
      </c>
      <c r="B65" s="1434" t="str">
        <f>BOQ!$B$986</f>
        <v>Lantai 1 dan Mezzanine</v>
      </c>
      <c r="C65" s="1418"/>
      <c r="D65" s="1418"/>
      <c r="E65" s="1418"/>
      <c r="F65" s="1418"/>
      <c r="G65" s="1418"/>
      <c r="H65" s="1418"/>
      <c r="I65" s="1422" t="s">
        <v>161</v>
      </c>
      <c r="J65" s="1426">
        <f>BOQ!L1028</f>
        <v>0</v>
      </c>
      <c r="K65" s="1427"/>
      <c r="L65" s="1429"/>
      <c r="M65" s="1430"/>
      <c r="R65" s="1462"/>
    </row>
    <row r="66" spans="1:20" ht="14.45" customHeight="1">
      <c r="A66" s="998" t="s">
        <v>60</v>
      </c>
      <c r="B66" s="1434" t="str">
        <f>BOQ!$B$1029</f>
        <v>Lantai 2</v>
      </c>
      <c r="C66" s="1434"/>
      <c r="D66" s="1434"/>
      <c r="E66" s="1434"/>
      <c r="F66" s="1434"/>
      <c r="G66" s="1434"/>
      <c r="H66" s="1434"/>
      <c r="I66" s="1422" t="s">
        <v>161</v>
      </c>
      <c r="J66" s="1426">
        <f>BOQ!L1072</f>
        <v>0</v>
      </c>
      <c r="K66" s="1435"/>
      <c r="L66" s="1438"/>
      <c r="M66" s="1439"/>
    </row>
    <row r="67" spans="1:20" ht="14.45" customHeight="1">
      <c r="A67" s="1201" t="s">
        <v>71</v>
      </c>
      <c r="B67" s="1434" t="str">
        <f>BOQ!$B$1073</f>
        <v>Lantai Atap</v>
      </c>
      <c r="C67" s="1418"/>
      <c r="D67" s="1418"/>
      <c r="E67" s="1418"/>
      <c r="F67" s="1418"/>
      <c r="G67" s="1418"/>
      <c r="H67" s="1418"/>
      <c r="I67" s="1422" t="s">
        <v>161</v>
      </c>
      <c r="J67" s="1426">
        <f>BOQ!L1115</f>
        <v>0</v>
      </c>
      <c r="K67" s="1427"/>
      <c r="L67" s="1422"/>
      <c r="M67" s="1428"/>
      <c r="R67" s="1462"/>
    </row>
    <row r="68" spans="1:20" ht="14.45" hidden="1" customHeight="1">
      <c r="A68" s="1789" t="s">
        <v>1413</v>
      </c>
      <c r="B68" s="2377" t="str">
        <f>BOQ!$B$1116</f>
        <v>Lantai Atap</v>
      </c>
      <c r="C68" s="2377"/>
      <c r="D68" s="2377"/>
      <c r="E68" s="2377"/>
      <c r="F68" s="2377"/>
      <c r="G68" s="2377"/>
      <c r="H68" s="2377"/>
      <c r="I68" s="1422" t="s">
        <v>161</v>
      </c>
      <c r="J68" s="2379">
        <f>BOQ!$L$1158</f>
        <v>0</v>
      </c>
      <c r="K68" s="2380"/>
      <c r="L68" s="2378"/>
      <c r="M68" s="2053"/>
    </row>
    <row r="69" spans="1:20" ht="14.45" hidden="1" customHeight="1">
      <c r="A69" s="1201" t="s">
        <v>1010</v>
      </c>
      <c r="B69" s="1434" t="str">
        <f>BOQ!$B$796</f>
        <v>Lantai 4</v>
      </c>
      <c r="C69" s="2377"/>
      <c r="D69" s="2377"/>
      <c r="E69" s="2377"/>
      <c r="F69" s="2377"/>
      <c r="G69" s="2377"/>
      <c r="H69" s="2377"/>
      <c r="I69" s="1422" t="s">
        <v>161</v>
      </c>
      <c r="J69" s="2379">
        <f>BOQ!$L$1201</f>
        <v>0</v>
      </c>
      <c r="K69" s="2380"/>
      <c r="L69" s="2378"/>
      <c r="M69" s="2053"/>
    </row>
    <row r="70" spans="1:20" ht="14.45" customHeight="1">
      <c r="A70" s="1203" t="s">
        <v>1413</v>
      </c>
      <c r="B70" s="1434" t="str">
        <f>BOQ!$B$1202</f>
        <v>Instalasi Telepon + Instalasi TV</v>
      </c>
      <c r="C70" s="1418"/>
      <c r="D70" s="1418"/>
      <c r="E70" s="1418"/>
      <c r="F70" s="1418"/>
      <c r="G70" s="1418"/>
      <c r="H70" s="1418"/>
      <c r="I70" s="1422" t="s">
        <v>161</v>
      </c>
      <c r="J70" s="1426">
        <f>BOQ!L1209</f>
        <v>0</v>
      </c>
      <c r="K70" s="1427"/>
      <c r="L70" s="1422"/>
      <c r="M70" s="1428"/>
      <c r="R70" s="1462"/>
    </row>
    <row r="71" spans="1:20" ht="14.45" customHeight="1">
      <c r="A71" s="1201" t="s">
        <v>122</v>
      </c>
      <c r="B71" s="1418" t="str">
        <f>BOQ!B1210</f>
        <v>PEKERJAAN PENGECATAN</v>
      </c>
      <c r="C71" s="1418"/>
      <c r="D71" s="1418"/>
      <c r="E71" s="1418"/>
      <c r="F71" s="1418"/>
      <c r="G71" s="1418"/>
      <c r="H71" s="1418"/>
      <c r="I71" s="1422"/>
      <c r="J71" s="1426"/>
      <c r="K71" s="1427"/>
      <c r="L71" s="1422" t="s">
        <v>161</v>
      </c>
      <c r="M71" s="2053">
        <f>SUM(J72:J77)</f>
        <v>0</v>
      </c>
    </row>
    <row r="72" spans="1:20" ht="14.45" customHeight="1">
      <c r="A72" s="1201" t="s">
        <v>42</v>
      </c>
      <c r="B72" s="1434" t="str">
        <f>BOQ!$B$1211</f>
        <v>Lantai 1</v>
      </c>
      <c r="C72" s="1418"/>
      <c r="D72" s="1418"/>
      <c r="E72" s="1418"/>
      <c r="F72" s="1418"/>
      <c r="G72" s="1418"/>
      <c r="H72" s="1418"/>
      <c r="I72" s="1422" t="s">
        <v>161</v>
      </c>
      <c r="J72" s="1426">
        <f>BOQ!L1217</f>
        <v>0</v>
      </c>
      <c r="K72" s="1427"/>
      <c r="L72" s="1429"/>
      <c r="M72" s="1430"/>
      <c r="R72" s="1462"/>
    </row>
    <row r="73" spans="1:20" ht="14.45" customHeight="1">
      <c r="A73" s="1201" t="s">
        <v>60</v>
      </c>
      <c r="B73" s="1434" t="str">
        <f>BOQ!$B$1218</f>
        <v>Lantai 2</v>
      </c>
      <c r="C73" s="1418"/>
      <c r="D73" s="1418"/>
      <c r="E73" s="1418"/>
      <c r="F73" s="1418"/>
      <c r="G73" s="1418"/>
      <c r="H73" s="1418"/>
      <c r="I73" s="1422" t="s">
        <v>161</v>
      </c>
      <c r="J73" s="1426">
        <f>BOQ!L1224</f>
        <v>0</v>
      </c>
      <c r="K73" s="1427"/>
      <c r="L73" s="1429"/>
      <c r="M73" s="1430"/>
    </row>
    <row r="74" spans="1:20" ht="14.45" customHeight="1">
      <c r="A74" s="1201" t="s">
        <v>71</v>
      </c>
      <c r="B74" s="1434" t="str">
        <f>BOQ!$B$1225</f>
        <v>Lantai Atap</v>
      </c>
      <c r="C74" s="1418"/>
      <c r="D74" s="1418"/>
      <c r="E74" s="1418"/>
      <c r="F74" s="1418"/>
      <c r="G74" s="1418"/>
      <c r="H74" s="1418"/>
      <c r="I74" s="1422" t="s">
        <v>161</v>
      </c>
      <c r="J74" s="1426">
        <f>BOQ!L1231</f>
        <v>0</v>
      </c>
      <c r="K74" s="1427"/>
      <c r="L74" s="1422"/>
      <c r="M74" s="1428"/>
      <c r="R74" s="1462"/>
    </row>
    <row r="75" spans="1:20" ht="14.45" hidden="1" customHeight="1">
      <c r="A75" s="1789" t="s">
        <v>1413</v>
      </c>
      <c r="B75" s="2377" t="str">
        <f>BOQ!$B$1232</f>
        <v>Lantai Atap</v>
      </c>
      <c r="C75" s="2377"/>
      <c r="D75" s="2377"/>
      <c r="E75" s="2377"/>
      <c r="F75" s="2377"/>
      <c r="G75" s="2377"/>
      <c r="H75" s="2377"/>
      <c r="I75" s="1422" t="s">
        <v>161</v>
      </c>
      <c r="J75" s="2379">
        <f>BOQ!$L$1238</f>
        <v>0</v>
      </c>
      <c r="K75" s="2380"/>
      <c r="L75" s="2378"/>
      <c r="M75" s="2053"/>
    </row>
    <row r="76" spans="1:20" ht="14.45" hidden="1" customHeight="1">
      <c r="A76" s="1202" t="s">
        <v>1010</v>
      </c>
      <c r="B76" s="1434" t="str">
        <f>BOQ!$B$1239</f>
        <v>Lantai 4</v>
      </c>
      <c r="C76" s="1431"/>
      <c r="D76" s="1431"/>
      <c r="E76" s="1431"/>
      <c r="F76" s="1431"/>
      <c r="G76" s="1431"/>
      <c r="H76" s="1431"/>
      <c r="I76" s="1422" t="s">
        <v>161</v>
      </c>
      <c r="J76" s="1426">
        <f>BOQ!L1245</f>
        <v>0</v>
      </c>
      <c r="K76" s="1432"/>
      <c r="L76" s="1422"/>
      <c r="M76" s="1428"/>
      <c r="R76" s="1462"/>
    </row>
    <row r="77" spans="1:20" ht="1.5" hidden="1" customHeight="1">
      <c r="A77" s="998" t="s">
        <v>1022</v>
      </c>
      <c r="B77" s="1434" t="s">
        <v>72</v>
      </c>
      <c r="C77" s="1431"/>
      <c r="D77" s="1431"/>
      <c r="E77" s="1431"/>
      <c r="F77" s="1431"/>
      <c r="G77" s="1431"/>
      <c r="H77" s="1431"/>
      <c r="I77" s="1422" t="s">
        <v>161</v>
      </c>
      <c r="J77" s="1426">
        <f>BOQ!$L$1250</f>
        <v>0</v>
      </c>
      <c r="K77" s="1432"/>
      <c r="L77" s="1422"/>
      <c r="M77" s="1428"/>
      <c r="R77" s="1462"/>
    </row>
    <row r="78" spans="1:20" ht="14.45" customHeight="1">
      <c r="A78" s="1201" t="s">
        <v>1639</v>
      </c>
      <c r="B78" s="1418" t="str">
        <f>BOQ!B1251</f>
        <v>PEKERJAAN LAIN-LAIN</v>
      </c>
      <c r="C78" s="1418"/>
      <c r="D78" s="1418"/>
      <c r="E78" s="1418"/>
      <c r="F78" s="1418"/>
      <c r="G78" s="1418"/>
      <c r="H78" s="1418"/>
      <c r="I78" s="1422" t="s">
        <v>161</v>
      </c>
      <c r="J78" s="1426">
        <f>BOQ!L1289</f>
        <v>0</v>
      </c>
      <c r="K78" s="1427"/>
      <c r="L78" s="1422" t="s">
        <v>161</v>
      </c>
      <c r="M78" s="1428">
        <f>J78</f>
        <v>0</v>
      </c>
      <c r="N78" s="1433"/>
      <c r="O78" s="1414"/>
      <c r="T78" s="2499"/>
    </row>
    <row r="79" spans="1:20" ht="14.25" customHeight="1">
      <c r="A79" s="1204"/>
      <c r="B79" s="1440"/>
      <c r="C79" s="1440"/>
      <c r="D79" s="1440"/>
      <c r="E79" s="1440"/>
      <c r="F79" s="1440"/>
      <c r="G79" s="1440"/>
      <c r="H79" s="1440"/>
      <c r="I79" s="1441"/>
      <c r="J79" s="1440"/>
      <c r="K79" s="1442"/>
      <c r="L79" s="1443"/>
      <c r="M79" s="1444"/>
      <c r="O79" s="1414"/>
      <c r="R79" s="1462"/>
      <c r="T79" s="2499"/>
    </row>
    <row r="80" spans="1:20" ht="14.45" customHeight="1">
      <c r="A80" s="2653" t="s">
        <v>164</v>
      </c>
      <c r="B80" s="2654"/>
      <c r="C80" s="2654"/>
      <c r="D80" s="2654"/>
      <c r="E80" s="2654"/>
      <c r="F80" s="2654"/>
      <c r="G80" s="2654"/>
      <c r="H80" s="2654"/>
      <c r="I80" s="1423" t="s">
        <v>161</v>
      </c>
      <c r="J80" s="1424">
        <f>SUM(J15:J78)</f>
        <v>0</v>
      </c>
      <c r="K80" s="1425"/>
      <c r="L80" s="1423" t="s">
        <v>161</v>
      </c>
      <c r="M80" s="1445">
        <f>SUM(L15:M79)</f>
        <v>0</v>
      </c>
      <c r="O80" s="1415">
        <f>O84*M11</f>
        <v>2405000000</v>
      </c>
      <c r="P80" s="1416">
        <f>M80-O80</f>
        <v>-2405000000</v>
      </c>
      <c r="T80" s="2499"/>
    </row>
    <row r="81" spans="1:18" ht="14.45" customHeight="1">
      <c r="A81" s="1248"/>
      <c r="B81" s="1407"/>
      <c r="C81" s="1407"/>
      <c r="D81" s="1407"/>
      <c r="E81" s="1407"/>
      <c r="F81" s="1407"/>
      <c r="G81" s="1407"/>
      <c r="H81" s="1407" t="s">
        <v>1747</v>
      </c>
      <c r="I81" s="1423" t="s">
        <v>161</v>
      </c>
      <c r="J81" s="1424">
        <v>0</v>
      </c>
      <c r="K81" s="1446"/>
      <c r="L81" s="1447"/>
      <c r="M81" s="1448"/>
      <c r="R81" s="1462"/>
    </row>
    <row r="82" spans="1:18" ht="14.45" customHeight="1">
      <c r="A82" s="2655" t="s">
        <v>165</v>
      </c>
      <c r="B82" s="2656"/>
      <c r="C82" s="2656"/>
      <c r="D82" s="2656"/>
      <c r="E82" s="2656"/>
      <c r="F82" s="2656"/>
      <c r="G82" s="2656"/>
      <c r="H82" s="2656"/>
      <c r="I82" s="1423" t="s">
        <v>161</v>
      </c>
      <c r="J82" s="1449" t="s">
        <v>166</v>
      </c>
      <c r="K82" s="1427"/>
      <c r="L82" s="1450"/>
      <c r="M82" s="1430"/>
    </row>
    <row r="83" spans="1:18" ht="14.45" customHeight="1">
      <c r="A83" s="2655" t="s">
        <v>167</v>
      </c>
      <c r="B83" s="2656"/>
      <c r="C83" s="2656"/>
      <c r="D83" s="2656"/>
      <c r="E83" s="2656"/>
      <c r="F83" s="2656"/>
      <c r="G83" s="2656"/>
      <c r="H83" s="2657"/>
      <c r="I83" s="1422" t="s">
        <v>161</v>
      </c>
      <c r="J83" s="1451">
        <f>SUM(J80:J81)</f>
        <v>0</v>
      </c>
      <c r="K83" s="1452"/>
      <c r="L83" s="1453"/>
      <c r="M83" s="1454"/>
      <c r="R83" s="1462"/>
    </row>
    <row r="84" spans="1:18" ht="14.45" customHeight="1" thickBot="1">
      <c r="A84" s="2646" t="s">
        <v>168</v>
      </c>
      <c r="B84" s="2647"/>
      <c r="C84" s="2647"/>
      <c r="D84" s="2647"/>
      <c r="E84" s="2647"/>
      <c r="F84" s="2647"/>
      <c r="G84" s="2647"/>
      <c r="H84" s="2648"/>
      <c r="I84" s="1455" t="s">
        <v>161</v>
      </c>
      <c r="J84" s="1456">
        <f>INT(J83/1000000)*1000000</f>
        <v>0</v>
      </c>
      <c r="K84" s="1457"/>
      <c r="L84" s="1458"/>
      <c r="M84" s="1459">
        <f>J84/M11</f>
        <v>0</v>
      </c>
      <c r="O84" s="1415">
        <f>5000000-M84</f>
        <v>5000000</v>
      </c>
      <c r="P84" s="1416">
        <f>M84-O84</f>
        <v>-5000000</v>
      </c>
      <c r="Q84" s="1416"/>
    </row>
    <row r="85" spans="1:18" ht="14.45" customHeight="1" thickTop="1">
      <c r="A85" s="1555"/>
      <c r="B85" s="1722"/>
      <c r="C85" s="1555"/>
      <c r="D85" s="1555"/>
      <c r="E85" s="1555"/>
      <c r="F85" s="1555"/>
      <c r="G85" s="1555"/>
      <c r="H85" s="1555"/>
      <c r="I85" s="1555"/>
      <c r="J85" s="1555"/>
      <c r="K85" s="1555"/>
      <c r="L85" s="1555"/>
      <c r="M85" s="1555"/>
      <c r="R85" s="1462"/>
    </row>
    <row r="86" spans="1:18" ht="14.45" customHeight="1">
      <c r="L86" s="2649" t="s">
        <v>3019</v>
      </c>
      <c r="M86" s="2649"/>
      <c r="Q86" s="2579"/>
    </row>
    <row r="87" spans="1:18" ht="14.45" customHeight="1">
      <c r="L87" s="2649"/>
      <c r="M87" s="2649"/>
      <c r="R87" s="1462"/>
    </row>
    <row r="89" spans="1:18" ht="14.45" customHeight="1">
      <c r="H89" s="1221"/>
      <c r="R89" s="1462"/>
    </row>
    <row r="90" spans="1:18" ht="14.45" customHeight="1">
      <c r="J90" s="1460"/>
    </row>
    <row r="91" spans="1:18" ht="14.45" customHeight="1">
      <c r="M91" s="1415"/>
      <c r="N91" s="1415"/>
      <c r="P91" s="1416" t="s">
        <v>2940</v>
      </c>
      <c r="R91" s="1462"/>
    </row>
    <row r="92" spans="1:18" ht="14.45" customHeight="1">
      <c r="I92" s="1461"/>
      <c r="L92" s="2652"/>
      <c r="M92" s="2652"/>
    </row>
    <row r="93" spans="1:18" ht="14.45" customHeight="1">
      <c r="R93" s="1462"/>
    </row>
    <row r="95" spans="1:18" ht="14.45" customHeight="1">
      <c r="R95" s="1462"/>
    </row>
    <row r="97" spans="2:18" ht="14.45" customHeight="1" thickBot="1">
      <c r="R97" s="1462"/>
    </row>
    <row r="98" spans="2:18" ht="14.45" customHeight="1" thickTop="1">
      <c r="B98" s="2070" t="s">
        <v>2405</v>
      </c>
      <c r="C98" s="2071"/>
      <c r="D98" s="2071"/>
      <c r="E98" s="2071"/>
      <c r="F98" s="2071"/>
      <c r="G98" s="2071"/>
      <c r="H98" s="2071"/>
      <c r="I98" s="2071"/>
      <c r="J98" s="2071"/>
      <c r="K98" s="2071"/>
      <c r="L98" s="2072"/>
    </row>
    <row r="99" spans="2:18" ht="14.45" customHeight="1">
      <c r="B99" s="2073" t="s">
        <v>2406</v>
      </c>
      <c r="C99" s="2074"/>
      <c r="D99" s="2074"/>
      <c r="E99" s="2074"/>
      <c r="F99" s="2074"/>
      <c r="G99" s="2074"/>
      <c r="H99" s="2074"/>
      <c r="I99" s="2074"/>
      <c r="J99" s="2074"/>
      <c r="K99" s="2074"/>
      <c r="L99" s="2075"/>
      <c r="R99" s="1462"/>
    </row>
    <row r="100" spans="2:18" ht="14.45" customHeight="1">
      <c r="B100" s="2073" t="s">
        <v>2407</v>
      </c>
      <c r="C100" s="2074"/>
      <c r="D100" s="2074"/>
      <c r="E100" s="2074"/>
      <c r="F100" s="2074"/>
      <c r="G100" s="2074"/>
      <c r="H100" s="2074"/>
      <c r="I100" s="2074"/>
      <c r="J100" s="2074"/>
      <c r="K100" s="2074"/>
      <c r="L100" s="2075"/>
    </row>
    <row r="101" spans="2:18" ht="14.45" customHeight="1">
      <c r="B101" s="2073" t="s">
        <v>2408</v>
      </c>
      <c r="C101" s="2074"/>
      <c r="D101" s="2074"/>
      <c r="E101" s="2074"/>
      <c r="F101" s="2074"/>
      <c r="G101" s="2074"/>
      <c r="H101" s="2074"/>
      <c r="I101" s="2074"/>
      <c r="J101" s="2074"/>
      <c r="K101" s="2074"/>
      <c r="L101" s="2075"/>
      <c r="R101" s="1462"/>
    </row>
    <row r="102" spans="2:18" ht="14.45" customHeight="1">
      <c r="B102" s="2073"/>
      <c r="C102" s="2074"/>
      <c r="D102" s="2074"/>
      <c r="E102" s="2074"/>
      <c r="F102" s="2074"/>
      <c r="G102" s="2074"/>
      <c r="H102" s="2074"/>
      <c r="I102" s="2074"/>
      <c r="J102" s="2074"/>
      <c r="K102" s="2074"/>
      <c r="L102" s="2075"/>
    </row>
    <row r="103" spans="2:18" ht="14.45" customHeight="1">
      <c r="B103" s="2073" t="s">
        <v>2409</v>
      </c>
      <c r="C103" s="2074"/>
      <c r="D103" s="2074"/>
      <c r="E103" s="2074"/>
      <c r="F103" s="2074"/>
      <c r="G103" s="2074"/>
      <c r="H103" s="2074"/>
      <c r="I103" s="2074"/>
      <c r="J103" s="2074"/>
      <c r="K103" s="2074"/>
      <c r="L103" s="2075"/>
      <c r="R103" s="1462"/>
    </row>
    <row r="104" spans="2:18" ht="14.45" customHeight="1">
      <c r="B104" s="2073" t="s">
        <v>2410</v>
      </c>
      <c r="C104" s="2074"/>
      <c r="D104" s="2074"/>
      <c r="E104" s="2074"/>
      <c r="F104" s="2074"/>
      <c r="G104" s="2074"/>
      <c r="H104" s="2074"/>
      <c r="I104" s="2074"/>
      <c r="J104" s="2074"/>
      <c r="K104" s="2074"/>
      <c r="L104" s="2075"/>
    </row>
    <row r="105" spans="2:18" ht="14.45" customHeight="1">
      <c r="B105" s="2073" t="s">
        <v>2411</v>
      </c>
      <c r="C105" s="2074"/>
      <c r="D105" s="2074"/>
      <c r="E105" s="2074"/>
      <c r="F105" s="2074"/>
      <c r="G105" s="2074"/>
      <c r="H105" s="2074"/>
      <c r="I105" s="2074"/>
      <c r="J105" s="2074"/>
      <c r="K105" s="2074"/>
      <c r="L105" s="2075"/>
      <c r="R105" s="1462"/>
    </row>
    <row r="106" spans="2:18" ht="14.45" customHeight="1">
      <c r="B106" s="2073" t="s">
        <v>2412</v>
      </c>
      <c r="C106" s="2074"/>
      <c r="D106" s="2074"/>
      <c r="E106" s="2074"/>
      <c r="F106" s="2074"/>
      <c r="G106" s="2074"/>
      <c r="H106" s="2074"/>
      <c r="I106" s="2074"/>
      <c r="J106" s="2074"/>
      <c r="K106" s="2074"/>
      <c r="L106" s="2075"/>
    </row>
    <row r="107" spans="2:18" ht="14.45" customHeight="1">
      <c r="B107" s="2073" t="s">
        <v>2413</v>
      </c>
      <c r="C107" s="2074"/>
      <c r="D107" s="2074"/>
      <c r="E107" s="2074"/>
      <c r="F107" s="2074"/>
      <c r="G107" s="2074"/>
      <c r="H107" s="2074"/>
      <c r="I107" s="2074"/>
      <c r="J107" s="2074"/>
      <c r="K107" s="2074"/>
      <c r="L107" s="2075"/>
      <c r="R107" s="1462"/>
    </row>
    <row r="108" spans="2:18" ht="14.45" customHeight="1">
      <c r="B108" s="2073" t="s">
        <v>2414</v>
      </c>
      <c r="C108" s="2074"/>
      <c r="D108" s="2074"/>
      <c r="E108" s="2074"/>
      <c r="F108" s="2074"/>
      <c r="G108" s="2074"/>
      <c r="H108" s="2074"/>
      <c r="I108" s="2074"/>
      <c r="J108" s="2074"/>
      <c r="K108" s="2074"/>
      <c r="L108" s="2075"/>
    </row>
    <row r="109" spans="2:18" ht="14.45" customHeight="1">
      <c r="B109" s="2073" t="s">
        <v>2415</v>
      </c>
      <c r="C109" s="2074"/>
      <c r="D109" s="2074"/>
      <c r="E109" s="2074"/>
      <c r="F109" s="2074"/>
      <c r="G109" s="2074"/>
      <c r="H109" s="2074"/>
      <c r="I109" s="2074"/>
      <c r="J109" s="2074"/>
      <c r="K109" s="2074"/>
      <c r="L109" s="2075"/>
      <c r="R109" s="1462"/>
    </row>
    <row r="110" spans="2:18" ht="14.45" customHeight="1">
      <c r="B110" s="2073" t="s">
        <v>2416</v>
      </c>
      <c r="C110" s="2074"/>
      <c r="D110" s="2074"/>
      <c r="E110" s="2074"/>
      <c r="F110" s="2074"/>
      <c r="G110" s="2074"/>
      <c r="H110" s="2074"/>
      <c r="I110" s="2074"/>
      <c r="J110" s="2074"/>
      <c r="K110" s="2074"/>
      <c r="L110" s="2075"/>
    </row>
    <row r="111" spans="2:18" ht="14.45" customHeight="1">
      <c r="B111" s="2073" t="s">
        <v>2417</v>
      </c>
      <c r="C111" s="2074"/>
      <c r="D111" s="2074"/>
      <c r="E111" s="2074"/>
      <c r="F111" s="2074"/>
      <c r="G111" s="2074"/>
      <c r="H111" s="2074"/>
      <c r="I111" s="2074"/>
      <c r="J111" s="2074"/>
      <c r="K111" s="2074"/>
      <c r="L111" s="2075"/>
      <c r="R111" s="1462"/>
    </row>
    <row r="112" spans="2:18" ht="14.45" customHeight="1" thickBot="1">
      <c r="B112" s="2076" t="s">
        <v>2408</v>
      </c>
      <c r="C112" s="2077"/>
      <c r="D112" s="2077"/>
      <c r="E112" s="2077"/>
      <c r="F112" s="2077"/>
      <c r="G112" s="2077"/>
      <c r="H112" s="2077"/>
      <c r="I112" s="2077"/>
      <c r="J112" s="2077"/>
      <c r="K112" s="2077"/>
      <c r="L112" s="2078"/>
    </row>
    <row r="113" spans="1:20" ht="14.45" customHeight="1" thickTop="1">
      <c r="R113" s="1462"/>
    </row>
    <row r="115" spans="1:20" ht="14.45" customHeight="1">
      <c r="R115" s="1462"/>
    </row>
    <row r="116" spans="1:20" ht="14.45" customHeight="1">
      <c r="A116" s="1414">
        <v>1</v>
      </c>
      <c r="B116" s="1414" t="str">
        <f>LOOKUP(A116,BOQ!$N$16:$N$1289,BOQ!$B$16:$B$1289)</f>
        <v>PEKERJAAN PERSIAPAN</v>
      </c>
      <c r="J116" s="1426">
        <f>LOOKUP(A116,BOQ!$N$16:$N$1289,BOQ!$L$16:$L$1289)</f>
        <v>0</v>
      </c>
    </row>
    <row r="117" spans="1:20" ht="14.45" customHeight="1">
      <c r="A117" s="1414">
        <v>2</v>
      </c>
      <c r="B117" s="1414">
        <f>LOOKUP(A117,BOQ!$N$16:$N$1289,BOQ!$B$16:$B$1289)</f>
        <v>0</v>
      </c>
      <c r="J117" s="1426">
        <f>LOOKUP(A117,BOQ!$N$16:$N$1289,BOQ!$L$16:$L$1289)</f>
        <v>0</v>
      </c>
      <c r="O117" s="1415" t="str">
        <f>B116</f>
        <v>PEKERJAAN PERSIAPAN</v>
      </c>
      <c r="P117" s="1416">
        <f>J117</f>
        <v>0</v>
      </c>
      <c r="R117" s="1462"/>
    </row>
    <row r="118" spans="1:20" ht="14.45" customHeight="1">
      <c r="A118" s="1414">
        <v>3</v>
      </c>
      <c r="B118" s="1414" t="str">
        <f>LOOKUP(A118,BOQ!$N$16:$N$1289,BOQ!$B$16:$B$1289)</f>
        <v>PEKERJAAN GALIAN TANAH + URUGAN</v>
      </c>
      <c r="J118" s="1426">
        <f>LOOKUP(A118,BOQ!$N$16:$N$1289,BOQ!$L$16:$L$1289)</f>
        <v>0</v>
      </c>
      <c r="O118" s="1415">
        <f t="shared" ref="O118:O137" si="0">B117</f>
        <v>0</v>
      </c>
      <c r="P118" s="1416">
        <f t="shared" ref="P118:P137" si="1">J118</f>
        <v>0</v>
      </c>
    </row>
    <row r="119" spans="1:20" ht="14.45" customHeight="1">
      <c r="A119" s="1414">
        <v>4</v>
      </c>
      <c r="B119" s="1414">
        <f>LOOKUP(A119,BOQ!$N$16:$N$1289,BOQ!$B$16:$B$1289)</f>
        <v>0</v>
      </c>
      <c r="J119" s="1426">
        <f>LOOKUP(A119,BOQ!$N$16:$N$1289,BOQ!$L$16:$L$1289)</f>
        <v>0</v>
      </c>
      <c r="O119" s="1415" t="str">
        <f t="shared" si="0"/>
        <v>PEKERJAAN GALIAN TANAH + URUGAN</v>
      </c>
      <c r="P119" s="1416">
        <f t="shared" si="1"/>
        <v>0</v>
      </c>
      <c r="R119" s="1462"/>
    </row>
    <row r="120" spans="1:20" ht="14.45" customHeight="1">
      <c r="A120" s="1414">
        <v>5</v>
      </c>
      <c r="B120" s="1414" t="str">
        <f>LOOKUP(A120,BOQ!$N$16:$N$1289,BOQ!$B$16:$B$1289)</f>
        <v>PEKERJAAN STRUKTUR BETON BERTULANG</v>
      </c>
      <c r="J120" s="1426">
        <f>LOOKUP(A120,BOQ!$N$16:$N$1289,BOQ!$L$16:$L$1289)</f>
        <v>0</v>
      </c>
      <c r="O120" s="1415">
        <f t="shared" si="0"/>
        <v>0</v>
      </c>
      <c r="P120" s="1416">
        <f t="shared" si="1"/>
        <v>0</v>
      </c>
    </row>
    <row r="121" spans="1:20" ht="14.45" customHeight="1">
      <c r="A121" s="1414">
        <v>6</v>
      </c>
      <c r="B121" s="1414" t="str">
        <f>LOOKUP(A121,BOQ!$N$16:$N$1289,BOQ!$B$16:$B$1289)</f>
        <v>Lantai 1 &amp; Pondasi</v>
      </c>
      <c r="J121" s="1426">
        <f>LOOKUP(A121,BOQ!$N$16:$N$1289,BOQ!$L$16:$L$1289)</f>
        <v>0</v>
      </c>
      <c r="O121" s="1415" t="str">
        <f t="shared" si="0"/>
        <v>PEKERJAAN STRUKTUR BETON BERTULANG</v>
      </c>
      <c r="P121" s="1416">
        <f t="shared" si="1"/>
        <v>0</v>
      </c>
      <c r="R121" s="1462"/>
    </row>
    <row r="122" spans="1:20" ht="14.45" customHeight="1">
      <c r="A122" s="1414">
        <v>7</v>
      </c>
      <c r="B122" s="1414">
        <f>LOOKUP(A122,BOQ!$N$16:$N$1289,BOQ!$B$16:$B$1289)</f>
        <v>0</v>
      </c>
      <c r="J122" s="1426">
        <f>LOOKUP(A122,BOQ!$N$16:$N$1289,BOQ!$L$16:$L$1289)</f>
        <v>0</v>
      </c>
      <c r="O122" s="1415" t="str">
        <f t="shared" si="0"/>
        <v>Lantai 1 &amp; Pondasi</v>
      </c>
      <c r="P122" s="1416">
        <f t="shared" si="1"/>
        <v>0</v>
      </c>
    </row>
    <row r="123" spans="1:20" ht="14.45" customHeight="1">
      <c r="A123" s="1414">
        <v>8</v>
      </c>
      <c r="B123" s="1414" t="str">
        <f>LOOKUP(A123,BOQ!$N$16:$N$1289,BOQ!$B$16:$B$1289)</f>
        <v>Lantai 2 dan Mezannine</v>
      </c>
      <c r="J123" s="1426">
        <f>LOOKUP(A123,BOQ!$N$16:$N$1289,BOQ!$L$16:$L$1289)</f>
        <v>0</v>
      </c>
      <c r="O123" s="1415">
        <f t="shared" si="0"/>
        <v>0</v>
      </c>
      <c r="P123" s="1416">
        <f t="shared" si="1"/>
        <v>0</v>
      </c>
      <c r="R123" s="1462"/>
    </row>
    <row r="124" spans="1:20" ht="14.45" customHeight="1">
      <c r="A124" s="1414">
        <v>9</v>
      </c>
      <c r="B124" s="1414">
        <f>LOOKUP(A124,BOQ!$N$16:$N$1289,BOQ!$B$16:$B$1289)</f>
        <v>0</v>
      </c>
      <c r="J124" s="1426">
        <f>LOOKUP(A124,BOQ!$N$16:$N$1289,BOQ!$L$16:$L$1289)</f>
        <v>0</v>
      </c>
      <c r="O124" s="1415" t="str">
        <f t="shared" si="0"/>
        <v>Lantai 2 dan Mezannine</v>
      </c>
      <c r="P124" s="1416">
        <f t="shared" si="1"/>
        <v>0</v>
      </c>
    </row>
    <row r="125" spans="1:20" ht="14.45" customHeight="1">
      <c r="A125" s="1414">
        <v>10</v>
      </c>
      <c r="B125" s="1414" t="str">
        <f>LOOKUP(A125,BOQ!$N$16:$N$1289,BOQ!$B$16:$B$1289)</f>
        <v>Lantai Atap</v>
      </c>
      <c r="J125" s="1426">
        <f>LOOKUP(A125,BOQ!$N$16:$N$1289,BOQ!$L$16:$L$1289)</f>
        <v>0</v>
      </c>
      <c r="O125" s="1415">
        <f t="shared" si="0"/>
        <v>0</v>
      </c>
      <c r="P125" s="1416">
        <f t="shared" si="1"/>
        <v>0</v>
      </c>
      <c r="R125" s="1462"/>
    </row>
    <row r="126" spans="1:20" ht="14.45" customHeight="1">
      <c r="A126" s="1414">
        <v>11</v>
      </c>
      <c r="B126" s="1414">
        <f>LOOKUP(A126,BOQ!$N$16:$N$1289,BOQ!$B$16:$B$1289)</f>
        <v>0</v>
      </c>
      <c r="J126" s="1426">
        <f>LOOKUP(A126,BOQ!$N$16:$N$1289,BOQ!$L$16:$L$1289)</f>
        <v>0</v>
      </c>
      <c r="O126" s="1415" t="str">
        <f t="shared" si="0"/>
        <v>Lantai Atap</v>
      </c>
      <c r="P126" s="1416">
        <f t="shared" si="1"/>
        <v>0</v>
      </c>
    </row>
    <row r="127" spans="1:20" ht="14.45" customHeight="1">
      <c r="A127" s="1414">
        <v>12</v>
      </c>
      <c r="B127" s="1414" t="str">
        <f>LOOKUP(A127,BOQ!$N$16:$N$1289,BOQ!$B$16:$B$1289)</f>
        <v>Lantai Atap</v>
      </c>
      <c r="J127" s="1426">
        <f>LOOKUP(A127,BOQ!$N$16:$N$1289,BOQ!$L$16:$L$1289)</f>
        <v>0</v>
      </c>
      <c r="O127" s="1415">
        <f t="shared" si="0"/>
        <v>0</v>
      </c>
      <c r="P127" s="1416">
        <f t="shared" si="1"/>
        <v>0</v>
      </c>
      <c r="R127" s="1462"/>
    </row>
    <row r="128" spans="1:20" ht="14.45" customHeight="1">
      <c r="A128" s="1414">
        <v>13</v>
      </c>
      <c r="B128" s="1414">
        <f>LOOKUP(A128,BOQ!$N$16:$N$1289,BOQ!$B$16:$B$1289)</f>
        <v>0</v>
      </c>
      <c r="J128" s="1426">
        <f>LOOKUP(A128,BOQ!$N$16:$N$1289,BOQ!$L$16:$L$1289)</f>
        <v>0</v>
      </c>
      <c r="O128" s="1415" t="str">
        <f t="shared" si="0"/>
        <v>Lantai Atap</v>
      </c>
      <c r="P128" s="1416">
        <f t="shared" si="1"/>
        <v>0</v>
      </c>
      <c r="T128" s="1414">
        <v>0</v>
      </c>
    </row>
    <row r="129" spans="1:18" ht="14.45" customHeight="1">
      <c r="A129" s="1414">
        <v>14</v>
      </c>
      <c r="B129" s="1414" t="str">
        <f>LOOKUP(A129,BOQ!$N$16:$N$1289,BOQ!$B$16:$B$1289)</f>
        <v>Lantai 4</v>
      </c>
      <c r="J129" s="1426">
        <f>LOOKUP(A129,BOQ!$N$16:$N$1289,BOQ!$L$16:$L$1289)</f>
        <v>0</v>
      </c>
      <c r="O129" s="1415">
        <f t="shared" si="0"/>
        <v>0</v>
      </c>
      <c r="P129" s="1416">
        <f t="shared" si="1"/>
        <v>0</v>
      </c>
      <c r="R129" s="1462"/>
    </row>
    <row r="130" spans="1:18" ht="14.45" customHeight="1">
      <c r="A130" s="1414">
        <v>15</v>
      </c>
      <c r="B130" s="1414">
        <f>LOOKUP(A130,BOQ!$N$16:$N$1289,BOQ!$B$16:$B$1289)</f>
        <v>0</v>
      </c>
      <c r="J130" s="1426">
        <f>LOOKUP(A130,BOQ!$N$16:$N$1289,BOQ!$L$16:$L$1289)</f>
        <v>0</v>
      </c>
      <c r="O130" s="1415" t="str">
        <f t="shared" si="0"/>
        <v>Lantai 4</v>
      </c>
      <c r="P130" s="1416">
        <f t="shared" si="1"/>
        <v>0</v>
      </c>
    </row>
    <row r="131" spans="1:18" ht="14.45" customHeight="1">
      <c r="A131" s="1414">
        <v>16</v>
      </c>
      <c r="B131" s="1414" t="str">
        <f>LOOKUP(A131,BOQ!$N$16:$N$1289,BOQ!$B$16:$B$1289)</f>
        <v>Lantai Atap</v>
      </c>
      <c r="J131" s="1426">
        <f>LOOKUP(A131,BOQ!$N$16:$N$1289,BOQ!$L$16:$L$1289)</f>
        <v>0</v>
      </c>
      <c r="O131" s="1415">
        <f t="shared" si="0"/>
        <v>0</v>
      </c>
      <c r="P131" s="1416">
        <f t="shared" si="1"/>
        <v>0</v>
      </c>
    </row>
    <row r="132" spans="1:18" ht="14.45" customHeight="1">
      <c r="A132" s="1414">
        <v>17</v>
      </c>
      <c r="B132" s="1414">
        <f>LOOKUP(A132,BOQ!$N$16:$N$1289,BOQ!$B$16:$B$1289)</f>
        <v>0</v>
      </c>
      <c r="J132" s="1426">
        <f>LOOKUP(A132,BOQ!$N$16:$N$1289,BOQ!$L$16:$L$1289)</f>
        <v>0</v>
      </c>
      <c r="O132" s="1415" t="str">
        <f t="shared" si="0"/>
        <v>Lantai Atap</v>
      </c>
      <c r="P132" s="1416">
        <f t="shared" si="1"/>
        <v>0</v>
      </c>
    </row>
    <row r="133" spans="1:18" ht="14.45" customHeight="1">
      <c r="A133" s="1414">
        <v>18</v>
      </c>
      <c r="B133" s="1414" t="str">
        <f>LOOKUP(A133,BOQ!$N$16:$N$1289,BOQ!$B$16:$B$1289)</f>
        <v>PEKERJAAN DINDING</v>
      </c>
      <c r="J133" s="1426">
        <f>LOOKUP(A133,BOQ!$N$16:$N$1289,BOQ!$L$16:$L$1289)</f>
        <v>0</v>
      </c>
      <c r="O133" s="1415">
        <f t="shared" si="0"/>
        <v>0</v>
      </c>
      <c r="P133" s="1416">
        <f t="shared" si="1"/>
        <v>0</v>
      </c>
    </row>
    <row r="134" spans="1:18" ht="14.45" customHeight="1">
      <c r="A134" s="1414">
        <v>19</v>
      </c>
      <c r="B134" s="1414" t="str">
        <f>LOOKUP(A134,BOQ!$N$16:$N$1289,BOQ!$B$16:$B$1289)</f>
        <v>Lantai 1</v>
      </c>
      <c r="J134" s="1426">
        <f>LOOKUP(A134,BOQ!$N$16:$N$1289,BOQ!$L$16:$L$1289)</f>
        <v>0</v>
      </c>
      <c r="O134" s="1415" t="str">
        <f t="shared" si="0"/>
        <v>PEKERJAAN DINDING</v>
      </c>
      <c r="P134" s="1416">
        <f t="shared" si="1"/>
        <v>0</v>
      </c>
    </row>
    <row r="135" spans="1:18" ht="14.45" customHeight="1">
      <c r="A135" s="1414">
        <v>20</v>
      </c>
      <c r="B135" s="1414">
        <f>LOOKUP(A135,BOQ!$N$16:$N$1289,BOQ!$B$16:$B$1289)</f>
        <v>0</v>
      </c>
      <c r="J135" s="1426">
        <f>LOOKUP(A135,BOQ!$N$16:$N$1289,BOQ!$L$16:$L$1289)</f>
        <v>0</v>
      </c>
      <c r="O135" s="1415" t="str">
        <f t="shared" si="0"/>
        <v>Lantai 1</v>
      </c>
      <c r="P135" s="1416">
        <f t="shared" si="1"/>
        <v>0</v>
      </c>
    </row>
    <row r="136" spans="1:18" ht="14.45" customHeight="1">
      <c r="A136" s="1414">
        <v>21</v>
      </c>
      <c r="B136" s="1414" t="str">
        <f>LOOKUP(A136,BOQ!$N$16:$N$1289,BOQ!$B$16:$B$1289)</f>
        <v>Lantai 2</v>
      </c>
      <c r="J136" s="1426">
        <f>LOOKUP(A136,BOQ!$N$16:$N$1289,BOQ!$L$16:$L$1289)</f>
        <v>0</v>
      </c>
      <c r="O136" s="1415">
        <f t="shared" si="0"/>
        <v>0</v>
      </c>
      <c r="P136" s="1416">
        <f t="shared" si="1"/>
        <v>0</v>
      </c>
    </row>
    <row r="137" spans="1:18" ht="14.45" customHeight="1">
      <c r="A137" s="1414">
        <v>22</v>
      </c>
      <c r="B137" s="1414">
        <f>LOOKUP(A137,BOQ!$N$16:$N$1289,BOQ!$B$16:$B$1289)</f>
        <v>0</v>
      </c>
      <c r="J137" s="1426">
        <f>LOOKUP(A137,BOQ!$N$16:$N$1289,BOQ!$L$16:$L$1289)</f>
        <v>0</v>
      </c>
      <c r="O137" s="1415" t="str">
        <f t="shared" si="0"/>
        <v>Lantai 2</v>
      </c>
      <c r="P137" s="1416">
        <f t="shared" si="1"/>
        <v>0</v>
      </c>
    </row>
    <row r="138" spans="1:18" ht="14.45" customHeight="1">
      <c r="A138" s="1414">
        <v>23</v>
      </c>
      <c r="B138" s="1414" t="str">
        <f>LOOKUP(A138,BOQ!$N$16:$N$1289,BOQ!$B$16:$B$1289)</f>
        <v>Lantai Atap</v>
      </c>
      <c r="J138" s="1426">
        <f>LOOKUP(A138,BOQ!$N$16:$N$1289,BOQ!$L$16:$L$1289)</f>
        <v>0</v>
      </c>
      <c r="O138" s="1415">
        <f t="shared" ref="O138:O162" si="2">B137</f>
        <v>0</v>
      </c>
      <c r="P138" s="1416">
        <f t="shared" ref="P138:P162" si="3">J138</f>
        <v>0</v>
      </c>
    </row>
    <row r="139" spans="1:18" ht="14.45" customHeight="1">
      <c r="A139" s="1414">
        <v>24</v>
      </c>
      <c r="B139" s="1414">
        <f>LOOKUP(A139,BOQ!$N$16:$N$1289,BOQ!$B$16:$B$1289)</f>
        <v>0</v>
      </c>
      <c r="J139" s="1426">
        <f>LOOKUP(A139,BOQ!$N$16:$N$1289,BOQ!$L$16:$L$1289)</f>
        <v>0</v>
      </c>
      <c r="O139" s="1415" t="str">
        <f t="shared" si="2"/>
        <v>Lantai Atap</v>
      </c>
      <c r="P139" s="1416">
        <f t="shared" si="3"/>
        <v>0</v>
      </c>
    </row>
    <row r="140" spans="1:18" ht="14.45" customHeight="1">
      <c r="A140" s="1414">
        <v>25</v>
      </c>
      <c r="B140" s="1414" t="str">
        <f>LOOKUP(A140,BOQ!$N$16:$N$1289,BOQ!$B$16:$B$1289)</f>
        <v>Lantai Atap</v>
      </c>
      <c r="J140" s="1426">
        <f>LOOKUP(A140,BOQ!$N$16:$N$1289,BOQ!$L$16:$L$1289)</f>
        <v>0</v>
      </c>
      <c r="O140" s="1415">
        <f t="shared" si="2"/>
        <v>0</v>
      </c>
      <c r="P140" s="1416">
        <f t="shared" si="3"/>
        <v>0</v>
      </c>
    </row>
    <row r="141" spans="1:18" ht="14.45" customHeight="1">
      <c r="A141" s="1414">
        <v>26</v>
      </c>
      <c r="B141" s="1414">
        <f>LOOKUP(A141,BOQ!$N$16:$N$1289,BOQ!$B$16:$B$1289)</f>
        <v>0</v>
      </c>
      <c r="J141" s="1426">
        <f>LOOKUP(A141,BOQ!$N$16:$N$1289,BOQ!$L$16:$L$1289)</f>
        <v>0</v>
      </c>
      <c r="O141" s="1415" t="str">
        <f t="shared" si="2"/>
        <v>Lantai Atap</v>
      </c>
      <c r="P141" s="1416">
        <f t="shared" si="3"/>
        <v>0</v>
      </c>
    </row>
    <row r="142" spans="1:18" ht="14.45" customHeight="1">
      <c r="A142" s="1414">
        <v>27</v>
      </c>
      <c r="B142" s="1414" t="str">
        <f>LOOKUP(A142,BOQ!$N$16:$N$1289,BOQ!$B$16:$B$1289)</f>
        <v>Lantai 4</v>
      </c>
      <c r="J142" s="1426">
        <f>LOOKUP(A142,BOQ!$N$16:$N$1289,BOQ!$L$16:$L$1289)</f>
        <v>0</v>
      </c>
      <c r="O142" s="1415">
        <f t="shared" si="2"/>
        <v>0</v>
      </c>
      <c r="P142" s="1416">
        <f t="shared" si="3"/>
        <v>0</v>
      </c>
    </row>
    <row r="143" spans="1:18" ht="14.45" customHeight="1">
      <c r="A143" s="1414">
        <v>28</v>
      </c>
      <c r="B143" s="1414">
        <f>LOOKUP(A143,BOQ!$N$16:$N$1289,BOQ!$B$16:$B$1289)</f>
        <v>0</v>
      </c>
      <c r="J143" s="1426">
        <f>LOOKUP(A143,BOQ!$N$16:$N$1289,BOQ!$L$16:$L$1289)</f>
        <v>0</v>
      </c>
      <c r="O143" s="1415" t="str">
        <f t="shared" si="2"/>
        <v>Lantai 4</v>
      </c>
      <c r="P143" s="1416">
        <f t="shared" si="3"/>
        <v>0</v>
      </c>
    </row>
    <row r="144" spans="1:18" ht="14.45" customHeight="1">
      <c r="A144" s="1414">
        <v>29</v>
      </c>
      <c r="B144" s="1414" t="str">
        <f>LOOKUP(A144,BOQ!$N$16:$N$1289,BOQ!$B$16:$B$1289)</f>
        <v>Lantai Atap</v>
      </c>
      <c r="J144" s="1426">
        <f>LOOKUP(A144,BOQ!$N$16:$N$1289,BOQ!$L$16:$L$1289)</f>
        <v>0</v>
      </c>
      <c r="O144" s="1415">
        <f t="shared" si="2"/>
        <v>0</v>
      </c>
      <c r="P144" s="1416">
        <f t="shared" si="3"/>
        <v>0</v>
      </c>
    </row>
    <row r="145" spans="1:16" ht="14.45" customHeight="1">
      <c r="A145" s="1414">
        <v>30</v>
      </c>
      <c r="B145" s="1414">
        <f>LOOKUP(A145,BOQ!$N$16:$N$1289,BOQ!$B$16:$B$1289)</f>
        <v>0</v>
      </c>
      <c r="J145" s="1426">
        <f>LOOKUP(A145,BOQ!$N$16:$N$1289,BOQ!$L$16:$L$1289)</f>
        <v>0</v>
      </c>
      <c r="O145" s="1415" t="str">
        <f t="shared" si="2"/>
        <v>Lantai Atap</v>
      </c>
      <c r="P145" s="1416">
        <f t="shared" si="3"/>
        <v>0</v>
      </c>
    </row>
    <row r="146" spans="1:16" ht="14.45" customHeight="1">
      <c r="A146" s="1414">
        <v>31</v>
      </c>
      <c r="B146" s="1414" t="str">
        <f>LOOKUP(A146,BOQ!$N$16:$N$1289,BOQ!$B$16:$B$1289)</f>
        <v>PEKERJAAN ATAP</v>
      </c>
      <c r="J146" s="1426">
        <f>LOOKUP(A146,BOQ!$N$16:$N$1289,BOQ!$L$16:$L$1289)</f>
        <v>0</v>
      </c>
      <c r="O146" s="1415">
        <f t="shared" si="2"/>
        <v>0</v>
      </c>
      <c r="P146" s="1416">
        <f t="shared" si="3"/>
        <v>0</v>
      </c>
    </row>
    <row r="147" spans="1:16" ht="14.45" customHeight="1">
      <c r="A147" s="1414">
        <v>32</v>
      </c>
      <c r="B147" s="1414">
        <f>LOOKUP(A147,BOQ!$N$16:$N$1289,BOQ!$B$16:$B$1289)</f>
        <v>0</v>
      </c>
      <c r="J147" s="1426">
        <f>LOOKUP(A147,BOQ!$N$16:$N$1289,BOQ!$L$16:$L$1289)</f>
        <v>0</v>
      </c>
      <c r="O147" s="1415" t="str">
        <f t="shared" si="2"/>
        <v>PEKERJAAN ATAP</v>
      </c>
      <c r="P147" s="1416">
        <f t="shared" si="3"/>
        <v>0</v>
      </c>
    </row>
    <row r="148" spans="1:16" ht="14.45" customHeight="1">
      <c r="A148" s="1414">
        <v>33</v>
      </c>
      <c r="B148" s="1414" t="str">
        <f>LOOKUP(A148,BOQ!$N$16:$N$1289,BOQ!$B$16:$B$1289)</f>
        <v>PEKERJAAN KUSEN, PINTU DAN JENDELA</v>
      </c>
      <c r="J148" s="1426">
        <f>LOOKUP(A148,BOQ!$N$16:$N$1289,BOQ!$L$16:$L$1289)</f>
        <v>0</v>
      </c>
      <c r="O148" s="1415">
        <f t="shared" si="2"/>
        <v>0</v>
      </c>
      <c r="P148" s="1416">
        <f t="shared" si="3"/>
        <v>0</v>
      </c>
    </row>
    <row r="149" spans="1:16" ht="14.45" customHeight="1">
      <c r="A149" s="1414">
        <v>34</v>
      </c>
      <c r="B149" s="1414" t="str">
        <f>LOOKUP(A149,BOQ!$N$16:$N$1289,BOQ!$B$16:$B$1289)</f>
        <v>Lantai 1</v>
      </c>
      <c r="J149" s="1426">
        <f>LOOKUP(A149,BOQ!$N$16:$N$1289,BOQ!$L$16:$L$1289)</f>
        <v>0</v>
      </c>
      <c r="O149" s="1415" t="str">
        <f t="shared" si="2"/>
        <v>PEKERJAAN KUSEN, PINTU DAN JENDELA</v>
      </c>
      <c r="P149" s="1416">
        <f t="shared" si="3"/>
        <v>0</v>
      </c>
    </row>
    <row r="150" spans="1:16" ht="14.45" customHeight="1">
      <c r="A150" s="1414">
        <v>35</v>
      </c>
      <c r="B150" s="1414">
        <f>LOOKUP(A150,BOQ!$N$16:$N$1289,BOQ!$B$16:$B$1289)</f>
        <v>0</v>
      </c>
      <c r="J150" s="1426">
        <f>LOOKUP(A150,BOQ!$N$16:$N$1289,BOQ!$L$16:$L$1289)</f>
        <v>0</v>
      </c>
      <c r="O150" s="1415" t="str">
        <f t="shared" si="2"/>
        <v>Lantai 1</v>
      </c>
      <c r="P150" s="1416">
        <f t="shared" si="3"/>
        <v>0</v>
      </c>
    </row>
    <row r="151" spans="1:16" ht="14.45" customHeight="1">
      <c r="A151" s="1414">
        <v>36</v>
      </c>
      <c r="B151" s="1414" t="str">
        <f>LOOKUP(A151,BOQ!$N$16:$N$1289,BOQ!$B$16:$B$1289)</f>
        <v>Lantai 2 dan Mezzanine</v>
      </c>
      <c r="J151" s="1426">
        <f>LOOKUP(A151,BOQ!$N$16:$N$1289,BOQ!$L$16:$L$1289)</f>
        <v>0</v>
      </c>
      <c r="O151" s="1415">
        <f t="shared" si="2"/>
        <v>0</v>
      </c>
      <c r="P151" s="1416">
        <f t="shared" si="3"/>
        <v>0</v>
      </c>
    </row>
    <row r="152" spans="1:16" ht="14.45" customHeight="1">
      <c r="A152" s="1414">
        <v>37</v>
      </c>
      <c r="B152" s="1414">
        <f>LOOKUP(A152,BOQ!$N$16:$N$1289,BOQ!$B$16:$B$1289)</f>
        <v>0</v>
      </c>
      <c r="J152" s="1426">
        <f>LOOKUP(A152,BOQ!$N$16:$N$1289,BOQ!$L$16:$L$1289)</f>
        <v>0</v>
      </c>
      <c r="O152" s="1415" t="str">
        <f t="shared" si="2"/>
        <v>Lantai 2 dan Mezzanine</v>
      </c>
      <c r="P152" s="1416">
        <f t="shared" si="3"/>
        <v>0</v>
      </c>
    </row>
    <row r="153" spans="1:16" ht="14.45" customHeight="1">
      <c r="A153" s="1414">
        <v>38</v>
      </c>
      <c r="B153" s="1414" t="str">
        <f>LOOKUP(A153,BOQ!$N$16:$N$1289,BOQ!$B$16:$B$1289)</f>
        <v>Lantai Atap</v>
      </c>
      <c r="J153" s="1426">
        <f>LOOKUP(A153,BOQ!$N$16:$N$1289,BOQ!$L$16:$L$1289)</f>
        <v>0</v>
      </c>
      <c r="O153" s="1415">
        <f t="shared" si="2"/>
        <v>0</v>
      </c>
      <c r="P153" s="1416">
        <f t="shared" si="3"/>
        <v>0</v>
      </c>
    </row>
    <row r="154" spans="1:16" ht="14.45" customHeight="1">
      <c r="A154" s="1414">
        <v>39</v>
      </c>
      <c r="B154" s="1414">
        <f>LOOKUP(A154,BOQ!$N$16:$N$1289,BOQ!$B$16:$B$1289)</f>
        <v>0</v>
      </c>
      <c r="J154" s="1426">
        <f>LOOKUP(A154,BOQ!$N$16:$N$1289,BOQ!$L$16:$L$1289)</f>
        <v>0</v>
      </c>
      <c r="O154" s="1415" t="str">
        <f t="shared" si="2"/>
        <v>Lantai Atap</v>
      </c>
      <c r="P154" s="1416">
        <f t="shared" si="3"/>
        <v>0</v>
      </c>
    </row>
    <row r="155" spans="1:16" ht="14.45" customHeight="1">
      <c r="A155" s="1414">
        <v>40</v>
      </c>
      <c r="B155" s="1414" t="str">
        <f>LOOKUP(A155,BOQ!$N$16:$N$1289,BOQ!$B$16:$B$1289)</f>
        <v>Lantai 4</v>
      </c>
      <c r="J155" s="1426">
        <f>LOOKUP(A155,BOQ!$N$16:$N$1289,BOQ!$L$16:$L$1289)</f>
        <v>0</v>
      </c>
      <c r="O155" s="1415">
        <f t="shared" si="2"/>
        <v>0</v>
      </c>
      <c r="P155" s="1416">
        <f t="shared" si="3"/>
        <v>0</v>
      </c>
    </row>
    <row r="156" spans="1:16" ht="14.45" customHeight="1">
      <c r="A156" s="1414">
        <v>41</v>
      </c>
      <c r="B156" s="1414">
        <f>LOOKUP(A156,BOQ!$N$16:$N$1289,BOQ!$B$16:$B$1289)</f>
        <v>0</v>
      </c>
      <c r="J156" s="1426">
        <f>LOOKUP(A156,BOQ!$N$16:$N$1289,BOQ!$L$16:$L$1289)</f>
        <v>0</v>
      </c>
      <c r="O156" s="1415" t="str">
        <f t="shared" si="2"/>
        <v>Lantai 4</v>
      </c>
      <c r="P156" s="1416">
        <f t="shared" si="3"/>
        <v>0</v>
      </c>
    </row>
    <row r="157" spans="1:16" ht="14.45" customHeight="1">
      <c r="A157" s="1414">
        <v>42</v>
      </c>
      <c r="B157" s="1414" t="str">
        <f>LOOKUP(A157,BOQ!$N$16:$N$1289,BOQ!$B$16:$B$1289)</f>
        <v>PEKERJAAN ENGSEL DAN KUNCI</v>
      </c>
      <c r="J157" s="1426">
        <f>LOOKUP(A157,BOQ!$N$16:$N$1289,BOQ!$L$16:$L$1289)</f>
        <v>0</v>
      </c>
      <c r="O157" s="1415">
        <f t="shared" si="2"/>
        <v>0</v>
      </c>
      <c r="P157" s="1416">
        <f t="shared" si="3"/>
        <v>0</v>
      </c>
    </row>
    <row r="158" spans="1:16" ht="14.45" customHeight="1">
      <c r="A158" s="1414">
        <v>43</v>
      </c>
      <c r="B158" s="1414">
        <f>LOOKUP(A158,BOQ!$N$16:$N$1289,BOQ!$B$16:$B$1289)</f>
        <v>0</v>
      </c>
      <c r="J158" s="1426">
        <f>LOOKUP(A158,BOQ!$N$16:$N$1289,BOQ!$L$16:$L$1289)</f>
        <v>0</v>
      </c>
      <c r="O158" s="1415" t="str">
        <f t="shared" si="2"/>
        <v>PEKERJAAN ENGSEL DAN KUNCI</v>
      </c>
      <c r="P158" s="1416">
        <f t="shared" si="3"/>
        <v>0</v>
      </c>
    </row>
    <row r="159" spans="1:16" ht="14.45" customHeight="1">
      <c r="A159" s="1414">
        <v>44</v>
      </c>
      <c r="B159" s="1414" t="str">
        <f>LOOKUP(A159,BOQ!$N$16:$N$1289,BOQ!$B$16:$B$1289)</f>
        <v>PEKERJAAN INSTALASI AIR  &amp; SANITARI</v>
      </c>
      <c r="J159" s="1426">
        <f>LOOKUP(A159,BOQ!$N$16:$N$1289,BOQ!$L$16:$L$1289)</f>
        <v>0</v>
      </c>
      <c r="O159" s="1415">
        <f t="shared" si="2"/>
        <v>0</v>
      </c>
      <c r="P159" s="1416">
        <f t="shared" si="3"/>
        <v>0</v>
      </c>
    </row>
    <row r="160" spans="1:16" ht="14.45" customHeight="1">
      <c r="A160" s="1414">
        <v>45</v>
      </c>
      <c r="B160" s="1414" t="str">
        <f>LOOKUP(A160,BOQ!$N$16:$N$1289,BOQ!$B$16:$B$1289)</f>
        <v>Lantai 1</v>
      </c>
      <c r="J160" s="1426">
        <f>LOOKUP(A160,BOQ!$N$16:$N$1289,BOQ!$L$16:$L$1289)</f>
        <v>0</v>
      </c>
      <c r="O160" s="1415" t="str">
        <f t="shared" si="2"/>
        <v>PEKERJAAN INSTALASI AIR  &amp; SANITARI</v>
      </c>
      <c r="P160" s="1416">
        <f t="shared" si="3"/>
        <v>0</v>
      </c>
    </row>
    <row r="161" spans="1:16" ht="14.45" customHeight="1">
      <c r="A161" s="1414">
        <v>46</v>
      </c>
      <c r="B161" s="1414">
        <f>LOOKUP(A161,BOQ!$N$16:$N$1289,BOQ!$B$16:$B$1289)</f>
        <v>0</v>
      </c>
      <c r="J161" s="1426">
        <f>LOOKUP(A161,BOQ!$N$16:$N$1289,BOQ!$L$16:$L$1289)</f>
        <v>0</v>
      </c>
      <c r="O161" s="1415" t="str">
        <f t="shared" si="2"/>
        <v>Lantai 1</v>
      </c>
      <c r="P161" s="1416">
        <f t="shared" si="3"/>
        <v>0</v>
      </c>
    </row>
    <row r="162" spans="1:16" ht="14.45" customHeight="1">
      <c r="A162" s="1414">
        <v>47</v>
      </c>
      <c r="B162" s="1414" t="str">
        <f>LOOKUP(A162,BOQ!$N$16:$N$1289,BOQ!$B$16:$B$1289)</f>
        <v>Lantai 2</v>
      </c>
      <c r="J162" s="1426">
        <f>LOOKUP(A162,BOQ!$N$16:$N$1289,BOQ!$L$16:$L$1289)</f>
        <v>0</v>
      </c>
      <c r="O162" s="1415">
        <f t="shared" si="2"/>
        <v>0</v>
      </c>
      <c r="P162" s="1416">
        <f t="shared" si="3"/>
        <v>0</v>
      </c>
    </row>
    <row r="163" spans="1:16" ht="14.45" customHeight="1">
      <c r="A163" s="1414">
        <v>48</v>
      </c>
      <c r="B163" s="1414">
        <f>LOOKUP(A163,BOQ!$N$16:$N$1289,BOQ!$B$16:$B$1289)</f>
        <v>0</v>
      </c>
      <c r="J163" s="1426">
        <f>LOOKUP(A163,BOQ!$N$16:$N$1289,BOQ!$L$16:$L$1289)</f>
        <v>0</v>
      </c>
      <c r="O163" s="1415" t="str">
        <f t="shared" ref="O163:O226" si="4">B162</f>
        <v>Lantai 2</v>
      </c>
      <c r="P163" s="1416">
        <f t="shared" ref="P163:P226" si="5">J163</f>
        <v>0</v>
      </c>
    </row>
    <row r="164" spans="1:16" ht="14.45" customHeight="1">
      <c r="A164" s="1414">
        <v>49</v>
      </c>
      <c r="B164" s="1414" t="str">
        <f>LOOKUP(A164,BOQ!$N$16:$N$1289,BOQ!$B$16:$B$1289)</f>
        <v>Lantai Atap</v>
      </c>
      <c r="J164" s="1426">
        <f>LOOKUP(A164,BOQ!$N$16:$N$1289,BOQ!$L$16:$L$1289)</f>
        <v>0</v>
      </c>
      <c r="O164" s="1415">
        <f t="shared" si="4"/>
        <v>0</v>
      </c>
      <c r="P164" s="1416">
        <f t="shared" si="5"/>
        <v>0</v>
      </c>
    </row>
    <row r="165" spans="1:16" ht="14.45" customHeight="1">
      <c r="A165" s="1414">
        <v>50</v>
      </c>
      <c r="B165" s="1414">
        <f>LOOKUP(A165,BOQ!$N$16:$N$1289,BOQ!$B$16:$B$1289)</f>
        <v>0</v>
      </c>
      <c r="J165" s="1426">
        <f>LOOKUP(A165,BOQ!$N$16:$N$1289,BOQ!$L$16:$L$1289)</f>
        <v>0</v>
      </c>
      <c r="O165" s="1415" t="str">
        <f t="shared" si="4"/>
        <v>Lantai Atap</v>
      </c>
      <c r="P165" s="1416">
        <f t="shared" si="5"/>
        <v>0</v>
      </c>
    </row>
    <row r="166" spans="1:16" ht="14.45" customHeight="1">
      <c r="A166" s="1414">
        <v>51</v>
      </c>
      <c r="B166" s="1414" t="str">
        <f>LOOKUP(A166,BOQ!$N$16:$N$1289,BOQ!$B$16:$B$1289)</f>
        <v>Lantai Atap</v>
      </c>
      <c r="J166" s="1426">
        <f>LOOKUP(A166,BOQ!$N$16:$N$1289,BOQ!$L$16:$L$1289)</f>
        <v>0</v>
      </c>
      <c r="O166" s="1415">
        <f t="shared" si="4"/>
        <v>0</v>
      </c>
      <c r="P166" s="1416">
        <f t="shared" si="5"/>
        <v>0</v>
      </c>
    </row>
    <row r="167" spans="1:16" ht="14.45" customHeight="1">
      <c r="A167" s="1414">
        <v>52</v>
      </c>
      <c r="B167" s="1414">
        <f>LOOKUP(A167,BOQ!$N$16:$N$1289,BOQ!$B$16:$B$1289)</f>
        <v>0</v>
      </c>
      <c r="J167" s="1426">
        <f>LOOKUP(A167,BOQ!$N$16:$N$1289,BOQ!$L$16:$L$1289)</f>
        <v>0</v>
      </c>
      <c r="O167" s="1415" t="str">
        <f t="shared" si="4"/>
        <v>Lantai Atap</v>
      </c>
      <c r="P167" s="1416">
        <f t="shared" si="5"/>
        <v>0</v>
      </c>
    </row>
    <row r="168" spans="1:16" ht="14.45" customHeight="1">
      <c r="A168" s="1414">
        <v>53</v>
      </c>
      <c r="B168" s="1414" t="str">
        <f>LOOKUP(A168,BOQ!$N$16:$N$1289,BOQ!$B$16:$B$1289)</f>
        <v>Lantai 4</v>
      </c>
      <c r="J168" s="1426">
        <f>LOOKUP(A168,BOQ!$N$16:$N$1289,BOQ!$L$16:$L$1289)</f>
        <v>0</v>
      </c>
      <c r="O168" s="1415">
        <f t="shared" si="4"/>
        <v>0</v>
      </c>
      <c r="P168" s="1416">
        <f t="shared" si="5"/>
        <v>0</v>
      </c>
    </row>
    <row r="169" spans="1:16" ht="14.45" customHeight="1">
      <c r="A169" s="1414">
        <v>54</v>
      </c>
      <c r="B169" s="1414">
        <f>LOOKUP(A169,BOQ!$N$16:$N$1289,BOQ!$B$16:$B$1289)</f>
        <v>0</v>
      </c>
      <c r="J169" s="1426">
        <f>LOOKUP(A169,BOQ!$N$16:$N$1289,BOQ!$L$16:$L$1289)</f>
        <v>0</v>
      </c>
      <c r="O169" s="1415" t="str">
        <f t="shared" si="4"/>
        <v>Lantai 4</v>
      </c>
      <c r="P169" s="1416">
        <f t="shared" si="5"/>
        <v>0</v>
      </c>
    </row>
    <row r="170" spans="1:16" ht="14.45" customHeight="1">
      <c r="A170" s="1414">
        <v>55</v>
      </c>
      <c r="B170" s="1414" t="str">
        <f>LOOKUP(A170,BOQ!$N$16:$N$1289,BOQ!$B$16:$B$1289)</f>
        <v>Lantai Atap</v>
      </c>
      <c r="J170" s="1426">
        <f>LOOKUP(A170,BOQ!$N$16:$N$1289,BOQ!$L$16:$L$1289)</f>
        <v>0</v>
      </c>
      <c r="O170" s="1415">
        <f t="shared" si="4"/>
        <v>0</v>
      </c>
      <c r="P170" s="1416">
        <f t="shared" si="5"/>
        <v>0</v>
      </c>
    </row>
    <row r="171" spans="1:16" ht="14.45" customHeight="1">
      <c r="A171" s="1414">
        <v>56</v>
      </c>
      <c r="B171" s="1414">
        <f>LOOKUP(A171,BOQ!$N$16:$N$1289,BOQ!$B$16:$B$1289)</f>
        <v>0</v>
      </c>
      <c r="J171" s="1426">
        <f>LOOKUP(A171,BOQ!$N$16:$N$1289,BOQ!$L$16:$L$1289)</f>
        <v>0</v>
      </c>
      <c r="O171" s="1415" t="str">
        <f t="shared" si="4"/>
        <v>Lantai Atap</v>
      </c>
      <c r="P171" s="1416">
        <f t="shared" si="5"/>
        <v>0</v>
      </c>
    </row>
    <row r="172" spans="1:16" ht="14.45" customHeight="1">
      <c r="A172" s="1414">
        <v>57</v>
      </c>
      <c r="B172" s="1414" t="str">
        <f>LOOKUP(A172,BOQ!$N$16:$N$1289,BOQ!$B$16:$B$1289)</f>
        <v>PEKERJAAN PLAFOND</v>
      </c>
      <c r="J172" s="1426">
        <f>LOOKUP(A172,BOQ!$N$16:$N$1289,BOQ!$L$16:$L$1289)</f>
        <v>0</v>
      </c>
      <c r="O172" s="1415">
        <f t="shared" si="4"/>
        <v>0</v>
      </c>
      <c r="P172" s="1416">
        <f t="shared" si="5"/>
        <v>0</v>
      </c>
    </row>
    <row r="173" spans="1:16" ht="14.45" customHeight="1">
      <c r="A173" s="1414">
        <v>58</v>
      </c>
      <c r="B173" s="1414" t="str">
        <f>LOOKUP(A173,BOQ!$N$16:$N$1289,BOQ!$B$16:$B$1289)</f>
        <v>Lantai 2</v>
      </c>
      <c r="J173" s="1426">
        <f>LOOKUP(A173,BOQ!$N$16:$N$1289,BOQ!$L$16:$L$1289)</f>
        <v>0</v>
      </c>
      <c r="O173" s="1415" t="str">
        <f t="shared" si="4"/>
        <v>PEKERJAAN PLAFOND</v>
      </c>
      <c r="P173" s="1416">
        <f t="shared" si="5"/>
        <v>0</v>
      </c>
    </row>
    <row r="174" spans="1:16" ht="14.45" customHeight="1">
      <c r="A174" s="1414">
        <v>59</v>
      </c>
      <c r="B174" s="1414">
        <f>LOOKUP(A174,BOQ!$N$16:$N$1289,BOQ!$B$16:$B$1289)</f>
        <v>0</v>
      </c>
      <c r="J174" s="1426">
        <f>LOOKUP(A174,BOQ!$N$16:$N$1289,BOQ!$L$16:$L$1289)</f>
        <v>0</v>
      </c>
      <c r="O174" s="1415" t="str">
        <f t="shared" si="4"/>
        <v>Lantai 2</v>
      </c>
      <c r="P174" s="1416">
        <f t="shared" si="5"/>
        <v>0</v>
      </c>
    </row>
    <row r="175" spans="1:16" ht="14.45" customHeight="1">
      <c r="A175" s="1414">
        <v>60</v>
      </c>
      <c r="B175" s="1414" t="str">
        <f>LOOKUP(A175,BOQ!$N$16:$N$1289,BOQ!$B$16:$B$1289)</f>
        <v>Lantai Atap</v>
      </c>
      <c r="J175" s="1426">
        <f>LOOKUP(A175,BOQ!$N$16:$N$1289,BOQ!$L$16:$L$1289)</f>
        <v>0</v>
      </c>
      <c r="O175" s="1415">
        <f t="shared" si="4"/>
        <v>0</v>
      </c>
      <c r="P175" s="1416">
        <f t="shared" si="5"/>
        <v>0</v>
      </c>
    </row>
    <row r="176" spans="1:16" ht="14.45" customHeight="1">
      <c r="A176" s="1414">
        <v>61</v>
      </c>
      <c r="B176" s="1414">
        <f>LOOKUP(A176,BOQ!$N$16:$N$1289,BOQ!$B$16:$B$1289)</f>
        <v>0</v>
      </c>
      <c r="J176" s="1426">
        <f>LOOKUP(A176,BOQ!$N$16:$N$1289,BOQ!$L$16:$L$1289)</f>
        <v>0</v>
      </c>
      <c r="O176" s="1415" t="str">
        <f t="shared" si="4"/>
        <v>Lantai Atap</v>
      </c>
      <c r="P176" s="1416">
        <f t="shared" si="5"/>
        <v>0</v>
      </c>
    </row>
    <row r="177" spans="1:16" ht="14.45" customHeight="1">
      <c r="A177" s="1414">
        <v>62</v>
      </c>
      <c r="B177" s="1414" t="str">
        <f>LOOKUP(A177,BOQ!$N$16:$N$1289,BOQ!$B$16:$B$1289)</f>
        <v>Lantai Atap</v>
      </c>
      <c r="J177" s="1426">
        <f>LOOKUP(A177,BOQ!$N$16:$N$1289,BOQ!$L$16:$L$1289)</f>
        <v>0</v>
      </c>
      <c r="O177" s="1415">
        <f t="shared" si="4"/>
        <v>0</v>
      </c>
      <c r="P177" s="1416">
        <f t="shared" si="5"/>
        <v>0</v>
      </c>
    </row>
    <row r="178" spans="1:16" ht="14.45" customHeight="1">
      <c r="A178" s="1414">
        <v>63</v>
      </c>
      <c r="B178" s="1414">
        <f>LOOKUP(A178,BOQ!$N$16:$N$1289,BOQ!$B$16:$B$1289)</f>
        <v>0</v>
      </c>
      <c r="J178" s="1426">
        <f>LOOKUP(A178,BOQ!$N$16:$N$1289,BOQ!$L$16:$L$1289)</f>
        <v>0</v>
      </c>
      <c r="O178" s="1415" t="str">
        <f t="shared" si="4"/>
        <v>Lantai Atap</v>
      </c>
      <c r="P178" s="1416">
        <f t="shared" si="5"/>
        <v>0</v>
      </c>
    </row>
    <row r="179" spans="1:16" ht="14.45" customHeight="1">
      <c r="A179" s="1414">
        <v>64</v>
      </c>
      <c r="B179" s="1414" t="str">
        <f>LOOKUP(A179,BOQ!$N$16:$N$1289,BOQ!$B$16:$B$1289)</f>
        <v>Lantai 4</v>
      </c>
      <c r="J179" s="1426">
        <f>LOOKUP(A179,BOQ!$N$16:$N$1289,BOQ!$L$16:$L$1289)</f>
        <v>0</v>
      </c>
      <c r="O179" s="1415">
        <f t="shared" si="4"/>
        <v>0</v>
      </c>
      <c r="P179" s="1416">
        <f t="shared" si="5"/>
        <v>0</v>
      </c>
    </row>
    <row r="180" spans="1:16" ht="14.45" customHeight="1">
      <c r="A180" s="1414">
        <v>65</v>
      </c>
      <c r="B180" s="1414">
        <f>LOOKUP(A180,BOQ!$N$16:$N$1289,BOQ!$B$16:$B$1289)</f>
        <v>0</v>
      </c>
      <c r="J180" s="1426">
        <f>LOOKUP(A180,BOQ!$N$16:$N$1289,BOQ!$L$16:$L$1289)</f>
        <v>0</v>
      </c>
      <c r="O180" s="1415" t="str">
        <f t="shared" si="4"/>
        <v>Lantai 4</v>
      </c>
      <c r="P180" s="1416">
        <f t="shared" si="5"/>
        <v>0</v>
      </c>
    </row>
    <row r="181" spans="1:16" ht="14.45" customHeight="1">
      <c r="A181" s="1414">
        <v>66</v>
      </c>
      <c r="B181" s="1414" t="str">
        <f>LOOKUP(A181,BOQ!$N$16:$N$1289,BOQ!$B$16:$B$1289)</f>
        <v>PEKERJAAN KERAMIK LANTAI &amp; DINDING</v>
      </c>
      <c r="J181" s="1426">
        <f>LOOKUP(A181,BOQ!$N$16:$N$1289,BOQ!$L$16:$L$1289)</f>
        <v>0</v>
      </c>
      <c r="O181" s="1415">
        <f t="shared" si="4"/>
        <v>0</v>
      </c>
      <c r="P181" s="1416">
        <f t="shared" si="5"/>
        <v>0</v>
      </c>
    </row>
    <row r="182" spans="1:16" ht="14.45" customHeight="1">
      <c r="A182" s="1414">
        <v>67</v>
      </c>
      <c r="B182" s="1414" t="str">
        <f>LOOKUP(A182,BOQ!$N$16:$N$1289,BOQ!$B$16:$B$1289)</f>
        <v>Pasangan keramik Lantai 1</v>
      </c>
      <c r="J182" s="1426">
        <f>LOOKUP(A182,BOQ!$N$16:$N$1289,BOQ!$L$16:$L$1289)</f>
        <v>0</v>
      </c>
      <c r="O182" s="1415" t="str">
        <f t="shared" si="4"/>
        <v>PEKERJAAN KERAMIK LANTAI &amp; DINDING</v>
      </c>
      <c r="P182" s="1416">
        <f t="shared" si="5"/>
        <v>0</v>
      </c>
    </row>
    <row r="183" spans="1:16" ht="14.45" customHeight="1">
      <c r="A183" s="1414">
        <v>68</v>
      </c>
      <c r="B183" s="1414">
        <f>LOOKUP(A183,BOQ!$N$16:$N$1289,BOQ!$B$16:$B$1289)</f>
        <v>0</v>
      </c>
      <c r="J183" s="1426">
        <f>LOOKUP(A183,BOQ!$N$16:$N$1289,BOQ!$L$16:$L$1289)</f>
        <v>0</v>
      </c>
      <c r="O183" s="1415" t="str">
        <f t="shared" si="4"/>
        <v>Pasangan keramik Lantai 1</v>
      </c>
      <c r="P183" s="1416">
        <f t="shared" si="5"/>
        <v>0</v>
      </c>
    </row>
    <row r="184" spans="1:16" ht="14.45" customHeight="1">
      <c r="A184" s="1414">
        <v>69</v>
      </c>
      <c r="B184" s="1414" t="str">
        <f>LOOKUP(A184,BOQ!$N$16:$N$1289,BOQ!$B$16:$B$1289)</f>
        <v>Pasangan keramik Lantai 2 dan Mezzanine</v>
      </c>
      <c r="J184" s="1426">
        <f>LOOKUP(A184,BOQ!$N$16:$N$1289,BOQ!$L$16:$L$1289)</f>
        <v>0</v>
      </c>
      <c r="O184" s="1415">
        <f t="shared" si="4"/>
        <v>0</v>
      </c>
      <c r="P184" s="1416">
        <f t="shared" si="5"/>
        <v>0</v>
      </c>
    </row>
    <row r="185" spans="1:16" ht="14.45" customHeight="1">
      <c r="A185" s="1414">
        <v>70</v>
      </c>
      <c r="B185" s="1414">
        <f>LOOKUP(A185,BOQ!$N$16:$N$1289,BOQ!$B$16:$B$1289)</f>
        <v>0</v>
      </c>
      <c r="J185" s="1426">
        <f>LOOKUP(A185,BOQ!$N$16:$N$1289,BOQ!$L$16:$L$1289)</f>
        <v>0</v>
      </c>
      <c r="O185" s="1415" t="str">
        <f t="shared" si="4"/>
        <v>Pasangan keramik Lantai 2 dan Mezzanine</v>
      </c>
      <c r="P185" s="1416">
        <f t="shared" si="5"/>
        <v>0</v>
      </c>
    </row>
    <row r="186" spans="1:16" ht="14.45" customHeight="1">
      <c r="A186" s="1414">
        <v>71</v>
      </c>
      <c r="B186" s="1414" t="str">
        <f>LOOKUP(A186,BOQ!$N$16:$N$1289,BOQ!$B$16:$B$1289)</f>
        <v>Pasangan keramik Lantai Atap</v>
      </c>
      <c r="J186" s="1426">
        <f>LOOKUP(A186,BOQ!$N$16:$N$1289,BOQ!$L$16:$L$1289)</f>
        <v>0</v>
      </c>
      <c r="O186" s="1415">
        <f t="shared" si="4"/>
        <v>0</v>
      </c>
      <c r="P186" s="1416">
        <f t="shared" si="5"/>
        <v>0</v>
      </c>
    </row>
    <row r="187" spans="1:16" ht="14.45" customHeight="1">
      <c r="A187" s="1414">
        <v>72</v>
      </c>
      <c r="B187" s="1414">
        <f>LOOKUP(A187,BOQ!$N$16:$N$1289,BOQ!$B$16:$B$1289)</f>
        <v>0</v>
      </c>
      <c r="J187" s="1426">
        <f>LOOKUP(A187,BOQ!$N$16:$N$1289,BOQ!$L$16:$L$1289)</f>
        <v>0</v>
      </c>
      <c r="O187" s="1415" t="str">
        <f t="shared" si="4"/>
        <v>Pasangan keramik Lantai Atap</v>
      </c>
      <c r="P187" s="1416">
        <f t="shared" si="5"/>
        <v>0</v>
      </c>
    </row>
    <row r="188" spans="1:16" ht="14.45" customHeight="1">
      <c r="A188" s="1414">
        <v>73</v>
      </c>
      <c r="B188" s="1414" t="str">
        <f>LOOKUP(A188,BOQ!$N$16:$N$1289,BOQ!$B$16:$B$1289)</f>
        <v>Pasangan keramik Lantai Atap</v>
      </c>
      <c r="J188" s="1426">
        <f>LOOKUP(A188,BOQ!$N$16:$N$1289,BOQ!$L$16:$L$1289)</f>
        <v>0</v>
      </c>
      <c r="O188" s="1415">
        <f t="shared" si="4"/>
        <v>0</v>
      </c>
      <c r="P188" s="1416">
        <f t="shared" si="5"/>
        <v>0</v>
      </c>
    </row>
    <row r="189" spans="1:16" ht="14.45" customHeight="1">
      <c r="A189" s="1414">
        <v>74</v>
      </c>
      <c r="B189" s="1414">
        <f>LOOKUP(A189,BOQ!$N$16:$N$1289,BOQ!$B$16:$B$1289)</f>
        <v>0</v>
      </c>
      <c r="J189" s="1426">
        <f>LOOKUP(A189,BOQ!$N$16:$N$1289,BOQ!$L$16:$L$1289)</f>
        <v>0</v>
      </c>
      <c r="O189" s="1415" t="str">
        <f t="shared" si="4"/>
        <v>Pasangan keramik Lantai Atap</v>
      </c>
      <c r="P189" s="1416">
        <f t="shared" si="5"/>
        <v>0</v>
      </c>
    </row>
    <row r="190" spans="1:16" ht="14.45" customHeight="1">
      <c r="A190" s="1414">
        <v>75</v>
      </c>
      <c r="B190" s="1414" t="str">
        <f>LOOKUP(A190,BOQ!$N$16:$N$1289,BOQ!$B$16:$B$1289)</f>
        <v>Pasangan keramik Lantai 4</v>
      </c>
      <c r="J190" s="1426">
        <f>LOOKUP(A190,BOQ!$N$16:$N$1289,BOQ!$L$16:$L$1289)</f>
        <v>0</v>
      </c>
      <c r="O190" s="1415">
        <f t="shared" si="4"/>
        <v>0</v>
      </c>
      <c r="P190" s="1416">
        <f t="shared" si="5"/>
        <v>0</v>
      </c>
    </row>
    <row r="191" spans="1:16" ht="14.45" customHeight="1">
      <c r="A191" s="1414">
        <v>76</v>
      </c>
      <c r="B191" s="1414">
        <f>LOOKUP(A191,BOQ!$N$16:$N$1289,BOQ!$B$16:$B$1289)</f>
        <v>0</v>
      </c>
      <c r="J191" s="1426">
        <f>LOOKUP(A191,BOQ!$N$16:$N$1289,BOQ!$L$16:$L$1289)</f>
        <v>0</v>
      </c>
      <c r="O191" s="1415" t="str">
        <f t="shared" si="4"/>
        <v>Pasangan keramik Lantai 4</v>
      </c>
      <c r="P191" s="1416">
        <f t="shared" si="5"/>
        <v>0</v>
      </c>
    </row>
    <row r="192" spans="1:16" ht="14.45" customHeight="1">
      <c r="A192" s="1414">
        <v>77</v>
      </c>
      <c r="B192" s="1414" t="str">
        <f>LOOKUP(A192,BOQ!$N$16:$N$1289,BOQ!$B$16:$B$1289)</f>
        <v>Pasangan keramik Lantai Atap</v>
      </c>
      <c r="J192" s="1426">
        <f>LOOKUP(A192,BOQ!$N$16:$N$1289,BOQ!$L$16:$L$1289)</f>
        <v>0</v>
      </c>
      <c r="O192" s="1415">
        <f t="shared" si="4"/>
        <v>0</v>
      </c>
      <c r="P192" s="1416">
        <f t="shared" si="5"/>
        <v>0</v>
      </c>
    </row>
    <row r="193" spans="1:16" ht="14.45" customHeight="1">
      <c r="A193" s="1414">
        <v>78</v>
      </c>
      <c r="B193" s="1414">
        <f>LOOKUP(A193,BOQ!$N$16:$N$1289,BOQ!$B$16:$B$1289)</f>
        <v>0</v>
      </c>
      <c r="J193" s="1426">
        <f>LOOKUP(A193,BOQ!$N$16:$N$1289,BOQ!$L$16:$L$1289)</f>
        <v>0</v>
      </c>
      <c r="O193" s="1415" t="str">
        <f t="shared" si="4"/>
        <v>Pasangan keramik Lantai Atap</v>
      </c>
      <c r="P193" s="1416">
        <f t="shared" si="5"/>
        <v>0</v>
      </c>
    </row>
    <row r="194" spans="1:16" ht="14.45" customHeight="1">
      <c r="A194" s="1414">
        <v>79</v>
      </c>
      <c r="B194" s="1414" t="str">
        <f>LOOKUP(A194,BOQ!$N$16:$N$1289,BOQ!$B$16:$B$1289)</f>
        <v>Pasangan Dinding Keramik Lantai 1</v>
      </c>
      <c r="J194" s="1426">
        <f>LOOKUP(A194,BOQ!$N$16:$N$1289,BOQ!$L$16:$L$1289)</f>
        <v>0</v>
      </c>
      <c r="O194" s="1415">
        <f t="shared" si="4"/>
        <v>0</v>
      </c>
      <c r="P194" s="1416">
        <f t="shared" si="5"/>
        <v>0</v>
      </c>
    </row>
    <row r="195" spans="1:16" ht="14.45" customHeight="1">
      <c r="A195" s="1414">
        <v>80</v>
      </c>
      <c r="B195" s="1414">
        <f>LOOKUP(A195,BOQ!$N$16:$N$1289,BOQ!$B$16:$B$1289)</f>
        <v>0</v>
      </c>
      <c r="J195" s="1426">
        <f>LOOKUP(A195,BOQ!$N$16:$N$1289,BOQ!$L$16:$L$1289)</f>
        <v>0</v>
      </c>
      <c r="O195" s="1415" t="str">
        <f t="shared" si="4"/>
        <v>Pasangan Dinding Keramik Lantai 1</v>
      </c>
      <c r="P195" s="1416">
        <f t="shared" si="5"/>
        <v>0</v>
      </c>
    </row>
    <row r="196" spans="1:16" ht="14.45" customHeight="1">
      <c r="A196" s="1414">
        <v>81</v>
      </c>
      <c r="B196" s="1414" t="str">
        <f>LOOKUP(A196,BOQ!$N$16:$N$1289,BOQ!$B$16:$B$1289)</f>
        <v>Pasangan Dinding Keramik Lantai 2</v>
      </c>
      <c r="J196" s="1426">
        <f>LOOKUP(A196,BOQ!$N$16:$N$1289,BOQ!$L$16:$L$1289)</f>
        <v>0</v>
      </c>
      <c r="O196" s="1415">
        <f t="shared" si="4"/>
        <v>0</v>
      </c>
      <c r="P196" s="1416">
        <f t="shared" si="5"/>
        <v>0</v>
      </c>
    </row>
    <row r="197" spans="1:16" ht="14.45" customHeight="1">
      <c r="A197" s="1414">
        <v>82</v>
      </c>
      <c r="B197" s="1414">
        <f>LOOKUP(A197,BOQ!$N$16:$N$1289,BOQ!$B$16:$B$1289)</f>
        <v>0</v>
      </c>
      <c r="J197" s="1426">
        <f>LOOKUP(A197,BOQ!$N$16:$N$1289,BOQ!$L$16:$L$1289)</f>
        <v>0</v>
      </c>
      <c r="O197" s="1415" t="str">
        <f t="shared" si="4"/>
        <v>Pasangan Dinding Keramik Lantai 2</v>
      </c>
      <c r="P197" s="1416">
        <f t="shared" si="5"/>
        <v>0</v>
      </c>
    </row>
    <row r="198" spans="1:16" ht="14.45" customHeight="1">
      <c r="A198" s="1414">
        <v>83</v>
      </c>
      <c r="B198" s="1414" t="str">
        <f>LOOKUP(A198,BOQ!$N$16:$N$1289,BOQ!$B$16:$B$1289)</f>
        <v>Pasangan Dinding Keramik Lantai Atap</v>
      </c>
      <c r="J198" s="1426">
        <f>LOOKUP(A198,BOQ!$N$16:$N$1289,BOQ!$L$16:$L$1289)</f>
        <v>0</v>
      </c>
      <c r="O198" s="1415">
        <f t="shared" si="4"/>
        <v>0</v>
      </c>
      <c r="P198" s="1416">
        <f t="shared" si="5"/>
        <v>0</v>
      </c>
    </row>
    <row r="199" spans="1:16" ht="14.45" customHeight="1">
      <c r="A199" s="1414">
        <v>84</v>
      </c>
      <c r="B199" s="1414">
        <f>LOOKUP(A199,BOQ!$N$16:$N$1289,BOQ!$B$16:$B$1289)</f>
        <v>0</v>
      </c>
      <c r="J199" s="1426">
        <f>LOOKUP(A199,BOQ!$N$16:$N$1289,BOQ!$L$16:$L$1289)</f>
        <v>0</v>
      </c>
      <c r="O199" s="1415" t="str">
        <f t="shared" si="4"/>
        <v>Pasangan Dinding Keramik Lantai Atap</v>
      </c>
      <c r="P199" s="1416">
        <f t="shared" si="5"/>
        <v>0</v>
      </c>
    </row>
    <row r="200" spans="1:16" ht="14.45" customHeight="1">
      <c r="A200" s="1414">
        <v>85</v>
      </c>
      <c r="B200" s="1414" t="str">
        <f>LOOKUP(A200,BOQ!$N$16:$N$1289,BOQ!$B$16:$B$1289)</f>
        <v>Pasangan Dinding Keramik Lantai 4</v>
      </c>
      <c r="J200" s="1426">
        <f>LOOKUP(A200,BOQ!$N$16:$N$1289,BOQ!$L$16:$L$1289)</f>
        <v>0</v>
      </c>
      <c r="O200" s="1415">
        <f t="shared" si="4"/>
        <v>0</v>
      </c>
      <c r="P200" s="1416">
        <f t="shared" si="5"/>
        <v>0</v>
      </c>
    </row>
    <row r="201" spans="1:16" ht="14.45" customHeight="1">
      <c r="A201" s="1414">
        <v>86</v>
      </c>
      <c r="B201" s="1414">
        <f>LOOKUP(A201,BOQ!$N$16:$N$1289,BOQ!$B$16:$B$1289)</f>
        <v>0</v>
      </c>
      <c r="J201" s="1426">
        <f>LOOKUP(A201,BOQ!$N$16:$N$1289,BOQ!$L$16:$L$1289)</f>
        <v>0</v>
      </c>
      <c r="O201" s="1415" t="str">
        <f t="shared" si="4"/>
        <v>Pasangan Dinding Keramik Lantai 4</v>
      </c>
      <c r="P201" s="1416">
        <f t="shared" si="5"/>
        <v>0</v>
      </c>
    </row>
    <row r="202" spans="1:16" ht="14.45" customHeight="1">
      <c r="A202" s="1414">
        <v>87</v>
      </c>
      <c r="B202" s="1414" t="str">
        <f>LOOKUP(A202,BOQ!$N$16:$N$1289,BOQ!$B$16:$B$1289)</f>
        <v>Pasangan Dinding Keramik Lantai Atap</v>
      </c>
      <c r="J202" s="1426">
        <f>LOOKUP(A202,BOQ!$N$16:$N$1289,BOQ!$L$16:$L$1289)</f>
        <v>0</v>
      </c>
      <c r="O202" s="1415">
        <f t="shared" si="4"/>
        <v>0</v>
      </c>
      <c r="P202" s="1416">
        <f t="shared" si="5"/>
        <v>0</v>
      </c>
    </row>
    <row r="203" spans="1:16" ht="14.45" customHeight="1">
      <c r="A203" s="1414">
        <v>88</v>
      </c>
      <c r="B203" s="1414">
        <f>LOOKUP(A203,BOQ!$N$16:$N$1289,BOQ!$B$16:$B$1289)</f>
        <v>0</v>
      </c>
      <c r="J203" s="1426">
        <f>LOOKUP(A203,BOQ!$N$16:$N$1289,BOQ!$L$16:$L$1289)</f>
        <v>0</v>
      </c>
      <c r="O203" s="1415" t="str">
        <f t="shared" si="4"/>
        <v>Pasangan Dinding Keramik Lantai Atap</v>
      </c>
      <c r="P203" s="1416">
        <f t="shared" si="5"/>
        <v>0</v>
      </c>
    </row>
    <row r="204" spans="1:16" ht="14.45" customHeight="1">
      <c r="A204" s="1414">
        <v>89</v>
      </c>
      <c r="B204" s="1414" t="str">
        <f>LOOKUP(A204,BOQ!$N$16:$N$1289,BOQ!$B$16:$B$1289)</f>
        <v>PEKERJAAN INSTALASI LISTRIK</v>
      </c>
      <c r="J204" s="1426">
        <f>LOOKUP(A204,BOQ!$N$16:$N$1289,BOQ!$L$16:$L$1289)</f>
        <v>0</v>
      </c>
      <c r="O204" s="1415">
        <f t="shared" si="4"/>
        <v>0</v>
      </c>
      <c r="P204" s="1416">
        <f t="shared" si="5"/>
        <v>0</v>
      </c>
    </row>
    <row r="205" spans="1:16" ht="14.45" customHeight="1">
      <c r="A205" s="1414">
        <v>90</v>
      </c>
      <c r="B205" s="1414" t="str">
        <f>LOOKUP(A205,BOQ!$N$16:$N$1289,BOQ!$B$16:$B$1289)</f>
        <v>Lantai 1 dan Mezzanine</v>
      </c>
      <c r="J205" s="1426">
        <f>LOOKUP(A205,BOQ!$N$16:$N$1289,BOQ!$L$16:$L$1289)</f>
        <v>0</v>
      </c>
      <c r="O205" s="1415" t="str">
        <f t="shared" si="4"/>
        <v>PEKERJAAN INSTALASI LISTRIK</v>
      </c>
      <c r="P205" s="1416">
        <f t="shared" si="5"/>
        <v>0</v>
      </c>
    </row>
    <row r="206" spans="1:16" ht="14.45" customHeight="1">
      <c r="A206" s="1414">
        <v>91</v>
      </c>
      <c r="B206" s="1414">
        <f>LOOKUP(A206,BOQ!$N$16:$N$1289,BOQ!$B$16:$B$1289)</f>
        <v>0</v>
      </c>
      <c r="J206" s="1426">
        <f>LOOKUP(A206,BOQ!$N$16:$N$1289,BOQ!$L$16:$L$1289)</f>
        <v>0</v>
      </c>
      <c r="O206" s="1415" t="str">
        <f t="shared" si="4"/>
        <v>Lantai 1 dan Mezzanine</v>
      </c>
      <c r="P206" s="1416">
        <f t="shared" si="5"/>
        <v>0</v>
      </c>
    </row>
    <row r="207" spans="1:16" ht="14.45" customHeight="1">
      <c r="A207" s="1414">
        <v>92</v>
      </c>
      <c r="B207" s="1414" t="str">
        <f>LOOKUP(A207,BOQ!$N$16:$N$1289,BOQ!$B$16:$B$1289)</f>
        <v>Lantai 2</v>
      </c>
      <c r="J207" s="1426">
        <f>LOOKUP(A207,BOQ!$N$16:$N$1289,BOQ!$L$16:$L$1289)</f>
        <v>0</v>
      </c>
      <c r="O207" s="1415">
        <f t="shared" si="4"/>
        <v>0</v>
      </c>
      <c r="P207" s="1416">
        <f t="shared" si="5"/>
        <v>0</v>
      </c>
    </row>
    <row r="208" spans="1:16" ht="14.45" customHeight="1">
      <c r="A208" s="1414">
        <v>93</v>
      </c>
      <c r="B208" s="1414">
        <f>LOOKUP(A208,BOQ!$N$16:$N$1289,BOQ!$B$16:$B$1289)</f>
        <v>0</v>
      </c>
      <c r="J208" s="1426">
        <f>LOOKUP(A208,BOQ!$N$16:$N$1289,BOQ!$L$16:$L$1289)</f>
        <v>0</v>
      </c>
      <c r="O208" s="1415" t="str">
        <f t="shared" si="4"/>
        <v>Lantai 2</v>
      </c>
      <c r="P208" s="1416">
        <f t="shared" si="5"/>
        <v>0</v>
      </c>
    </row>
    <row r="209" spans="1:16" ht="14.45" customHeight="1">
      <c r="A209" s="1414">
        <v>94</v>
      </c>
      <c r="B209" s="1414" t="str">
        <f>LOOKUP(A209,BOQ!$N$16:$N$1289,BOQ!$B$16:$B$1289)</f>
        <v>Lantai Atap</v>
      </c>
      <c r="J209" s="1426">
        <f>LOOKUP(A209,BOQ!$N$16:$N$1289,BOQ!$L$16:$L$1289)</f>
        <v>0</v>
      </c>
      <c r="O209" s="1415">
        <f t="shared" si="4"/>
        <v>0</v>
      </c>
      <c r="P209" s="1416">
        <f t="shared" si="5"/>
        <v>0</v>
      </c>
    </row>
    <row r="210" spans="1:16" ht="14.45" customHeight="1">
      <c r="A210" s="1414">
        <v>95</v>
      </c>
      <c r="B210" s="1414">
        <f>LOOKUP(A210,BOQ!$N$16:$N$1289,BOQ!$B$16:$B$1289)</f>
        <v>0</v>
      </c>
      <c r="J210" s="1426">
        <f>LOOKUP(A210,BOQ!$N$16:$N$1289,BOQ!$L$16:$L$1289)</f>
        <v>0</v>
      </c>
      <c r="O210" s="1415" t="str">
        <f t="shared" si="4"/>
        <v>Lantai Atap</v>
      </c>
      <c r="P210" s="1416">
        <f t="shared" si="5"/>
        <v>0</v>
      </c>
    </row>
    <row r="211" spans="1:16" ht="14.45" customHeight="1">
      <c r="A211" s="1414">
        <v>96</v>
      </c>
      <c r="B211" s="1414" t="str">
        <f>LOOKUP(A211,BOQ!$N$16:$N$1289,BOQ!$B$16:$B$1289)</f>
        <v>Lantai Atap</v>
      </c>
      <c r="J211" s="1426">
        <f>LOOKUP(A211,BOQ!$N$16:$N$1289,BOQ!$L$16:$L$1289)</f>
        <v>0</v>
      </c>
      <c r="O211" s="1415">
        <f t="shared" si="4"/>
        <v>0</v>
      </c>
      <c r="P211" s="1416">
        <f t="shared" si="5"/>
        <v>0</v>
      </c>
    </row>
    <row r="212" spans="1:16" ht="14.45" customHeight="1">
      <c r="A212" s="1414">
        <v>97</v>
      </c>
      <c r="B212" s="1414">
        <f>LOOKUP(A212,BOQ!$N$16:$N$1289,BOQ!$B$16:$B$1289)</f>
        <v>0</v>
      </c>
      <c r="J212" s="1426">
        <f>LOOKUP(A212,BOQ!$N$16:$N$1289,BOQ!$L$16:$L$1289)</f>
        <v>0</v>
      </c>
      <c r="O212" s="1415" t="str">
        <f t="shared" si="4"/>
        <v>Lantai Atap</v>
      </c>
      <c r="P212" s="1416">
        <f t="shared" si="5"/>
        <v>0</v>
      </c>
    </row>
    <row r="213" spans="1:16" ht="14.45" customHeight="1">
      <c r="A213" s="1414">
        <v>98</v>
      </c>
      <c r="B213" s="1414" t="str">
        <f>LOOKUP(A213,BOQ!$N$16:$N$1289,BOQ!$B$16:$B$1289)</f>
        <v>Lantai 4</v>
      </c>
      <c r="J213" s="1426">
        <f>LOOKUP(A213,BOQ!$N$16:$N$1289,BOQ!$L$16:$L$1289)</f>
        <v>0</v>
      </c>
      <c r="O213" s="1415">
        <f t="shared" si="4"/>
        <v>0</v>
      </c>
      <c r="P213" s="1416">
        <f t="shared" si="5"/>
        <v>0</v>
      </c>
    </row>
    <row r="214" spans="1:16" ht="14.45" customHeight="1">
      <c r="A214" s="1414">
        <v>99</v>
      </c>
      <c r="B214" s="1414">
        <f>LOOKUP(A214,BOQ!$N$16:$N$1289,BOQ!$B$16:$B$1289)</f>
        <v>0</v>
      </c>
      <c r="J214" s="1426">
        <f>LOOKUP(A214,BOQ!$N$16:$N$1289,BOQ!$L$16:$L$1289)</f>
        <v>0</v>
      </c>
      <c r="O214" s="1415" t="str">
        <f t="shared" si="4"/>
        <v>Lantai 4</v>
      </c>
      <c r="P214" s="1416">
        <f t="shared" si="5"/>
        <v>0</v>
      </c>
    </row>
    <row r="215" spans="1:16" ht="14.45" customHeight="1">
      <c r="A215" s="1414">
        <v>100</v>
      </c>
      <c r="B215" s="1414" t="str">
        <f>LOOKUP(A215,BOQ!$N$16:$N$1289,BOQ!$B$16:$B$1289)</f>
        <v>Instalasi Telepon + Instalasi TV</v>
      </c>
      <c r="J215" s="1426">
        <f>LOOKUP(A215,BOQ!$N$16:$N$1289,BOQ!$L$16:$L$1289)</f>
        <v>0</v>
      </c>
      <c r="O215" s="1415">
        <f t="shared" si="4"/>
        <v>0</v>
      </c>
      <c r="P215" s="1416">
        <f t="shared" si="5"/>
        <v>0</v>
      </c>
    </row>
    <row r="216" spans="1:16" ht="14.45" customHeight="1">
      <c r="A216" s="1414">
        <v>101</v>
      </c>
      <c r="B216" s="1414">
        <f>LOOKUP(A216,BOQ!$N$16:$N$1289,BOQ!$B$16:$B$1289)</f>
        <v>0</v>
      </c>
      <c r="J216" s="1426">
        <f>LOOKUP(A216,BOQ!$N$16:$N$1289,BOQ!$L$16:$L$1289)</f>
        <v>0</v>
      </c>
      <c r="O216" s="1415" t="str">
        <f t="shared" si="4"/>
        <v>Instalasi Telepon + Instalasi TV</v>
      </c>
      <c r="P216" s="1416">
        <f t="shared" si="5"/>
        <v>0</v>
      </c>
    </row>
    <row r="217" spans="1:16" ht="14.45" customHeight="1">
      <c r="A217" s="1414">
        <v>102</v>
      </c>
      <c r="B217" s="1414" t="str">
        <f>LOOKUP(A217,BOQ!$N$16:$N$1289,BOQ!$B$16:$B$1289)</f>
        <v>PEKERJAAN PENGECATAN</v>
      </c>
      <c r="J217" s="1426">
        <f>LOOKUP(A217,BOQ!$N$16:$N$1289,BOQ!$L$16:$L$1289)</f>
        <v>0</v>
      </c>
      <c r="O217" s="1415">
        <f t="shared" si="4"/>
        <v>0</v>
      </c>
      <c r="P217" s="1416">
        <f t="shared" si="5"/>
        <v>0</v>
      </c>
    </row>
    <row r="218" spans="1:16" ht="14.45" customHeight="1">
      <c r="A218" s="1414">
        <v>103</v>
      </c>
      <c r="B218" s="1414" t="str">
        <f>LOOKUP(A218,BOQ!$N$16:$N$1289,BOQ!$B$16:$B$1289)</f>
        <v>Lantai 1</v>
      </c>
      <c r="J218" s="1426">
        <f>LOOKUP(A218,BOQ!$N$16:$N$1289,BOQ!$L$16:$L$1289)</f>
        <v>0</v>
      </c>
      <c r="O218" s="1415" t="str">
        <f t="shared" si="4"/>
        <v>PEKERJAAN PENGECATAN</v>
      </c>
      <c r="P218" s="1416">
        <f t="shared" si="5"/>
        <v>0</v>
      </c>
    </row>
    <row r="219" spans="1:16" ht="14.45" customHeight="1">
      <c r="A219" s="1414">
        <v>104</v>
      </c>
      <c r="B219" s="1414">
        <f>LOOKUP(A219,BOQ!$N$16:$N$1289,BOQ!$B$16:$B$1289)</f>
        <v>0</v>
      </c>
      <c r="J219" s="1426">
        <f>LOOKUP(A219,BOQ!$N$16:$N$1289,BOQ!$L$16:$L$1289)</f>
        <v>0</v>
      </c>
      <c r="O219" s="1415" t="str">
        <f t="shared" si="4"/>
        <v>Lantai 1</v>
      </c>
      <c r="P219" s="1416">
        <f t="shared" si="5"/>
        <v>0</v>
      </c>
    </row>
    <row r="220" spans="1:16" ht="14.45" customHeight="1">
      <c r="A220" s="1414">
        <v>105</v>
      </c>
      <c r="B220" s="1414" t="str">
        <f>LOOKUP(A220,BOQ!$N$16:$N$1289,BOQ!$B$16:$B$1289)</f>
        <v>Lantai 2</v>
      </c>
      <c r="J220" s="1426">
        <f>LOOKUP(A220,BOQ!$N$16:$N$1289,BOQ!$L$16:$L$1289)</f>
        <v>0</v>
      </c>
      <c r="O220" s="1415">
        <f t="shared" si="4"/>
        <v>0</v>
      </c>
      <c r="P220" s="1416">
        <f t="shared" si="5"/>
        <v>0</v>
      </c>
    </row>
    <row r="221" spans="1:16" ht="14.45" customHeight="1">
      <c r="A221" s="1414">
        <v>106</v>
      </c>
      <c r="B221" s="1414">
        <f>LOOKUP(A221,BOQ!$N$16:$N$1289,BOQ!$B$16:$B$1289)</f>
        <v>0</v>
      </c>
      <c r="J221" s="1426">
        <f>LOOKUP(A221,BOQ!$N$16:$N$1289,BOQ!$L$16:$L$1289)</f>
        <v>0</v>
      </c>
      <c r="O221" s="1415" t="str">
        <f t="shared" si="4"/>
        <v>Lantai 2</v>
      </c>
      <c r="P221" s="1416">
        <f t="shared" si="5"/>
        <v>0</v>
      </c>
    </row>
    <row r="222" spans="1:16" ht="14.45" customHeight="1">
      <c r="A222" s="1414">
        <v>107</v>
      </c>
      <c r="B222" s="1414" t="str">
        <f>LOOKUP(A222,BOQ!$N$16:$N$1289,BOQ!$B$16:$B$1289)</f>
        <v>Lantai Atap</v>
      </c>
      <c r="J222" s="1426">
        <f>LOOKUP(A222,BOQ!$N$16:$N$1289,BOQ!$L$16:$L$1289)</f>
        <v>0</v>
      </c>
      <c r="O222" s="1415">
        <f t="shared" si="4"/>
        <v>0</v>
      </c>
      <c r="P222" s="1416">
        <f t="shared" si="5"/>
        <v>0</v>
      </c>
    </row>
    <row r="223" spans="1:16" ht="14.45" customHeight="1">
      <c r="A223" s="1414">
        <v>108</v>
      </c>
      <c r="B223" s="1414">
        <f>LOOKUP(A223,BOQ!$N$16:$N$1289,BOQ!$B$16:$B$1289)</f>
        <v>0</v>
      </c>
      <c r="J223" s="1426">
        <f>LOOKUP(A223,BOQ!$N$16:$N$1289,BOQ!$L$16:$L$1289)</f>
        <v>0</v>
      </c>
      <c r="O223" s="1415" t="str">
        <f t="shared" si="4"/>
        <v>Lantai Atap</v>
      </c>
      <c r="P223" s="1416">
        <f t="shared" si="5"/>
        <v>0</v>
      </c>
    </row>
    <row r="224" spans="1:16" ht="14.45" customHeight="1">
      <c r="A224" s="1414">
        <v>109</v>
      </c>
      <c r="B224" s="1414" t="str">
        <f>LOOKUP(A224,BOQ!$N$16:$N$1289,BOQ!$B$16:$B$1289)</f>
        <v>Lantai Atap</v>
      </c>
      <c r="J224" s="1426">
        <f>LOOKUP(A224,BOQ!$N$16:$N$1289,BOQ!$L$16:$L$1289)</f>
        <v>0</v>
      </c>
      <c r="O224" s="1415">
        <f t="shared" si="4"/>
        <v>0</v>
      </c>
      <c r="P224" s="1416">
        <f t="shared" si="5"/>
        <v>0</v>
      </c>
    </row>
    <row r="225" spans="1:16" ht="14.45" customHeight="1">
      <c r="A225" s="1414">
        <v>110</v>
      </c>
      <c r="B225" s="1414">
        <f>LOOKUP(A225,BOQ!$N$16:$N$1289,BOQ!$B$16:$B$1289)</f>
        <v>0</v>
      </c>
      <c r="J225" s="1426">
        <f>LOOKUP(A225,BOQ!$N$16:$N$1289,BOQ!$L$16:$L$1289)</f>
        <v>0</v>
      </c>
      <c r="O225" s="1415" t="str">
        <f t="shared" si="4"/>
        <v>Lantai Atap</v>
      </c>
      <c r="P225" s="1416">
        <f t="shared" si="5"/>
        <v>0</v>
      </c>
    </row>
    <row r="226" spans="1:16" ht="14.45" customHeight="1">
      <c r="A226" s="1414">
        <v>111</v>
      </c>
      <c r="B226" s="1414" t="str">
        <f>LOOKUP(A226,BOQ!$N$16:$N$1289,BOQ!$B$16:$B$1289)</f>
        <v>Lantai 4</v>
      </c>
      <c r="J226" s="1426">
        <f>LOOKUP(A226,BOQ!$N$16:$N$1289,BOQ!$L$16:$L$1289)</f>
        <v>0</v>
      </c>
      <c r="O226" s="1415">
        <f t="shared" si="4"/>
        <v>0</v>
      </c>
      <c r="P226" s="1416">
        <f t="shared" si="5"/>
        <v>0</v>
      </c>
    </row>
    <row r="227" spans="1:16" ht="14.45" customHeight="1">
      <c r="A227" s="1414">
        <v>112</v>
      </c>
      <c r="B227" s="1414">
        <f>LOOKUP(A227,BOQ!$N$16:$N$1289,BOQ!$B$16:$B$1289)</f>
        <v>0</v>
      </c>
      <c r="J227" s="1426">
        <f>LOOKUP(A227,BOQ!$N$16:$N$1289,BOQ!$L$16:$L$1289)</f>
        <v>0</v>
      </c>
      <c r="O227" s="1415" t="str">
        <f>B226</f>
        <v>Lantai 4</v>
      </c>
      <c r="P227" s="1416">
        <f>J227</f>
        <v>0</v>
      </c>
    </row>
    <row r="228" spans="1:16" ht="14.45" customHeight="1">
      <c r="A228" s="1414">
        <v>113</v>
      </c>
      <c r="B228" s="1414" t="str">
        <f>LOOKUP(A228,BOQ!$N$16:$N$1289,BOQ!$B$16:$B$1289)</f>
        <v>Lantai Atap</v>
      </c>
      <c r="J228" s="1426">
        <f>LOOKUP(A228,BOQ!$N$16:$N$1289,BOQ!$L$16:$L$1289)</f>
        <v>0</v>
      </c>
      <c r="O228" s="1415">
        <f>B227</f>
        <v>0</v>
      </c>
      <c r="P228" s="1416">
        <f>J228</f>
        <v>0</v>
      </c>
    </row>
    <row r="229" spans="1:16" ht="14.45" customHeight="1">
      <c r="A229" s="1414">
        <v>114</v>
      </c>
      <c r="B229" s="1414">
        <f>LOOKUP(A229,BOQ!$N$16:$N$1289,BOQ!$B$16:$B$1289)</f>
        <v>0</v>
      </c>
      <c r="J229" s="1426">
        <f>LOOKUP(A229,BOQ!$N$16:$N$1289,BOQ!$L$16:$L$1289)</f>
        <v>0</v>
      </c>
      <c r="O229" s="1415" t="str">
        <f>B228</f>
        <v>Lantai Atap</v>
      </c>
      <c r="P229" s="1416">
        <f>J229</f>
        <v>0</v>
      </c>
    </row>
    <row r="230" spans="1:16" ht="14.45" customHeight="1">
      <c r="A230" s="1414">
        <v>115</v>
      </c>
      <c r="B230" s="1414" t="str">
        <f>LOOKUP(A230,BOQ!$N$16:$N$1289,BOQ!$B$16:$B$1289)</f>
        <v>PEKERJAAN LAIN-LAIN</v>
      </c>
      <c r="J230" s="1426">
        <f>LOOKUP(A230,BOQ!$N$16:$N$1289,BOQ!$L$16:$L$1289)</f>
        <v>0</v>
      </c>
      <c r="O230" s="1415">
        <f>B229</f>
        <v>0</v>
      </c>
      <c r="P230" s="1416">
        <f>J230</f>
        <v>0</v>
      </c>
    </row>
    <row r="231" spans="1:16" ht="14.45" customHeight="1">
      <c r="A231" s="1414">
        <v>116</v>
      </c>
      <c r="B231" s="1414">
        <f>LOOKUP(A231,BOQ!$N$16:$N$1289,BOQ!$B$16:$B$1289)</f>
        <v>0</v>
      </c>
      <c r="J231" s="1426">
        <f>LOOKUP(A231,BOQ!$N$16:$N$1289,BOQ!$L$16:$L$1289)</f>
        <v>0</v>
      </c>
      <c r="O231" s="1415" t="str">
        <f>B230</f>
        <v>PEKERJAAN LAIN-LAIN</v>
      </c>
      <c r="P231" s="1416">
        <f>J231</f>
        <v>0</v>
      </c>
    </row>
    <row r="233" spans="1:16" ht="14.45" customHeight="1">
      <c r="P233" s="1416">
        <f>SUM(P117:P231)</f>
        <v>0</v>
      </c>
    </row>
  </sheetData>
  <mergeCells count="15">
    <mergeCell ref="A1:M1"/>
    <mergeCell ref="A2:M2"/>
    <mergeCell ref="A13:A14"/>
    <mergeCell ref="B13:H14"/>
    <mergeCell ref="I13:K13"/>
    <mergeCell ref="I14:K14"/>
    <mergeCell ref="L14:M14"/>
    <mergeCell ref="A84:H84"/>
    <mergeCell ref="L86:M86"/>
    <mergeCell ref="L87:M87"/>
    <mergeCell ref="L13:M13"/>
    <mergeCell ref="L92:M92"/>
    <mergeCell ref="A80:H80"/>
    <mergeCell ref="A82:H82"/>
    <mergeCell ref="A83:H83"/>
  </mergeCells>
  <hyperlinks>
    <hyperlink ref="J15" location="BOQ!O31" display="BOQ!O31" xr:uid="{00000000-0004-0000-0000-000000000000}"/>
  </hyperlinks>
  <printOptions horizontalCentered="1"/>
  <pageMargins left="0.43307086614173229" right="0.23622047244094491" top="0.23622047244094491" bottom="0.23622047244094491" header="0.23622047244094491" footer="0.23622047244094491"/>
  <pageSetup paperSize="9" scale="89" orientation="portrait" r:id="rId1"/>
  <ignoredErrors>
    <ignoredError sqref="J80 J83:J84" evalError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B3:N39"/>
  <sheetViews>
    <sheetView showGridLines="0" view="pageBreakPreview" zoomScale="115" zoomScaleNormal="100" zoomScaleSheetLayoutView="115" workbookViewId="0">
      <selection activeCell="J5" sqref="J5"/>
    </sheetView>
  </sheetViews>
  <sheetFormatPr defaultRowHeight="15.75"/>
  <cols>
    <col min="1" max="1" width="16" style="2554" customWidth="1"/>
    <col min="2" max="2" width="2.7109375" style="2554" customWidth="1"/>
    <col min="3" max="3" width="9.140625" style="2554"/>
    <col min="4" max="4" width="2.85546875" style="2554" customWidth="1"/>
    <col min="5" max="13" width="9.140625" style="2554"/>
    <col min="14" max="14" width="2.7109375" style="2554" customWidth="1"/>
    <col min="15" max="16384" width="9.140625" style="2554"/>
  </cols>
  <sheetData>
    <row r="3" spans="2:14" ht="6" customHeight="1"/>
    <row r="6" spans="2:14" ht="16.5" thickBot="1"/>
    <row r="7" spans="2:14">
      <c r="D7" s="2555"/>
      <c r="E7" s="2556" t="s">
        <v>2039</v>
      </c>
      <c r="F7" s="2557"/>
      <c r="G7" s="2557"/>
    </row>
    <row r="9" spans="2:14" ht="22.5">
      <c r="B9" s="2668" t="s">
        <v>1908</v>
      </c>
      <c r="C9" s="2668"/>
      <c r="D9" s="2668"/>
      <c r="E9" s="2668"/>
      <c r="F9" s="2668"/>
      <c r="G9" s="2668"/>
      <c r="H9" s="2668"/>
      <c r="I9" s="2668"/>
      <c r="J9" s="2668"/>
      <c r="K9" s="2668"/>
      <c r="L9" s="2668"/>
      <c r="M9" s="2668"/>
      <c r="N9" s="2668"/>
    </row>
    <row r="11" spans="2:14">
      <c r="C11" s="2554" t="s">
        <v>1907</v>
      </c>
      <c r="D11" s="2554" t="str">
        <f>'REKAP '!C6</f>
        <v>: Rumah Tinggal</v>
      </c>
    </row>
    <row r="12" spans="2:14">
      <c r="C12" s="2554" t="s">
        <v>9</v>
      </c>
      <c r="D12" s="2554" t="str">
        <f>'REKAP '!C9</f>
        <v>: -</v>
      </c>
    </row>
    <row r="13" spans="2:14">
      <c r="C13" s="2554" t="s">
        <v>8</v>
      </c>
      <c r="D13" s="2554" t="str">
        <f>'REKAP '!C8</f>
        <v>: -</v>
      </c>
    </row>
    <row r="15" spans="2:14" ht="21.95" customHeight="1">
      <c r="C15" s="2669" t="s">
        <v>158</v>
      </c>
      <c r="D15" s="2670"/>
      <c r="E15" s="2670"/>
      <c r="F15" s="2670"/>
      <c r="G15" s="2671"/>
      <c r="H15" s="2669" t="s">
        <v>1906</v>
      </c>
      <c r="I15" s="2670"/>
      <c r="J15" s="2670"/>
      <c r="K15" s="2670"/>
      <c r="L15" s="2670"/>
      <c r="M15" s="2671"/>
      <c r="N15" s="2558"/>
    </row>
    <row r="16" spans="2:14" ht="21.95" customHeight="1">
      <c r="C16" s="2559" t="s">
        <v>1905</v>
      </c>
      <c r="D16" s="2560"/>
      <c r="E16" s="2560"/>
      <c r="F16" s="2560"/>
      <c r="G16" s="2561"/>
      <c r="H16" s="2559" t="s">
        <v>2418</v>
      </c>
      <c r="I16" s="2560"/>
      <c r="J16" s="2560"/>
      <c r="K16" s="2560"/>
      <c r="L16" s="2560"/>
      <c r="M16" s="2561"/>
    </row>
    <row r="17" spans="3:14" ht="21.95" customHeight="1">
      <c r="C17" s="2559" t="s">
        <v>1903</v>
      </c>
      <c r="D17" s="2560"/>
      <c r="E17" s="2560"/>
      <c r="F17" s="2560"/>
      <c r="G17" s="2561"/>
      <c r="H17" s="2559" t="s">
        <v>2829</v>
      </c>
      <c r="I17" s="2560"/>
      <c r="J17" s="2560"/>
      <c r="K17" s="2560"/>
      <c r="L17" s="2560"/>
      <c r="M17" s="2561"/>
    </row>
    <row r="18" spans="3:14" ht="21.95" customHeight="1">
      <c r="C18" s="2559" t="s">
        <v>1902</v>
      </c>
      <c r="D18" s="2560"/>
      <c r="E18" s="2560"/>
      <c r="F18" s="2560"/>
      <c r="G18" s="2561"/>
      <c r="H18" s="2559" t="s">
        <v>2886</v>
      </c>
      <c r="I18" s="2560"/>
      <c r="J18" s="2560"/>
      <c r="K18" s="2560"/>
      <c r="L18" s="2560"/>
      <c r="M18" s="2561"/>
    </row>
    <row r="19" spans="3:14" ht="21.95" customHeight="1">
      <c r="C19" s="2559"/>
      <c r="D19" s="2560"/>
      <c r="E19" s="2560"/>
      <c r="F19" s="2560"/>
      <c r="G19" s="2561"/>
      <c r="H19" s="2559" t="s">
        <v>1901</v>
      </c>
      <c r="I19" s="2560"/>
      <c r="J19" s="2560"/>
      <c r="K19" s="2560"/>
      <c r="L19" s="2560"/>
      <c r="M19" s="2561"/>
    </row>
    <row r="20" spans="3:14" ht="21.95" customHeight="1">
      <c r="C20" s="2559"/>
      <c r="D20" s="2560"/>
      <c r="E20" s="2560"/>
      <c r="F20" s="2560"/>
      <c r="G20" s="2561"/>
      <c r="H20" s="2559" t="s">
        <v>2038</v>
      </c>
      <c r="I20" s="2560"/>
      <c r="J20" s="2560"/>
      <c r="K20" s="2560"/>
      <c r="L20" s="2560"/>
      <c r="M20" s="2561"/>
    </row>
    <row r="21" spans="3:14" ht="21.95" customHeight="1">
      <c r="C21" s="2559" t="s">
        <v>162</v>
      </c>
      <c r="D21" s="2560"/>
      <c r="E21" s="2560"/>
      <c r="F21" s="2560"/>
      <c r="G21" s="2561"/>
      <c r="H21" s="2559" t="str">
        <f>BOQ!$D$435</f>
        <v>Bata merah tebal 1/2 bata. Adukan 1 PC : 5 PS</v>
      </c>
      <c r="I21" s="2560"/>
      <c r="J21" s="2560"/>
      <c r="K21" s="2560"/>
      <c r="L21" s="2560"/>
      <c r="M21" s="2561"/>
    </row>
    <row r="22" spans="3:14" ht="21.95" customHeight="1">
      <c r="C22" s="2559"/>
      <c r="D22" s="2560"/>
      <c r="E22" s="2560"/>
      <c r="F22" s="2560"/>
      <c r="G22" s="2561"/>
      <c r="H22" s="2559" t="s">
        <v>1900</v>
      </c>
      <c r="I22" s="2560"/>
      <c r="J22" s="2560"/>
      <c r="K22" s="2560"/>
      <c r="L22" s="2560"/>
      <c r="M22" s="2561"/>
    </row>
    <row r="23" spans="3:14" ht="21.95" customHeight="1">
      <c r="C23" s="2559"/>
      <c r="D23" s="2560"/>
      <c r="E23" s="2560"/>
      <c r="F23" s="2560"/>
      <c r="G23" s="2561"/>
      <c r="H23" s="2559" t="s">
        <v>2887</v>
      </c>
      <c r="I23" s="2560"/>
      <c r="J23" s="2560"/>
      <c r="K23" s="2560"/>
      <c r="L23" s="2560"/>
      <c r="M23" s="2561"/>
    </row>
    <row r="24" spans="3:14" ht="21.95" customHeight="1">
      <c r="C24" s="2559" t="s">
        <v>1899</v>
      </c>
      <c r="D24" s="2560"/>
      <c r="E24" s="2560"/>
      <c r="F24" s="2560"/>
      <c r="G24" s="2561"/>
      <c r="H24" s="2559" t="s">
        <v>1898</v>
      </c>
      <c r="I24" s="2560"/>
      <c r="J24" s="2560"/>
      <c r="K24" s="2560"/>
      <c r="L24" s="2560"/>
      <c r="M24" s="2561"/>
    </row>
    <row r="25" spans="3:14" ht="21.95" customHeight="1">
      <c r="C25" s="2559"/>
      <c r="D25" s="2560"/>
      <c r="E25" s="2560"/>
      <c r="F25" s="2560"/>
      <c r="G25" s="2561"/>
      <c r="H25" s="2559" t="s">
        <v>2037</v>
      </c>
      <c r="I25" s="2560"/>
      <c r="J25" s="2560"/>
      <c r="K25" s="2560"/>
      <c r="L25" s="2560"/>
      <c r="M25" s="2561"/>
    </row>
    <row r="26" spans="3:14" ht="21.95" customHeight="1">
      <c r="C26" s="2559" t="s">
        <v>1897</v>
      </c>
      <c r="D26" s="2560"/>
      <c r="E26" s="2560"/>
      <c r="F26" s="2560"/>
      <c r="G26" s="2562"/>
      <c r="H26" s="2559" t="s">
        <v>2897</v>
      </c>
      <c r="I26" s="2560"/>
      <c r="J26" s="2560"/>
      <c r="K26" s="2560"/>
      <c r="L26" s="2560"/>
      <c r="M26" s="2561"/>
    </row>
    <row r="27" spans="3:14" ht="21.95" customHeight="1">
      <c r="C27" s="2559" t="s">
        <v>1896</v>
      </c>
      <c r="D27" s="2560"/>
      <c r="E27" s="2560"/>
      <c r="F27" s="2560"/>
      <c r="G27" s="2561"/>
      <c r="H27" s="2563" t="s">
        <v>1895</v>
      </c>
      <c r="I27" s="2560"/>
      <c r="J27" s="2560"/>
      <c r="K27" s="2560"/>
      <c r="L27" s="2560"/>
      <c r="M27" s="2561"/>
    </row>
    <row r="28" spans="3:14" ht="21.95" customHeight="1">
      <c r="C28" s="2559"/>
      <c r="D28" s="2560"/>
      <c r="E28" s="2560"/>
      <c r="F28" s="2560"/>
      <c r="G28" s="2561"/>
      <c r="H28" s="2563" t="s">
        <v>2835</v>
      </c>
      <c r="I28" s="2560"/>
      <c r="J28" s="2560"/>
      <c r="K28" s="2560"/>
      <c r="L28" s="2560"/>
      <c r="M28" s="2561"/>
    </row>
    <row r="29" spans="3:14" ht="21.95" customHeight="1">
      <c r="C29" s="2559" t="s">
        <v>1894</v>
      </c>
      <c r="D29" s="2560"/>
      <c r="E29" s="2560"/>
      <c r="F29" s="2560"/>
      <c r="G29" s="2561"/>
      <c r="H29" s="2559" t="s">
        <v>2036</v>
      </c>
      <c r="I29" s="2560"/>
      <c r="J29" s="2560"/>
      <c r="K29" s="2560"/>
      <c r="L29" s="2560"/>
      <c r="M29" s="2561"/>
    </row>
    <row r="30" spans="3:14" ht="21.95" customHeight="1">
      <c r="C30" s="2559"/>
      <c r="D30" s="2560"/>
      <c r="E30" s="2560"/>
      <c r="F30" s="2560"/>
      <c r="G30" s="2562"/>
      <c r="H30" s="2559" t="s">
        <v>2717</v>
      </c>
      <c r="I30" s="2560"/>
      <c r="J30" s="2560"/>
      <c r="K30" s="2560"/>
      <c r="L30" s="2560"/>
      <c r="M30" s="2561"/>
    </row>
    <row r="31" spans="3:14" ht="21.95" customHeight="1">
      <c r="C31" s="2559" t="s">
        <v>1893</v>
      </c>
      <c r="D31" s="2560"/>
      <c r="E31" s="2560"/>
      <c r="F31" s="2560"/>
      <c r="G31" s="2562"/>
      <c r="H31" s="2559" t="s">
        <v>2892</v>
      </c>
      <c r="I31" s="2560"/>
      <c r="J31" s="2560"/>
      <c r="K31" s="2560"/>
      <c r="L31" s="2560"/>
      <c r="M31" s="2561"/>
    </row>
    <row r="32" spans="3:14" s="2568" customFormat="1" ht="21.95" customHeight="1">
      <c r="C32" s="2563" t="s">
        <v>1892</v>
      </c>
      <c r="D32" s="2564"/>
      <c r="E32" s="2564"/>
      <c r="F32" s="2564"/>
      <c r="G32" s="2565"/>
      <c r="H32" s="2563" t="s">
        <v>2893</v>
      </c>
      <c r="I32" s="2563"/>
      <c r="J32" s="2564"/>
      <c r="K32" s="2564"/>
      <c r="L32" s="2564"/>
      <c r="M32" s="2566"/>
      <c r="N32" s="2567"/>
    </row>
    <row r="33" spans="3:14" s="2568" customFormat="1" ht="21.95" customHeight="1">
      <c r="C33" s="2569"/>
      <c r="D33" s="2564"/>
      <c r="E33" s="2564"/>
      <c r="F33" s="2564"/>
      <c r="G33" s="2565"/>
      <c r="H33" s="2563" t="s">
        <v>2894</v>
      </c>
      <c r="I33" s="2563"/>
      <c r="J33" s="2564"/>
      <c r="K33" s="2564"/>
      <c r="L33" s="2564"/>
      <c r="M33" s="2566"/>
      <c r="N33" s="2567"/>
    </row>
    <row r="34" spans="3:14" s="2568" customFormat="1" ht="21.95" customHeight="1">
      <c r="C34" s="2569"/>
      <c r="D34" s="2564"/>
      <c r="E34" s="2564"/>
      <c r="F34" s="2564"/>
      <c r="G34" s="2565"/>
      <c r="H34" s="2563" t="s">
        <v>2895</v>
      </c>
      <c r="I34" s="2563"/>
      <c r="J34" s="2564"/>
      <c r="K34" s="2564"/>
      <c r="L34" s="2564"/>
      <c r="M34" s="2566"/>
      <c r="N34" s="2567"/>
    </row>
    <row r="35" spans="3:14" ht="21.95" customHeight="1">
      <c r="C35" s="2563"/>
      <c r="D35" s="2560"/>
      <c r="E35" s="2560"/>
      <c r="F35" s="2560"/>
      <c r="G35" s="2562"/>
      <c r="H35" s="2563" t="s">
        <v>2810</v>
      </c>
      <c r="I35" s="2560"/>
      <c r="J35" s="2560"/>
      <c r="K35" s="2560"/>
      <c r="L35" s="2560"/>
      <c r="M35" s="2561"/>
    </row>
    <row r="36" spans="3:14" ht="21.95" customHeight="1">
      <c r="C36" s="2563"/>
      <c r="D36" s="2560"/>
      <c r="E36" s="2560"/>
      <c r="F36" s="2560"/>
      <c r="G36" s="2562"/>
      <c r="H36" s="2563" t="s">
        <v>2830</v>
      </c>
      <c r="I36" s="2560"/>
      <c r="J36" s="2560"/>
      <c r="K36" s="2560"/>
      <c r="L36" s="2560"/>
      <c r="M36" s="2561"/>
    </row>
    <row r="37" spans="3:14" ht="21.95" customHeight="1">
      <c r="C37" s="2559" t="s">
        <v>1891</v>
      </c>
      <c r="D37" s="2560"/>
      <c r="E37" s="2560"/>
      <c r="F37" s="2560"/>
      <c r="G37" s="2562"/>
      <c r="H37" s="2559" t="s">
        <v>2896</v>
      </c>
      <c r="I37" s="2560"/>
      <c r="J37" s="2560"/>
      <c r="K37" s="2560"/>
      <c r="L37" s="2560"/>
      <c r="M37" s="2561"/>
    </row>
    <row r="38" spans="3:14" ht="21.95" customHeight="1">
      <c r="C38" s="2559" t="s">
        <v>1890</v>
      </c>
      <c r="D38" s="2560"/>
      <c r="E38" s="2560"/>
      <c r="F38" s="2560"/>
      <c r="G38" s="2561"/>
      <c r="H38" s="2559" t="s">
        <v>2035</v>
      </c>
      <c r="I38" s="2560"/>
      <c r="J38" s="2560"/>
      <c r="K38" s="2560"/>
      <c r="L38" s="2560"/>
      <c r="M38" s="2561"/>
    </row>
    <row r="39" spans="3:14" ht="21.95" customHeight="1">
      <c r="C39" s="2559"/>
      <c r="D39" s="2560"/>
      <c r="E39" s="2560"/>
      <c r="F39" s="2560"/>
      <c r="G39" s="2561"/>
      <c r="H39" s="2559" t="s">
        <v>2034</v>
      </c>
      <c r="I39" s="2560"/>
      <c r="J39" s="2560"/>
      <c r="K39" s="2560"/>
      <c r="L39" s="2560"/>
      <c r="M39" s="2561"/>
    </row>
  </sheetData>
  <mergeCells count="3">
    <mergeCell ref="B9:N9"/>
    <mergeCell ref="C15:G15"/>
    <mergeCell ref="H15:M15"/>
  </mergeCells>
  <printOptions horizontalCentered="1"/>
  <pageMargins left="0.31496062992125984" right="0.31496062992125984" top="0.47244094488188981" bottom="0.47244094488188981" header="0.31496062992125984" footer="0.31496062992125984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E37"/>
  <sheetViews>
    <sheetView view="pageBreakPreview" zoomScaleNormal="100" zoomScaleSheetLayoutView="100" workbookViewId="0">
      <selection activeCell="E23" sqref="E23"/>
    </sheetView>
  </sheetViews>
  <sheetFormatPr defaultRowHeight="15.75"/>
  <cols>
    <col min="1" max="1" width="9.140625" style="1617"/>
    <col min="2" max="2" width="29.85546875" style="1617" customWidth="1"/>
    <col min="3" max="3" width="56.85546875" style="1617" customWidth="1"/>
    <col min="4" max="4" width="11" style="1617" customWidth="1"/>
    <col min="5" max="16384" width="9.140625" style="1617"/>
  </cols>
  <sheetData>
    <row r="1" spans="1:5" ht="72.75" customHeight="1" thickBot="1">
      <c r="A1" s="2544"/>
      <c r="B1" s="2544"/>
      <c r="C1" s="2544"/>
    </row>
    <row r="2" spans="1:5" ht="16.5" thickTop="1">
      <c r="A2" s="1647"/>
      <c r="B2" s="1647"/>
      <c r="C2" s="1647"/>
    </row>
    <row r="3" spans="1:5" ht="23.25">
      <c r="A3" s="2672" t="s">
        <v>1908</v>
      </c>
      <c r="B3" s="2672"/>
      <c r="C3" s="2672"/>
      <c r="D3" s="2534"/>
    </row>
    <row r="4" spans="1:5" ht="20.100000000000001" customHeight="1">
      <c r="A4" s="2535" t="s">
        <v>1907</v>
      </c>
      <c r="B4" s="2535" t="str">
        <f>'REKAP '!C6</f>
        <v>: Rumah Tinggal</v>
      </c>
      <c r="C4" s="2535"/>
    </row>
    <row r="5" spans="1:5" ht="20.100000000000001" customHeight="1">
      <c r="A5" s="2535" t="s">
        <v>9</v>
      </c>
      <c r="B5" s="2535" t="str">
        <f>'REKAP '!C9</f>
        <v>: -</v>
      </c>
      <c r="C5" s="2535"/>
    </row>
    <row r="6" spans="1:5" ht="20.100000000000001" customHeight="1">
      <c r="A6" s="2535" t="s">
        <v>8</v>
      </c>
      <c r="B6" s="2535" t="str">
        <f>'REKAP '!C8</f>
        <v>: -</v>
      </c>
      <c r="C6" s="2536"/>
      <c r="D6" s="1647"/>
      <c r="E6" s="1647"/>
    </row>
    <row r="7" spans="1:5" ht="20.100000000000001" customHeight="1" thickBot="1">
      <c r="A7" s="2535"/>
      <c r="B7" s="2535"/>
      <c r="C7" s="2536"/>
      <c r="D7" s="1647"/>
      <c r="E7" s="1647"/>
    </row>
    <row r="8" spans="1:5" ht="20.100000000000001" customHeight="1">
      <c r="A8" s="2673" t="s">
        <v>158</v>
      </c>
      <c r="B8" s="2674"/>
      <c r="C8" s="2552" t="s">
        <v>1906</v>
      </c>
      <c r="D8" s="2545"/>
      <c r="E8" s="1647"/>
    </row>
    <row r="9" spans="1:5" ht="20.100000000000001" customHeight="1">
      <c r="A9" s="2537" t="s">
        <v>1905</v>
      </c>
      <c r="B9" s="2538"/>
      <c r="C9" s="2539" t="s">
        <v>1904</v>
      </c>
      <c r="D9" s="1647"/>
      <c r="E9" s="1647"/>
    </row>
    <row r="10" spans="1:5" ht="20.100000000000001" customHeight="1">
      <c r="A10" s="2537" t="s">
        <v>1903</v>
      </c>
      <c r="B10" s="2538"/>
      <c r="C10" s="2539" t="s">
        <v>2201</v>
      </c>
      <c r="D10" s="1647"/>
      <c r="E10" s="1647"/>
    </row>
    <row r="11" spans="1:5" ht="20.100000000000001" customHeight="1">
      <c r="A11" s="2537" t="s">
        <v>1902</v>
      </c>
      <c r="B11" s="2538"/>
      <c r="C11" s="2539" t="s">
        <v>2874</v>
      </c>
      <c r="D11" s="1647"/>
      <c r="E11" s="1647"/>
    </row>
    <row r="12" spans="1:5" ht="20.100000000000001" customHeight="1">
      <c r="A12" s="2537"/>
      <c r="B12" s="2538"/>
      <c r="C12" s="2539" t="s">
        <v>1901</v>
      </c>
      <c r="D12" s="1647"/>
      <c r="E12" s="1647"/>
    </row>
    <row r="13" spans="1:5" ht="20.100000000000001" customHeight="1">
      <c r="A13" s="2537"/>
      <c r="B13" s="2538"/>
      <c r="C13" s="2539" t="s">
        <v>1991</v>
      </c>
      <c r="D13" s="1647"/>
      <c r="E13" s="1647"/>
    </row>
    <row r="14" spans="1:5" ht="20.100000000000001" customHeight="1">
      <c r="A14" s="2537" t="s">
        <v>162</v>
      </c>
      <c r="B14" s="2538"/>
      <c r="C14" s="2539" t="str">
        <f>BOQ!$D$435</f>
        <v>Bata merah tebal 1/2 bata. Adukan 1 PC : 5 PS</v>
      </c>
      <c r="D14" s="1647"/>
      <c r="E14" s="1647"/>
    </row>
    <row r="15" spans="1:5" ht="20.100000000000001" customHeight="1">
      <c r="A15" s="2537"/>
      <c r="B15" s="2538"/>
      <c r="C15" s="2539" t="s">
        <v>2652</v>
      </c>
      <c r="D15" s="1647"/>
      <c r="E15" s="1647"/>
    </row>
    <row r="16" spans="1:5" ht="20.100000000000001" customHeight="1">
      <c r="A16" s="2537"/>
      <c r="B16" s="2538"/>
      <c r="C16" s="2539" t="s">
        <v>2875</v>
      </c>
      <c r="D16" s="1647"/>
      <c r="E16" s="1647"/>
    </row>
    <row r="17" spans="1:5" ht="20.100000000000001" customHeight="1">
      <c r="A17" s="2537" t="s">
        <v>1899</v>
      </c>
      <c r="B17" s="2538"/>
      <c r="C17" s="2539" t="s">
        <v>1898</v>
      </c>
      <c r="D17" s="1647"/>
      <c r="E17" s="1647"/>
    </row>
    <row r="18" spans="1:5" ht="20.100000000000001" customHeight="1">
      <c r="A18" s="2537"/>
      <c r="B18" s="2538"/>
      <c r="C18" s="2539" t="s">
        <v>2649</v>
      </c>
      <c r="D18" s="1647"/>
      <c r="E18" s="1647"/>
    </row>
    <row r="19" spans="1:5" ht="20.100000000000001" customHeight="1">
      <c r="A19" s="2537" t="s">
        <v>1897</v>
      </c>
      <c r="B19" s="2538"/>
      <c r="C19" s="2540" t="s">
        <v>2861</v>
      </c>
      <c r="D19" s="1647"/>
      <c r="E19" s="1647"/>
    </row>
    <row r="20" spans="1:5" ht="20.100000000000001" customHeight="1">
      <c r="A20" s="2537" t="s">
        <v>1896</v>
      </c>
      <c r="B20" s="2538"/>
      <c r="C20" s="2539" t="s">
        <v>1895</v>
      </c>
      <c r="D20" s="1647"/>
      <c r="E20" s="1647"/>
    </row>
    <row r="21" spans="1:5" ht="20.100000000000001" customHeight="1">
      <c r="A21" s="2537"/>
      <c r="B21" s="2538"/>
      <c r="C21" s="2539" t="s">
        <v>2650</v>
      </c>
      <c r="D21" s="1647"/>
      <c r="E21" s="1647"/>
    </row>
    <row r="22" spans="1:5" ht="20.100000000000001" customHeight="1">
      <c r="A22" s="2537" t="s">
        <v>1894</v>
      </c>
      <c r="B22" s="2538"/>
      <c r="C22" s="2539" t="s">
        <v>1990</v>
      </c>
      <c r="D22" s="1647"/>
      <c r="E22" s="1647"/>
    </row>
    <row r="23" spans="1:5" ht="20.100000000000001" customHeight="1">
      <c r="A23" s="2537"/>
      <c r="B23" s="2538"/>
      <c r="C23" s="2539" t="s">
        <v>2651</v>
      </c>
      <c r="D23" s="1647"/>
      <c r="E23" s="1647"/>
    </row>
    <row r="24" spans="1:5" ht="20.100000000000001" customHeight="1">
      <c r="A24" s="2537" t="s">
        <v>1893</v>
      </c>
      <c r="B24" s="2538"/>
      <c r="C24" s="2539" t="s">
        <v>2862</v>
      </c>
      <c r="D24" s="1647"/>
      <c r="E24" s="1647"/>
    </row>
    <row r="25" spans="1:5" ht="20.100000000000001" customHeight="1">
      <c r="A25" s="2537" t="s">
        <v>1989</v>
      </c>
      <c r="B25" s="2538"/>
      <c r="C25" s="2539" t="s">
        <v>2863</v>
      </c>
      <c r="D25" s="1647"/>
      <c r="E25" s="1647"/>
    </row>
    <row r="26" spans="1:5" ht="20.100000000000001" customHeight="1">
      <c r="A26" s="2537" t="s">
        <v>1892</v>
      </c>
      <c r="B26" s="2538"/>
      <c r="C26" s="2539" t="s">
        <v>2868</v>
      </c>
      <c r="D26" s="1647"/>
      <c r="E26" s="1647"/>
    </row>
    <row r="27" spans="1:5" ht="20.100000000000001" customHeight="1">
      <c r="A27" s="2537"/>
      <c r="B27" s="2538"/>
      <c r="C27" s="2539" t="s">
        <v>2869</v>
      </c>
      <c r="D27" s="1647"/>
      <c r="E27" s="1647"/>
    </row>
    <row r="28" spans="1:5" ht="20.100000000000001" customHeight="1">
      <c r="A28" s="2537"/>
      <c r="B28" s="2538"/>
      <c r="C28" s="2539" t="s">
        <v>2870</v>
      </c>
      <c r="D28" s="1647"/>
      <c r="E28" s="1647"/>
    </row>
    <row r="29" spans="1:5" ht="20.100000000000001" customHeight="1">
      <c r="A29" s="2537"/>
      <c r="B29" s="2538"/>
      <c r="C29" s="2539" t="s">
        <v>2871</v>
      </c>
      <c r="D29" s="1647"/>
      <c r="E29" s="1647"/>
    </row>
    <row r="30" spans="1:5" ht="20.100000000000001" customHeight="1">
      <c r="A30" s="2537"/>
      <c r="B30" s="2538"/>
      <c r="C30" s="2539" t="s">
        <v>2362</v>
      </c>
      <c r="D30" s="1647"/>
      <c r="E30" s="1647"/>
    </row>
    <row r="31" spans="1:5" ht="20.100000000000001" customHeight="1">
      <c r="A31" s="2537"/>
      <c r="B31" s="2538"/>
      <c r="C31" s="2539" t="s">
        <v>2872</v>
      </c>
      <c r="D31" s="1647"/>
      <c r="E31" s="1647"/>
    </row>
    <row r="32" spans="1:5" ht="20.100000000000001" customHeight="1">
      <c r="A32" s="2537"/>
      <c r="B32" s="2538"/>
      <c r="C32" s="2539" t="s">
        <v>2873</v>
      </c>
      <c r="D32" s="1647"/>
      <c r="E32" s="1647"/>
    </row>
    <row r="33" spans="1:5" ht="20.100000000000001" customHeight="1">
      <c r="A33" s="2537" t="s">
        <v>1891</v>
      </c>
      <c r="B33" s="2538"/>
      <c r="C33" s="2539" t="s">
        <v>2864</v>
      </c>
      <c r="D33" s="1647"/>
      <c r="E33" s="1647"/>
    </row>
    <row r="34" spans="1:5" ht="20.100000000000001" customHeight="1">
      <c r="A34" s="2537" t="s">
        <v>1890</v>
      </c>
      <c r="B34" s="2538"/>
      <c r="C34" s="2539" t="s">
        <v>1988</v>
      </c>
      <c r="D34" s="1647"/>
      <c r="E34" s="1647"/>
    </row>
    <row r="35" spans="1:5" ht="20.100000000000001" customHeight="1" thickBot="1">
      <c r="A35" s="2541"/>
      <c r="B35" s="2542"/>
      <c r="C35" s="2543" t="s">
        <v>2865</v>
      </c>
      <c r="D35" s="1647"/>
      <c r="E35" s="1647"/>
    </row>
    <row r="36" spans="1:5" ht="21.95" customHeight="1">
      <c r="C36" s="1647"/>
      <c r="D36" s="1647"/>
      <c r="E36" s="1647"/>
    </row>
    <row r="37" spans="1:5" ht="21.95" customHeight="1">
      <c r="C37" s="1647"/>
      <c r="D37" s="1647"/>
      <c r="E37" s="1647"/>
    </row>
  </sheetData>
  <mergeCells count="2">
    <mergeCell ref="A3:C3"/>
    <mergeCell ref="A8:B8"/>
  </mergeCells>
  <printOptions horizontalCentered="1"/>
  <pageMargins left="0.23622047244094491" right="0.23622047244094491" top="0.43307086614173229" bottom="0.43307086614173229" header="0.23622047244094491" footer="0.23622047244094491"/>
  <pageSetup paperSize="9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2:AN1317"/>
  <sheetViews>
    <sheetView showGridLines="0" view="pageBreakPreview" zoomScale="60" zoomScaleNormal="115" workbookViewId="0">
      <pane xSplit="2" topLeftCell="C1" activePane="topRight" state="frozen"/>
      <selection pane="topRight" activeCell="M49" sqref="M49"/>
    </sheetView>
  </sheetViews>
  <sheetFormatPr defaultColWidth="9.140625" defaultRowHeight="18" customHeight="1"/>
  <cols>
    <col min="1" max="1" width="5.85546875" style="1310" customWidth="1"/>
    <col min="2" max="2" width="29.28515625" style="1300" customWidth="1"/>
    <col min="3" max="3" width="10.7109375" style="1300" customWidth="1"/>
    <col min="4" max="4" width="51.5703125" style="1300" customWidth="1"/>
    <col min="5" max="5" width="11.7109375" style="1300" customWidth="1"/>
    <col min="6" max="6" width="4.7109375" style="1310" customWidth="1"/>
    <col min="7" max="8" width="16.7109375" style="1300" customWidth="1"/>
    <col min="9" max="9" width="24.28515625" style="1300" bestFit="1" customWidth="1"/>
    <col min="10" max="12" width="16.7109375" style="1300" customWidth="1"/>
    <col min="13" max="15" width="9.140625" style="1300"/>
    <col min="16" max="16" width="13.85546875" style="1300" customWidth="1"/>
    <col min="17" max="17" width="7.28515625" style="1300" customWidth="1"/>
    <col min="18" max="19" width="6.5703125" style="1300" customWidth="1"/>
    <col min="20" max="20" width="6.85546875" style="1300" customWidth="1"/>
    <col min="21" max="27" width="5.7109375" style="1300" customWidth="1"/>
    <col min="28" max="28" width="5.7109375" customWidth="1"/>
    <col min="29" max="29" width="9.140625" style="1300"/>
    <col min="30" max="35" width="5.7109375" style="1300" customWidth="1"/>
    <col min="36" max="36" width="15" style="1300" customWidth="1"/>
    <col min="37" max="37" width="12.140625" style="1300" customWidth="1"/>
    <col min="38" max="38" width="10" style="1300" customWidth="1"/>
    <col min="39" max="39" width="9.85546875" style="1300" customWidth="1"/>
    <col min="40" max="40" width="3.42578125" style="1300" customWidth="1"/>
    <col min="41" max="41" width="9.85546875" style="1300" bestFit="1" customWidth="1"/>
    <col min="42" max="16384" width="9.140625" style="1300"/>
  </cols>
  <sheetData>
    <row r="2" spans="1:28" ht="18" customHeight="1">
      <c r="A2" s="2679" t="s">
        <v>0</v>
      </c>
      <c r="B2" s="2679"/>
      <c r="C2" s="2679"/>
      <c r="D2" s="2679"/>
      <c r="E2" s="2679"/>
      <c r="F2" s="2679"/>
      <c r="G2" s="2679"/>
      <c r="H2" s="2679"/>
      <c r="I2" s="2679"/>
      <c r="J2" s="2679"/>
      <c r="K2" s="2679"/>
      <c r="L2" s="2679"/>
    </row>
    <row r="3" spans="1:28" ht="18" customHeight="1">
      <c r="A3" s="2680" t="str">
        <f>'REKAP '!A2:M2</f>
        <v>PEKERJAAN PEMBANGUNAN RUMAH TINGGAL</v>
      </c>
      <c r="B3" s="2680"/>
      <c r="C3" s="2680"/>
      <c r="D3" s="2680"/>
      <c r="E3" s="2680"/>
      <c r="F3" s="2680"/>
      <c r="G3" s="2680"/>
      <c r="H3" s="2680"/>
      <c r="I3" s="2680"/>
      <c r="J3" s="2680"/>
      <c r="K3" s="2680"/>
      <c r="L3" s="2680"/>
    </row>
    <row r="4" spans="1:28" ht="18" customHeight="1" thickBot="1">
      <c r="A4" s="1300" t="s">
        <v>1</v>
      </c>
    </row>
    <row r="5" spans="1:28" ht="18" customHeight="1" thickTop="1">
      <c r="A5" s="1311"/>
      <c r="B5" s="1312" t="s">
        <v>2</v>
      </c>
      <c r="C5" s="1312" t="str">
        <f>'REKAP '!C4</f>
        <v>: Rencana Anggaran Biaya</v>
      </c>
      <c r="D5" s="1312"/>
      <c r="E5" s="1312"/>
      <c r="F5" s="1313"/>
      <c r="G5" s="1312"/>
      <c r="H5" s="1312"/>
      <c r="I5" s="1312" t="str">
        <f>'REKAP '!H4</f>
        <v>Luas Kavling</v>
      </c>
      <c r="J5" s="2059" t="s">
        <v>4</v>
      </c>
      <c r="K5" s="1312"/>
      <c r="L5" s="1314" t="str">
        <f>'REKAP '!M4</f>
        <v>35 m x 66 m (2310 m²)</v>
      </c>
    </row>
    <row r="6" spans="1:28" ht="18" customHeight="1">
      <c r="A6" s="1315"/>
      <c r="B6" s="1316" t="s">
        <v>5</v>
      </c>
      <c r="C6" s="1316" t="str">
        <f>'REKAP '!C5</f>
        <v>: Struktur dan Finishing</v>
      </c>
      <c r="D6" s="1316"/>
      <c r="E6" s="1316"/>
      <c r="F6" s="1317"/>
      <c r="G6" s="1316"/>
      <c r="H6" s="1318"/>
      <c r="I6" s="1316" t="str">
        <f>'REKAP '!H5</f>
        <v>Luas Bangunan Lantai Satu</v>
      </c>
      <c r="J6" s="2060" t="s">
        <v>4</v>
      </c>
      <c r="K6" s="1316"/>
      <c r="L6" s="1561">
        <f>'REKAP '!M5</f>
        <v>481</v>
      </c>
    </row>
    <row r="7" spans="1:28" ht="18" customHeight="1">
      <c r="A7" s="1315"/>
      <c r="B7" s="1316" t="s">
        <v>6</v>
      </c>
      <c r="C7" s="1316" t="str">
        <f>'REKAP '!C6</f>
        <v>: Rumah Tinggal</v>
      </c>
      <c r="D7" s="1316"/>
      <c r="E7" s="1316"/>
      <c r="F7" s="1317"/>
      <c r="G7" s="1316"/>
      <c r="H7" s="1318"/>
      <c r="I7" s="1316" t="str">
        <f>'REKAP '!H6</f>
        <v>Luas Bangunan Lantai Dua</v>
      </c>
      <c r="J7" s="2060" t="s">
        <v>4</v>
      </c>
      <c r="K7" s="1316"/>
      <c r="L7" s="1319">
        <f>'REKAP '!M6</f>
        <v>0</v>
      </c>
    </row>
    <row r="8" spans="1:28" ht="18" customHeight="1">
      <c r="A8" s="1315"/>
      <c r="B8" s="1316" t="s">
        <v>7</v>
      </c>
      <c r="C8" s="1316" t="str">
        <f>'REKAP '!C7</f>
        <v>: Klasik Modern</v>
      </c>
      <c r="D8" s="1316"/>
      <c r="E8" s="1316"/>
      <c r="F8" s="1317"/>
      <c r="G8" s="1316"/>
      <c r="H8" s="1318"/>
      <c r="I8" s="1316" t="str">
        <f>'REKAP '!H7</f>
        <v>Luas Bangunan Lantai Atap</v>
      </c>
      <c r="J8" s="2060" t="s">
        <v>4</v>
      </c>
      <c r="K8" s="1316"/>
      <c r="L8" s="1319">
        <f>'REKAP '!M7</f>
        <v>0</v>
      </c>
    </row>
    <row r="9" spans="1:28" ht="18" customHeight="1">
      <c r="A9" s="1315"/>
      <c r="B9" s="1316" t="s">
        <v>8</v>
      </c>
      <c r="C9" s="1316" t="str">
        <f>'REKAP '!C8</f>
        <v>: -</v>
      </c>
      <c r="D9" s="1316"/>
      <c r="E9" s="1316"/>
      <c r="F9" s="1317"/>
      <c r="G9" s="1316"/>
      <c r="H9" s="1318"/>
      <c r="I9" s="1316"/>
      <c r="J9" s="2060"/>
      <c r="K9" s="1316"/>
      <c r="L9" s="1319"/>
    </row>
    <row r="10" spans="1:28" ht="18" customHeight="1">
      <c r="A10" s="1315"/>
      <c r="B10" s="1316" t="s">
        <v>9</v>
      </c>
      <c r="C10" s="1316" t="str">
        <f>'REKAP '!C9</f>
        <v>: -</v>
      </c>
      <c r="D10" s="1316"/>
      <c r="E10" s="1316"/>
      <c r="F10" s="1317"/>
      <c r="G10" s="1316"/>
      <c r="H10" s="1318"/>
      <c r="I10" s="1316"/>
      <c r="J10" s="2060"/>
      <c r="K10" s="1316"/>
      <c r="L10" s="1319"/>
      <c r="AB10" s="1221"/>
    </row>
    <row r="11" spans="1:28" ht="18" customHeight="1">
      <c r="A11" s="1315"/>
      <c r="B11" s="1316" t="s">
        <v>10</v>
      </c>
      <c r="C11" s="1316" t="str">
        <f>'REKAP '!C10</f>
        <v>: -</v>
      </c>
      <c r="D11" s="1316"/>
      <c r="E11" s="1316"/>
      <c r="F11" s="1317"/>
      <c r="G11" s="1316"/>
      <c r="H11" s="1318"/>
      <c r="I11" s="1316"/>
      <c r="J11" s="2060"/>
      <c r="K11" s="1316"/>
      <c r="L11" s="1319"/>
    </row>
    <row r="12" spans="1:28" ht="18" customHeight="1" thickBot="1">
      <c r="A12" s="1320"/>
      <c r="B12" s="1321"/>
      <c r="C12" s="1321"/>
      <c r="D12" s="1321"/>
      <c r="E12" s="1321"/>
      <c r="F12" s="1322"/>
      <c r="G12" s="1321"/>
      <c r="H12" s="1323"/>
      <c r="I12" s="1321" t="s">
        <v>11</v>
      </c>
      <c r="J12" s="2273" t="s">
        <v>4</v>
      </c>
      <c r="K12" s="1321"/>
      <c r="L12" s="1324">
        <f>'REKAP '!M11</f>
        <v>481</v>
      </c>
    </row>
    <row r="13" spans="1:28" ht="18" customHeight="1" thickTop="1" thickBot="1">
      <c r="A13" s="1325"/>
      <c r="B13" s="1326"/>
      <c r="C13" s="1326"/>
      <c r="D13" s="1326"/>
      <c r="E13" s="1326"/>
      <c r="F13" s="1325"/>
      <c r="G13" s="1326"/>
      <c r="H13" s="1326"/>
      <c r="I13" s="1326"/>
      <c r="J13" s="1326"/>
      <c r="K13" s="1326"/>
      <c r="L13" s="1326"/>
    </row>
    <row r="14" spans="1:28" ht="26.25" thickTop="1">
      <c r="A14" s="2681" t="s">
        <v>12</v>
      </c>
      <c r="B14" s="2683" t="s">
        <v>13</v>
      </c>
      <c r="C14" s="2684"/>
      <c r="D14" s="2683" t="s">
        <v>14</v>
      </c>
      <c r="E14" s="2687" t="s">
        <v>15</v>
      </c>
      <c r="F14" s="2687" t="s">
        <v>16</v>
      </c>
      <c r="G14" s="1327" t="s">
        <v>1722</v>
      </c>
      <c r="H14" s="1327" t="s">
        <v>1723</v>
      </c>
      <c r="I14" s="1327" t="s">
        <v>1724</v>
      </c>
      <c r="J14" s="1327" t="s">
        <v>1725</v>
      </c>
      <c r="K14" s="1327" t="s">
        <v>1726</v>
      </c>
      <c r="L14" s="1328" t="s">
        <v>1727</v>
      </c>
    </row>
    <row r="15" spans="1:28" ht="18" customHeight="1" thickBot="1">
      <c r="A15" s="2682"/>
      <c r="B15" s="2685"/>
      <c r="C15" s="2686"/>
      <c r="D15" s="2685"/>
      <c r="E15" s="2688"/>
      <c r="F15" s="2688"/>
      <c r="G15" s="1552" t="s">
        <v>216</v>
      </c>
      <c r="H15" s="1552" t="s">
        <v>216</v>
      </c>
      <c r="I15" s="1552" t="s">
        <v>216</v>
      </c>
      <c r="J15" s="1552" t="s">
        <v>216</v>
      </c>
      <c r="K15" s="1552" t="s">
        <v>216</v>
      </c>
      <c r="L15" s="1329" t="s">
        <v>216</v>
      </c>
    </row>
    <row r="16" spans="1:28" ht="18" customHeight="1" thickTop="1">
      <c r="A16" s="2325" t="s">
        <v>17</v>
      </c>
      <c r="B16" s="2326" t="s">
        <v>18</v>
      </c>
      <c r="C16" s="2327"/>
      <c r="D16" s="2328"/>
      <c r="E16" s="2329"/>
      <c r="F16" s="2330"/>
      <c r="G16" s="2329"/>
      <c r="H16" s="1330"/>
      <c r="I16" s="1330"/>
      <c r="J16" s="1330"/>
      <c r="K16" s="1330"/>
      <c r="L16" s="1331"/>
      <c r="N16" s="1300">
        <v>1</v>
      </c>
      <c r="AB16" s="1583"/>
    </row>
    <row r="17" spans="1:28" ht="18" customHeight="1">
      <c r="A17" s="1332">
        <v>1</v>
      </c>
      <c r="B17" s="1333" t="s">
        <v>189</v>
      </c>
      <c r="C17" s="1334"/>
      <c r="D17" s="1316" t="s">
        <v>190</v>
      </c>
      <c r="E17" s="1337">
        <f>PRP!E3</f>
        <v>202</v>
      </c>
      <c r="F17" s="1336" t="s">
        <v>129</v>
      </c>
      <c r="G17" s="1907">
        <v>0</v>
      </c>
      <c r="H17" s="1907">
        <v>0</v>
      </c>
      <c r="I17" s="1338">
        <f>G17+H17</f>
        <v>0</v>
      </c>
      <c r="J17" s="1338">
        <f>E17*G17</f>
        <v>0</v>
      </c>
      <c r="K17" s="1338">
        <f>E17*H17</f>
        <v>0</v>
      </c>
      <c r="L17" s="1530">
        <f>J17+K17</f>
        <v>0</v>
      </c>
      <c r="AB17" s="1583"/>
    </row>
    <row r="18" spans="1:28" ht="18" customHeight="1" thickBot="1">
      <c r="A18" s="1332">
        <v>2</v>
      </c>
      <c r="B18" s="1333" t="s">
        <v>2621</v>
      </c>
      <c r="C18" s="1334"/>
      <c r="D18" s="1316"/>
      <c r="E18" s="1337">
        <f>PRP!E7</f>
        <v>202</v>
      </c>
      <c r="F18" s="1336" t="s">
        <v>841</v>
      </c>
      <c r="G18" s="1907">
        <v>0</v>
      </c>
      <c r="H18" s="1907">
        <v>0</v>
      </c>
      <c r="I18" s="1338">
        <f t="shared" ref="I18:I29" si="0">G18+H18</f>
        <v>0</v>
      </c>
      <c r="J18" s="1338">
        <f t="shared" ref="J18:J29" si="1">E18*G18</f>
        <v>0</v>
      </c>
      <c r="K18" s="1338">
        <f t="shared" ref="K18:K29" si="2">E18*H18</f>
        <v>0</v>
      </c>
      <c r="L18" s="1530">
        <f t="shared" ref="L18:L29" si="3">J18+K18</f>
        <v>0</v>
      </c>
    </row>
    <row r="19" spans="1:28" ht="18" hidden="1" customHeight="1">
      <c r="A19" s="1332"/>
      <c r="B19" s="1333" t="s">
        <v>20</v>
      </c>
      <c r="C19" s="1334"/>
      <c r="D19" s="1316"/>
      <c r="E19" s="1337">
        <v>1</v>
      </c>
      <c r="F19" s="1336" t="s">
        <v>21</v>
      </c>
      <c r="G19" s="1907">
        <v>0</v>
      </c>
      <c r="H19" s="1908">
        <v>0</v>
      </c>
      <c r="I19" s="1338">
        <f t="shared" si="0"/>
        <v>0</v>
      </c>
      <c r="J19" s="1338">
        <f t="shared" si="1"/>
        <v>0</v>
      </c>
      <c r="K19" s="1338">
        <f t="shared" si="2"/>
        <v>0</v>
      </c>
      <c r="L19" s="1530">
        <f t="shared" si="3"/>
        <v>0</v>
      </c>
    </row>
    <row r="20" spans="1:28" ht="18" hidden="1" customHeight="1">
      <c r="A20" s="1332"/>
      <c r="B20" s="1333" t="s">
        <v>23</v>
      </c>
      <c r="C20" s="1334"/>
      <c r="D20" s="1316"/>
      <c r="E20" s="1337">
        <v>1</v>
      </c>
      <c r="F20" s="1336" t="s">
        <v>21</v>
      </c>
      <c r="G20" s="1907">
        <v>0</v>
      </c>
      <c r="H20" s="1908">
        <v>0</v>
      </c>
      <c r="I20" s="1338">
        <f t="shared" si="0"/>
        <v>0</v>
      </c>
      <c r="J20" s="1338">
        <f t="shared" si="1"/>
        <v>0</v>
      </c>
      <c r="K20" s="1338">
        <f t="shared" si="2"/>
        <v>0</v>
      </c>
      <c r="L20" s="1530">
        <f t="shared" si="3"/>
        <v>0</v>
      </c>
    </row>
    <row r="21" spans="1:28" ht="18" hidden="1" customHeight="1">
      <c r="A21" s="1332">
        <v>3</v>
      </c>
      <c r="B21" s="1333" t="s">
        <v>192</v>
      </c>
      <c r="C21" s="1334"/>
      <c r="D21" s="1316" t="s">
        <v>193</v>
      </c>
      <c r="E21" s="1337">
        <v>24</v>
      </c>
      <c r="F21" s="1336" t="s">
        <v>19</v>
      </c>
      <c r="G21" s="1907">
        <f>PSP!$I$45</f>
        <v>1748312.8571428573</v>
      </c>
      <c r="H21" s="1907">
        <f>PSP!$I$50</f>
        <v>806000</v>
      </c>
      <c r="I21" s="1338">
        <f t="shared" si="0"/>
        <v>2554312.8571428573</v>
      </c>
      <c r="J21" s="1338">
        <f t="shared" si="1"/>
        <v>41959508.571428575</v>
      </c>
      <c r="K21" s="1338">
        <f t="shared" si="2"/>
        <v>19344000</v>
      </c>
      <c r="L21" s="1530">
        <v>0</v>
      </c>
    </row>
    <row r="22" spans="1:28" ht="18" hidden="1" customHeight="1" thickBot="1">
      <c r="A22" s="1332">
        <v>4</v>
      </c>
      <c r="B22" s="1333" t="s">
        <v>24</v>
      </c>
      <c r="C22" s="1334"/>
      <c r="D22" s="1316" t="s">
        <v>25</v>
      </c>
      <c r="E22" s="1337">
        <v>24</v>
      </c>
      <c r="F22" s="1336" t="s">
        <v>19</v>
      </c>
      <c r="G22" s="1907">
        <f>PSP!$I$60</f>
        <v>1696170.0000000002</v>
      </c>
      <c r="H22" s="1907">
        <f>PSP!$I$64</f>
        <v>495000</v>
      </c>
      <c r="I22" s="1338">
        <f t="shared" si="0"/>
        <v>2191170</v>
      </c>
      <c r="J22" s="1338">
        <f t="shared" si="1"/>
        <v>40708080.000000007</v>
      </c>
      <c r="K22" s="1338">
        <f t="shared" si="2"/>
        <v>11880000</v>
      </c>
      <c r="L22" s="1530">
        <v>0</v>
      </c>
    </row>
    <row r="23" spans="1:28" ht="18" hidden="1" customHeight="1">
      <c r="A23" s="1332"/>
      <c r="B23" s="1333" t="s">
        <v>194</v>
      </c>
      <c r="C23" s="1334"/>
      <c r="D23" s="1316" t="s">
        <v>25</v>
      </c>
      <c r="E23" s="1337">
        <v>0</v>
      </c>
      <c r="F23" s="1336" t="s">
        <v>19</v>
      </c>
      <c r="G23" s="1907">
        <f>PSP!$I$74</f>
        <v>1515466.2857142859</v>
      </c>
      <c r="H23" s="1907">
        <f>PSP!$I$78</f>
        <v>495000</v>
      </c>
      <c r="I23" s="1338">
        <f t="shared" si="0"/>
        <v>2010466.2857142859</v>
      </c>
      <c r="J23" s="1338">
        <f t="shared" si="1"/>
        <v>0</v>
      </c>
      <c r="K23" s="1338">
        <f t="shared" si="2"/>
        <v>0</v>
      </c>
      <c r="L23" s="1530">
        <f t="shared" si="3"/>
        <v>0</v>
      </c>
    </row>
    <row r="24" spans="1:28" ht="18" hidden="1" customHeight="1">
      <c r="A24" s="1332"/>
      <c r="B24" s="1333" t="s">
        <v>26</v>
      </c>
      <c r="C24" s="1334"/>
      <c r="D24" s="1316"/>
      <c r="E24" s="1337">
        <v>1</v>
      </c>
      <c r="F24" s="1336" t="s">
        <v>27</v>
      </c>
      <c r="G24" s="1907">
        <v>0</v>
      </c>
      <c r="H24" s="1908">
        <v>0</v>
      </c>
      <c r="I24" s="1338">
        <f t="shared" si="0"/>
        <v>0</v>
      </c>
      <c r="J24" s="1338">
        <f t="shared" si="1"/>
        <v>0</v>
      </c>
      <c r="K24" s="1338">
        <f t="shared" si="2"/>
        <v>0</v>
      </c>
      <c r="L24" s="1530">
        <f t="shared" si="3"/>
        <v>0</v>
      </c>
    </row>
    <row r="25" spans="1:28" ht="18" hidden="1" customHeight="1">
      <c r="A25" s="1332"/>
      <c r="B25" s="1333" t="s">
        <v>29</v>
      </c>
      <c r="C25" s="1334"/>
      <c r="D25" s="1316"/>
      <c r="E25" s="1337">
        <v>0</v>
      </c>
      <c r="F25" s="1336" t="s">
        <v>19</v>
      </c>
      <c r="G25" s="1907">
        <v>0</v>
      </c>
      <c r="H25" s="1907">
        <f>PSP!$I$83</f>
        <v>22600</v>
      </c>
      <c r="I25" s="1338">
        <f t="shared" si="0"/>
        <v>22600</v>
      </c>
      <c r="J25" s="1338">
        <f t="shared" si="1"/>
        <v>0</v>
      </c>
      <c r="K25" s="1338">
        <f t="shared" si="2"/>
        <v>0</v>
      </c>
      <c r="L25" s="1530">
        <f t="shared" si="3"/>
        <v>0</v>
      </c>
    </row>
    <row r="26" spans="1:28" ht="18" hidden="1" customHeight="1">
      <c r="A26" s="1332"/>
      <c r="B26" s="1333" t="s">
        <v>195</v>
      </c>
      <c r="C26" s="1334"/>
      <c r="D26" s="1316"/>
      <c r="E26" s="1337">
        <v>0</v>
      </c>
      <c r="F26" s="1336" t="s">
        <v>35</v>
      </c>
      <c r="G26" s="1907">
        <v>0</v>
      </c>
      <c r="H26" s="1907">
        <f>PSP!$I$88</f>
        <v>966652</v>
      </c>
      <c r="I26" s="1338">
        <f t="shared" si="0"/>
        <v>966652</v>
      </c>
      <c r="J26" s="1338">
        <f t="shared" si="1"/>
        <v>0</v>
      </c>
      <c r="K26" s="1338">
        <f t="shared" si="2"/>
        <v>0</v>
      </c>
      <c r="L26" s="1530">
        <f t="shared" si="3"/>
        <v>0</v>
      </c>
    </row>
    <row r="27" spans="1:28" ht="18" hidden="1" customHeight="1">
      <c r="A27" s="1332"/>
      <c r="B27" s="1333" t="s">
        <v>196</v>
      </c>
      <c r="C27" s="1334"/>
      <c r="D27" s="1316"/>
      <c r="E27" s="1337">
        <v>0</v>
      </c>
      <c r="F27" s="1336" t="s">
        <v>35</v>
      </c>
      <c r="G27" s="1907">
        <v>0</v>
      </c>
      <c r="H27" s="1907">
        <f>PSP!$I$92</f>
        <v>912652</v>
      </c>
      <c r="I27" s="1338">
        <f t="shared" si="0"/>
        <v>912652</v>
      </c>
      <c r="J27" s="1338">
        <f t="shared" si="1"/>
        <v>0</v>
      </c>
      <c r="K27" s="1338">
        <f t="shared" si="2"/>
        <v>0</v>
      </c>
      <c r="L27" s="1530">
        <f t="shared" si="3"/>
        <v>0</v>
      </c>
    </row>
    <row r="28" spans="1:28" ht="18" hidden="1" customHeight="1">
      <c r="A28" s="1332"/>
      <c r="B28" s="1333" t="s">
        <v>30</v>
      </c>
      <c r="C28" s="1334"/>
      <c r="D28" s="1316"/>
      <c r="E28" s="1337">
        <v>1</v>
      </c>
      <c r="F28" s="1336" t="s">
        <v>19</v>
      </c>
      <c r="G28" s="1908">
        <v>0</v>
      </c>
      <c r="H28" s="1908">
        <v>0</v>
      </c>
      <c r="I28" s="1338">
        <f t="shared" si="0"/>
        <v>0</v>
      </c>
      <c r="J28" s="1338">
        <f t="shared" si="1"/>
        <v>0</v>
      </c>
      <c r="K28" s="1338">
        <f t="shared" si="2"/>
        <v>0</v>
      </c>
      <c r="L28" s="1530">
        <f t="shared" si="3"/>
        <v>0</v>
      </c>
    </row>
    <row r="29" spans="1:28" ht="18" hidden="1" customHeight="1" thickBot="1">
      <c r="A29" s="1332"/>
      <c r="B29" s="1333" t="s">
        <v>31</v>
      </c>
      <c r="C29" s="1334"/>
      <c r="D29" s="1339"/>
      <c r="E29" s="1337">
        <v>1</v>
      </c>
      <c r="F29" s="1336" t="s">
        <v>21</v>
      </c>
      <c r="G29" s="1908">
        <v>0</v>
      </c>
      <c r="H29" s="1908">
        <v>0</v>
      </c>
      <c r="I29" s="1338">
        <f t="shared" si="0"/>
        <v>0</v>
      </c>
      <c r="J29" s="1338">
        <f t="shared" si="1"/>
        <v>0</v>
      </c>
      <c r="K29" s="1338">
        <f t="shared" si="2"/>
        <v>0</v>
      </c>
      <c r="L29" s="1530">
        <f t="shared" si="3"/>
        <v>0</v>
      </c>
    </row>
    <row r="30" spans="1:28" ht="18" customHeight="1" thickTop="1" thickBot="1">
      <c r="A30" s="2675" t="s">
        <v>32</v>
      </c>
      <c r="B30" s="2676"/>
      <c r="C30" s="2676"/>
      <c r="D30" s="2676"/>
      <c r="E30" s="2676"/>
      <c r="F30" s="2676"/>
      <c r="G30" s="2676"/>
      <c r="H30" s="1551"/>
      <c r="I30" s="1551"/>
      <c r="J30" s="1542">
        <f>SUM(J17:J29)</f>
        <v>82667588.571428582</v>
      </c>
      <c r="K30" s="1542">
        <f>SUM(K17:K29)</f>
        <v>31224000</v>
      </c>
      <c r="L30" s="1543">
        <f>SUM(L16:L29)</f>
        <v>0</v>
      </c>
      <c r="M30" s="1300">
        <v>1</v>
      </c>
      <c r="N30" s="1300">
        <v>2</v>
      </c>
    </row>
    <row r="31" spans="1:28" ht="18" customHeight="1" thickTop="1">
      <c r="A31" s="1341" t="s">
        <v>33</v>
      </c>
      <c r="B31" s="1342" t="s">
        <v>34</v>
      </c>
      <c r="C31" s="1343"/>
      <c r="D31" s="1344"/>
      <c r="E31" s="1345"/>
      <c r="F31" s="1346"/>
      <c r="G31" s="1345"/>
      <c r="H31" s="1330"/>
      <c r="I31" s="1330"/>
      <c r="J31" s="1330"/>
      <c r="K31" s="1330"/>
      <c r="L31" s="1331"/>
      <c r="N31" s="1300">
        <v>3</v>
      </c>
    </row>
    <row r="32" spans="1:28" ht="18" customHeight="1">
      <c r="A32" s="1332">
        <v>1</v>
      </c>
      <c r="B32" s="1333" t="s">
        <v>199</v>
      </c>
      <c r="C32" s="1334"/>
      <c r="D32" s="1316"/>
      <c r="E32" s="1872">
        <f>'PONDASI DAN SLOOF'!C26</f>
        <v>470.17000000000007</v>
      </c>
      <c r="F32" s="1336" t="s">
        <v>35</v>
      </c>
      <c r="G32" s="1872">
        <v>0</v>
      </c>
      <c r="H32" s="1872">
        <v>0</v>
      </c>
      <c r="I32" s="1338">
        <f>G32+H32</f>
        <v>0</v>
      </c>
      <c r="J32" s="1338">
        <f>E32*G32</f>
        <v>0</v>
      </c>
      <c r="K32" s="1338">
        <f>E32*H32</f>
        <v>0</v>
      </c>
      <c r="L32" s="1530">
        <f>J32+K32</f>
        <v>0</v>
      </c>
    </row>
    <row r="33" spans="1:18" ht="18" hidden="1" customHeight="1">
      <c r="A33" s="1332">
        <v>2</v>
      </c>
      <c r="B33" s="1333" t="s">
        <v>197</v>
      </c>
      <c r="C33" s="1334"/>
      <c r="D33" s="1316"/>
      <c r="E33" s="1872">
        <f>'PONDASI DAN SLOOF'!C27</f>
        <v>0</v>
      </c>
      <c r="F33" s="1336" t="s">
        <v>129</v>
      </c>
      <c r="G33" s="1872">
        <v>0</v>
      </c>
      <c r="H33" s="1872">
        <f>B!$I$17</f>
        <v>75000</v>
      </c>
      <c r="I33" s="1338">
        <f t="shared" ref="I33:I40" si="4">G33+H33</f>
        <v>75000</v>
      </c>
      <c r="J33" s="1338">
        <f t="shared" ref="J33:J40" si="5">E33*G33</f>
        <v>0</v>
      </c>
      <c r="K33" s="1338">
        <f t="shared" ref="K33:K40" si="6">E33*H33</f>
        <v>0</v>
      </c>
      <c r="L33" s="1530">
        <f t="shared" ref="L33:L40" si="7">J33+K33</f>
        <v>0</v>
      </c>
    </row>
    <row r="34" spans="1:18" ht="18" hidden="1" customHeight="1">
      <c r="A34" s="1332">
        <v>2</v>
      </c>
      <c r="B34" s="1333" t="s">
        <v>2831</v>
      </c>
      <c r="C34" s="1334"/>
      <c r="D34" s="1316"/>
      <c r="E34" s="1872">
        <f>'PONDASI DAN SLOOF'!C28</f>
        <v>0</v>
      </c>
      <c r="F34" s="1336" t="s">
        <v>129</v>
      </c>
      <c r="G34" s="1872">
        <v>0</v>
      </c>
      <c r="H34" s="1872">
        <f>B!$I$21</f>
        <v>120000</v>
      </c>
      <c r="I34" s="1338">
        <f t="shared" si="4"/>
        <v>120000</v>
      </c>
      <c r="J34" s="1338">
        <f t="shared" si="5"/>
        <v>0</v>
      </c>
      <c r="K34" s="1338">
        <f t="shared" si="6"/>
        <v>0</v>
      </c>
      <c r="L34" s="1530">
        <f t="shared" si="7"/>
        <v>0</v>
      </c>
    </row>
    <row r="35" spans="1:18" ht="18" hidden="1" customHeight="1">
      <c r="A35" s="1332"/>
      <c r="B35" s="1333" t="s">
        <v>1332</v>
      </c>
      <c r="C35" s="1334"/>
      <c r="D35" s="1316"/>
      <c r="E35" s="1872"/>
      <c r="F35" s="1336" t="s">
        <v>35</v>
      </c>
      <c r="G35" s="1872">
        <v>0</v>
      </c>
      <c r="H35" s="1872">
        <f>B!$I$26</f>
        <v>79176</v>
      </c>
      <c r="I35" s="1338">
        <f t="shared" si="4"/>
        <v>79176</v>
      </c>
      <c r="J35" s="1338">
        <f t="shared" si="5"/>
        <v>0</v>
      </c>
      <c r="K35" s="1338">
        <f t="shared" si="6"/>
        <v>0</v>
      </c>
      <c r="L35" s="1530">
        <f t="shared" si="7"/>
        <v>0</v>
      </c>
    </row>
    <row r="36" spans="1:18" ht="18" customHeight="1">
      <c r="A36" s="1332">
        <v>3</v>
      </c>
      <c r="B36" s="1347" t="s">
        <v>1331</v>
      </c>
      <c r="C36" s="1348"/>
      <c r="D36" s="1349"/>
      <c r="E36" s="1872">
        <f>E32/3</f>
        <v>156.72333333333336</v>
      </c>
      <c r="F36" s="1336" t="s">
        <v>35</v>
      </c>
      <c r="G36" s="1872">
        <v>0</v>
      </c>
      <c r="H36" s="1872">
        <v>0</v>
      </c>
      <c r="I36" s="1338">
        <f t="shared" si="4"/>
        <v>0</v>
      </c>
      <c r="J36" s="1338">
        <f t="shared" si="5"/>
        <v>0</v>
      </c>
      <c r="K36" s="1338">
        <f t="shared" si="6"/>
        <v>0</v>
      </c>
      <c r="L36" s="1530">
        <f t="shared" si="7"/>
        <v>0</v>
      </c>
    </row>
    <row r="37" spans="1:18" ht="18" hidden="1" customHeight="1">
      <c r="A37" s="1332"/>
      <c r="B37" s="1333" t="s">
        <v>37</v>
      </c>
      <c r="C37" s="1334"/>
      <c r="D37" s="1316" t="s">
        <v>38</v>
      </c>
      <c r="E37" s="1872">
        <v>0</v>
      </c>
      <c r="F37" s="1336" t="s">
        <v>19</v>
      </c>
      <c r="G37" s="1872">
        <v>0</v>
      </c>
      <c r="H37" s="1872">
        <f>B!$I$36</f>
        <v>77000</v>
      </c>
      <c r="I37" s="1338">
        <f t="shared" si="4"/>
        <v>77000</v>
      </c>
      <c r="J37" s="1338">
        <f t="shared" si="5"/>
        <v>0</v>
      </c>
      <c r="K37" s="1338">
        <f t="shared" si="6"/>
        <v>0</v>
      </c>
      <c r="L37" s="1530">
        <f t="shared" si="7"/>
        <v>0</v>
      </c>
    </row>
    <row r="38" spans="1:18" ht="18" customHeight="1" thickBot="1">
      <c r="A38" s="1332">
        <v>4</v>
      </c>
      <c r="B38" s="1333" t="s">
        <v>2622</v>
      </c>
      <c r="C38" s="1334"/>
      <c r="D38" s="1316" t="s">
        <v>36</v>
      </c>
      <c r="E38" s="1872">
        <f>'PONDASI DAN SLOOF'!C50</f>
        <v>7.3360000000000012</v>
      </c>
      <c r="F38" s="1336" t="s">
        <v>35</v>
      </c>
      <c r="G38" s="1872">
        <v>0</v>
      </c>
      <c r="H38" s="1872">
        <v>0</v>
      </c>
      <c r="I38" s="1338">
        <f t="shared" si="4"/>
        <v>0</v>
      </c>
      <c r="J38" s="1338">
        <f t="shared" si="5"/>
        <v>0</v>
      </c>
      <c r="K38" s="1338">
        <f t="shared" si="6"/>
        <v>0</v>
      </c>
      <c r="L38" s="1530">
        <f t="shared" si="7"/>
        <v>0</v>
      </c>
    </row>
    <row r="39" spans="1:18" ht="18" hidden="1" customHeight="1">
      <c r="A39" s="1332">
        <v>5</v>
      </c>
      <c r="B39" s="1333" t="s">
        <v>198</v>
      </c>
      <c r="C39" s="1334"/>
      <c r="D39" s="1316"/>
      <c r="E39" s="1872"/>
      <c r="F39" s="1336" t="s">
        <v>35</v>
      </c>
      <c r="G39" s="1872">
        <f>B!$I$46</f>
        <v>348000</v>
      </c>
      <c r="H39" s="1872">
        <f>B!$I$48</f>
        <v>38500</v>
      </c>
      <c r="I39" s="1338">
        <f t="shared" si="4"/>
        <v>386500</v>
      </c>
      <c r="J39" s="1338">
        <f t="shared" si="5"/>
        <v>0</v>
      </c>
      <c r="K39" s="1338">
        <f t="shared" si="6"/>
        <v>0</v>
      </c>
      <c r="L39" s="1530">
        <f t="shared" si="7"/>
        <v>0</v>
      </c>
    </row>
    <row r="40" spans="1:18" ht="18" hidden="1" customHeight="1" thickBot="1">
      <c r="A40" s="1332"/>
      <c r="B40" s="1333" t="s">
        <v>1333</v>
      </c>
      <c r="C40" s="1334"/>
      <c r="D40" s="1316" t="s">
        <v>1921</v>
      </c>
      <c r="E40" s="1872">
        <v>0</v>
      </c>
      <c r="F40" s="1336" t="s">
        <v>35</v>
      </c>
      <c r="G40" s="1872">
        <f>B!$I$52</f>
        <v>306000</v>
      </c>
      <c r="H40" s="1872">
        <f>B!$I$54</f>
        <v>38500</v>
      </c>
      <c r="I40" s="1338">
        <f t="shared" si="4"/>
        <v>344500</v>
      </c>
      <c r="J40" s="1338">
        <f t="shared" si="5"/>
        <v>0</v>
      </c>
      <c r="K40" s="1338">
        <f t="shared" si="6"/>
        <v>0</v>
      </c>
      <c r="L40" s="1530">
        <f t="shared" si="7"/>
        <v>0</v>
      </c>
    </row>
    <row r="41" spans="1:18" ht="18" customHeight="1" thickTop="1" thickBot="1">
      <c r="A41" s="2675" t="s">
        <v>39</v>
      </c>
      <c r="B41" s="2676"/>
      <c r="C41" s="2676"/>
      <c r="D41" s="2676"/>
      <c r="E41" s="2676"/>
      <c r="F41" s="2676"/>
      <c r="G41" s="2676"/>
      <c r="H41" s="1551"/>
      <c r="I41" s="1551"/>
      <c r="J41" s="1542">
        <f>SUM(J32:J40)</f>
        <v>0</v>
      </c>
      <c r="K41" s="1542">
        <f>SUM(K32:K40)</f>
        <v>0</v>
      </c>
      <c r="L41" s="1340">
        <f>SUM(L32:L40)</f>
        <v>0</v>
      </c>
      <c r="M41" s="1300">
        <v>1</v>
      </c>
      <c r="N41" s="1300">
        <v>4</v>
      </c>
    </row>
    <row r="42" spans="1:18" ht="18" customHeight="1" thickTop="1">
      <c r="A42" s="1341" t="s">
        <v>40</v>
      </c>
      <c r="B42" s="2638" t="s">
        <v>41</v>
      </c>
      <c r="C42" s="1343"/>
      <c r="D42" s="1344"/>
      <c r="E42" s="1345"/>
      <c r="F42" s="1346"/>
      <c r="G42" s="1345"/>
      <c r="H42" s="1330"/>
      <c r="I42" s="1330"/>
      <c r="J42" s="1330"/>
      <c r="K42" s="1330"/>
      <c r="L42" s="1331"/>
      <c r="N42" s="1300">
        <v>5</v>
      </c>
    </row>
    <row r="43" spans="1:18" ht="18" customHeight="1" thickBot="1">
      <c r="A43" s="1341" t="s">
        <v>42</v>
      </c>
      <c r="B43" s="1342" t="s">
        <v>43</v>
      </c>
      <c r="C43" s="1343"/>
      <c r="D43" s="1344"/>
      <c r="E43" s="1345"/>
      <c r="F43" s="1346"/>
      <c r="G43" s="1345"/>
      <c r="H43" s="1351"/>
      <c r="I43" s="1351"/>
      <c r="J43" s="1351"/>
      <c r="K43" s="1351"/>
      <c r="L43" s="1562"/>
      <c r="N43" s="1300">
        <v>6</v>
      </c>
      <c r="P43" s="1711"/>
    </row>
    <row r="44" spans="1:18" ht="18" customHeight="1">
      <c r="A44" s="1352">
        <v>1</v>
      </c>
      <c r="B44" s="1353" t="s">
        <v>44</v>
      </c>
      <c r="C44" s="1354"/>
      <c r="D44" s="1353" t="s">
        <v>1357</v>
      </c>
      <c r="E44" s="1872">
        <f>'PONDASI DAN SLOOF'!C72</f>
        <v>3.6680000000000006</v>
      </c>
      <c r="F44" s="1356" t="s">
        <v>35</v>
      </c>
      <c r="G44" s="1872">
        <v>0</v>
      </c>
      <c r="H44" s="1872">
        <v>0</v>
      </c>
      <c r="I44" s="1338">
        <f>G44+H44</f>
        <v>0</v>
      </c>
      <c r="J44" s="1338">
        <f>E44*G44</f>
        <v>0</v>
      </c>
      <c r="K44" s="1338">
        <f>E44*H44</f>
        <v>0</v>
      </c>
      <c r="L44" s="1530">
        <f>J44+K44</f>
        <v>0</v>
      </c>
      <c r="P44" s="2689" t="s">
        <v>2353</v>
      </c>
      <c r="Q44" s="2690"/>
      <c r="R44" s="2691"/>
    </row>
    <row r="45" spans="1:18" ht="18" customHeight="1">
      <c r="A45" s="1352">
        <f>A44+1</f>
        <v>2</v>
      </c>
      <c r="B45" s="1353" t="s">
        <v>2342</v>
      </c>
      <c r="C45" s="1354"/>
      <c r="D45" s="1353"/>
      <c r="E45" s="1872"/>
      <c r="F45" s="1356"/>
      <c r="G45" s="1872">
        <v>0</v>
      </c>
      <c r="H45" s="1872">
        <v>0</v>
      </c>
      <c r="I45" s="1338"/>
      <c r="J45" s="1338"/>
      <c r="K45" s="1338"/>
      <c r="L45" s="1530"/>
      <c r="P45" s="2021"/>
      <c r="Q45" s="2020"/>
      <c r="R45" s="2022"/>
    </row>
    <row r="46" spans="1:18" ht="18" customHeight="1">
      <c r="A46" s="1352"/>
      <c r="B46" s="1353" t="s">
        <v>2343</v>
      </c>
      <c r="C46" s="1354"/>
      <c r="D46" s="1353" t="s">
        <v>2345</v>
      </c>
      <c r="E46" s="1872">
        <f>1.1*BTN!$P$104</f>
        <v>109.72500000000001</v>
      </c>
      <c r="F46" s="1356" t="s">
        <v>35</v>
      </c>
      <c r="G46" s="1872">
        <v>0</v>
      </c>
      <c r="H46" s="1872">
        <v>0</v>
      </c>
      <c r="I46" s="1338">
        <f>G46+H46</f>
        <v>0</v>
      </c>
      <c r="J46" s="1338">
        <f>E46*G46</f>
        <v>0</v>
      </c>
      <c r="K46" s="1338">
        <f>E46*H46</f>
        <v>0</v>
      </c>
      <c r="L46" s="1530">
        <f>J46+K46</f>
        <v>0</v>
      </c>
      <c r="P46" s="2021"/>
      <c r="Q46" s="2020"/>
      <c r="R46" s="2022"/>
    </row>
    <row r="47" spans="1:18" ht="18" customHeight="1">
      <c r="A47" s="1352"/>
      <c r="B47" s="1353" t="s">
        <v>2344</v>
      </c>
      <c r="C47" s="1354"/>
      <c r="D47" s="1353" t="s">
        <v>2346</v>
      </c>
      <c r="E47" s="1872">
        <f>1.1*BTN!$Q$104</f>
        <v>16.197500000000005</v>
      </c>
      <c r="F47" s="1356" t="s">
        <v>35</v>
      </c>
      <c r="G47" s="1872">
        <v>0</v>
      </c>
      <c r="H47" s="1872">
        <v>0</v>
      </c>
      <c r="I47" s="1338">
        <f>G47+H47</f>
        <v>0</v>
      </c>
      <c r="J47" s="1338">
        <f>E47*G47</f>
        <v>0</v>
      </c>
      <c r="K47" s="1338">
        <f>E47*H47</f>
        <v>0</v>
      </c>
      <c r="L47" s="1530">
        <f>J47+K47</f>
        <v>0</v>
      </c>
      <c r="P47" s="2021"/>
      <c r="Q47" s="2020"/>
      <c r="R47" s="2022"/>
    </row>
    <row r="48" spans="1:18" ht="18" customHeight="1">
      <c r="A48" s="1352">
        <f>A45+1</f>
        <v>3</v>
      </c>
      <c r="B48" s="1353" t="s">
        <v>2247</v>
      </c>
      <c r="C48" s="1354"/>
      <c r="D48" s="1355"/>
      <c r="E48" s="1335"/>
      <c r="F48" s="1356"/>
      <c r="G48" s="1872">
        <v>0</v>
      </c>
      <c r="H48" s="1872">
        <v>0</v>
      </c>
      <c r="I48" s="1338"/>
      <c r="J48" s="1338"/>
      <c r="K48" s="1338"/>
      <c r="L48" s="1530"/>
      <c r="P48" s="2023" t="s">
        <v>1609</v>
      </c>
      <c r="Q48" s="2028">
        <f t="shared" ref="Q48:Q63" si="8">SUMIF($G$44:$G$2199,R48,$E$44:$E$2199)</f>
        <v>0</v>
      </c>
      <c r="R48" s="2024">
        <f>D!$I$270</f>
        <v>9279.7755000000016</v>
      </c>
    </row>
    <row r="49" spans="1:18" ht="18" customHeight="1">
      <c r="A49" s="1352"/>
      <c r="B49" s="1353" t="s">
        <v>45</v>
      </c>
      <c r="C49" s="1354"/>
      <c r="D49" s="1353" t="s">
        <v>2712</v>
      </c>
      <c r="E49" s="1335">
        <f>1.1*BTN!$J$105</f>
        <v>11.497200000000001</v>
      </c>
      <c r="F49" s="1356" t="s">
        <v>35</v>
      </c>
      <c r="G49" s="1872">
        <v>0</v>
      </c>
      <c r="H49" s="1872">
        <v>0</v>
      </c>
      <c r="I49" s="1338">
        <f>G49+H49</f>
        <v>0</v>
      </c>
      <c r="J49" s="1338">
        <f>E49*G49</f>
        <v>0</v>
      </c>
      <c r="K49" s="1338">
        <f>E49*H49</f>
        <v>0</v>
      </c>
      <c r="L49" s="1530">
        <f>J49+K49</f>
        <v>0</v>
      </c>
      <c r="P49" s="2023" t="s">
        <v>1679</v>
      </c>
      <c r="Q49" s="2028">
        <f t="shared" si="8"/>
        <v>0</v>
      </c>
      <c r="R49" s="2025">
        <f>D!$I$261</f>
        <v>9365.8860000000004</v>
      </c>
    </row>
    <row r="50" spans="1:18" ht="18" customHeight="1">
      <c r="A50" s="1352"/>
      <c r="B50" s="1353" t="s">
        <v>46</v>
      </c>
      <c r="C50" s="1354"/>
      <c r="D50" s="1353"/>
      <c r="E50" s="1335"/>
      <c r="F50" s="1356"/>
      <c r="G50" s="1872">
        <v>0</v>
      </c>
      <c r="H50" s="1872">
        <v>0</v>
      </c>
      <c r="I50" s="1338"/>
      <c r="J50" s="1338"/>
      <c r="K50" s="1338"/>
      <c r="L50" s="1530"/>
      <c r="P50" s="2023" t="s">
        <v>1807</v>
      </c>
      <c r="Q50" s="2028">
        <f t="shared" si="8"/>
        <v>0</v>
      </c>
      <c r="R50" s="2024">
        <f>D!$I$252</f>
        <v>9796.7115000000013</v>
      </c>
    </row>
    <row r="51" spans="1:18" ht="18" customHeight="1">
      <c r="A51" s="1352"/>
      <c r="B51" s="1353"/>
      <c r="C51" s="1357" t="s">
        <v>28</v>
      </c>
      <c r="D51" s="1529" t="s">
        <v>2131</v>
      </c>
      <c r="E51" s="1335">
        <f>1.1*BTN!$H$97</f>
        <v>1571.152</v>
      </c>
      <c r="F51" s="1356" t="s">
        <v>47</v>
      </c>
      <c r="G51" s="1872">
        <v>0</v>
      </c>
      <c r="H51" s="1872">
        <v>0</v>
      </c>
      <c r="I51" s="1338">
        <f>G51+H51</f>
        <v>0</v>
      </c>
      <c r="J51" s="1338">
        <f>E51*G51</f>
        <v>0</v>
      </c>
      <c r="K51" s="1338">
        <f>E51*H51</f>
        <v>0</v>
      </c>
      <c r="L51" s="1530">
        <f>J51+K51</f>
        <v>0</v>
      </c>
      <c r="P51" s="2023" t="s">
        <v>2099</v>
      </c>
      <c r="Q51" s="2028">
        <f t="shared" si="8"/>
        <v>0</v>
      </c>
      <c r="R51" s="2024">
        <f>D!$I$243</f>
        <v>8750.67</v>
      </c>
    </row>
    <row r="52" spans="1:18" ht="18" customHeight="1">
      <c r="A52" s="1352"/>
      <c r="B52" s="1353"/>
      <c r="C52" s="1357" t="s">
        <v>28</v>
      </c>
      <c r="D52" s="1529" t="s">
        <v>2131</v>
      </c>
      <c r="E52" s="1335">
        <f>1.1*BTN!$H$97</f>
        <v>1571.152</v>
      </c>
      <c r="F52" s="1356" t="s">
        <v>47</v>
      </c>
      <c r="G52" s="1872">
        <v>0</v>
      </c>
      <c r="H52" s="1872">
        <v>0</v>
      </c>
      <c r="I52" s="1338">
        <f>G52+H52</f>
        <v>0</v>
      </c>
      <c r="J52" s="1338">
        <f>E52*G52</f>
        <v>0</v>
      </c>
      <c r="K52" s="1338">
        <f>E52*H52</f>
        <v>0</v>
      </c>
      <c r="L52" s="1530">
        <f>J52+K52</f>
        <v>0</v>
      </c>
      <c r="P52" s="2023" t="s">
        <v>2279</v>
      </c>
      <c r="Q52" s="2028">
        <f t="shared" si="8"/>
        <v>0</v>
      </c>
      <c r="R52" s="2024">
        <f>D!$I$234</f>
        <v>8903.2665000000015</v>
      </c>
    </row>
    <row r="53" spans="1:18" ht="18" customHeight="1">
      <c r="A53" s="1352"/>
      <c r="B53" s="1353" t="s">
        <v>48</v>
      </c>
      <c r="C53" s="1354"/>
      <c r="D53" s="1355" t="s">
        <v>49</v>
      </c>
      <c r="E53" s="1335">
        <v>0</v>
      </c>
      <c r="F53" s="1356" t="s">
        <v>19</v>
      </c>
      <c r="G53" s="1872">
        <v>0</v>
      </c>
      <c r="H53" s="1872">
        <v>0</v>
      </c>
      <c r="I53" s="1338">
        <f>G53+H53</f>
        <v>0</v>
      </c>
      <c r="J53" s="1338">
        <f>E53*G53</f>
        <v>0</v>
      </c>
      <c r="K53" s="1338">
        <f>E53*H53</f>
        <v>0</v>
      </c>
      <c r="L53" s="1530">
        <f>J53+K53</f>
        <v>0</v>
      </c>
      <c r="P53" s="2023" t="s">
        <v>2278</v>
      </c>
      <c r="Q53" s="2028">
        <f t="shared" si="8"/>
        <v>0</v>
      </c>
      <c r="R53" s="2024">
        <f>D!$I$225</f>
        <v>9105.3284999999996</v>
      </c>
    </row>
    <row r="54" spans="1:18" ht="18" hidden="1" customHeight="1">
      <c r="A54" s="1352">
        <f>A48+1</f>
        <v>4</v>
      </c>
      <c r="B54" s="1878" t="s">
        <v>2248</v>
      </c>
      <c r="C54" s="1819"/>
      <c r="D54" s="1818" t="s">
        <v>2631</v>
      </c>
      <c r="E54" s="1335">
        <f>'PONDASI DAN SLOOF'!$O$19</f>
        <v>0</v>
      </c>
      <c r="F54" s="1356" t="s">
        <v>2249</v>
      </c>
      <c r="G54" s="1872">
        <v>0</v>
      </c>
      <c r="H54" s="1872">
        <v>0</v>
      </c>
      <c r="I54" s="1338">
        <f>G54+H54</f>
        <v>0</v>
      </c>
      <c r="J54" s="1338">
        <f>E54*G54</f>
        <v>0</v>
      </c>
      <c r="K54" s="1338">
        <f>E54*H54</f>
        <v>0</v>
      </c>
      <c r="L54" s="1530">
        <f>J54+K54</f>
        <v>0</v>
      </c>
      <c r="P54" s="2023" t="s">
        <v>2280</v>
      </c>
      <c r="Q54" s="2028">
        <f t="shared" si="8"/>
        <v>0</v>
      </c>
      <c r="R54" s="2024">
        <f>D!$I$189</f>
        <v>1119202</v>
      </c>
    </row>
    <row r="55" spans="1:18" ht="18" customHeight="1">
      <c r="A55" s="1352">
        <f>A54+1</f>
        <v>5</v>
      </c>
      <c r="B55" s="1353" t="s">
        <v>2836</v>
      </c>
      <c r="C55" s="1354"/>
      <c r="D55" s="1355"/>
      <c r="E55" s="1335"/>
      <c r="F55" s="1356"/>
      <c r="G55" s="1872">
        <v>0</v>
      </c>
      <c r="H55" s="1872">
        <v>0</v>
      </c>
      <c r="I55" s="1338"/>
      <c r="J55" s="1338"/>
      <c r="K55" s="1338"/>
      <c r="L55" s="1530"/>
      <c r="P55" s="2023" t="s">
        <v>2281</v>
      </c>
      <c r="Q55" s="2028">
        <f t="shared" si="8"/>
        <v>0</v>
      </c>
      <c r="R55" s="2024">
        <f>D!$I$134</f>
        <v>892522.85714285716</v>
      </c>
    </row>
    <row r="56" spans="1:18" ht="18" customHeight="1">
      <c r="A56" s="1352"/>
      <c r="B56" s="1353" t="s">
        <v>50</v>
      </c>
      <c r="C56" s="1354"/>
      <c r="D56" s="1353" t="s">
        <v>2712</v>
      </c>
      <c r="E56" s="1335">
        <f>1.1*BTN!$D$114</f>
        <v>42.372000000000007</v>
      </c>
      <c r="F56" s="1356" t="s">
        <v>35</v>
      </c>
      <c r="G56" s="1872">
        <v>0</v>
      </c>
      <c r="H56" s="1872">
        <v>0</v>
      </c>
      <c r="I56" s="1338">
        <f t="shared" ref="I56:I62" si="9">G56+H56</f>
        <v>0</v>
      </c>
      <c r="J56" s="1338">
        <f t="shared" ref="J56:J62" si="10">E56*G56</f>
        <v>0</v>
      </c>
      <c r="K56" s="1338">
        <f t="shared" ref="K56:K62" si="11">E56*H56</f>
        <v>0</v>
      </c>
      <c r="L56" s="1530">
        <f t="shared" ref="L56:L62" si="12">J56+K56</f>
        <v>0</v>
      </c>
      <c r="P56" s="2023" t="s">
        <v>2282</v>
      </c>
      <c r="Q56" s="2028">
        <f t="shared" si="8"/>
        <v>0</v>
      </c>
      <c r="R56" s="2024">
        <f>D!$I$216</f>
        <v>1063000</v>
      </c>
    </row>
    <row r="57" spans="1:18" ht="18" customHeight="1">
      <c r="A57" s="1352"/>
      <c r="B57" s="1353" t="s">
        <v>51</v>
      </c>
      <c r="C57" s="1354"/>
      <c r="D57" s="1353"/>
      <c r="E57" s="1335"/>
      <c r="F57" s="1356"/>
      <c r="G57" s="1872">
        <v>0</v>
      </c>
      <c r="H57" s="1872">
        <v>0</v>
      </c>
      <c r="I57" s="1338"/>
      <c r="J57" s="1338"/>
      <c r="K57" s="1338"/>
      <c r="L57" s="1530"/>
      <c r="P57" s="2023" t="s">
        <v>2283</v>
      </c>
      <c r="Q57" s="2028">
        <f t="shared" si="8"/>
        <v>0</v>
      </c>
      <c r="R57" s="2024">
        <f>D!$I$17</f>
        <v>55169.836884185781</v>
      </c>
    </row>
    <row r="58" spans="1:18" ht="18" customHeight="1">
      <c r="A58" s="1352"/>
      <c r="B58" s="1353"/>
      <c r="C58" s="1357" t="s">
        <v>28</v>
      </c>
      <c r="D58" s="1529" t="s">
        <v>2272</v>
      </c>
      <c r="E58" s="1335">
        <f>1.1*BTN!$D$123</f>
        <v>6576.5920000000006</v>
      </c>
      <c r="F58" s="1356" t="s">
        <v>47</v>
      </c>
      <c r="G58" s="1872">
        <v>0</v>
      </c>
      <c r="H58" s="1872">
        <v>0</v>
      </c>
      <c r="I58" s="1338">
        <f t="shared" si="9"/>
        <v>0</v>
      </c>
      <c r="J58" s="1338">
        <f t="shared" si="10"/>
        <v>0</v>
      </c>
      <c r="K58" s="1338">
        <f t="shared" si="11"/>
        <v>0</v>
      </c>
      <c r="L58" s="1530">
        <f t="shared" si="12"/>
        <v>0</v>
      </c>
      <c r="P58" s="2023" t="s">
        <v>2284</v>
      </c>
      <c r="Q58" s="2028">
        <f t="shared" si="8"/>
        <v>0</v>
      </c>
      <c r="R58" s="2024">
        <f>D!$I$124</f>
        <v>115280.68000000001</v>
      </c>
    </row>
    <row r="59" spans="1:18" ht="18" customHeight="1">
      <c r="A59" s="1352"/>
      <c r="B59" s="1353"/>
      <c r="C59" s="1357" t="s">
        <v>28</v>
      </c>
      <c r="D59" s="1529" t="s">
        <v>2220</v>
      </c>
      <c r="E59" s="1335">
        <f>1.1*BTN!$I$123</f>
        <v>52.844880000000011</v>
      </c>
      <c r="F59" s="1356" t="s">
        <v>47</v>
      </c>
      <c r="G59" s="1872">
        <v>0</v>
      </c>
      <c r="H59" s="1872">
        <v>0</v>
      </c>
      <c r="I59" s="1338">
        <f>G59+H59</f>
        <v>0</v>
      </c>
      <c r="J59" s="1338">
        <f>E59*G59</f>
        <v>0</v>
      </c>
      <c r="K59" s="1338">
        <f>E59*H59</f>
        <v>0</v>
      </c>
      <c r="L59" s="1530">
        <f>J59+K59</f>
        <v>0</v>
      </c>
      <c r="P59" s="2023" t="s">
        <v>2285</v>
      </c>
      <c r="Q59" s="2028">
        <f t="shared" si="8"/>
        <v>0</v>
      </c>
      <c r="R59" s="2024">
        <f>D!$I$74</f>
        <v>233806.25</v>
      </c>
    </row>
    <row r="60" spans="1:18" ht="18" customHeight="1">
      <c r="A60" s="1352"/>
      <c r="B60" s="1353"/>
      <c r="C60" s="1357" t="s">
        <v>28</v>
      </c>
      <c r="D60" s="1355" t="s">
        <v>1911</v>
      </c>
      <c r="E60" s="1335">
        <f>1.1*BTN!R123</f>
        <v>865.68863699999997</v>
      </c>
      <c r="F60" s="1362" t="s">
        <v>47</v>
      </c>
      <c r="G60" s="1872">
        <v>0</v>
      </c>
      <c r="H60" s="1872">
        <v>0</v>
      </c>
      <c r="I60" s="1338">
        <f>G60+H60</f>
        <v>0</v>
      </c>
      <c r="J60" s="1338">
        <f>E60*G60</f>
        <v>0</v>
      </c>
      <c r="K60" s="1338">
        <f>E60*H60</f>
        <v>0</v>
      </c>
      <c r="L60" s="1530">
        <f>J60+K60</f>
        <v>0</v>
      </c>
      <c r="P60" s="2023" t="s">
        <v>2286</v>
      </c>
      <c r="Q60" s="2028">
        <f t="shared" si="8"/>
        <v>0</v>
      </c>
      <c r="R60" s="2024">
        <f>D!$I$61</f>
        <v>196006.25</v>
      </c>
    </row>
    <row r="61" spans="1:18" ht="18" customHeight="1">
      <c r="A61" s="1352"/>
      <c r="B61" s="1353"/>
      <c r="C61" s="1357" t="s">
        <v>28</v>
      </c>
      <c r="D61" s="1355" t="s">
        <v>1353</v>
      </c>
      <c r="E61" s="1335">
        <f>1.1*BTN!R122</f>
        <v>0</v>
      </c>
      <c r="F61" s="1362" t="s">
        <v>47</v>
      </c>
      <c r="G61" s="1872">
        <v>0</v>
      </c>
      <c r="H61" s="1872">
        <v>0</v>
      </c>
      <c r="I61" s="1338">
        <f t="shared" si="9"/>
        <v>0</v>
      </c>
      <c r="J61" s="1338">
        <f t="shared" si="10"/>
        <v>0</v>
      </c>
      <c r="K61" s="1338">
        <f t="shared" si="11"/>
        <v>0</v>
      </c>
      <c r="L61" s="1530">
        <f t="shared" si="12"/>
        <v>0</v>
      </c>
      <c r="P61" s="2023" t="s">
        <v>2286</v>
      </c>
      <c r="Q61" s="2028">
        <f t="shared" si="8"/>
        <v>0</v>
      </c>
      <c r="R61" s="2024">
        <f>D!$I$61</f>
        <v>196006.25</v>
      </c>
    </row>
    <row r="62" spans="1:18" ht="18" customHeight="1" thickBot="1">
      <c r="A62" s="1352"/>
      <c r="B62" s="1353" t="s">
        <v>52</v>
      </c>
      <c r="C62" s="1354"/>
      <c r="D62" s="1355" t="s">
        <v>53</v>
      </c>
      <c r="E62" s="1335">
        <f>BTN!$D$130</f>
        <v>405.6</v>
      </c>
      <c r="F62" s="1356" t="s">
        <v>19</v>
      </c>
      <c r="G62" s="1872">
        <v>0</v>
      </c>
      <c r="H62" s="1872">
        <v>0</v>
      </c>
      <c r="I62" s="1338">
        <f t="shared" si="9"/>
        <v>0</v>
      </c>
      <c r="J62" s="1338">
        <f t="shared" si="10"/>
        <v>0</v>
      </c>
      <c r="K62" s="1338">
        <f t="shared" si="11"/>
        <v>0</v>
      </c>
      <c r="L62" s="1530">
        <f t="shared" si="12"/>
        <v>0</v>
      </c>
      <c r="P62" s="2026" t="s">
        <v>2348</v>
      </c>
      <c r="Q62" s="2028">
        <f t="shared" si="8"/>
        <v>0</v>
      </c>
      <c r="R62" s="2027">
        <f>D!$I$87</f>
        <v>349150</v>
      </c>
    </row>
    <row r="63" spans="1:18" ht="18" customHeight="1" thickBot="1">
      <c r="A63" s="1352">
        <f>A55+1</f>
        <v>6</v>
      </c>
      <c r="B63" s="1353" t="s">
        <v>1354</v>
      </c>
      <c r="C63" s="1354"/>
      <c r="D63" s="1355"/>
      <c r="E63" s="1335"/>
      <c r="F63" s="1356"/>
      <c r="G63" s="1872">
        <v>0</v>
      </c>
      <c r="H63" s="1872">
        <v>0</v>
      </c>
      <c r="I63" s="1338"/>
      <c r="J63" s="1338"/>
      <c r="K63" s="1338"/>
      <c r="L63" s="1530"/>
      <c r="P63" s="2026" t="s">
        <v>2385</v>
      </c>
      <c r="Q63" s="2028">
        <f t="shared" si="8"/>
        <v>0</v>
      </c>
      <c r="R63" s="2027">
        <f>D!$I$114</f>
        <v>238650</v>
      </c>
    </row>
    <row r="64" spans="1:18" ht="18" customHeight="1">
      <c r="A64" s="1352"/>
      <c r="B64" s="1353" t="s">
        <v>54</v>
      </c>
      <c r="C64" s="1354"/>
      <c r="D64" s="1353" t="s">
        <v>2712</v>
      </c>
      <c r="E64" s="1335">
        <f>1.1*BTN!$E$152</f>
        <v>69.344412500000018</v>
      </c>
      <c r="F64" s="1356" t="s">
        <v>35</v>
      </c>
      <c r="G64" s="1872">
        <v>0</v>
      </c>
      <c r="H64" s="1872">
        <v>0</v>
      </c>
      <c r="I64" s="1338">
        <f t="shared" ref="I64:I73" si="13">G64+H64</f>
        <v>0</v>
      </c>
      <c r="J64" s="1338">
        <f t="shared" ref="J64:J73" si="14">E64*G64</f>
        <v>0</v>
      </c>
      <c r="K64" s="1338">
        <f t="shared" ref="K64:K73" si="15">E64*H64</f>
        <v>0</v>
      </c>
      <c r="L64" s="1530">
        <f t="shared" ref="L64:L73" si="16">J64+K64</f>
        <v>0</v>
      </c>
    </row>
    <row r="65" spans="1:28" ht="18" customHeight="1">
      <c r="A65" s="1352"/>
      <c r="B65" s="1353" t="s">
        <v>55</v>
      </c>
      <c r="C65" s="1354"/>
      <c r="D65" s="1355"/>
      <c r="E65" s="1335"/>
      <c r="F65" s="1356"/>
      <c r="G65" s="1872">
        <v>0</v>
      </c>
      <c r="H65" s="1872">
        <v>0</v>
      </c>
      <c r="I65" s="1338"/>
      <c r="J65" s="1338"/>
      <c r="K65" s="1338"/>
      <c r="L65" s="1530"/>
    </row>
    <row r="66" spans="1:28" ht="18" customHeight="1">
      <c r="A66" s="1352"/>
      <c r="B66" s="1353"/>
      <c r="C66" s="2052" t="s">
        <v>28</v>
      </c>
      <c r="D66" s="1355" t="s">
        <v>2272</v>
      </c>
      <c r="E66" s="1335">
        <f>1.1*BTN!$H$180</f>
        <v>6377.7648000000017</v>
      </c>
      <c r="F66" s="1356" t="s">
        <v>47</v>
      </c>
      <c r="G66" s="1872">
        <v>0</v>
      </c>
      <c r="H66" s="1872">
        <v>0</v>
      </c>
      <c r="I66" s="1338">
        <f t="shared" si="13"/>
        <v>0</v>
      </c>
      <c r="J66" s="1338">
        <f t="shared" si="14"/>
        <v>0</v>
      </c>
      <c r="K66" s="1338">
        <f t="shared" si="15"/>
        <v>0</v>
      </c>
      <c r="L66" s="1530">
        <f t="shared" si="16"/>
        <v>0</v>
      </c>
    </row>
    <row r="67" spans="1:28" ht="18" customHeight="1">
      <c r="A67" s="1352"/>
      <c r="B67" s="1353"/>
      <c r="C67" s="2052" t="s">
        <v>28</v>
      </c>
      <c r="D67" s="1355" t="s">
        <v>2369</v>
      </c>
      <c r="E67" s="1335">
        <f>1.1*BTN!$I$180</f>
        <v>0</v>
      </c>
      <c r="F67" s="1356" t="s">
        <v>47</v>
      </c>
      <c r="G67" s="1872">
        <v>0</v>
      </c>
      <c r="H67" s="1872">
        <v>0</v>
      </c>
      <c r="I67" s="1338">
        <f>G67+H67</f>
        <v>0</v>
      </c>
      <c r="J67" s="1338">
        <f>E67*G67</f>
        <v>0</v>
      </c>
      <c r="K67" s="1338">
        <f>E67*H67</f>
        <v>0</v>
      </c>
      <c r="L67" s="1530">
        <f>J67+K67</f>
        <v>0</v>
      </c>
    </row>
    <row r="68" spans="1:28" ht="18" customHeight="1">
      <c r="A68" s="1352"/>
      <c r="B68" s="1353"/>
      <c r="C68" s="2052" t="s">
        <v>28</v>
      </c>
      <c r="D68" s="1355" t="s">
        <v>2221</v>
      </c>
      <c r="E68" s="1335">
        <f>1.1*BTN!$K$180</f>
        <v>0</v>
      </c>
      <c r="F68" s="1356" t="s">
        <v>47</v>
      </c>
      <c r="G68" s="1872">
        <v>0</v>
      </c>
      <c r="H68" s="1872">
        <v>0</v>
      </c>
      <c r="I68" s="1338">
        <f t="shared" si="13"/>
        <v>0</v>
      </c>
      <c r="J68" s="1338">
        <f t="shared" si="14"/>
        <v>0</v>
      </c>
      <c r="K68" s="1338">
        <f t="shared" si="15"/>
        <v>0</v>
      </c>
      <c r="L68" s="1530">
        <f t="shared" si="16"/>
        <v>0</v>
      </c>
    </row>
    <row r="69" spans="1:28" ht="18" customHeight="1">
      <c r="A69" s="1352"/>
      <c r="B69" s="1353"/>
      <c r="C69" s="2052" t="s">
        <v>28</v>
      </c>
      <c r="D69" s="1355" t="s">
        <v>2347</v>
      </c>
      <c r="E69" s="1335">
        <f>1.1*BTN!$J$180</f>
        <v>2137.7444</v>
      </c>
      <c r="F69" s="1356" t="s">
        <v>47</v>
      </c>
      <c r="G69" s="1872">
        <v>0</v>
      </c>
      <c r="H69" s="1872">
        <v>0</v>
      </c>
      <c r="I69" s="1338">
        <f t="shared" si="13"/>
        <v>0</v>
      </c>
      <c r="J69" s="1338">
        <f t="shared" si="14"/>
        <v>0</v>
      </c>
      <c r="K69" s="1338">
        <f t="shared" si="15"/>
        <v>0</v>
      </c>
      <c r="L69" s="1530">
        <f t="shared" si="16"/>
        <v>0</v>
      </c>
    </row>
    <row r="70" spans="1:28" ht="18" customHeight="1">
      <c r="A70" s="1352"/>
      <c r="B70" s="1353"/>
      <c r="C70" s="2052" t="s">
        <v>28</v>
      </c>
      <c r="D70" s="1355" t="s">
        <v>1911</v>
      </c>
      <c r="E70" s="1335">
        <f>1.1*BTN!$R$180</f>
        <v>3673.5418500000005</v>
      </c>
      <c r="F70" s="1356" t="s">
        <v>47</v>
      </c>
      <c r="G70" s="1872">
        <v>0</v>
      </c>
      <c r="H70" s="1872">
        <v>0</v>
      </c>
      <c r="I70" s="1338">
        <f t="shared" si="13"/>
        <v>0</v>
      </c>
      <c r="J70" s="1338">
        <f t="shared" si="14"/>
        <v>0</v>
      </c>
      <c r="K70" s="1338">
        <f t="shared" si="15"/>
        <v>0</v>
      </c>
      <c r="L70" s="1530">
        <f t="shared" si="16"/>
        <v>0</v>
      </c>
    </row>
    <row r="71" spans="1:28" ht="18" customHeight="1">
      <c r="A71" s="1352"/>
      <c r="B71" s="1353"/>
      <c r="C71" s="2052" t="s">
        <v>28</v>
      </c>
      <c r="D71" s="1355" t="s">
        <v>1353</v>
      </c>
      <c r="E71" s="1335">
        <f>1.1*BTN!$R$179</f>
        <v>0</v>
      </c>
      <c r="F71" s="1356" t="s">
        <v>47</v>
      </c>
      <c r="G71" s="1872">
        <v>0</v>
      </c>
      <c r="H71" s="1872">
        <v>0</v>
      </c>
      <c r="I71" s="1338">
        <f t="shared" si="13"/>
        <v>0</v>
      </c>
      <c r="J71" s="1338">
        <f t="shared" si="14"/>
        <v>0</v>
      </c>
      <c r="K71" s="1338">
        <f t="shared" si="15"/>
        <v>0</v>
      </c>
      <c r="L71" s="1530">
        <f t="shared" si="16"/>
        <v>0</v>
      </c>
    </row>
    <row r="72" spans="1:28" ht="18" customHeight="1">
      <c r="A72" s="1352"/>
      <c r="B72" s="1353" t="s">
        <v>56</v>
      </c>
      <c r="C72" s="1354"/>
      <c r="D72" s="1355" t="s">
        <v>57</v>
      </c>
      <c r="E72" s="1335">
        <f>BTN!$E$207</f>
        <v>874.60000000000014</v>
      </c>
      <c r="F72" s="1356" t="s">
        <v>19</v>
      </c>
      <c r="G72" s="1872">
        <v>0</v>
      </c>
      <c r="H72" s="1872">
        <v>0</v>
      </c>
      <c r="I72" s="1338">
        <f t="shared" si="13"/>
        <v>0</v>
      </c>
      <c r="J72" s="1338">
        <f t="shared" si="14"/>
        <v>0</v>
      </c>
      <c r="K72" s="1338">
        <f t="shared" si="15"/>
        <v>0</v>
      </c>
      <c r="L72" s="1530">
        <f t="shared" si="16"/>
        <v>0</v>
      </c>
    </row>
    <row r="73" spans="1:28" ht="18" customHeight="1">
      <c r="A73" s="1352"/>
      <c r="B73" s="1353" t="s">
        <v>2559</v>
      </c>
      <c r="C73" s="1354"/>
      <c r="D73" s="1353" t="s">
        <v>2528</v>
      </c>
      <c r="E73" s="1335">
        <f>0*1.1</f>
        <v>0</v>
      </c>
      <c r="F73" s="1922" t="s">
        <v>129</v>
      </c>
      <c r="G73" s="1872">
        <v>0</v>
      </c>
      <c r="H73" s="1872">
        <v>0</v>
      </c>
      <c r="I73" s="1338">
        <f t="shared" si="13"/>
        <v>0</v>
      </c>
      <c r="J73" s="1338">
        <f t="shared" si="14"/>
        <v>0</v>
      </c>
      <c r="K73" s="1338">
        <f t="shared" si="15"/>
        <v>0</v>
      </c>
      <c r="L73" s="1530">
        <f t="shared" si="16"/>
        <v>0</v>
      </c>
      <c r="AB73" s="1221"/>
    </row>
    <row r="74" spans="1:28" ht="18" customHeight="1">
      <c r="A74" s="1352">
        <f>A63+1</f>
        <v>7</v>
      </c>
      <c r="B74" s="1353" t="s">
        <v>1356</v>
      </c>
      <c r="C74" s="1354"/>
      <c r="D74" s="1355"/>
      <c r="E74" s="1335"/>
      <c r="F74" s="1356"/>
      <c r="G74" s="1872">
        <v>0</v>
      </c>
      <c r="H74" s="1872">
        <v>0</v>
      </c>
      <c r="I74" s="1338"/>
      <c r="J74" s="1338"/>
      <c r="K74" s="1338"/>
      <c r="L74" s="1530"/>
    </row>
    <row r="75" spans="1:28" ht="18" customHeight="1">
      <c r="A75" s="1352"/>
      <c r="B75" s="1353" t="s">
        <v>54</v>
      </c>
      <c r="C75" s="1354"/>
      <c r="D75" s="1353" t="s">
        <v>1357</v>
      </c>
      <c r="E75" s="1335">
        <f>1.1*BTN!$E$157</f>
        <v>10.069537500000001</v>
      </c>
      <c r="F75" s="1356" t="s">
        <v>35</v>
      </c>
      <c r="G75" s="1872">
        <v>0</v>
      </c>
      <c r="H75" s="1872">
        <v>0</v>
      </c>
      <c r="I75" s="1338">
        <f t="shared" ref="I75:I97" si="17">G75+H75</f>
        <v>0</v>
      </c>
      <c r="J75" s="1338">
        <f t="shared" ref="J75:J103" si="18">E75*G75</f>
        <v>0</v>
      </c>
      <c r="K75" s="1338">
        <f t="shared" ref="K75:K103" si="19">E75*H75</f>
        <v>0</v>
      </c>
      <c r="L75" s="1530">
        <f t="shared" ref="L75:L103" si="20">J75+K75</f>
        <v>0</v>
      </c>
    </row>
    <row r="76" spans="1:28" ht="18" customHeight="1">
      <c r="A76" s="1352"/>
      <c r="B76" s="1353" t="s">
        <v>55</v>
      </c>
      <c r="C76" s="1354"/>
      <c r="D76" s="1355"/>
      <c r="E76" s="1335"/>
      <c r="F76" s="1356"/>
      <c r="G76" s="1872">
        <v>0</v>
      </c>
      <c r="H76" s="1872">
        <v>0</v>
      </c>
      <c r="I76" s="1338"/>
      <c r="J76" s="1338"/>
      <c r="K76" s="1338"/>
      <c r="L76" s="1530"/>
    </row>
    <row r="77" spans="1:28" ht="18" customHeight="1">
      <c r="A77" s="1352"/>
      <c r="B77" s="1353"/>
      <c r="C77" s="1357" t="s">
        <v>28</v>
      </c>
      <c r="D77" s="1372" t="s">
        <v>2221</v>
      </c>
      <c r="E77" s="1335">
        <f>1.1*BTN!$F$186</f>
        <v>1109.8868000000002</v>
      </c>
      <c r="F77" s="1356" t="s">
        <v>47</v>
      </c>
      <c r="G77" s="1872">
        <v>0</v>
      </c>
      <c r="H77" s="1872">
        <v>0</v>
      </c>
      <c r="I77" s="1338">
        <f t="shared" si="17"/>
        <v>0</v>
      </c>
      <c r="J77" s="1338">
        <f t="shared" si="18"/>
        <v>0</v>
      </c>
      <c r="K77" s="1338">
        <f t="shared" si="19"/>
        <v>0</v>
      </c>
      <c r="L77" s="1530">
        <f t="shared" si="20"/>
        <v>0</v>
      </c>
    </row>
    <row r="78" spans="1:28" ht="18" customHeight="1">
      <c r="A78" s="1352"/>
      <c r="B78" s="1353"/>
      <c r="C78" s="1357" t="s">
        <v>28</v>
      </c>
      <c r="D78" s="1355" t="s">
        <v>1353</v>
      </c>
      <c r="E78" s="1335">
        <f>1.1*BTN!$Q$186</f>
        <v>537.04200000000003</v>
      </c>
      <c r="F78" s="1356" t="s">
        <v>47</v>
      </c>
      <c r="G78" s="1872">
        <v>0</v>
      </c>
      <c r="H78" s="1872">
        <v>0</v>
      </c>
      <c r="I78" s="1338">
        <f t="shared" si="17"/>
        <v>0</v>
      </c>
      <c r="J78" s="1338">
        <f t="shared" si="18"/>
        <v>0</v>
      </c>
      <c r="K78" s="1338">
        <f t="shared" si="19"/>
        <v>0</v>
      </c>
      <c r="L78" s="1530">
        <f t="shared" si="20"/>
        <v>0</v>
      </c>
    </row>
    <row r="79" spans="1:28" ht="18" customHeight="1">
      <c r="A79" s="1352"/>
      <c r="B79" s="1353" t="s">
        <v>56</v>
      </c>
      <c r="C79" s="1354"/>
      <c r="D79" s="1355" t="s">
        <v>57</v>
      </c>
      <c r="E79" s="1335">
        <f>BTN!$E$214</f>
        <v>244.11</v>
      </c>
      <c r="F79" s="1356" t="s">
        <v>19</v>
      </c>
      <c r="G79" s="1872">
        <v>0</v>
      </c>
      <c r="H79" s="1872">
        <v>0</v>
      </c>
      <c r="I79" s="1338">
        <f t="shared" si="17"/>
        <v>0</v>
      </c>
      <c r="J79" s="1338">
        <f t="shared" si="18"/>
        <v>0</v>
      </c>
      <c r="K79" s="1338">
        <f t="shared" si="19"/>
        <v>0</v>
      </c>
      <c r="L79" s="1530">
        <f t="shared" si="20"/>
        <v>0</v>
      </c>
    </row>
    <row r="80" spans="1:28" ht="18" hidden="1" customHeight="1">
      <c r="A80" s="1352">
        <f>A74+1</f>
        <v>8</v>
      </c>
      <c r="B80" s="1353" t="s">
        <v>1358</v>
      </c>
      <c r="C80" s="1354"/>
      <c r="D80" s="1355"/>
      <c r="E80" s="1335"/>
      <c r="F80" s="1356"/>
      <c r="G80" s="1872">
        <v>0</v>
      </c>
      <c r="H80" s="1872">
        <v>0</v>
      </c>
      <c r="I80" s="1338"/>
      <c r="J80" s="1338"/>
      <c r="K80" s="1338"/>
      <c r="L80" s="1530"/>
    </row>
    <row r="81" spans="1:12" ht="18" hidden="1" customHeight="1">
      <c r="A81" s="1352"/>
      <c r="B81" s="1353" t="s">
        <v>1359</v>
      </c>
      <c r="C81" s="1354"/>
      <c r="D81" s="1353" t="s">
        <v>2712</v>
      </c>
      <c r="E81" s="1335">
        <f>1.1*BTN!$E$224</f>
        <v>0</v>
      </c>
      <c r="F81" s="1356" t="s">
        <v>35</v>
      </c>
      <c r="G81" s="1872">
        <v>0</v>
      </c>
      <c r="H81" s="1872">
        <v>0</v>
      </c>
      <c r="I81" s="1338">
        <f t="shared" si="17"/>
        <v>0</v>
      </c>
      <c r="J81" s="1338">
        <f t="shared" si="18"/>
        <v>0</v>
      </c>
      <c r="K81" s="1338">
        <f t="shared" si="19"/>
        <v>0</v>
      </c>
      <c r="L81" s="1530">
        <f t="shared" si="20"/>
        <v>0</v>
      </c>
    </row>
    <row r="82" spans="1:12" ht="18" hidden="1" customHeight="1">
      <c r="A82" s="1352"/>
      <c r="B82" s="1353" t="s">
        <v>1360</v>
      </c>
      <c r="C82" s="1354"/>
      <c r="D82" s="1355"/>
      <c r="E82" s="1335"/>
      <c r="F82" s="1356"/>
      <c r="G82" s="1872">
        <v>0</v>
      </c>
      <c r="H82" s="1872">
        <v>0</v>
      </c>
      <c r="I82" s="1338"/>
      <c r="J82" s="1338"/>
      <c r="K82" s="1338"/>
      <c r="L82" s="1530"/>
    </row>
    <row r="83" spans="1:12" ht="18" hidden="1" customHeight="1">
      <c r="A83" s="1352"/>
      <c r="B83" s="1353"/>
      <c r="C83" s="1357" t="s">
        <v>28</v>
      </c>
      <c r="D83" s="1355" t="s">
        <v>1843</v>
      </c>
      <c r="E83" s="1335">
        <f>1.1*BTN!$G$255</f>
        <v>0</v>
      </c>
      <c r="F83" s="1356" t="s">
        <v>47</v>
      </c>
      <c r="G83" s="1872">
        <v>0</v>
      </c>
      <c r="H83" s="1872">
        <v>0</v>
      </c>
      <c r="I83" s="1338">
        <f t="shared" si="17"/>
        <v>0</v>
      </c>
      <c r="J83" s="1338">
        <f t="shared" si="18"/>
        <v>0</v>
      </c>
      <c r="K83" s="1338">
        <f t="shared" si="19"/>
        <v>0</v>
      </c>
      <c r="L83" s="1530">
        <f t="shared" si="20"/>
        <v>0</v>
      </c>
    </row>
    <row r="84" spans="1:12" ht="18" hidden="1" customHeight="1">
      <c r="A84" s="1352"/>
      <c r="B84" s="1353"/>
      <c r="C84" s="1357" t="s">
        <v>28</v>
      </c>
      <c r="D84" s="1355" t="s">
        <v>1362</v>
      </c>
      <c r="E84" s="1335">
        <f>1.1*BTN!$G$256</f>
        <v>0</v>
      </c>
      <c r="F84" s="1356" t="s">
        <v>47</v>
      </c>
      <c r="G84" s="1872">
        <v>0</v>
      </c>
      <c r="H84" s="1872">
        <v>0</v>
      </c>
      <c r="I84" s="1338">
        <f t="shared" si="17"/>
        <v>0</v>
      </c>
      <c r="J84" s="1338">
        <f t="shared" si="18"/>
        <v>0</v>
      </c>
      <c r="K84" s="1338">
        <f t="shared" si="19"/>
        <v>0</v>
      </c>
      <c r="L84" s="1530">
        <f t="shared" si="20"/>
        <v>0</v>
      </c>
    </row>
    <row r="85" spans="1:12" ht="18" hidden="1" customHeight="1">
      <c r="A85" s="1352"/>
      <c r="B85" s="1353" t="s">
        <v>1361</v>
      </c>
      <c r="C85" s="1354"/>
      <c r="D85" s="1355" t="s">
        <v>57</v>
      </c>
      <c r="E85" s="1335">
        <f>BTN!$D$265</f>
        <v>0</v>
      </c>
      <c r="F85" s="1356" t="s">
        <v>19</v>
      </c>
      <c r="G85" s="1872">
        <v>0</v>
      </c>
      <c r="H85" s="1872">
        <v>0</v>
      </c>
      <c r="I85" s="1338">
        <f t="shared" si="17"/>
        <v>0</v>
      </c>
      <c r="J85" s="1338">
        <f t="shared" si="18"/>
        <v>0</v>
      </c>
      <c r="K85" s="1338">
        <f t="shared" si="19"/>
        <v>0</v>
      </c>
      <c r="L85" s="1530">
        <f t="shared" si="20"/>
        <v>0</v>
      </c>
    </row>
    <row r="86" spans="1:12" ht="18" customHeight="1">
      <c r="A86" s="1352">
        <f>A80+1</f>
        <v>9</v>
      </c>
      <c r="B86" s="1353" t="s">
        <v>58</v>
      </c>
      <c r="C86" s="1354"/>
      <c r="D86" s="1355"/>
      <c r="E86" s="1335"/>
      <c r="F86" s="1356"/>
      <c r="G86" s="1872">
        <v>0</v>
      </c>
      <c r="H86" s="1872">
        <v>0</v>
      </c>
      <c r="I86" s="1338"/>
      <c r="J86" s="1338"/>
      <c r="K86" s="1338"/>
      <c r="L86" s="1530"/>
    </row>
    <row r="87" spans="1:12" ht="18" customHeight="1">
      <c r="A87" s="1352"/>
      <c r="B87" s="1353" t="s">
        <v>1364</v>
      </c>
      <c r="C87" s="1354"/>
      <c r="D87" s="1353" t="s">
        <v>1357</v>
      </c>
      <c r="E87" s="1335">
        <f>1.1*BTN!$D$269</f>
        <v>0.41195000000000004</v>
      </c>
      <c r="F87" s="1356" t="s">
        <v>35</v>
      </c>
      <c r="G87" s="1872">
        <v>0</v>
      </c>
      <c r="H87" s="1872">
        <v>0</v>
      </c>
      <c r="I87" s="1338">
        <f t="shared" si="17"/>
        <v>0</v>
      </c>
      <c r="J87" s="1338">
        <f t="shared" si="18"/>
        <v>0</v>
      </c>
      <c r="K87" s="1338">
        <f t="shared" si="19"/>
        <v>0</v>
      </c>
      <c r="L87" s="1530">
        <f t="shared" si="20"/>
        <v>0</v>
      </c>
    </row>
    <row r="88" spans="1:12" ht="18" customHeight="1">
      <c r="A88" s="1352"/>
      <c r="B88" s="1353" t="s">
        <v>1365</v>
      </c>
      <c r="C88" s="1354"/>
      <c r="D88" s="1355"/>
      <c r="E88" s="1335"/>
      <c r="F88" s="1356"/>
      <c r="G88" s="1872">
        <v>0</v>
      </c>
      <c r="H88" s="1872">
        <v>0</v>
      </c>
      <c r="I88" s="1338"/>
      <c r="J88" s="1338"/>
      <c r="K88" s="1338"/>
      <c r="L88" s="1530"/>
    </row>
    <row r="89" spans="1:12" ht="18" customHeight="1">
      <c r="A89" s="1352"/>
      <c r="B89" s="1353"/>
      <c r="C89" s="1357" t="s">
        <v>28</v>
      </c>
      <c r="D89" s="1355" t="s">
        <v>1844</v>
      </c>
      <c r="E89" s="1335">
        <f>1.1*BTN!$F$275</f>
        <v>15.9588</v>
      </c>
      <c r="F89" s="1356" t="s">
        <v>47</v>
      </c>
      <c r="G89" s="1872">
        <v>0</v>
      </c>
      <c r="H89" s="1872">
        <v>0</v>
      </c>
      <c r="I89" s="1338">
        <f t="shared" si="17"/>
        <v>0</v>
      </c>
      <c r="J89" s="1338">
        <f t="shared" si="18"/>
        <v>0</v>
      </c>
      <c r="K89" s="1338">
        <f t="shared" si="19"/>
        <v>0</v>
      </c>
      <c r="L89" s="1530">
        <f t="shared" si="20"/>
        <v>0</v>
      </c>
    </row>
    <row r="90" spans="1:12" ht="18" customHeight="1">
      <c r="A90" s="1352"/>
      <c r="B90" s="1353"/>
      <c r="C90" s="1357" t="s">
        <v>28</v>
      </c>
      <c r="D90" s="1355" t="s">
        <v>1363</v>
      </c>
      <c r="E90" s="1335">
        <f>1.1*BTN!$F$276</f>
        <v>18.073</v>
      </c>
      <c r="F90" s="1356" t="s">
        <v>47</v>
      </c>
      <c r="G90" s="1872">
        <v>0</v>
      </c>
      <c r="H90" s="1872">
        <v>0</v>
      </c>
      <c r="I90" s="1338">
        <f t="shared" si="17"/>
        <v>0</v>
      </c>
      <c r="J90" s="1338">
        <f t="shared" si="18"/>
        <v>0</v>
      </c>
      <c r="K90" s="1338">
        <f t="shared" si="19"/>
        <v>0</v>
      </c>
      <c r="L90" s="1530">
        <f t="shared" si="20"/>
        <v>0</v>
      </c>
    </row>
    <row r="91" spans="1:12" ht="18" customHeight="1">
      <c r="A91" s="1352"/>
      <c r="B91" s="1353" t="s">
        <v>1366</v>
      </c>
      <c r="C91" s="1354"/>
      <c r="D91" s="1355" t="s">
        <v>57</v>
      </c>
      <c r="E91" s="1335">
        <f>BTN!$D$281</f>
        <v>4.2799999999999994</v>
      </c>
      <c r="F91" s="1356" t="s">
        <v>19</v>
      </c>
      <c r="G91" s="1872">
        <v>0</v>
      </c>
      <c r="H91" s="1872">
        <v>0</v>
      </c>
      <c r="I91" s="1338">
        <f t="shared" si="17"/>
        <v>0</v>
      </c>
      <c r="J91" s="1338">
        <f t="shared" si="18"/>
        <v>0</v>
      </c>
      <c r="K91" s="1338">
        <f t="shared" si="19"/>
        <v>0</v>
      </c>
      <c r="L91" s="1530">
        <f t="shared" si="20"/>
        <v>0</v>
      </c>
    </row>
    <row r="92" spans="1:12" ht="18" customHeight="1">
      <c r="A92" s="1352">
        <f>A86+1</f>
        <v>10</v>
      </c>
      <c r="B92" s="1353" t="s">
        <v>1640</v>
      </c>
      <c r="C92" s="1354"/>
      <c r="D92" s="1355"/>
      <c r="E92" s="1335"/>
      <c r="F92" s="1356"/>
      <c r="G92" s="1872">
        <v>0</v>
      </c>
      <c r="H92" s="1872">
        <v>0</v>
      </c>
      <c r="I92" s="1338"/>
      <c r="J92" s="1338"/>
      <c r="K92" s="1338"/>
      <c r="L92" s="1530"/>
    </row>
    <row r="93" spans="1:12" ht="18" customHeight="1">
      <c r="A93" s="1352"/>
      <c r="B93" s="1353" t="s">
        <v>1739</v>
      </c>
      <c r="C93" s="1354"/>
      <c r="D93" s="1353" t="s">
        <v>1357</v>
      </c>
      <c r="E93" s="1335">
        <v>2.0249999999999999</v>
      </c>
      <c r="F93" s="1356" t="s">
        <v>35</v>
      </c>
      <c r="G93" s="1872">
        <v>0</v>
      </c>
      <c r="H93" s="1872">
        <v>0</v>
      </c>
      <c r="I93" s="1338">
        <f t="shared" si="17"/>
        <v>0</v>
      </c>
      <c r="J93" s="1338">
        <f t="shared" si="18"/>
        <v>0</v>
      </c>
      <c r="K93" s="1338">
        <f t="shared" si="19"/>
        <v>0</v>
      </c>
      <c r="L93" s="1530">
        <f>J93+K93</f>
        <v>0</v>
      </c>
    </row>
    <row r="94" spans="1:12" ht="18" customHeight="1">
      <c r="A94" s="1352"/>
      <c r="B94" s="1353" t="s">
        <v>1740</v>
      </c>
      <c r="C94" s="1354"/>
      <c r="D94" s="1355"/>
      <c r="E94" s="1335"/>
      <c r="F94" s="1356"/>
      <c r="G94" s="1872">
        <v>0</v>
      </c>
      <c r="H94" s="1872">
        <v>0</v>
      </c>
      <c r="I94" s="1338"/>
      <c r="J94" s="1338"/>
      <c r="K94" s="1338"/>
      <c r="L94" s="1530"/>
    </row>
    <row r="95" spans="1:12" ht="18" customHeight="1">
      <c r="A95" s="1352"/>
      <c r="B95" s="1353"/>
      <c r="C95" s="1357" t="s">
        <v>28</v>
      </c>
      <c r="D95" s="1355" t="s">
        <v>1594</v>
      </c>
      <c r="E95" s="1335">
        <f>1.1*BTN!$J$288</f>
        <v>245.98376000000002</v>
      </c>
      <c r="F95" s="1356" t="s">
        <v>47</v>
      </c>
      <c r="G95" s="1872">
        <v>0</v>
      </c>
      <c r="H95" s="1872">
        <v>0</v>
      </c>
      <c r="I95" s="1338">
        <f t="shared" si="17"/>
        <v>0</v>
      </c>
      <c r="J95" s="1338">
        <f t="shared" si="18"/>
        <v>0</v>
      </c>
      <c r="K95" s="1338">
        <f t="shared" si="19"/>
        <v>0</v>
      </c>
      <c r="L95" s="1530">
        <f t="shared" si="20"/>
        <v>0</v>
      </c>
    </row>
    <row r="96" spans="1:12" ht="18" customHeight="1">
      <c r="A96" s="1352"/>
      <c r="B96" s="1353"/>
      <c r="C96" s="1357" t="s">
        <v>28</v>
      </c>
      <c r="D96" s="1355" t="s">
        <v>1353</v>
      </c>
      <c r="E96" s="1335">
        <f>1.1*BTN!$P$288</f>
        <v>83.317080000000004</v>
      </c>
      <c r="F96" s="1356" t="s">
        <v>47</v>
      </c>
      <c r="G96" s="1872">
        <v>0</v>
      </c>
      <c r="H96" s="1872">
        <v>0</v>
      </c>
      <c r="I96" s="1338">
        <f t="shared" si="17"/>
        <v>0</v>
      </c>
      <c r="J96" s="1338">
        <f t="shared" si="18"/>
        <v>0</v>
      </c>
      <c r="K96" s="1338">
        <f t="shared" si="19"/>
        <v>0</v>
      </c>
      <c r="L96" s="1530">
        <f t="shared" si="20"/>
        <v>0</v>
      </c>
    </row>
    <row r="97" spans="1:28" ht="18" customHeight="1">
      <c r="A97" s="1352"/>
      <c r="B97" s="1353" t="s">
        <v>1741</v>
      </c>
      <c r="C97" s="1354"/>
      <c r="D97" s="1355" t="s">
        <v>57</v>
      </c>
      <c r="E97" s="1335">
        <f>BTN!$D$300</f>
        <v>40.576499999999996</v>
      </c>
      <c r="F97" s="1356" t="s">
        <v>19</v>
      </c>
      <c r="G97" s="1872">
        <v>0</v>
      </c>
      <c r="H97" s="1872">
        <v>0</v>
      </c>
      <c r="I97" s="1338">
        <f t="shared" si="17"/>
        <v>0</v>
      </c>
      <c r="J97" s="1338">
        <f t="shared" si="18"/>
        <v>0</v>
      </c>
      <c r="K97" s="1338">
        <f t="shared" si="19"/>
        <v>0</v>
      </c>
      <c r="L97" s="1530">
        <f t="shared" si="20"/>
        <v>0</v>
      </c>
    </row>
    <row r="98" spans="1:28" ht="18" customHeight="1">
      <c r="A98" s="1877">
        <f>A92+1</f>
        <v>11</v>
      </c>
      <c r="B98" s="1878" t="s">
        <v>2216</v>
      </c>
      <c r="C98" s="1871"/>
      <c r="D98" s="1818"/>
      <c r="E98" s="1872"/>
      <c r="F98" s="1873"/>
      <c r="G98" s="1872">
        <v>0</v>
      </c>
      <c r="H98" s="1872">
        <v>0</v>
      </c>
      <c r="I98" s="1872">
        <f t="shared" ref="I98:I108" si="21">G98+H98</f>
        <v>0</v>
      </c>
      <c r="J98" s="1872">
        <f t="shared" si="18"/>
        <v>0</v>
      </c>
      <c r="K98" s="1872">
        <f t="shared" si="19"/>
        <v>0</v>
      </c>
      <c r="L98" s="1874">
        <f t="shared" si="20"/>
        <v>0</v>
      </c>
    </row>
    <row r="99" spans="1:28" ht="18" customHeight="1">
      <c r="A99" s="1877"/>
      <c r="B99" s="1878" t="s">
        <v>2252</v>
      </c>
      <c r="C99" s="1871"/>
      <c r="D99" s="1878" t="s">
        <v>1357</v>
      </c>
      <c r="E99" s="1872">
        <v>1.7250000000000001</v>
      </c>
      <c r="F99" s="1873" t="s">
        <v>35</v>
      </c>
      <c r="G99" s="1872">
        <v>0</v>
      </c>
      <c r="H99" s="1872">
        <v>0</v>
      </c>
      <c r="I99" s="1872">
        <f t="shared" si="21"/>
        <v>0</v>
      </c>
      <c r="J99" s="1872">
        <f t="shared" si="18"/>
        <v>0</v>
      </c>
      <c r="K99" s="1872">
        <f t="shared" si="19"/>
        <v>0</v>
      </c>
      <c r="L99" s="1874">
        <f t="shared" si="20"/>
        <v>0</v>
      </c>
    </row>
    <row r="100" spans="1:28" ht="18" customHeight="1">
      <c r="A100" s="1877"/>
      <c r="B100" s="1878" t="s">
        <v>2253</v>
      </c>
      <c r="C100" s="1871"/>
      <c r="D100" s="1818"/>
      <c r="E100" s="1872"/>
      <c r="F100" s="1873"/>
      <c r="G100" s="1872">
        <v>0</v>
      </c>
      <c r="H100" s="1872">
        <v>0</v>
      </c>
      <c r="I100" s="1872">
        <f t="shared" si="21"/>
        <v>0</v>
      </c>
      <c r="J100" s="1872">
        <f t="shared" si="18"/>
        <v>0</v>
      </c>
      <c r="K100" s="1872">
        <f t="shared" si="19"/>
        <v>0</v>
      </c>
      <c r="L100" s="1874">
        <f t="shared" si="20"/>
        <v>0</v>
      </c>
    </row>
    <row r="101" spans="1:28" ht="18" customHeight="1">
      <c r="A101" s="1877"/>
      <c r="B101" s="1878"/>
      <c r="C101" s="1879" t="s">
        <v>28</v>
      </c>
      <c r="D101" s="1818" t="s">
        <v>1594</v>
      </c>
      <c r="E101" s="1872">
        <f>1.1*BTN!$J$310</f>
        <v>117.68592000000001</v>
      </c>
      <c r="F101" s="1873" t="s">
        <v>47</v>
      </c>
      <c r="G101" s="1872">
        <v>0</v>
      </c>
      <c r="H101" s="1872">
        <v>0</v>
      </c>
      <c r="I101" s="1872">
        <f t="shared" si="21"/>
        <v>0</v>
      </c>
      <c r="J101" s="1872">
        <f t="shared" si="18"/>
        <v>0</v>
      </c>
      <c r="K101" s="1872">
        <f t="shared" si="19"/>
        <v>0</v>
      </c>
      <c r="L101" s="1874">
        <f t="shared" si="20"/>
        <v>0</v>
      </c>
    </row>
    <row r="102" spans="1:28" ht="18" customHeight="1">
      <c r="A102" s="1877"/>
      <c r="B102" s="1878"/>
      <c r="C102" s="1879" t="s">
        <v>28</v>
      </c>
      <c r="D102" s="1818" t="s">
        <v>1353</v>
      </c>
      <c r="E102" s="1872">
        <f>1.1*BTN!$P$310</f>
        <v>68.333759999999998</v>
      </c>
      <c r="F102" s="1873" t="s">
        <v>47</v>
      </c>
      <c r="G102" s="1872">
        <v>0</v>
      </c>
      <c r="H102" s="1872">
        <v>0</v>
      </c>
      <c r="I102" s="1872">
        <f t="shared" si="21"/>
        <v>0</v>
      </c>
      <c r="J102" s="1872">
        <f t="shared" si="18"/>
        <v>0</v>
      </c>
      <c r="K102" s="1872">
        <f t="shared" si="19"/>
        <v>0</v>
      </c>
      <c r="L102" s="1874">
        <f t="shared" si="20"/>
        <v>0</v>
      </c>
    </row>
    <row r="103" spans="1:28" ht="18" customHeight="1">
      <c r="A103" s="1877"/>
      <c r="B103" s="1878" t="s">
        <v>2254</v>
      </c>
      <c r="C103" s="1871"/>
      <c r="D103" s="1818" t="s">
        <v>57</v>
      </c>
      <c r="E103" s="1872">
        <f>BTN!$D$328</f>
        <v>28.041</v>
      </c>
      <c r="F103" s="1873" t="s">
        <v>19</v>
      </c>
      <c r="G103" s="1872">
        <v>0</v>
      </c>
      <c r="H103" s="1872">
        <v>0</v>
      </c>
      <c r="I103" s="1872">
        <f t="shared" si="21"/>
        <v>0</v>
      </c>
      <c r="J103" s="1872">
        <f t="shared" si="18"/>
        <v>0</v>
      </c>
      <c r="K103" s="1872">
        <f t="shared" si="19"/>
        <v>0</v>
      </c>
      <c r="L103" s="1874">
        <f t="shared" si="20"/>
        <v>0</v>
      </c>
    </row>
    <row r="104" spans="1:28" ht="18" customHeight="1">
      <c r="A104" s="1352">
        <f>A98+1</f>
        <v>12</v>
      </c>
      <c r="B104" s="1353" t="s">
        <v>2724</v>
      </c>
      <c r="C104" s="1354"/>
      <c r="D104" s="1355"/>
      <c r="E104" s="1335"/>
      <c r="F104" s="1356"/>
      <c r="G104" s="1872">
        <v>0</v>
      </c>
      <c r="H104" s="1872">
        <v>0</v>
      </c>
      <c r="I104" s="1338"/>
      <c r="J104" s="1338"/>
      <c r="K104" s="1338"/>
      <c r="L104" s="1530"/>
    </row>
    <row r="105" spans="1:28" ht="18" customHeight="1">
      <c r="A105" s="1352"/>
      <c r="B105" s="1353" t="s">
        <v>2300</v>
      </c>
      <c r="C105" s="1354"/>
      <c r="D105" s="1353" t="s">
        <v>2712</v>
      </c>
      <c r="E105" s="1335">
        <f>1.1*BTN!$D$1864</f>
        <v>2.4420000000000011</v>
      </c>
      <c r="F105" s="1356" t="s">
        <v>35</v>
      </c>
      <c r="G105" s="1872">
        <v>0</v>
      </c>
      <c r="H105" s="1872">
        <v>0</v>
      </c>
      <c r="I105" s="1338">
        <f t="shared" si="21"/>
        <v>0</v>
      </c>
      <c r="J105" s="1338">
        <f>E105*G105</f>
        <v>0</v>
      </c>
      <c r="K105" s="1338">
        <f>E105*H105</f>
        <v>0</v>
      </c>
      <c r="L105" s="1530">
        <f t="shared" ref="L105:L111" si="22">J105+K105</f>
        <v>0</v>
      </c>
    </row>
    <row r="106" spans="1:28" ht="18" customHeight="1">
      <c r="A106" s="1352"/>
      <c r="B106" s="1353" t="s">
        <v>2301</v>
      </c>
      <c r="C106" s="1354"/>
      <c r="D106" s="1355"/>
      <c r="E106" s="1335"/>
      <c r="F106" s="1356"/>
      <c r="G106" s="1872">
        <v>0</v>
      </c>
      <c r="H106" s="1872">
        <v>0</v>
      </c>
      <c r="I106" s="1338"/>
      <c r="J106" s="1338"/>
      <c r="K106" s="1338"/>
      <c r="L106" s="1530"/>
    </row>
    <row r="107" spans="1:28" ht="18" customHeight="1">
      <c r="A107" s="1352"/>
      <c r="B107" s="1353"/>
      <c r="C107" s="1357" t="s">
        <v>28</v>
      </c>
      <c r="D107" s="1355" t="s">
        <v>2299</v>
      </c>
      <c r="E107" s="1335">
        <f>1.1*BTN!$H$1840</f>
        <v>2.3949639999999999</v>
      </c>
      <c r="F107" s="1356" t="s">
        <v>47</v>
      </c>
      <c r="G107" s="1872">
        <v>0</v>
      </c>
      <c r="H107" s="1872">
        <v>0</v>
      </c>
      <c r="I107" s="1338">
        <f t="shared" si="21"/>
        <v>0</v>
      </c>
      <c r="J107" s="1338">
        <f>E107*G107</f>
        <v>0</v>
      </c>
      <c r="K107" s="1338">
        <f>E107*H107</f>
        <v>0</v>
      </c>
      <c r="L107" s="1530">
        <f t="shared" si="22"/>
        <v>0</v>
      </c>
    </row>
    <row r="108" spans="1:28" ht="18" customHeight="1">
      <c r="A108" s="1352"/>
      <c r="B108" s="1353" t="s">
        <v>2302</v>
      </c>
      <c r="C108" s="1354"/>
      <c r="D108" s="1355" t="s">
        <v>57</v>
      </c>
      <c r="E108" s="1335">
        <f>BTN!$C$1871</f>
        <v>11.100000000000001</v>
      </c>
      <c r="F108" s="1356" t="s">
        <v>19</v>
      </c>
      <c r="G108" s="1872">
        <v>0</v>
      </c>
      <c r="H108" s="1872">
        <v>0</v>
      </c>
      <c r="I108" s="1338">
        <f t="shared" si="21"/>
        <v>0</v>
      </c>
      <c r="J108" s="1338">
        <f>E108*G108</f>
        <v>0</v>
      </c>
      <c r="K108" s="1338">
        <f>E108*H108</f>
        <v>0</v>
      </c>
      <c r="L108" s="1530">
        <f t="shared" si="22"/>
        <v>0</v>
      </c>
    </row>
    <row r="109" spans="1:28" ht="18" customHeight="1">
      <c r="A109" s="1352"/>
      <c r="B109" s="1353" t="s">
        <v>2725</v>
      </c>
      <c r="C109" s="1354"/>
      <c r="D109" s="1353" t="s">
        <v>2712</v>
      </c>
      <c r="E109" s="1335">
        <f>BTN!$C$1878*1.1</f>
        <v>5.2096000000000009</v>
      </c>
      <c r="F109" s="1356" t="s">
        <v>35</v>
      </c>
      <c r="G109" s="1872">
        <v>0</v>
      </c>
      <c r="H109" s="1872">
        <v>0</v>
      </c>
      <c r="I109" s="1338">
        <f t="shared" ref="I109:I116" si="23">G109+H109</f>
        <v>0</v>
      </c>
      <c r="J109" s="1338">
        <f t="shared" ref="J109:J116" si="24">E109*G109</f>
        <v>0</v>
      </c>
      <c r="K109" s="1338">
        <f t="shared" ref="K109:K116" si="25">E109*H109</f>
        <v>0</v>
      </c>
      <c r="L109" s="1530">
        <f t="shared" si="22"/>
        <v>0</v>
      </c>
    </row>
    <row r="110" spans="1:28" ht="18" customHeight="1">
      <c r="A110" s="1352"/>
      <c r="B110" s="1353" t="s">
        <v>2303</v>
      </c>
      <c r="C110" s="1354"/>
      <c r="D110" s="1355"/>
      <c r="E110" s="1335"/>
      <c r="F110" s="1356"/>
      <c r="G110" s="1872">
        <v>0</v>
      </c>
      <c r="H110" s="1872">
        <v>0</v>
      </c>
      <c r="I110" s="1338"/>
      <c r="J110" s="1338"/>
      <c r="K110" s="1338"/>
      <c r="L110" s="1530"/>
    </row>
    <row r="111" spans="1:28" ht="18" customHeight="1" thickBot="1">
      <c r="A111" s="1352"/>
      <c r="B111" s="1353"/>
      <c r="C111" s="1357" t="s">
        <v>28</v>
      </c>
      <c r="D111" s="1355" t="s">
        <v>2299</v>
      </c>
      <c r="E111" s="1335">
        <f>1.1*BTN!$H$1852</f>
        <v>1.2270280000000002</v>
      </c>
      <c r="F111" s="1356" t="s">
        <v>47</v>
      </c>
      <c r="G111" s="1872">
        <v>0</v>
      </c>
      <c r="H111" s="1872">
        <v>0</v>
      </c>
      <c r="I111" s="1338">
        <f t="shared" si="23"/>
        <v>0</v>
      </c>
      <c r="J111" s="1338">
        <f t="shared" si="24"/>
        <v>0</v>
      </c>
      <c r="K111" s="1338">
        <f t="shared" si="25"/>
        <v>0</v>
      </c>
      <c r="L111" s="1530">
        <f t="shared" si="22"/>
        <v>0</v>
      </c>
    </row>
    <row r="112" spans="1:28" ht="18" hidden="1" customHeight="1">
      <c r="A112" s="1352">
        <f>A92+1</f>
        <v>11</v>
      </c>
      <c r="B112" s="1353" t="s">
        <v>2676</v>
      </c>
      <c r="C112" s="1354"/>
      <c r="D112" s="1355"/>
      <c r="E112" s="1335"/>
      <c r="F112" s="1356"/>
      <c r="G112" s="1335"/>
      <c r="H112" s="1338"/>
      <c r="I112" s="1338">
        <f t="shared" si="23"/>
        <v>0</v>
      </c>
      <c r="J112" s="1338">
        <f t="shared" si="24"/>
        <v>0</v>
      </c>
      <c r="K112" s="1338">
        <f t="shared" si="25"/>
        <v>0</v>
      </c>
      <c r="L112" s="1530">
        <f t="shared" ref="L112:L118" si="26">J112+K112</f>
        <v>0</v>
      </c>
      <c r="AB112" s="1221"/>
    </row>
    <row r="113" spans="1:28" ht="18" hidden="1" customHeight="1">
      <c r="A113" s="1352"/>
      <c r="B113" s="1353" t="s">
        <v>2505</v>
      </c>
      <c r="C113" s="1354"/>
      <c r="D113" s="1353" t="s">
        <v>2712</v>
      </c>
      <c r="E113" s="1335">
        <f>BTN!$E$1910*1.1</f>
        <v>0</v>
      </c>
      <c r="F113" s="1356" t="s">
        <v>35</v>
      </c>
      <c r="G113" s="1872">
        <f>D!$I$189</f>
        <v>1119202</v>
      </c>
      <c r="H113" s="1872">
        <f>D!$I$193</f>
        <v>288100</v>
      </c>
      <c r="I113" s="1338">
        <f t="shared" si="23"/>
        <v>1407302</v>
      </c>
      <c r="J113" s="1338">
        <f t="shared" si="24"/>
        <v>0</v>
      </c>
      <c r="K113" s="1338">
        <f t="shared" si="25"/>
        <v>0</v>
      </c>
      <c r="L113" s="1530">
        <f t="shared" si="26"/>
        <v>0</v>
      </c>
      <c r="AB113" s="1221"/>
    </row>
    <row r="114" spans="1:28" ht="18" hidden="1" customHeight="1">
      <c r="A114" s="1352"/>
      <c r="B114" s="1353" t="s">
        <v>2506</v>
      </c>
      <c r="C114" s="1354"/>
      <c r="D114" s="1355"/>
      <c r="E114" s="1335"/>
      <c r="F114" s="1356"/>
      <c r="G114" s="1872"/>
      <c r="H114" s="1872"/>
      <c r="I114" s="1338">
        <f t="shared" si="23"/>
        <v>0</v>
      </c>
      <c r="J114" s="1338">
        <f t="shared" si="24"/>
        <v>0</v>
      </c>
      <c r="K114" s="1338">
        <f t="shared" si="25"/>
        <v>0</v>
      </c>
      <c r="L114" s="1530">
        <f t="shared" si="26"/>
        <v>0</v>
      </c>
      <c r="AB114" s="1221"/>
    </row>
    <row r="115" spans="1:28" ht="18" hidden="1" customHeight="1">
      <c r="A115" s="1352"/>
      <c r="B115" s="1353"/>
      <c r="C115" s="1357" t="s">
        <v>28</v>
      </c>
      <c r="D115" s="1355" t="s">
        <v>2369</v>
      </c>
      <c r="E115" s="1335">
        <f>BTN!$H$1884*1.1</f>
        <v>0</v>
      </c>
      <c r="F115" s="1356" t="s">
        <v>47</v>
      </c>
      <c r="G115" s="1872">
        <f>D!$I$261</f>
        <v>9365.8860000000004</v>
      </c>
      <c r="H115" s="1872">
        <f>D!$I$274</f>
        <v>2245</v>
      </c>
      <c r="I115" s="1338">
        <f t="shared" si="23"/>
        <v>11610.886</v>
      </c>
      <c r="J115" s="1338">
        <f t="shared" si="24"/>
        <v>0</v>
      </c>
      <c r="K115" s="1338">
        <f t="shared" si="25"/>
        <v>0</v>
      </c>
      <c r="L115" s="1530">
        <f t="shared" si="26"/>
        <v>0</v>
      </c>
      <c r="AB115" s="1221"/>
    </row>
    <row r="116" spans="1:28" ht="18" hidden="1" customHeight="1">
      <c r="A116" s="1352"/>
      <c r="B116" s="1353" t="s">
        <v>2507</v>
      </c>
      <c r="C116" s="1354"/>
      <c r="D116" s="1355" t="s">
        <v>57</v>
      </c>
      <c r="E116" s="1335">
        <f>BTN!$D$1920</f>
        <v>0</v>
      </c>
      <c r="F116" s="1356" t="s">
        <v>19</v>
      </c>
      <c r="G116" s="1872">
        <f>D!$I$114</f>
        <v>238650</v>
      </c>
      <c r="H116" s="1872">
        <f>D!$I$91</f>
        <v>102350</v>
      </c>
      <c r="I116" s="1338">
        <f t="shared" si="23"/>
        <v>341000</v>
      </c>
      <c r="J116" s="1338">
        <f t="shared" si="24"/>
        <v>0</v>
      </c>
      <c r="K116" s="1338">
        <f t="shared" si="25"/>
        <v>0</v>
      </c>
      <c r="L116" s="1530">
        <f t="shared" si="26"/>
        <v>0</v>
      </c>
      <c r="AB116" s="1221"/>
    </row>
    <row r="117" spans="1:28" ht="18" hidden="1" customHeight="1">
      <c r="A117" s="1352">
        <f>A98+1</f>
        <v>12</v>
      </c>
      <c r="B117" s="1353" t="s">
        <v>2684</v>
      </c>
      <c r="C117" s="1354"/>
      <c r="D117" s="1355"/>
      <c r="E117" s="1335"/>
      <c r="F117" s="1356"/>
      <c r="G117" s="1335"/>
      <c r="H117" s="1338"/>
      <c r="I117" s="1338">
        <f>G117+H117</f>
        <v>0</v>
      </c>
      <c r="J117" s="1338">
        <f>E117*G117</f>
        <v>0</v>
      </c>
      <c r="K117" s="1338">
        <f>E117*H117</f>
        <v>0</v>
      </c>
      <c r="L117" s="1530">
        <f t="shared" si="26"/>
        <v>0</v>
      </c>
      <c r="AB117" s="1221"/>
    </row>
    <row r="118" spans="1:28" ht="18" hidden="1" customHeight="1" thickBot="1">
      <c r="A118" s="1352"/>
      <c r="B118" s="1353" t="s">
        <v>2559</v>
      </c>
      <c r="C118" s="1354"/>
      <c r="D118" s="1353" t="s">
        <v>2528</v>
      </c>
      <c r="E118" s="1335">
        <f>BTN!$J$221*1.1</f>
        <v>0</v>
      </c>
      <c r="F118" s="1922" t="s">
        <v>129</v>
      </c>
      <c r="G118" s="1872">
        <f>D!$I$294</f>
        <v>355800.5</v>
      </c>
      <c r="H118" s="1872">
        <f>D!$I$295</f>
        <v>97036.5</v>
      </c>
      <c r="I118" s="1338">
        <f>G118+H118</f>
        <v>452837</v>
      </c>
      <c r="J118" s="1338">
        <f>E118*G118</f>
        <v>0</v>
      </c>
      <c r="K118" s="1338">
        <f>E118*H118</f>
        <v>0</v>
      </c>
      <c r="L118" s="1530">
        <f t="shared" si="26"/>
        <v>0</v>
      </c>
      <c r="AB118" s="1221"/>
    </row>
    <row r="119" spans="1:28" ht="18" customHeight="1" thickTop="1" thickBot="1">
      <c r="A119" s="2675" t="s">
        <v>59</v>
      </c>
      <c r="B119" s="2676"/>
      <c r="C119" s="2676"/>
      <c r="D119" s="2676"/>
      <c r="E119" s="2676"/>
      <c r="F119" s="2676"/>
      <c r="G119" s="2676"/>
      <c r="H119" s="1551"/>
      <c r="I119" s="1551"/>
      <c r="J119" s="1542">
        <f>SUM(J44:J118)</f>
        <v>0</v>
      </c>
      <c r="K119" s="1542">
        <f>SUM(K44:K118)</f>
        <v>0</v>
      </c>
      <c r="L119" s="1340">
        <f>SUM(L44:L118)</f>
        <v>0</v>
      </c>
      <c r="M119" s="1300">
        <v>1</v>
      </c>
      <c r="N119" s="1300">
        <v>7</v>
      </c>
    </row>
    <row r="120" spans="1:28" ht="18" customHeight="1" thickTop="1">
      <c r="A120" s="1379" t="s">
        <v>60</v>
      </c>
      <c r="B120" s="1535" t="s">
        <v>2973</v>
      </c>
      <c r="C120" s="1535"/>
      <c r="D120" s="1370"/>
      <c r="E120" s="1536"/>
      <c r="F120" s="1537"/>
      <c r="G120" s="1330"/>
      <c r="H120" s="1330"/>
      <c r="I120" s="1330"/>
      <c r="J120" s="1330"/>
      <c r="K120" s="1330"/>
      <c r="L120" s="1331"/>
      <c r="N120" s="1300">
        <v>8</v>
      </c>
    </row>
    <row r="121" spans="1:28" ht="18" hidden="1" customHeight="1">
      <c r="A121" s="1352">
        <v>1</v>
      </c>
      <c r="B121" s="1353" t="s">
        <v>1354</v>
      </c>
      <c r="C121" s="1354"/>
      <c r="D121" s="1355"/>
      <c r="E121" s="1335"/>
      <c r="F121" s="1356"/>
      <c r="G121" s="1335"/>
      <c r="H121" s="1338"/>
      <c r="I121" s="1338"/>
      <c r="J121" s="1338"/>
      <c r="K121" s="1338"/>
      <c r="L121" s="1530"/>
    </row>
    <row r="122" spans="1:28" ht="18" hidden="1" customHeight="1">
      <c r="A122" s="1352"/>
      <c r="B122" s="1353" t="s">
        <v>54</v>
      </c>
      <c r="C122" s="1354"/>
      <c r="D122" s="1353" t="s">
        <v>2712</v>
      </c>
      <c r="E122" s="1335">
        <f>1.1*BTN!$E$352</f>
        <v>0</v>
      </c>
      <c r="F122" s="1356" t="s">
        <v>35</v>
      </c>
      <c r="G122" s="1872">
        <f>D!$I$189</f>
        <v>1119202</v>
      </c>
      <c r="H122" s="1872">
        <f>D!$I$193</f>
        <v>288100</v>
      </c>
      <c r="I122" s="1338">
        <f>G122+H122</f>
        <v>1407302</v>
      </c>
      <c r="J122" s="1338">
        <f>E122*G122</f>
        <v>0</v>
      </c>
      <c r="K122" s="1338">
        <f>E122*H122</f>
        <v>0</v>
      </c>
      <c r="L122" s="1530">
        <f>J122+K122</f>
        <v>0</v>
      </c>
    </row>
    <row r="123" spans="1:28" ht="18" hidden="1" customHeight="1">
      <c r="A123" s="1352"/>
      <c r="B123" s="1353" t="s">
        <v>55</v>
      </c>
      <c r="C123" s="1354"/>
      <c r="D123" s="1355"/>
      <c r="E123" s="1335"/>
      <c r="F123" s="1356"/>
      <c r="G123" s="1872"/>
      <c r="H123" s="1872"/>
      <c r="I123" s="1338"/>
      <c r="J123" s="1338"/>
      <c r="K123" s="1338"/>
      <c r="L123" s="1530"/>
    </row>
    <row r="124" spans="1:28" ht="18" hidden="1" customHeight="1">
      <c r="A124" s="1352"/>
      <c r="B124" s="1353"/>
      <c r="C124" s="1357" t="s">
        <v>28</v>
      </c>
      <c r="D124" s="1529" t="s">
        <v>2272</v>
      </c>
      <c r="E124" s="1335">
        <f>1.1*BTN!$H$380</f>
        <v>0</v>
      </c>
      <c r="F124" s="1356" t="s">
        <v>47</v>
      </c>
      <c r="G124" s="1872">
        <f>D!$I$270</f>
        <v>9279.7755000000016</v>
      </c>
      <c r="H124" s="1872">
        <f>D!$I$274</f>
        <v>2245</v>
      </c>
      <c r="I124" s="1338">
        <f t="shared" ref="I124:I131" si="27">G124+H124</f>
        <v>11524.775500000002</v>
      </c>
      <c r="J124" s="1338">
        <f t="shared" ref="J124:J131" si="28">E124*G124</f>
        <v>0</v>
      </c>
      <c r="K124" s="1338">
        <f t="shared" ref="K124:K131" si="29">E124*H124</f>
        <v>0</v>
      </c>
      <c r="L124" s="1530">
        <f t="shared" ref="L124:L131" si="30">J124+K124</f>
        <v>0</v>
      </c>
    </row>
    <row r="125" spans="1:28" ht="18" hidden="1" customHeight="1">
      <c r="A125" s="1352"/>
      <c r="B125" s="1353"/>
      <c r="C125" s="1357" t="s">
        <v>28</v>
      </c>
      <c r="D125" s="1372" t="s">
        <v>2369</v>
      </c>
      <c r="E125" s="1335">
        <f>1.1*BTN!$I$380</f>
        <v>0</v>
      </c>
      <c r="F125" s="1356" t="s">
        <v>47</v>
      </c>
      <c r="G125" s="1872">
        <f>D!$I$261</f>
        <v>9365.8860000000004</v>
      </c>
      <c r="H125" s="1872">
        <f>D!$I$256</f>
        <v>2245</v>
      </c>
      <c r="I125" s="1338">
        <f t="shared" si="27"/>
        <v>11610.886</v>
      </c>
      <c r="J125" s="1338">
        <f t="shared" si="28"/>
        <v>0</v>
      </c>
      <c r="K125" s="1338">
        <f t="shared" si="29"/>
        <v>0</v>
      </c>
      <c r="L125" s="1530">
        <f t="shared" si="30"/>
        <v>0</v>
      </c>
    </row>
    <row r="126" spans="1:28" ht="18" hidden="1" customHeight="1">
      <c r="A126" s="1352"/>
      <c r="B126" s="1353"/>
      <c r="C126" s="1357" t="s">
        <v>28</v>
      </c>
      <c r="D126" s="1372" t="s">
        <v>2221</v>
      </c>
      <c r="E126" s="1335">
        <f>1.1*BTN!$K$380</f>
        <v>0</v>
      </c>
      <c r="F126" s="1356" t="s">
        <v>47</v>
      </c>
      <c r="G126" s="1872">
        <f>D!$I$252</f>
        <v>9796.7115000000013</v>
      </c>
      <c r="H126" s="1872">
        <f>D!$I$256</f>
        <v>2245</v>
      </c>
      <c r="I126" s="1338">
        <f t="shared" si="27"/>
        <v>12041.711500000001</v>
      </c>
      <c r="J126" s="1338">
        <f t="shared" si="28"/>
        <v>0</v>
      </c>
      <c r="K126" s="1338">
        <f t="shared" si="29"/>
        <v>0</v>
      </c>
      <c r="L126" s="1530">
        <f t="shared" si="30"/>
        <v>0</v>
      </c>
    </row>
    <row r="127" spans="1:28" ht="18" hidden="1" customHeight="1">
      <c r="A127" s="1352"/>
      <c r="B127" s="1353"/>
      <c r="C127" s="1357" t="s">
        <v>28</v>
      </c>
      <c r="D127" s="1355" t="s">
        <v>2347</v>
      </c>
      <c r="E127" s="1335">
        <f>1.1*BTN!$J$380</f>
        <v>0</v>
      </c>
      <c r="F127" s="1356" t="s">
        <v>47</v>
      </c>
      <c r="G127" s="1872">
        <f>D!$I$243</f>
        <v>8750.67</v>
      </c>
      <c r="H127" s="1872">
        <f>D!$I$247</f>
        <v>2245</v>
      </c>
      <c r="I127" s="1338">
        <f t="shared" si="27"/>
        <v>10995.67</v>
      </c>
      <c r="J127" s="1338">
        <f t="shared" si="28"/>
        <v>0</v>
      </c>
      <c r="K127" s="1338">
        <f t="shared" si="29"/>
        <v>0</v>
      </c>
      <c r="L127" s="1530">
        <f t="shared" si="30"/>
        <v>0</v>
      </c>
    </row>
    <row r="128" spans="1:28" ht="18" hidden="1" customHeight="1">
      <c r="A128" s="1827"/>
      <c r="B128" s="1828"/>
      <c r="C128" s="1830" t="s">
        <v>28</v>
      </c>
      <c r="D128" s="1355" t="s">
        <v>1911</v>
      </c>
      <c r="E128" s="1820">
        <f>1.1*BTN!$R$380</f>
        <v>0</v>
      </c>
      <c r="F128" s="1821" t="s">
        <v>47</v>
      </c>
      <c r="G128" s="1872">
        <f>D!$I$234</f>
        <v>8903.2665000000015</v>
      </c>
      <c r="H128" s="1872">
        <f>D!$I$256</f>
        <v>2245</v>
      </c>
      <c r="I128" s="1338">
        <f t="shared" si="27"/>
        <v>11148.266500000002</v>
      </c>
      <c r="J128" s="1338">
        <f t="shared" si="28"/>
        <v>0</v>
      </c>
      <c r="K128" s="1338">
        <f t="shared" si="29"/>
        <v>0</v>
      </c>
      <c r="L128" s="1530">
        <f t="shared" si="30"/>
        <v>0</v>
      </c>
    </row>
    <row r="129" spans="1:28" ht="18" hidden="1" customHeight="1">
      <c r="A129" s="1352"/>
      <c r="B129" s="1353"/>
      <c r="C129" s="1357" t="s">
        <v>28</v>
      </c>
      <c r="D129" s="1355" t="s">
        <v>1353</v>
      </c>
      <c r="E129" s="1335">
        <f>1.1*BTN!$R$379</f>
        <v>0</v>
      </c>
      <c r="F129" s="1362" t="s">
        <v>47</v>
      </c>
      <c r="G129" s="1872">
        <f>D!$I$225</f>
        <v>9105.3284999999996</v>
      </c>
      <c r="H129" s="1872">
        <f>D!$I$229</f>
        <v>2245</v>
      </c>
      <c r="I129" s="1338">
        <f t="shared" si="27"/>
        <v>11350.3285</v>
      </c>
      <c r="J129" s="1338">
        <f t="shared" si="28"/>
        <v>0</v>
      </c>
      <c r="K129" s="1338">
        <f t="shared" si="29"/>
        <v>0</v>
      </c>
      <c r="L129" s="1530">
        <f t="shared" si="30"/>
        <v>0</v>
      </c>
    </row>
    <row r="130" spans="1:28" ht="18" hidden="1" customHeight="1">
      <c r="A130" s="1352"/>
      <c r="B130" s="1353" t="s">
        <v>56</v>
      </c>
      <c r="C130" s="1354"/>
      <c r="D130" s="1355" t="s">
        <v>57</v>
      </c>
      <c r="E130" s="1335">
        <f>BTN!$E$407</f>
        <v>0</v>
      </c>
      <c r="F130" s="1356" t="s">
        <v>19</v>
      </c>
      <c r="G130" s="1872">
        <f>D!$I$61</f>
        <v>196006.25</v>
      </c>
      <c r="H130" s="1872">
        <f>D!$I$65</f>
        <v>102350</v>
      </c>
      <c r="I130" s="1338">
        <f t="shared" si="27"/>
        <v>298356.25</v>
      </c>
      <c r="J130" s="1338">
        <f t="shared" si="28"/>
        <v>0</v>
      </c>
      <c r="K130" s="1338">
        <f t="shared" si="29"/>
        <v>0</v>
      </c>
      <c r="L130" s="1530">
        <f t="shared" si="30"/>
        <v>0</v>
      </c>
    </row>
    <row r="131" spans="1:28" s="1760" customFormat="1" ht="18" hidden="1" customHeight="1">
      <c r="A131" s="1761"/>
      <c r="B131" s="1353" t="s">
        <v>2559</v>
      </c>
      <c r="C131" s="1879" t="s">
        <v>28</v>
      </c>
      <c r="D131" s="1902" t="s">
        <v>2475</v>
      </c>
      <c r="E131" s="1764"/>
      <c r="F131" s="1922" t="s">
        <v>129</v>
      </c>
      <c r="G131" s="1872">
        <f>D!$I$300</f>
        <v>185212.68333333335</v>
      </c>
      <c r="H131" s="1872">
        <f>D!$I$301</f>
        <v>50512.55</v>
      </c>
      <c r="I131" s="1764">
        <f t="shared" si="27"/>
        <v>235725.23333333334</v>
      </c>
      <c r="J131" s="1764">
        <f t="shared" si="28"/>
        <v>0</v>
      </c>
      <c r="K131" s="1764">
        <f t="shared" si="29"/>
        <v>0</v>
      </c>
      <c r="L131" s="1766">
        <f t="shared" si="30"/>
        <v>0</v>
      </c>
      <c r="P131" s="1300"/>
    </row>
    <row r="132" spans="1:28" ht="18" hidden="1" customHeight="1">
      <c r="A132" s="1352">
        <f>A121+1</f>
        <v>2</v>
      </c>
      <c r="B132" s="1353" t="s">
        <v>1356</v>
      </c>
      <c r="C132" s="1354"/>
      <c r="D132" s="1355"/>
      <c r="E132" s="1335"/>
      <c r="F132" s="1356"/>
      <c r="G132" s="1335"/>
      <c r="H132" s="1338"/>
      <c r="I132" s="1338"/>
      <c r="J132" s="1338"/>
      <c r="K132" s="1338"/>
      <c r="L132" s="1530"/>
    </row>
    <row r="133" spans="1:28" ht="18" hidden="1" customHeight="1">
      <c r="A133" s="1352"/>
      <c r="B133" s="1353" t="s">
        <v>54</v>
      </c>
      <c r="C133" s="1354"/>
      <c r="D133" s="1353" t="s">
        <v>1357</v>
      </c>
      <c r="E133" s="1335">
        <f>1.1*BTN!$E$357</f>
        <v>0</v>
      </c>
      <c r="F133" s="1356" t="s">
        <v>35</v>
      </c>
      <c r="G133" s="1872">
        <f>D!$I$134</f>
        <v>892522.85714285716</v>
      </c>
      <c r="H133" s="1872">
        <f>D!$I$138</f>
        <v>288100</v>
      </c>
      <c r="I133" s="1338">
        <f>G133+H133</f>
        <v>1180622.8571428573</v>
      </c>
      <c r="J133" s="1338">
        <f>E133*G133</f>
        <v>0</v>
      </c>
      <c r="K133" s="1338">
        <f>E133*H133</f>
        <v>0</v>
      </c>
      <c r="L133" s="1530">
        <f>J133+K133</f>
        <v>0</v>
      </c>
    </row>
    <row r="134" spans="1:28" ht="18" hidden="1" customHeight="1">
      <c r="A134" s="1352"/>
      <c r="B134" s="1353" t="s">
        <v>55</v>
      </c>
      <c r="C134" s="1354"/>
      <c r="D134" s="1355"/>
      <c r="E134" s="1335"/>
      <c r="F134" s="1356"/>
      <c r="G134" s="1872"/>
      <c r="H134" s="1872"/>
      <c r="I134" s="1338"/>
      <c r="J134" s="1338"/>
      <c r="K134" s="1338"/>
      <c r="L134" s="1530"/>
    </row>
    <row r="135" spans="1:28" ht="18" hidden="1" customHeight="1">
      <c r="A135" s="1352"/>
      <c r="B135" s="1353"/>
      <c r="C135" s="1357" t="s">
        <v>28</v>
      </c>
      <c r="D135" s="1372" t="s">
        <v>2221</v>
      </c>
      <c r="E135" s="1335">
        <f>1.1*BTN!$F$386</f>
        <v>0</v>
      </c>
      <c r="F135" s="1356" t="s">
        <v>47</v>
      </c>
      <c r="G135" s="1872">
        <f>D!$I$252</f>
        <v>9796.7115000000013</v>
      </c>
      <c r="H135" s="1872">
        <f>D!$I$256</f>
        <v>2245</v>
      </c>
      <c r="I135" s="1338">
        <f>G135+H135</f>
        <v>12041.711500000001</v>
      </c>
      <c r="J135" s="1338">
        <f>E135*G135</f>
        <v>0</v>
      </c>
      <c r="K135" s="1338">
        <f>E135*H135</f>
        <v>0</v>
      </c>
      <c r="L135" s="1530">
        <f>J135+K135</f>
        <v>0</v>
      </c>
    </row>
    <row r="136" spans="1:28" ht="18" hidden="1" customHeight="1">
      <c r="A136" s="1352"/>
      <c r="B136" s="1353"/>
      <c r="C136" s="1357" t="s">
        <v>28</v>
      </c>
      <c r="D136" s="1355" t="s">
        <v>1353</v>
      </c>
      <c r="E136" s="1335">
        <f>1.1*BTN!$Q$386</f>
        <v>0</v>
      </c>
      <c r="F136" s="1356" t="s">
        <v>47</v>
      </c>
      <c r="G136" s="1872">
        <f>D!$I$225</f>
        <v>9105.3284999999996</v>
      </c>
      <c r="H136" s="1872">
        <f>D!$I$229</f>
        <v>2245</v>
      </c>
      <c r="I136" s="1338">
        <f>G136+H136</f>
        <v>11350.3285</v>
      </c>
      <c r="J136" s="1338">
        <f>E136*G136</f>
        <v>0</v>
      </c>
      <c r="K136" s="1338">
        <f>E136*H136</f>
        <v>0</v>
      </c>
      <c r="L136" s="1530">
        <f>J136+K136</f>
        <v>0</v>
      </c>
    </row>
    <row r="137" spans="1:28" ht="18" hidden="1" customHeight="1">
      <c r="A137" s="1352"/>
      <c r="B137" s="1353" t="s">
        <v>56</v>
      </c>
      <c r="C137" s="1354"/>
      <c r="D137" s="1355" t="s">
        <v>57</v>
      </c>
      <c r="E137" s="1335">
        <f>BTN!$E$414</f>
        <v>0</v>
      </c>
      <c r="F137" s="1356" t="s">
        <v>19</v>
      </c>
      <c r="G137" s="1872">
        <f>D!$I$61</f>
        <v>196006.25</v>
      </c>
      <c r="H137" s="1872">
        <f>D!$I$65</f>
        <v>102350</v>
      </c>
      <c r="I137" s="1338">
        <f>G137+H137</f>
        <v>298356.25</v>
      </c>
      <c r="J137" s="1338">
        <f>E137*G137</f>
        <v>0</v>
      </c>
      <c r="K137" s="1338">
        <f>E137*H137</f>
        <v>0</v>
      </c>
      <c r="L137" s="1530">
        <f>J137+K137</f>
        <v>0</v>
      </c>
    </row>
    <row r="138" spans="1:28" ht="18" customHeight="1">
      <c r="A138" s="1364">
        <v>1</v>
      </c>
      <c r="B138" s="1353" t="s">
        <v>2974</v>
      </c>
      <c r="C138" s="1354"/>
      <c r="D138" s="1355"/>
      <c r="E138" s="1335"/>
      <c r="F138" s="1356"/>
      <c r="G138" s="1335"/>
      <c r="H138" s="1338"/>
      <c r="I138" s="1338"/>
      <c r="J138" s="1338"/>
      <c r="K138" s="1338"/>
      <c r="L138" s="1530"/>
    </row>
    <row r="139" spans="1:28" ht="18" customHeight="1">
      <c r="A139" s="1364"/>
      <c r="B139" s="1355" t="s">
        <v>63</v>
      </c>
      <c r="C139" s="1355"/>
      <c r="D139" s="1353" t="s">
        <v>2712</v>
      </c>
      <c r="E139" s="1335">
        <f>1.1*BTN!$D$466</f>
        <v>44.146850000000008</v>
      </c>
      <c r="F139" s="1356" t="s">
        <v>35</v>
      </c>
      <c r="G139" s="1872">
        <v>0</v>
      </c>
      <c r="H139" s="1872">
        <v>0</v>
      </c>
      <c r="I139" s="1338">
        <f>G139+H139</f>
        <v>0</v>
      </c>
      <c r="J139" s="1338">
        <f>E139*G139</f>
        <v>0</v>
      </c>
      <c r="K139" s="1338">
        <f>E139*H139</f>
        <v>0</v>
      </c>
      <c r="L139" s="1530">
        <f>J139+K139</f>
        <v>0</v>
      </c>
    </row>
    <row r="140" spans="1:28" ht="18" customHeight="1">
      <c r="A140" s="1364"/>
      <c r="B140" s="1355" t="s">
        <v>64</v>
      </c>
      <c r="C140" s="1355"/>
      <c r="D140" s="1353"/>
      <c r="E140" s="1335"/>
      <c r="F140" s="1356"/>
      <c r="G140" s="1872">
        <v>0</v>
      </c>
      <c r="H140" s="1872"/>
      <c r="I140" s="1338"/>
      <c r="J140" s="1338"/>
      <c r="K140" s="1338"/>
      <c r="L140" s="1530"/>
    </row>
    <row r="141" spans="1:28" ht="18" customHeight="1">
      <c r="A141" s="1352"/>
      <c r="B141" s="1353"/>
      <c r="C141" s="1357" t="s">
        <v>28</v>
      </c>
      <c r="D141" s="1529" t="s">
        <v>2272</v>
      </c>
      <c r="E141" s="1335">
        <f>1.1*BTN!$H$440</f>
        <v>5875.5840000000007</v>
      </c>
      <c r="F141" s="1356" t="s">
        <v>47</v>
      </c>
      <c r="G141" s="1872">
        <v>0</v>
      </c>
      <c r="H141" s="1872">
        <v>0</v>
      </c>
      <c r="I141" s="1338">
        <f t="shared" ref="I141:I147" si="31">G141+H141</f>
        <v>0</v>
      </c>
      <c r="J141" s="1338">
        <f t="shared" ref="J141:J147" si="32">E141*G141</f>
        <v>0</v>
      </c>
      <c r="K141" s="1338">
        <f t="shared" ref="K141:K147" si="33">E141*H141</f>
        <v>0</v>
      </c>
      <c r="L141" s="1530">
        <f t="shared" ref="L141:L147" si="34">J141+K141</f>
        <v>0</v>
      </c>
      <c r="AB141" s="1221"/>
    </row>
    <row r="142" spans="1:28" ht="18" customHeight="1">
      <c r="A142" s="1352"/>
      <c r="B142" s="1353"/>
      <c r="C142" s="1357" t="s">
        <v>28</v>
      </c>
      <c r="D142" s="1529" t="s">
        <v>2220</v>
      </c>
      <c r="E142" s="1335">
        <f>1.1*BTN!$L$440</f>
        <v>0</v>
      </c>
      <c r="F142" s="1356" t="s">
        <v>47</v>
      </c>
      <c r="G142" s="1872">
        <v>0</v>
      </c>
      <c r="H142" s="1872">
        <v>0</v>
      </c>
      <c r="I142" s="1338">
        <f t="shared" si="31"/>
        <v>0</v>
      </c>
      <c r="J142" s="1338">
        <f t="shared" si="32"/>
        <v>0</v>
      </c>
      <c r="K142" s="1338">
        <f t="shared" si="33"/>
        <v>0</v>
      </c>
      <c r="L142" s="1530">
        <f t="shared" si="34"/>
        <v>0</v>
      </c>
      <c r="AB142" s="1221"/>
    </row>
    <row r="143" spans="1:28" ht="18" customHeight="1">
      <c r="A143" s="1352"/>
      <c r="B143" s="1353"/>
      <c r="C143" s="1357" t="s">
        <v>28</v>
      </c>
      <c r="D143" s="1355" t="s">
        <v>2347</v>
      </c>
      <c r="E143" s="1335">
        <f>1.1*BTN!$J$440</f>
        <v>0</v>
      </c>
      <c r="F143" s="1356" t="s">
        <v>47</v>
      </c>
      <c r="G143" s="1872">
        <v>0</v>
      </c>
      <c r="H143" s="1872">
        <v>0</v>
      </c>
      <c r="I143" s="1338">
        <f t="shared" si="31"/>
        <v>0</v>
      </c>
      <c r="J143" s="1338">
        <f t="shared" si="32"/>
        <v>0</v>
      </c>
      <c r="K143" s="1338">
        <f t="shared" si="33"/>
        <v>0</v>
      </c>
      <c r="L143" s="1530">
        <f t="shared" si="34"/>
        <v>0</v>
      </c>
      <c r="AB143" s="1221"/>
    </row>
    <row r="144" spans="1:28" ht="18" customHeight="1">
      <c r="A144" s="1352"/>
      <c r="B144" s="1353"/>
      <c r="C144" s="1357" t="s">
        <v>28</v>
      </c>
      <c r="D144" s="1355" t="s">
        <v>2189</v>
      </c>
      <c r="E144" s="1335">
        <f>1.1*BTN!$K$440</f>
        <v>462.25960000000003</v>
      </c>
      <c r="F144" s="1356" t="s">
        <v>47</v>
      </c>
      <c r="G144" s="1872">
        <v>0</v>
      </c>
      <c r="H144" s="1872">
        <v>0</v>
      </c>
      <c r="I144" s="1338">
        <f t="shared" si="31"/>
        <v>0</v>
      </c>
      <c r="J144" s="1338">
        <f t="shared" si="32"/>
        <v>0</v>
      </c>
      <c r="K144" s="1338">
        <f t="shared" si="33"/>
        <v>0</v>
      </c>
      <c r="L144" s="1530">
        <f t="shared" si="34"/>
        <v>0</v>
      </c>
      <c r="AB144" s="1221"/>
    </row>
    <row r="145" spans="1:28" ht="18" customHeight="1">
      <c r="A145" s="1352"/>
      <c r="B145" s="1353"/>
      <c r="C145" s="1357" t="s">
        <v>28</v>
      </c>
      <c r="D145" s="1355" t="s">
        <v>1911</v>
      </c>
      <c r="E145" s="1335">
        <f>1.1*BTN!$R$440</f>
        <v>2750.3355000000001</v>
      </c>
      <c r="F145" s="1356" t="s">
        <v>47</v>
      </c>
      <c r="G145" s="1872">
        <v>0</v>
      </c>
      <c r="H145" s="1872">
        <v>0</v>
      </c>
      <c r="I145" s="1338">
        <f t="shared" si="31"/>
        <v>0</v>
      </c>
      <c r="J145" s="1338">
        <f t="shared" si="32"/>
        <v>0</v>
      </c>
      <c r="K145" s="1338">
        <f t="shared" si="33"/>
        <v>0</v>
      </c>
      <c r="L145" s="1530">
        <f t="shared" si="34"/>
        <v>0</v>
      </c>
    </row>
    <row r="146" spans="1:28" ht="18" customHeight="1">
      <c r="A146" s="1352"/>
      <c r="B146" s="1353"/>
      <c r="C146" s="1357" t="s">
        <v>28</v>
      </c>
      <c r="D146" s="1355" t="s">
        <v>1353</v>
      </c>
      <c r="E146" s="1335">
        <f>1.1*BTN!$R$439</f>
        <v>55.605000000000011</v>
      </c>
      <c r="F146" s="1356" t="s">
        <v>47</v>
      </c>
      <c r="G146" s="1872">
        <v>0</v>
      </c>
      <c r="H146" s="1872">
        <v>0</v>
      </c>
      <c r="I146" s="1338">
        <f t="shared" si="31"/>
        <v>0</v>
      </c>
      <c r="J146" s="1338">
        <f t="shared" si="32"/>
        <v>0</v>
      </c>
      <c r="K146" s="1338">
        <f t="shared" si="33"/>
        <v>0</v>
      </c>
      <c r="L146" s="1530">
        <f t="shared" si="34"/>
        <v>0</v>
      </c>
    </row>
    <row r="147" spans="1:28" ht="18" customHeight="1" thickBot="1">
      <c r="A147" s="1364"/>
      <c r="B147" s="1355" t="s">
        <v>65</v>
      </c>
      <c r="C147" s="1355"/>
      <c r="D147" s="1353" t="s">
        <v>57</v>
      </c>
      <c r="E147" s="1335">
        <f>BTN!$D$491</f>
        <v>477.98</v>
      </c>
      <c r="F147" s="1356" t="s">
        <v>19</v>
      </c>
      <c r="G147" s="1872">
        <v>0</v>
      </c>
      <c r="H147" s="1872">
        <v>0</v>
      </c>
      <c r="I147" s="1338">
        <f t="shared" si="31"/>
        <v>0</v>
      </c>
      <c r="J147" s="1338">
        <f t="shared" si="32"/>
        <v>0</v>
      </c>
      <c r="K147" s="1338">
        <f t="shared" si="33"/>
        <v>0</v>
      </c>
      <c r="L147" s="1530">
        <f t="shared" si="34"/>
        <v>0</v>
      </c>
    </row>
    <row r="148" spans="1:28" ht="18" hidden="1" customHeight="1">
      <c r="A148" s="1364"/>
      <c r="B148" s="1355" t="s">
        <v>2926</v>
      </c>
      <c r="C148" s="1355"/>
      <c r="D148" s="1353"/>
      <c r="E148" s="1335"/>
      <c r="F148" s="1356"/>
      <c r="G148" s="1872"/>
      <c r="H148" s="1872"/>
      <c r="I148" s="1338"/>
      <c r="J148" s="1338"/>
      <c r="K148" s="1338"/>
      <c r="L148" s="1530"/>
      <c r="AB148" s="1221"/>
    </row>
    <row r="149" spans="1:28" s="1760" customFormat="1" ht="18" hidden="1" customHeight="1">
      <c r="A149" s="1761"/>
      <c r="B149" s="1902"/>
      <c r="C149" s="1357" t="s">
        <v>28</v>
      </c>
      <c r="D149" s="1902" t="s">
        <v>2475</v>
      </c>
      <c r="E149" s="1764">
        <v>0</v>
      </c>
      <c r="F149" s="1922" t="s">
        <v>129</v>
      </c>
      <c r="G149" s="1872">
        <f>D!$I$300</f>
        <v>185212.68333333335</v>
      </c>
      <c r="H149" s="1872">
        <f>D!$I$301</f>
        <v>50512.55</v>
      </c>
      <c r="I149" s="1764">
        <f t="shared" ref="I149:I154" si="35">G149+H149</f>
        <v>235725.23333333334</v>
      </c>
      <c r="J149" s="1764">
        <f t="shared" ref="J149:J154" si="36">E149*G149</f>
        <v>0</v>
      </c>
      <c r="K149" s="1764">
        <f t="shared" ref="K149:K154" si="37">E149*H149</f>
        <v>0</v>
      </c>
      <c r="L149" s="1766">
        <f t="shared" ref="L149:L154" si="38">J149+K149</f>
        <v>0</v>
      </c>
      <c r="P149" s="1300"/>
    </row>
    <row r="150" spans="1:28" s="1760" customFormat="1" ht="18" hidden="1" customHeight="1">
      <c r="A150" s="1761"/>
      <c r="B150" s="1902"/>
      <c r="C150" s="1357" t="s">
        <v>28</v>
      </c>
      <c r="D150" s="1902" t="s">
        <v>2531</v>
      </c>
      <c r="E150" s="1764">
        <f>BTN!$M$47*1.1</f>
        <v>0</v>
      </c>
      <c r="F150" s="1922" t="s">
        <v>129</v>
      </c>
      <c r="G150" s="1872">
        <f>D!$I$306</f>
        <v>168793.35</v>
      </c>
      <c r="H150" s="1872">
        <f>D!$I$307</f>
        <v>46034.549999999996</v>
      </c>
      <c r="I150" s="1764">
        <f t="shared" si="35"/>
        <v>214827.9</v>
      </c>
      <c r="J150" s="1764">
        <f t="shared" si="36"/>
        <v>0</v>
      </c>
      <c r="K150" s="1764">
        <f t="shared" si="37"/>
        <v>0</v>
      </c>
      <c r="L150" s="1766">
        <f t="shared" si="38"/>
        <v>0</v>
      </c>
      <c r="P150" s="1300"/>
    </row>
    <row r="151" spans="1:28" ht="18" hidden="1" customHeight="1">
      <c r="A151" s="1364">
        <f>A138+1</f>
        <v>2</v>
      </c>
      <c r="B151" s="1355" t="s">
        <v>2975</v>
      </c>
      <c r="C151" s="1355"/>
      <c r="D151" s="1353"/>
      <c r="E151" s="1335"/>
      <c r="F151" s="1356"/>
      <c r="G151" s="1335"/>
      <c r="H151" s="1338"/>
      <c r="I151" s="1338">
        <f t="shared" si="35"/>
        <v>0</v>
      </c>
      <c r="J151" s="1338">
        <f t="shared" si="36"/>
        <v>0</v>
      </c>
      <c r="K151" s="1338">
        <f t="shared" si="37"/>
        <v>0</v>
      </c>
      <c r="L151" s="1530">
        <f t="shared" si="38"/>
        <v>0</v>
      </c>
    </row>
    <row r="152" spans="1:28" ht="18" hidden="1" customHeight="1">
      <c r="A152" s="1364"/>
      <c r="B152" s="1355" t="s">
        <v>67</v>
      </c>
      <c r="C152" s="1355"/>
      <c r="D152" s="1353" t="s">
        <v>2713</v>
      </c>
      <c r="E152" s="1335">
        <f>1.1*BTN!$F$1799</f>
        <v>0</v>
      </c>
      <c r="F152" s="1356" t="s">
        <v>35</v>
      </c>
      <c r="G152" s="1872">
        <f>D!$I$216</f>
        <v>1063000</v>
      </c>
      <c r="H152" s="1872">
        <f>D!$I$220</f>
        <v>288300</v>
      </c>
      <c r="I152" s="1338">
        <f t="shared" si="35"/>
        <v>1351300</v>
      </c>
      <c r="J152" s="1338">
        <f t="shared" si="36"/>
        <v>0</v>
      </c>
      <c r="K152" s="1338">
        <f t="shared" si="37"/>
        <v>0</v>
      </c>
      <c r="L152" s="1530">
        <f t="shared" si="38"/>
        <v>0</v>
      </c>
    </row>
    <row r="153" spans="1:28" ht="18" hidden="1" customHeight="1">
      <c r="A153" s="1364"/>
      <c r="B153" s="1355" t="s">
        <v>68</v>
      </c>
      <c r="C153" s="1355"/>
      <c r="D153" s="1353" t="s">
        <v>1798</v>
      </c>
      <c r="E153" s="1335">
        <f>BTN!$E$1799</f>
        <v>0</v>
      </c>
      <c r="F153" s="1356" t="s">
        <v>19</v>
      </c>
      <c r="G153" s="1872">
        <f>D!$I$17</f>
        <v>55169.836884185781</v>
      </c>
      <c r="H153" s="1872">
        <f>D!$I$20</f>
        <v>27400</v>
      </c>
      <c r="I153" s="1338">
        <f t="shared" si="35"/>
        <v>82569.836884185788</v>
      </c>
      <c r="J153" s="1338">
        <f t="shared" si="36"/>
        <v>0</v>
      </c>
      <c r="K153" s="1338">
        <f t="shared" si="37"/>
        <v>0</v>
      </c>
      <c r="L153" s="1530">
        <f t="shared" si="38"/>
        <v>0</v>
      </c>
    </row>
    <row r="154" spans="1:28" ht="18" hidden="1" customHeight="1">
      <c r="A154" s="1364"/>
      <c r="B154" s="1355" t="s">
        <v>69</v>
      </c>
      <c r="C154" s="1355"/>
      <c r="D154" s="1353" t="s">
        <v>70</v>
      </c>
      <c r="E154" s="1335">
        <f>BTN!$E$1799</f>
        <v>0</v>
      </c>
      <c r="F154" s="1356" t="s">
        <v>19</v>
      </c>
      <c r="G154" s="1872">
        <f>D!$I$124</f>
        <v>115280.68000000001</v>
      </c>
      <c r="H154" s="1872">
        <f>D!$I$127</f>
        <v>13400</v>
      </c>
      <c r="I154" s="1338">
        <f t="shared" si="35"/>
        <v>128680.68000000001</v>
      </c>
      <c r="J154" s="1338">
        <f t="shared" si="36"/>
        <v>0</v>
      </c>
      <c r="K154" s="1338">
        <f t="shared" si="37"/>
        <v>0</v>
      </c>
      <c r="L154" s="1530">
        <f t="shared" si="38"/>
        <v>0</v>
      </c>
    </row>
    <row r="155" spans="1:28" ht="18" hidden="1" customHeight="1">
      <c r="A155" s="1364">
        <f>A151+1</f>
        <v>3</v>
      </c>
      <c r="B155" s="1353" t="s">
        <v>2674</v>
      </c>
      <c r="C155" s="2305"/>
      <c r="D155" s="2306"/>
      <c r="E155" s="1335"/>
      <c r="F155" s="1356"/>
      <c r="G155" s="1335"/>
      <c r="H155" s="1338"/>
      <c r="I155" s="1338"/>
      <c r="J155" s="1338"/>
      <c r="K155" s="1338"/>
      <c r="L155" s="1530"/>
    </row>
    <row r="156" spans="1:28" ht="18" hidden="1" customHeight="1">
      <c r="A156" s="1364"/>
      <c r="B156" s="1355" t="s">
        <v>63</v>
      </c>
      <c r="C156" s="1355"/>
      <c r="D156" s="1353" t="s">
        <v>2712</v>
      </c>
      <c r="E156" s="1335">
        <f>1.1*BTN!$D$543</f>
        <v>0</v>
      </c>
      <c r="F156" s="1356" t="s">
        <v>35</v>
      </c>
      <c r="G156" s="1872">
        <f>D!$I$189</f>
        <v>1119202</v>
      </c>
      <c r="H156" s="1872">
        <f>D!$I$193</f>
        <v>288100</v>
      </c>
      <c r="I156" s="1338">
        <f t="shared" ref="I156:I162" si="39">G156+H156</f>
        <v>1407302</v>
      </c>
      <c r="J156" s="1338">
        <f t="shared" ref="J156:J162" si="40">E156*G156</f>
        <v>0</v>
      </c>
      <c r="K156" s="1338">
        <f t="shared" ref="K156:K162" si="41">E156*H156</f>
        <v>0</v>
      </c>
      <c r="L156" s="1530">
        <f t="shared" ref="L156:L162" si="42">J156+K156</f>
        <v>0</v>
      </c>
    </row>
    <row r="157" spans="1:28" ht="18" hidden="1" customHeight="1">
      <c r="A157" s="1364"/>
      <c r="B157" s="1355" t="s">
        <v>64</v>
      </c>
      <c r="C157" s="1355"/>
      <c r="D157" s="1353"/>
      <c r="E157" s="1335"/>
      <c r="F157" s="1356"/>
      <c r="G157" s="1872"/>
      <c r="H157" s="1872"/>
      <c r="I157" s="1338"/>
      <c r="J157" s="1338"/>
      <c r="K157" s="1338"/>
      <c r="L157" s="1530"/>
    </row>
    <row r="158" spans="1:28" ht="18" hidden="1" customHeight="1">
      <c r="A158" s="1352"/>
      <c r="B158" s="1353"/>
      <c r="C158" s="1357" t="s">
        <v>28</v>
      </c>
      <c r="D158" s="1529" t="s">
        <v>2272</v>
      </c>
      <c r="E158" s="1335">
        <f>1.1*BTN!$H$517</f>
        <v>0</v>
      </c>
      <c r="F158" s="1356" t="s">
        <v>47</v>
      </c>
      <c r="G158" s="1872">
        <f>D!$I$270</f>
        <v>9279.7755000000016</v>
      </c>
      <c r="H158" s="1872">
        <f>D!$I$274</f>
        <v>2245</v>
      </c>
      <c r="I158" s="1338">
        <f t="shared" si="39"/>
        <v>11524.775500000002</v>
      </c>
      <c r="J158" s="1338">
        <f t="shared" si="40"/>
        <v>0</v>
      </c>
      <c r="K158" s="1338">
        <f t="shared" si="41"/>
        <v>0</v>
      </c>
      <c r="L158" s="1530">
        <f t="shared" si="42"/>
        <v>0</v>
      </c>
    </row>
    <row r="159" spans="1:28" ht="18" hidden="1" customHeight="1">
      <c r="A159" s="1352"/>
      <c r="B159" s="1353"/>
      <c r="C159" s="1357" t="s">
        <v>28</v>
      </c>
      <c r="D159" s="1529" t="s">
        <v>2220</v>
      </c>
      <c r="E159" s="1335">
        <f>1.1*BTN!$L$517</f>
        <v>0</v>
      </c>
      <c r="F159" s="1356" t="s">
        <v>47</v>
      </c>
      <c r="G159" s="1872">
        <f>D!$I$252</f>
        <v>9796.7115000000013</v>
      </c>
      <c r="H159" s="1872">
        <f>D!$I$256</f>
        <v>2245</v>
      </c>
      <c r="I159" s="1338">
        <f>G159+H159</f>
        <v>12041.711500000001</v>
      </c>
      <c r="J159" s="1338">
        <f>E159*G159</f>
        <v>0</v>
      </c>
      <c r="K159" s="1338">
        <f>E159*H159</f>
        <v>0</v>
      </c>
      <c r="L159" s="1530">
        <f>J159+K159</f>
        <v>0</v>
      </c>
    </row>
    <row r="160" spans="1:28" ht="18" hidden="1" customHeight="1">
      <c r="A160" s="1352"/>
      <c r="B160" s="1353"/>
      <c r="C160" s="1357" t="s">
        <v>28</v>
      </c>
      <c r="D160" s="1355" t="s">
        <v>2347</v>
      </c>
      <c r="E160" s="1335">
        <f>1.1*BTN!$J$517</f>
        <v>0</v>
      </c>
      <c r="F160" s="1356" t="s">
        <v>47</v>
      </c>
      <c r="G160" s="1872">
        <f>D!$I$243</f>
        <v>8750.67</v>
      </c>
      <c r="H160" s="1872">
        <f>D!$I$247</f>
        <v>2245</v>
      </c>
      <c r="I160" s="1338">
        <f>G160+H160</f>
        <v>10995.67</v>
      </c>
      <c r="J160" s="1338">
        <f>E160*G160</f>
        <v>0</v>
      </c>
      <c r="K160" s="1338">
        <f>E160*H160</f>
        <v>0</v>
      </c>
      <c r="L160" s="1530">
        <f>J160+K160</f>
        <v>0</v>
      </c>
    </row>
    <row r="161" spans="1:28" ht="18" hidden="1" customHeight="1">
      <c r="A161" s="1352"/>
      <c r="B161" s="1353"/>
      <c r="C161" s="1357" t="s">
        <v>28</v>
      </c>
      <c r="D161" s="1355" t="s">
        <v>2189</v>
      </c>
      <c r="E161" s="1335">
        <f>1.1*BTN!$K$517</f>
        <v>0</v>
      </c>
      <c r="F161" s="1356" t="s">
        <v>47</v>
      </c>
      <c r="G161" s="1872">
        <f>D!$I$234</f>
        <v>8903.2665000000015</v>
      </c>
      <c r="H161" s="1872">
        <f>D!$I$247</f>
        <v>2245</v>
      </c>
      <c r="I161" s="1338">
        <f>G161+H161</f>
        <v>11148.266500000002</v>
      </c>
      <c r="J161" s="1338">
        <f>E161*G161</f>
        <v>0</v>
      </c>
      <c r="K161" s="1338">
        <f>E161*H161</f>
        <v>0</v>
      </c>
      <c r="L161" s="1530">
        <f>J161+K161</f>
        <v>0</v>
      </c>
    </row>
    <row r="162" spans="1:28" ht="18" hidden="1" customHeight="1">
      <c r="A162" s="1352"/>
      <c r="B162" s="1353"/>
      <c r="C162" s="1357" t="s">
        <v>28</v>
      </c>
      <c r="D162" s="1355" t="s">
        <v>1911</v>
      </c>
      <c r="E162" s="1335">
        <f>1.1*BTN!$R$517</f>
        <v>0</v>
      </c>
      <c r="F162" s="1356" t="s">
        <v>47</v>
      </c>
      <c r="G162" s="1872">
        <f>D!$I$234</f>
        <v>8903.2665000000015</v>
      </c>
      <c r="H162" s="1872">
        <f>D!$I$229</f>
        <v>2245</v>
      </c>
      <c r="I162" s="1338">
        <f t="shared" si="39"/>
        <v>11148.266500000002</v>
      </c>
      <c r="J162" s="1338">
        <f t="shared" si="40"/>
        <v>0</v>
      </c>
      <c r="K162" s="1338">
        <f t="shared" si="41"/>
        <v>0</v>
      </c>
      <c r="L162" s="1530">
        <f t="shared" si="42"/>
        <v>0</v>
      </c>
    </row>
    <row r="163" spans="1:28" ht="18" hidden="1" customHeight="1">
      <c r="A163" s="1352"/>
      <c r="B163" s="1353"/>
      <c r="C163" s="1357" t="s">
        <v>28</v>
      </c>
      <c r="D163" s="1355" t="s">
        <v>1353</v>
      </c>
      <c r="E163" s="1335">
        <f>1.1*BTN!$R$516</f>
        <v>0</v>
      </c>
      <c r="F163" s="1356" t="s">
        <v>47</v>
      </c>
      <c r="G163" s="1872">
        <f>D!$I$225</f>
        <v>9105.3284999999996</v>
      </c>
      <c r="H163" s="1872">
        <f>D!$I$238</f>
        <v>2245</v>
      </c>
      <c r="I163" s="1338">
        <f>G163+H163</f>
        <v>11350.3285</v>
      </c>
      <c r="J163" s="1338">
        <f>E163*G163</f>
        <v>0</v>
      </c>
      <c r="K163" s="1338">
        <f>E163*H163</f>
        <v>0</v>
      </c>
      <c r="L163" s="1530">
        <f>J163+K163</f>
        <v>0</v>
      </c>
    </row>
    <row r="164" spans="1:28" ht="18" hidden="1" customHeight="1">
      <c r="A164" s="1364"/>
      <c r="B164" s="1355" t="s">
        <v>65</v>
      </c>
      <c r="C164" s="1355"/>
      <c r="D164" s="1353" t="s">
        <v>57</v>
      </c>
      <c r="E164" s="1335">
        <f>BTN!$D$568</f>
        <v>0</v>
      </c>
      <c r="F164" s="1356" t="s">
        <v>19</v>
      </c>
      <c r="G164" s="1872">
        <f>D!$I$74</f>
        <v>233806.25</v>
      </c>
      <c r="H164" s="1872">
        <f>D!$I$78</f>
        <v>102350</v>
      </c>
      <c r="I164" s="1338">
        <f>G164+H164</f>
        <v>336156.25</v>
      </c>
      <c r="J164" s="1338">
        <f>E164*G164</f>
        <v>0</v>
      </c>
      <c r="K164" s="1338">
        <f>E164*H164</f>
        <v>0</v>
      </c>
      <c r="L164" s="1530">
        <f>J164+K164</f>
        <v>0</v>
      </c>
    </row>
    <row r="165" spans="1:28" ht="18" hidden="1" customHeight="1">
      <c r="A165" s="1352"/>
      <c r="B165" s="1353" t="s">
        <v>2559</v>
      </c>
      <c r="C165" s="1354"/>
      <c r="D165" s="1353"/>
      <c r="E165" s="1335"/>
      <c r="F165" s="1922"/>
      <c r="G165" s="1872"/>
      <c r="H165" s="1872"/>
      <c r="I165" s="1338"/>
      <c r="J165" s="1338"/>
      <c r="K165" s="1338"/>
      <c r="L165" s="1530"/>
      <c r="AB165" s="1221"/>
    </row>
    <row r="166" spans="1:28" ht="18" hidden="1" customHeight="1">
      <c r="A166" s="1352"/>
      <c r="B166" s="1353"/>
      <c r="C166" s="1354"/>
      <c r="D166" s="1353" t="s">
        <v>2528</v>
      </c>
      <c r="E166" s="1335">
        <f>0*1.1</f>
        <v>0</v>
      </c>
      <c r="F166" s="1922" t="s">
        <v>129</v>
      </c>
      <c r="G166" s="1872">
        <f>D!$I$294</f>
        <v>355800.5</v>
      </c>
      <c r="H166" s="1872">
        <f>D!$I$295</f>
        <v>97036.5</v>
      </c>
      <c r="I166" s="1338">
        <f>G166+H166</f>
        <v>452837</v>
      </c>
      <c r="J166" s="1338">
        <f>E166*G166</f>
        <v>0</v>
      </c>
      <c r="K166" s="1338">
        <f>E166*H166</f>
        <v>0</v>
      </c>
      <c r="L166" s="1530">
        <f>J166+K166</f>
        <v>0</v>
      </c>
      <c r="AB166" s="1221"/>
    </row>
    <row r="167" spans="1:28" s="1760" customFormat="1" ht="18" hidden="1" customHeight="1">
      <c r="A167" s="1761"/>
      <c r="B167" s="1902"/>
      <c r="C167" s="1357" t="s">
        <v>28</v>
      </c>
      <c r="D167" s="1902" t="s">
        <v>2475</v>
      </c>
      <c r="E167" s="1764">
        <v>0</v>
      </c>
      <c r="F167" s="1922" t="s">
        <v>129</v>
      </c>
      <c r="G167" s="1872">
        <f>D!$I$300</f>
        <v>185212.68333333335</v>
      </c>
      <c r="H167" s="1872">
        <f>D!$I$301</f>
        <v>50512.55</v>
      </c>
      <c r="I167" s="1764">
        <f>G167+H167</f>
        <v>235725.23333333334</v>
      </c>
      <c r="J167" s="1764">
        <f>E167*G167</f>
        <v>0</v>
      </c>
      <c r="K167" s="1764">
        <f>E167*H167</f>
        <v>0</v>
      </c>
      <c r="L167" s="1766">
        <f>J167+K167</f>
        <v>0</v>
      </c>
      <c r="P167" s="1300"/>
    </row>
    <row r="168" spans="1:28" ht="18" hidden="1" customHeight="1">
      <c r="A168" s="1364">
        <f>A155+1</f>
        <v>4</v>
      </c>
      <c r="B168" s="1355" t="s">
        <v>2675</v>
      </c>
      <c r="C168" s="1355"/>
      <c r="D168" s="1353"/>
      <c r="E168" s="1335"/>
      <c r="F168" s="1356"/>
      <c r="G168" s="1335"/>
      <c r="H168" s="1338"/>
      <c r="I168" s="1338"/>
      <c r="J168" s="1338"/>
      <c r="K168" s="1338"/>
      <c r="L168" s="1530"/>
    </row>
    <row r="169" spans="1:28" ht="18" hidden="1" customHeight="1">
      <c r="A169" s="1364"/>
      <c r="B169" s="1355" t="s">
        <v>67</v>
      </c>
      <c r="C169" s="1355"/>
      <c r="D169" s="1353" t="s">
        <v>2713</v>
      </c>
      <c r="E169" s="1335">
        <f>1.1*BTN!$F$1800</f>
        <v>0</v>
      </c>
      <c r="F169" s="1356" t="s">
        <v>35</v>
      </c>
      <c r="G169" s="1872">
        <f>D!$I$216</f>
        <v>1063000</v>
      </c>
      <c r="H169" s="1872">
        <f>D!$I$220</f>
        <v>288300</v>
      </c>
      <c r="I169" s="1338">
        <f>G169+H169</f>
        <v>1351300</v>
      </c>
      <c r="J169" s="1338">
        <f>E169*G169</f>
        <v>0</v>
      </c>
      <c r="K169" s="1338">
        <f>E169*H169</f>
        <v>0</v>
      </c>
      <c r="L169" s="1530">
        <f>J169+K169</f>
        <v>0</v>
      </c>
    </row>
    <row r="170" spans="1:28" ht="18" hidden="1" customHeight="1">
      <c r="A170" s="1364"/>
      <c r="B170" s="1355" t="s">
        <v>68</v>
      </c>
      <c r="C170" s="1355"/>
      <c r="D170" s="1353" t="s">
        <v>1798</v>
      </c>
      <c r="E170" s="1335">
        <f>BTN!$E$1800</f>
        <v>0</v>
      </c>
      <c r="F170" s="1356" t="s">
        <v>19</v>
      </c>
      <c r="G170" s="1872">
        <f>D!$I$17</f>
        <v>55169.836884185781</v>
      </c>
      <c r="H170" s="1872">
        <f>D!$I$20</f>
        <v>27400</v>
      </c>
      <c r="I170" s="1338">
        <f>G170+H170</f>
        <v>82569.836884185788</v>
      </c>
      <c r="J170" s="1338">
        <f>E170*G170</f>
        <v>0</v>
      </c>
      <c r="K170" s="1338">
        <f>E170*H170</f>
        <v>0</v>
      </c>
      <c r="L170" s="1530">
        <f>J170+K170</f>
        <v>0</v>
      </c>
    </row>
    <row r="171" spans="1:28" ht="18" hidden="1" customHeight="1">
      <c r="A171" s="1364"/>
      <c r="B171" s="1355" t="s">
        <v>69</v>
      </c>
      <c r="C171" s="1355"/>
      <c r="D171" s="1353" t="s">
        <v>70</v>
      </c>
      <c r="E171" s="1335">
        <f>BTN!$E$1800</f>
        <v>0</v>
      </c>
      <c r="F171" s="1356" t="s">
        <v>19</v>
      </c>
      <c r="G171" s="1872">
        <f>D!$I$124</f>
        <v>115280.68000000001</v>
      </c>
      <c r="H171" s="1872">
        <f>D!$I$127</f>
        <v>13400</v>
      </c>
      <c r="I171" s="1338">
        <f>G171+H171</f>
        <v>128680.68000000001</v>
      </c>
      <c r="J171" s="1338">
        <f>E171*G171</f>
        <v>0</v>
      </c>
      <c r="K171" s="1338">
        <f>E171*H171</f>
        <v>0</v>
      </c>
      <c r="L171" s="1530">
        <f>J171+K171</f>
        <v>0</v>
      </c>
    </row>
    <row r="172" spans="1:28" ht="18" hidden="1" customHeight="1">
      <c r="A172" s="1352">
        <f>A168+1</f>
        <v>5</v>
      </c>
      <c r="B172" s="1353" t="s">
        <v>1358</v>
      </c>
      <c r="C172" s="1354"/>
      <c r="D172" s="1355"/>
      <c r="E172" s="1335"/>
      <c r="F172" s="1356"/>
      <c r="G172" s="1335"/>
      <c r="H172" s="1338"/>
      <c r="I172" s="1338"/>
      <c r="J172" s="1338"/>
      <c r="K172" s="1338"/>
      <c r="L172" s="1530"/>
    </row>
    <row r="173" spans="1:28" ht="18" hidden="1" customHeight="1">
      <c r="A173" s="1352"/>
      <c r="B173" s="1353" t="s">
        <v>1359</v>
      </c>
      <c r="C173" s="1354"/>
      <c r="D173" s="1353" t="s">
        <v>2712</v>
      </c>
      <c r="E173" s="1335">
        <f>BTN!$E$576*1.1</f>
        <v>0</v>
      </c>
      <c r="F173" s="1356" t="s">
        <v>35</v>
      </c>
      <c r="G173" s="1872">
        <f>D!$I$167</f>
        <v>1082620</v>
      </c>
      <c r="H173" s="1872">
        <f>D!$I$193</f>
        <v>288100</v>
      </c>
      <c r="I173" s="1338">
        <f>G173+H173</f>
        <v>1370720</v>
      </c>
      <c r="J173" s="1338">
        <f>E173*G173</f>
        <v>0</v>
      </c>
      <c r="K173" s="1338">
        <f>E173*H173</f>
        <v>0</v>
      </c>
      <c r="L173" s="1530">
        <f>J173+K173</f>
        <v>0</v>
      </c>
    </row>
    <row r="174" spans="1:28" ht="18" hidden="1" customHeight="1">
      <c r="A174" s="1352"/>
      <c r="B174" s="1353" t="s">
        <v>1360</v>
      </c>
      <c r="C174" s="1354"/>
      <c r="D174" s="1355"/>
      <c r="E174" s="1335"/>
      <c r="F174" s="1356"/>
      <c r="G174" s="1872"/>
      <c r="H174" s="1872"/>
      <c r="I174" s="1338"/>
      <c r="J174" s="1338"/>
      <c r="K174" s="1338"/>
      <c r="L174" s="1530"/>
    </row>
    <row r="175" spans="1:28" ht="18" hidden="1" customHeight="1">
      <c r="A175" s="1352"/>
      <c r="B175" s="1353"/>
      <c r="C175" s="1357" t="s">
        <v>28</v>
      </c>
      <c r="D175" s="1355" t="s">
        <v>1843</v>
      </c>
      <c r="E175" s="1335">
        <f>1.1*BTN!$G$597</f>
        <v>0</v>
      </c>
      <c r="F175" s="1356" t="s">
        <v>47</v>
      </c>
      <c r="G175" s="1872">
        <f>D!$I$243</f>
        <v>8750.67</v>
      </c>
      <c r="H175" s="1872">
        <f>D!$I$247</f>
        <v>2245</v>
      </c>
      <c r="I175" s="1338">
        <f>G175+H175</f>
        <v>10995.67</v>
      </c>
      <c r="J175" s="1338">
        <f>E175*G175</f>
        <v>0</v>
      </c>
      <c r="K175" s="1338">
        <f>E175*H175</f>
        <v>0</v>
      </c>
      <c r="L175" s="1530">
        <f>J175+K175</f>
        <v>0</v>
      </c>
    </row>
    <row r="176" spans="1:28" ht="18" hidden="1" customHeight="1">
      <c r="A176" s="1352"/>
      <c r="B176" s="1353"/>
      <c r="C176" s="1357" t="s">
        <v>28</v>
      </c>
      <c r="D176" s="1355" t="s">
        <v>1362</v>
      </c>
      <c r="E176" s="1335">
        <f>1.1*BTN!$G$598</f>
        <v>0</v>
      </c>
      <c r="F176" s="1356" t="s">
        <v>47</v>
      </c>
      <c r="G176" s="1872">
        <f>D!$I$225</f>
        <v>9105.3284999999996</v>
      </c>
      <c r="H176" s="1872">
        <f>D!$I$229</f>
        <v>2245</v>
      </c>
      <c r="I176" s="1338">
        <f>G176+H176</f>
        <v>11350.3285</v>
      </c>
      <c r="J176" s="1338">
        <f>E176*G176</f>
        <v>0</v>
      </c>
      <c r="K176" s="1338">
        <f>E176*H176</f>
        <v>0</v>
      </c>
      <c r="L176" s="1530">
        <f>J176+K176</f>
        <v>0</v>
      </c>
    </row>
    <row r="177" spans="1:28" ht="18" hidden="1" customHeight="1">
      <c r="A177" s="1352"/>
      <c r="B177" s="1353" t="s">
        <v>1361</v>
      </c>
      <c r="C177" s="1354"/>
      <c r="D177" s="1355" t="s">
        <v>57</v>
      </c>
      <c r="E177" s="1335">
        <f>BTN!$D$605</f>
        <v>0</v>
      </c>
      <c r="F177" s="1356" t="s">
        <v>19</v>
      </c>
      <c r="G177" s="1872">
        <f>D!$I$100</f>
        <v>206506.25</v>
      </c>
      <c r="H177" s="1872">
        <f>D!$I$104</f>
        <v>102350</v>
      </c>
      <c r="I177" s="1338">
        <f>G177+H177</f>
        <v>308856.25</v>
      </c>
      <c r="J177" s="1338">
        <f>E177*G177</f>
        <v>0</v>
      </c>
      <c r="K177" s="1338">
        <f>E177*H177</f>
        <v>0</v>
      </c>
      <c r="L177" s="1530">
        <f>J177+K177</f>
        <v>0</v>
      </c>
    </row>
    <row r="178" spans="1:28" ht="18" hidden="1" customHeight="1">
      <c r="A178" s="1352">
        <f>A172+1</f>
        <v>6</v>
      </c>
      <c r="B178" s="1353" t="s">
        <v>58</v>
      </c>
      <c r="C178" s="1354"/>
      <c r="D178" s="1355"/>
      <c r="E178" s="1335"/>
      <c r="F178" s="1356"/>
      <c r="G178" s="1335"/>
      <c r="H178" s="1338"/>
      <c r="I178" s="1338"/>
      <c r="J178" s="1338"/>
      <c r="K178" s="1338"/>
      <c r="L178" s="1530"/>
      <c r="AB178" s="1221"/>
    </row>
    <row r="179" spans="1:28" ht="18" hidden="1" customHeight="1">
      <c r="A179" s="1352"/>
      <c r="B179" s="1353" t="s">
        <v>1364</v>
      </c>
      <c r="C179" s="1354"/>
      <c r="D179" s="1353" t="s">
        <v>1357</v>
      </c>
      <c r="E179" s="1335">
        <f>1.1*BTN!$D$609</f>
        <v>0</v>
      </c>
      <c r="F179" s="1356" t="s">
        <v>35</v>
      </c>
      <c r="G179" s="1872">
        <f>D!$I$134</f>
        <v>892522.85714285716</v>
      </c>
      <c r="H179" s="1872">
        <f>D!$I$138</f>
        <v>288100</v>
      </c>
      <c r="I179" s="1338">
        <f>G179+H179</f>
        <v>1180622.8571428573</v>
      </c>
      <c r="J179" s="1338">
        <f>E179*G179</f>
        <v>0</v>
      </c>
      <c r="K179" s="1338">
        <f>E179*H179</f>
        <v>0</v>
      </c>
      <c r="L179" s="1530">
        <f>J179+K179</f>
        <v>0</v>
      </c>
      <c r="AB179" s="1221"/>
    </row>
    <row r="180" spans="1:28" ht="18" hidden="1" customHeight="1">
      <c r="A180" s="1352"/>
      <c r="B180" s="1353" t="s">
        <v>1365</v>
      </c>
      <c r="C180" s="1354"/>
      <c r="D180" s="1355"/>
      <c r="E180" s="1335"/>
      <c r="F180" s="1356"/>
      <c r="G180" s="1872"/>
      <c r="H180" s="1872"/>
      <c r="I180" s="1338"/>
      <c r="J180" s="1338"/>
      <c r="K180" s="1338"/>
      <c r="L180" s="1530"/>
      <c r="AB180" s="1221"/>
    </row>
    <row r="181" spans="1:28" ht="18" hidden="1" customHeight="1">
      <c r="A181" s="1352"/>
      <c r="B181" s="1353"/>
      <c r="C181" s="1357" t="s">
        <v>28</v>
      </c>
      <c r="D181" s="1355" t="s">
        <v>1844</v>
      </c>
      <c r="E181" s="1335">
        <f>1.1*BTN!$F$616</f>
        <v>0</v>
      </c>
      <c r="F181" s="1356" t="s">
        <v>47</v>
      </c>
      <c r="G181" s="1872">
        <f>D!$I$234</f>
        <v>8903.2665000000015</v>
      </c>
      <c r="H181" s="1872">
        <f>D!$I$238</f>
        <v>2245</v>
      </c>
      <c r="I181" s="1338">
        <f>G181+H181</f>
        <v>11148.266500000002</v>
      </c>
      <c r="J181" s="1338">
        <f>E181*G181</f>
        <v>0</v>
      </c>
      <c r="K181" s="1338">
        <f>E181*H181</f>
        <v>0</v>
      </c>
      <c r="L181" s="1530">
        <f>J181+K181</f>
        <v>0</v>
      </c>
      <c r="AB181" s="1221"/>
    </row>
    <row r="182" spans="1:28" ht="18" hidden="1" customHeight="1">
      <c r="A182" s="1352"/>
      <c r="B182" s="1353"/>
      <c r="C182" s="1357" t="s">
        <v>28</v>
      </c>
      <c r="D182" s="1355" t="s">
        <v>1363</v>
      </c>
      <c r="E182" s="1335">
        <f>1.1*BTN!$F$615</f>
        <v>0</v>
      </c>
      <c r="F182" s="1356" t="s">
        <v>47</v>
      </c>
      <c r="G182" s="1872">
        <f>D!$I$234</f>
        <v>8903.2665000000015</v>
      </c>
      <c r="H182" s="1872">
        <f>D!$I$238</f>
        <v>2245</v>
      </c>
      <c r="I182" s="1338">
        <f>G182+H182</f>
        <v>11148.266500000002</v>
      </c>
      <c r="J182" s="1338">
        <f>E182*G182</f>
        <v>0</v>
      </c>
      <c r="K182" s="1338">
        <f>E182*H182</f>
        <v>0</v>
      </c>
      <c r="L182" s="1530">
        <f>J182+K182</f>
        <v>0</v>
      </c>
      <c r="AB182" s="1221"/>
    </row>
    <row r="183" spans="1:28" ht="18" hidden="1" customHeight="1">
      <c r="A183" s="1352"/>
      <c r="B183" s="1353" t="s">
        <v>1366</v>
      </c>
      <c r="C183" s="1354"/>
      <c r="D183" s="1355" t="s">
        <v>57</v>
      </c>
      <c r="E183" s="1335">
        <f>BTN!$D$621</f>
        <v>0</v>
      </c>
      <c r="F183" s="1356" t="s">
        <v>19</v>
      </c>
      <c r="G183" s="1872">
        <f>D!$I$87</f>
        <v>349150</v>
      </c>
      <c r="H183" s="1872">
        <f>D!$I$91</f>
        <v>102350</v>
      </c>
      <c r="I183" s="1338">
        <f>G183+H183</f>
        <v>451500</v>
      </c>
      <c r="J183" s="1338">
        <f>E183*G183</f>
        <v>0</v>
      </c>
      <c r="K183" s="1338">
        <f>E183*H183</f>
        <v>0</v>
      </c>
      <c r="L183" s="1530">
        <f>J183+K183</f>
        <v>0</v>
      </c>
      <c r="AB183" s="1221"/>
    </row>
    <row r="184" spans="1:28" ht="18" hidden="1" customHeight="1">
      <c r="A184" s="1352">
        <f>A172+1</f>
        <v>6</v>
      </c>
      <c r="B184" s="1353" t="s">
        <v>1640</v>
      </c>
      <c r="C184" s="1354"/>
      <c r="D184" s="1355"/>
      <c r="E184" s="1335"/>
      <c r="F184" s="1356"/>
      <c r="G184" s="1335"/>
      <c r="H184" s="1338"/>
      <c r="I184" s="1338"/>
      <c r="J184" s="1338"/>
      <c r="K184" s="1338"/>
      <c r="L184" s="1530"/>
    </row>
    <row r="185" spans="1:28" ht="18" hidden="1" customHeight="1">
      <c r="A185" s="1352"/>
      <c r="B185" s="1353" t="s">
        <v>1739</v>
      </c>
      <c r="C185" s="1354"/>
      <c r="D185" s="1353" t="s">
        <v>1357</v>
      </c>
      <c r="E185" s="1335">
        <f>1.1*BTN!$D$634</f>
        <v>0</v>
      </c>
      <c r="F185" s="1356" t="s">
        <v>35</v>
      </c>
      <c r="G185" s="1872">
        <f>D!$I$134</f>
        <v>892522.85714285716</v>
      </c>
      <c r="H185" s="1872">
        <f>D!$I$138</f>
        <v>288100</v>
      </c>
      <c r="I185" s="1338">
        <f>G185+H185</f>
        <v>1180622.8571428573</v>
      </c>
      <c r="J185" s="1338">
        <f>E185*G185</f>
        <v>0</v>
      </c>
      <c r="K185" s="1338">
        <f>E185*H185</f>
        <v>0</v>
      </c>
      <c r="L185" s="1530">
        <f>J185+K185</f>
        <v>0</v>
      </c>
    </row>
    <row r="186" spans="1:28" ht="18" hidden="1" customHeight="1">
      <c r="A186" s="1352"/>
      <c r="B186" s="1353" t="s">
        <v>1740</v>
      </c>
      <c r="C186" s="1354"/>
      <c r="D186" s="1355"/>
      <c r="E186" s="1335"/>
      <c r="F186" s="1356"/>
      <c r="G186" s="1872"/>
      <c r="H186" s="1872"/>
      <c r="I186" s="1338"/>
      <c r="J186" s="1338"/>
      <c r="K186" s="1338"/>
      <c r="L186" s="1530"/>
    </row>
    <row r="187" spans="1:28" ht="18" hidden="1" customHeight="1">
      <c r="A187" s="1352"/>
      <c r="B187" s="1353"/>
      <c r="C187" s="1357" t="s">
        <v>28</v>
      </c>
      <c r="D187" s="1355" t="s">
        <v>1594</v>
      </c>
      <c r="E187" s="1335">
        <f>1.1*BTN!$J$628</f>
        <v>0</v>
      </c>
      <c r="F187" s="1356" t="s">
        <v>47</v>
      </c>
      <c r="G187" s="1872">
        <f>D!$I$234</f>
        <v>8903.2665000000015</v>
      </c>
      <c r="H187" s="1872">
        <f>D!$I$238</f>
        <v>2245</v>
      </c>
      <c r="I187" s="1338">
        <f>G187+H187</f>
        <v>11148.266500000002</v>
      </c>
      <c r="J187" s="1338">
        <f>E187*G187</f>
        <v>0</v>
      </c>
      <c r="K187" s="1338">
        <f>E187*H187</f>
        <v>0</v>
      </c>
      <c r="L187" s="1530">
        <f>J187+K187</f>
        <v>0</v>
      </c>
    </row>
    <row r="188" spans="1:28" ht="18" hidden="1" customHeight="1">
      <c r="A188" s="1352"/>
      <c r="B188" s="1353"/>
      <c r="C188" s="1357" t="s">
        <v>28</v>
      </c>
      <c r="D188" s="1355" t="s">
        <v>1353</v>
      </c>
      <c r="E188" s="1335">
        <f>1.1*BTN!$P$628</f>
        <v>0</v>
      </c>
      <c r="F188" s="1356" t="s">
        <v>47</v>
      </c>
      <c r="G188" s="1872">
        <f>D!$I$225</f>
        <v>9105.3284999999996</v>
      </c>
      <c r="H188" s="1872">
        <f>D!$I$229</f>
        <v>2245</v>
      </c>
      <c r="I188" s="1338">
        <f>G188+H188</f>
        <v>11350.3285</v>
      </c>
      <c r="J188" s="1338">
        <f>E188*G188</f>
        <v>0</v>
      </c>
      <c r="K188" s="1338">
        <f>E188*H188</f>
        <v>0</v>
      </c>
      <c r="L188" s="1530">
        <f>J188+K188</f>
        <v>0</v>
      </c>
    </row>
    <row r="189" spans="1:28" ht="18" hidden="1" customHeight="1">
      <c r="A189" s="1352"/>
      <c r="B189" s="1353" t="s">
        <v>1741</v>
      </c>
      <c r="C189" s="1354"/>
      <c r="D189" s="1355" t="s">
        <v>57</v>
      </c>
      <c r="E189" s="1335">
        <f>BTN!$D$640</f>
        <v>0</v>
      </c>
      <c r="F189" s="1356" t="s">
        <v>19</v>
      </c>
      <c r="G189" s="1872">
        <f>D!$I$74</f>
        <v>233806.25</v>
      </c>
      <c r="H189" s="1872">
        <f>D!$I$78</f>
        <v>102350</v>
      </c>
      <c r="I189" s="1338">
        <f>G189+H189</f>
        <v>336156.25</v>
      </c>
      <c r="J189" s="1338">
        <f>E189*G189</f>
        <v>0</v>
      </c>
      <c r="K189" s="1338">
        <f>E189*H189</f>
        <v>0</v>
      </c>
      <c r="L189" s="1530">
        <f>J189+K189</f>
        <v>0</v>
      </c>
    </row>
    <row r="190" spans="1:28" ht="18" hidden="1" customHeight="1">
      <c r="A190" s="1877">
        <f>A184+1</f>
        <v>7</v>
      </c>
      <c r="B190" s="1878" t="s">
        <v>2216</v>
      </c>
      <c r="C190" s="1871"/>
      <c r="D190" s="1818"/>
      <c r="E190" s="1872"/>
      <c r="F190" s="1873"/>
      <c r="G190" s="1872"/>
      <c r="H190" s="1872"/>
      <c r="I190" s="1872"/>
      <c r="J190" s="1872"/>
      <c r="K190" s="1872"/>
      <c r="L190" s="1874"/>
    </row>
    <row r="191" spans="1:28" ht="18" hidden="1" customHeight="1">
      <c r="A191" s="1877"/>
      <c r="B191" s="1878" t="s">
        <v>2217</v>
      </c>
      <c r="C191" s="1871"/>
      <c r="D191" s="1878" t="s">
        <v>1357</v>
      </c>
      <c r="E191" s="1872">
        <f>1.1*BTN!$D$659</f>
        <v>0</v>
      </c>
      <c r="F191" s="1873" t="s">
        <v>35</v>
      </c>
      <c r="G191" s="1872">
        <f>D!$I$134</f>
        <v>892522.85714285716</v>
      </c>
      <c r="H191" s="1872">
        <f>D!$I$138</f>
        <v>288100</v>
      </c>
      <c r="I191" s="1872">
        <f t="shared" ref="I191:I203" si="43">G191+H191</f>
        <v>1180622.8571428573</v>
      </c>
      <c r="J191" s="1872">
        <f>E191*G191</f>
        <v>0</v>
      </c>
      <c r="K191" s="1872">
        <f>E191*H191</f>
        <v>0</v>
      </c>
      <c r="L191" s="1874">
        <f>J191+K191</f>
        <v>0</v>
      </c>
    </row>
    <row r="192" spans="1:28" ht="18" hidden="1" customHeight="1">
      <c r="A192" s="1877"/>
      <c r="B192" s="1878" t="s">
        <v>2218</v>
      </c>
      <c r="C192" s="1871"/>
      <c r="D192" s="1818"/>
      <c r="E192" s="1872"/>
      <c r="F192" s="1873"/>
      <c r="G192" s="1872"/>
      <c r="H192" s="1872"/>
      <c r="I192" s="1872"/>
      <c r="J192" s="1872"/>
      <c r="K192" s="1872"/>
      <c r="L192" s="1874"/>
    </row>
    <row r="193" spans="1:28" ht="18" hidden="1" customHeight="1">
      <c r="A193" s="1877"/>
      <c r="B193" s="1878"/>
      <c r="C193" s="1879" t="s">
        <v>28</v>
      </c>
      <c r="D193" s="1818" t="s">
        <v>1594</v>
      </c>
      <c r="E193" s="1872">
        <f>1.1*BTN!$J$650</f>
        <v>0</v>
      </c>
      <c r="F193" s="1873" t="s">
        <v>47</v>
      </c>
      <c r="G193" s="1872">
        <f>D!$I$234</f>
        <v>8903.2665000000015</v>
      </c>
      <c r="H193" s="1872">
        <f>D!$I$238</f>
        <v>2245</v>
      </c>
      <c r="I193" s="1872">
        <f t="shared" si="43"/>
        <v>11148.266500000002</v>
      </c>
      <c r="J193" s="1872">
        <f t="shared" ref="J193:J203" si="44">E193*G193</f>
        <v>0</v>
      </c>
      <c r="K193" s="1872">
        <f t="shared" ref="K193:K203" si="45">E193*H193</f>
        <v>0</v>
      </c>
      <c r="L193" s="1874">
        <f t="shared" ref="L193:L203" si="46">J193+K193</f>
        <v>0</v>
      </c>
    </row>
    <row r="194" spans="1:28" ht="18" hidden="1" customHeight="1">
      <c r="A194" s="1877"/>
      <c r="B194" s="1878"/>
      <c r="C194" s="1879" t="s">
        <v>28</v>
      </c>
      <c r="D194" s="1818" t="s">
        <v>1353</v>
      </c>
      <c r="E194" s="1872">
        <f>1.1*BTN!$P$650</f>
        <v>0</v>
      </c>
      <c r="F194" s="1873" t="s">
        <v>47</v>
      </c>
      <c r="G194" s="1872">
        <f>D!$I$225</f>
        <v>9105.3284999999996</v>
      </c>
      <c r="H194" s="1872">
        <f>D!$I$229</f>
        <v>2245</v>
      </c>
      <c r="I194" s="1872">
        <f t="shared" si="43"/>
        <v>11350.3285</v>
      </c>
      <c r="J194" s="1872">
        <f t="shared" si="44"/>
        <v>0</v>
      </c>
      <c r="K194" s="1872">
        <f t="shared" si="45"/>
        <v>0</v>
      </c>
      <c r="L194" s="1874">
        <f t="shared" si="46"/>
        <v>0</v>
      </c>
    </row>
    <row r="195" spans="1:28" ht="18" hidden="1" customHeight="1">
      <c r="A195" s="1877"/>
      <c r="B195" s="1878" t="s">
        <v>2219</v>
      </c>
      <c r="C195" s="1871"/>
      <c r="D195" s="1818" t="s">
        <v>57</v>
      </c>
      <c r="E195" s="1872">
        <f>BTN!$D$668</f>
        <v>0</v>
      </c>
      <c r="F195" s="1873" t="s">
        <v>19</v>
      </c>
      <c r="G195" s="1872">
        <f>D!$I$87</f>
        <v>349150</v>
      </c>
      <c r="H195" s="1872">
        <f>D!$I$91</f>
        <v>102350</v>
      </c>
      <c r="I195" s="1872">
        <f t="shared" si="43"/>
        <v>451500</v>
      </c>
      <c r="J195" s="1872">
        <f t="shared" si="44"/>
        <v>0</v>
      </c>
      <c r="K195" s="1872">
        <f t="shared" si="45"/>
        <v>0</v>
      </c>
      <c r="L195" s="1874">
        <f t="shared" si="46"/>
        <v>0</v>
      </c>
    </row>
    <row r="196" spans="1:28" ht="18" hidden="1" customHeight="1">
      <c r="A196" s="1352">
        <f>A190+1</f>
        <v>8</v>
      </c>
      <c r="B196" s="1353" t="s">
        <v>2676</v>
      </c>
      <c r="C196" s="1354"/>
      <c r="D196" s="1355"/>
      <c r="E196" s="1335"/>
      <c r="F196" s="1356"/>
      <c r="G196" s="1335"/>
      <c r="H196" s="1338"/>
      <c r="I196" s="1338">
        <f t="shared" si="43"/>
        <v>0</v>
      </c>
      <c r="J196" s="1338">
        <f t="shared" si="44"/>
        <v>0</v>
      </c>
      <c r="K196" s="1338">
        <f t="shared" si="45"/>
        <v>0</v>
      </c>
      <c r="L196" s="1530">
        <f t="shared" si="46"/>
        <v>0</v>
      </c>
      <c r="AB196" s="1221"/>
    </row>
    <row r="197" spans="1:28" ht="18" hidden="1" customHeight="1">
      <c r="A197" s="1352"/>
      <c r="B197" s="1353" t="s">
        <v>2505</v>
      </c>
      <c r="C197" s="1354"/>
      <c r="D197" s="1353" t="s">
        <v>2712</v>
      </c>
      <c r="E197" s="1335">
        <f>1.1*BTN!$E$1911</f>
        <v>0</v>
      </c>
      <c r="F197" s="1356" t="s">
        <v>35</v>
      </c>
      <c r="G197" s="1872">
        <f>D!$I$189</f>
        <v>1119202</v>
      </c>
      <c r="H197" s="1872">
        <f>D!$I$193</f>
        <v>288100</v>
      </c>
      <c r="I197" s="1338">
        <f t="shared" si="43"/>
        <v>1407302</v>
      </c>
      <c r="J197" s="1338">
        <f t="shared" si="44"/>
        <v>0</v>
      </c>
      <c r="K197" s="1338">
        <f t="shared" si="45"/>
        <v>0</v>
      </c>
      <c r="L197" s="1530">
        <f t="shared" si="46"/>
        <v>0</v>
      </c>
      <c r="AB197" s="1221"/>
    </row>
    <row r="198" spans="1:28" ht="18" hidden="1" customHeight="1">
      <c r="A198" s="1352"/>
      <c r="B198" s="1353" t="s">
        <v>2506</v>
      </c>
      <c r="C198" s="1354"/>
      <c r="D198" s="1355"/>
      <c r="E198" s="1335"/>
      <c r="F198" s="1356"/>
      <c r="G198" s="1872"/>
      <c r="H198" s="1872"/>
      <c r="I198" s="1338">
        <f t="shared" si="43"/>
        <v>0</v>
      </c>
      <c r="J198" s="1338">
        <f t="shared" si="44"/>
        <v>0</v>
      </c>
      <c r="K198" s="1338">
        <f t="shared" si="45"/>
        <v>0</v>
      </c>
      <c r="L198" s="1530">
        <f t="shared" si="46"/>
        <v>0</v>
      </c>
      <c r="AB198" s="1221"/>
    </row>
    <row r="199" spans="1:28" ht="18" hidden="1" customHeight="1">
      <c r="A199" s="1352"/>
      <c r="B199" s="1353"/>
      <c r="C199" s="1357" t="s">
        <v>28</v>
      </c>
      <c r="D199" s="1355" t="s">
        <v>2369</v>
      </c>
      <c r="E199" s="1335">
        <f>1.1*BTN!$H$1889</f>
        <v>0</v>
      </c>
      <c r="F199" s="1356" t="s">
        <v>47</v>
      </c>
      <c r="G199" s="1872">
        <f>D!$I$261</f>
        <v>9365.8860000000004</v>
      </c>
      <c r="H199" s="1872">
        <f>D!$I$274</f>
        <v>2245</v>
      </c>
      <c r="I199" s="1338">
        <f t="shared" si="43"/>
        <v>11610.886</v>
      </c>
      <c r="J199" s="1338">
        <f t="shared" si="44"/>
        <v>0</v>
      </c>
      <c r="K199" s="1338">
        <f t="shared" si="45"/>
        <v>0</v>
      </c>
      <c r="L199" s="1530">
        <f t="shared" si="46"/>
        <v>0</v>
      </c>
      <c r="AB199" s="1221"/>
    </row>
    <row r="200" spans="1:28" ht="18" hidden="1" customHeight="1">
      <c r="A200" s="1352"/>
      <c r="B200" s="1353" t="s">
        <v>2507</v>
      </c>
      <c r="C200" s="1354"/>
      <c r="D200" s="1355" t="s">
        <v>57</v>
      </c>
      <c r="E200" s="1335">
        <f>1.1*BTN!$D$1921</f>
        <v>0</v>
      </c>
      <c r="F200" s="1356" t="s">
        <v>19</v>
      </c>
      <c r="G200" s="1872">
        <f>D!$I$114</f>
        <v>238650</v>
      </c>
      <c r="H200" s="1872">
        <f>D!$I$91</f>
        <v>102350</v>
      </c>
      <c r="I200" s="1338">
        <f t="shared" si="43"/>
        <v>341000</v>
      </c>
      <c r="J200" s="1338">
        <f t="shared" si="44"/>
        <v>0</v>
      </c>
      <c r="K200" s="1338">
        <f t="shared" si="45"/>
        <v>0</v>
      </c>
      <c r="L200" s="1530">
        <f t="shared" si="46"/>
        <v>0</v>
      </c>
      <c r="AB200" s="1221"/>
    </row>
    <row r="201" spans="1:28" ht="18" hidden="1" customHeight="1">
      <c r="A201" s="1352">
        <f>A190+1</f>
        <v>8</v>
      </c>
      <c r="B201" s="1353" t="s">
        <v>2558</v>
      </c>
      <c r="C201" s="1354"/>
      <c r="D201" s="1355"/>
      <c r="E201" s="1335"/>
      <c r="F201" s="1356"/>
      <c r="G201" s="1335"/>
      <c r="H201" s="1338"/>
      <c r="I201" s="1338">
        <f t="shared" si="43"/>
        <v>0</v>
      </c>
      <c r="J201" s="1338">
        <f t="shared" si="44"/>
        <v>0</v>
      </c>
      <c r="K201" s="1338">
        <f t="shared" si="45"/>
        <v>0</v>
      </c>
      <c r="L201" s="1530">
        <f t="shared" si="46"/>
        <v>0</v>
      </c>
      <c r="AB201" s="1583"/>
    </row>
    <row r="202" spans="1:28" s="1760" customFormat="1" ht="18" hidden="1" customHeight="1">
      <c r="A202" s="1761"/>
      <c r="B202" s="1353" t="s">
        <v>2559</v>
      </c>
      <c r="C202" s="1879" t="s">
        <v>28</v>
      </c>
      <c r="D202" s="1902" t="s">
        <v>2475</v>
      </c>
      <c r="E202" s="1764"/>
      <c r="F202" s="1922" t="s">
        <v>129</v>
      </c>
      <c r="G202" s="1872">
        <f>D!$I$300</f>
        <v>185212.68333333335</v>
      </c>
      <c r="H202" s="1872">
        <f>D!$I$301</f>
        <v>50512.55</v>
      </c>
      <c r="I202" s="1764">
        <f>G202+H202</f>
        <v>235725.23333333334</v>
      </c>
      <c r="J202" s="1764">
        <f t="shared" si="44"/>
        <v>0</v>
      </c>
      <c r="K202" s="1764">
        <f t="shared" si="45"/>
        <v>0</v>
      </c>
      <c r="L202" s="1766">
        <f t="shared" si="46"/>
        <v>0</v>
      </c>
      <c r="P202" s="1300"/>
    </row>
    <row r="203" spans="1:28" ht="18" hidden="1" customHeight="1" thickBot="1">
      <c r="A203" s="1352"/>
      <c r="B203" s="1353"/>
      <c r="C203" s="1879" t="s">
        <v>28</v>
      </c>
      <c r="D203" s="1353" t="str">
        <f>BAHAN!$C$147</f>
        <v>Baja WF 300x150x6,5x9 mm</v>
      </c>
      <c r="E203" s="1335"/>
      <c r="F203" s="1922" t="s">
        <v>129</v>
      </c>
      <c r="G203" s="1872">
        <f>D!$I$288</f>
        <v>451405.35</v>
      </c>
      <c r="H203" s="1872">
        <f>D!$I$289</f>
        <v>123110.54999999999</v>
      </c>
      <c r="I203" s="1338">
        <f t="shared" si="43"/>
        <v>574515.89999999991</v>
      </c>
      <c r="J203" s="1338">
        <f t="shared" si="44"/>
        <v>0</v>
      </c>
      <c r="K203" s="1338">
        <f t="shared" si="45"/>
        <v>0</v>
      </c>
      <c r="L203" s="1530">
        <f t="shared" si="46"/>
        <v>0</v>
      </c>
      <c r="AB203" s="1221"/>
    </row>
    <row r="204" spans="1:28" ht="18" customHeight="1" thickTop="1" thickBot="1">
      <c r="A204" s="2675" t="str">
        <f>"Sub total pekerjaan struktur "&amp;B120&amp;" ="</f>
        <v>Sub total pekerjaan struktur Lantai 2 dan Mezannine =</v>
      </c>
      <c r="B204" s="2676"/>
      <c r="C204" s="2676"/>
      <c r="D204" s="2676"/>
      <c r="E204" s="2676"/>
      <c r="F204" s="2676"/>
      <c r="G204" s="2676"/>
      <c r="H204" s="1551"/>
      <c r="I204" s="1551"/>
      <c r="J204" s="1542">
        <f>SUM(J121:J203)</f>
        <v>0</v>
      </c>
      <c r="K204" s="1542">
        <f>SUM(K121:K203)</f>
        <v>0</v>
      </c>
      <c r="L204" s="1340">
        <f>SUM(L121:L203)</f>
        <v>0</v>
      </c>
      <c r="M204" s="1300">
        <v>1</v>
      </c>
      <c r="N204" s="1300">
        <v>9</v>
      </c>
    </row>
    <row r="205" spans="1:28" ht="18" hidden="1" customHeight="1" thickTop="1">
      <c r="A205" s="1379" t="s">
        <v>71</v>
      </c>
      <c r="B205" s="1535" t="s">
        <v>72</v>
      </c>
      <c r="C205" s="1535"/>
      <c r="D205" s="1370"/>
      <c r="E205" s="1536"/>
      <c r="F205" s="1537"/>
      <c r="G205" s="1330"/>
      <c r="H205" s="1330"/>
      <c r="I205" s="1330"/>
      <c r="J205" s="1330"/>
      <c r="K205" s="1330"/>
      <c r="L205" s="1331"/>
      <c r="N205" s="1300">
        <v>10</v>
      </c>
    </row>
    <row r="206" spans="1:28" ht="18" hidden="1" customHeight="1">
      <c r="A206" s="1352">
        <v>1</v>
      </c>
      <c r="B206" s="1353" t="s">
        <v>1354</v>
      </c>
      <c r="C206" s="1354"/>
      <c r="D206" s="1355"/>
      <c r="E206" s="1335"/>
      <c r="F206" s="1356"/>
      <c r="G206" s="1335"/>
      <c r="H206" s="1338"/>
      <c r="I206" s="1338"/>
      <c r="J206" s="1338"/>
      <c r="K206" s="1338"/>
      <c r="L206" s="1530"/>
    </row>
    <row r="207" spans="1:28" ht="18" hidden="1" customHeight="1">
      <c r="A207" s="1352"/>
      <c r="B207" s="1353" t="s">
        <v>54</v>
      </c>
      <c r="C207" s="1354"/>
      <c r="D207" s="1353" t="s">
        <v>2712</v>
      </c>
      <c r="E207" s="1335">
        <f>1.1*BTN!$E$694</f>
        <v>0</v>
      </c>
      <c r="F207" s="1356" t="s">
        <v>35</v>
      </c>
      <c r="G207" s="1872">
        <f>D!$I$189</f>
        <v>1119202</v>
      </c>
      <c r="H207" s="1872">
        <f>D!$I$193</f>
        <v>288100</v>
      </c>
      <c r="I207" s="1338">
        <f t="shared" ref="I207:I221" si="47">G207+H207</f>
        <v>1407302</v>
      </c>
      <c r="J207" s="1338">
        <f t="shared" ref="J207:J221" si="48">E207*G207</f>
        <v>0</v>
      </c>
      <c r="K207" s="1338">
        <f t="shared" ref="K207:K221" si="49">E207*H207</f>
        <v>0</v>
      </c>
      <c r="L207" s="1530">
        <f t="shared" ref="L207:L221" si="50">J207+K207</f>
        <v>0</v>
      </c>
    </row>
    <row r="208" spans="1:28" ht="18" hidden="1" customHeight="1">
      <c r="A208" s="1352"/>
      <c r="B208" s="1353" t="s">
        <v>55</v>
      </c>
      <c r="C208" s="1354"/>
      <c r="D208" s="1355"/>
      <c r="E208" s="1335"/>
      <c r="F208" s="1356"/>
      <c r="G208" s="1872"/>
      <c r="H208" s="1872"/>
      <c r="I208" s="1338"/>
      <c r="J208" s="1338"/>
      <c r="K208" s="1338"/>
      <c r="L208" s="1530"/>
    </row>
    <row r="209" spans="1:12" ht="18" hidden="1" customHeight="1">
      <c r="A209" s="1352"/>
      <c r="B209" s="1353"/>
      <c r="C209" s="1357" t="s">
        <v>28</v>
      </c>
      <c r="D209" s="1529" t="s">
        <v>2272</v>
      </c>
      <c r="E209" s="1335">
        <f>1.1*BTN!$H$722</f>
        <v>0</v>
      </c>
      <c r="F209" s="1356" t="s">
        <v>47</v>
      </c>
      <c r="G209" s="1872">
        <f>D!$I$270</f>
        <v>9279.7755000000016</v>
      </c>
      <c r="H209" s="1872">
        <f>D!$I$274</f>
        <v>2245</v>
      </c>
      <c r="I209" s="1338">
        <f t="shared" si="47"/>
        <v>11524.775500000002</v>
      </c>
      <c r="J209" s="1338">
        <f t="shared" si="48"/>
        <v>0</v>
      </c>
      <c r="K209" s="1338">
        <f t="shared" si="49"/>
        <v>0</v>
      </c>
      <c r="L209" s="1530">
        <f t="shared" si="50"/>
        <v>0</v>
      </c>
    </row>
    <row r="210" spans="1:12" ht="18" hidden="1" customHeight="1">
      <c r="A210" s="1352"/>
      <c r="B210" s="1353"/>
      <c r="C210" s="1357" t="s">
        <v>28</v>
      </c>
      <c r="D210" s="1372" t="s">
        <v>2369</v>
      </c>
      <c r="E210" s="1335">
        <f>1.1*BTN!$I$722</f>
        <v>0</v>
      </c>
      <c r="F210" s="1356" t="s">
        <v>47</v>
      </c>
      <c r="G210" s="1872">
        <f>D!$I$261</f>
        <v>9365.8860000000004</v>
      </c>
      <c r="H210" s="1872">
        <f>D!$I$256</f>
        <v>2245</v>
      </c>
      <c r="I210" s="1338">
        <f>G210+H210</f>
        <v>11610.886</v>
      </c>
      <c r="J210" s="1338">
        <f>E210*G210</f>
        <v>0</v>
      </c>
      <c r="K210" s="1338">
        <f>E210*H210</f>
        <v>0</v>
      </c>
      <c r="L210" s="1530">
        <f>J210+K210</f>
        <v>0</v>
      </c>
    </row>
    <row r="211" spans="1:12" ht="18" hidden="1" customHeight="1">
      <c r="A211" s="1352"/>
      <c r="B211" s="1353"/>
      <c r="C211" s="1357" t="s">
        <v>28</v>
      </c>
      <c r="D211" s="1372" t="s">
        <v>2221</v>
      </c>
      <c r="E211" s="1335">
        <f>1.1*BTN!$K$722</f>
        <v>0</v>
      </c>
      <c r="F211" s="1356" t="s">
        <v>47</v>
      </c>
      <c r="G211" s="1872">
        <f>D!$I$252</f>
        <v>9796.7115000000013</v>
      </c>
      <c r="H211" s="1872">
        <f>D!$I$256</f>
        <v>2245</v>
      </c>
      <c r="I211" s="1338">
        <f t="shared" si="47"/>
        <v>12041.711500000001</v>
      </c>
      <c r="J211" s="1338">
        <f t="shared" si="48"/>
        <v>0</v>
      </c>
      <c r="K211" s="1338">
        <f t="shared" si="49"/>
        <v>0</v>
      </c>
      <c r="L211" s="1530">
        <f t="shared" si="50"/>
        <v>0</v>
      </c>
    </row>
    <row r="212" spans="1:12" ht="18" hidden="1" customHeight="1">
      <c r="A212" s="1352"/>
      <c r="B212" s="1353"/>
      <c r="C212" s="1357" t="s">
        <v>28</v>
      </c>
      <c r="D212" s="1355" t="s">
        <v>2347</v>
      </c>
      <c r="E212" s="1335">
        <f>1.1*BTN!$J$722</f>
        <v>0</v>
      </c>
      <c r="F212" s="1356" t="s">
        <v>47</v>
      </c>
      <c r="G212" s="1872">
        <f>D!$I$243</f>
        <v>8750.67</v>
      </c>
      <c r="H212" s="1872">
        <f>D!$I$247</f>
        <v>2245</v>
      </c>
      <c r="I212" s="1338">
        <f t="shared" si="47"/>
        <v>10995.67</v>
      </c>
      <c r="J212" s="1338">
        <f t="shared" si="48"/>
        <v>0</v>
      </c>
      <c r="K212" s="1338">
        <f t="shared" si="49"/>
        <v>0</v>
      </c>
      <c r="L212" s="1530">
        <f t="shared" si="50"/>
        <v>0</v>
      </c>
    </row>
    <row r="213" spans="1:12" ht="18" hidden="1" customHeight="1">
      <c r="A213" s="1827"/>
      <c r="B213" s="1828"/>
      <c r="C213" s="1830" t="s">
        <v>28</v>
      </c>
      <c r="D213" s="1355" t="s">
        <v>1911</v>
      </c>
      <c r="E213" s="1820">
        <f>1.1*BTN!$R$722</f>
        <v>0</v>
      </c>
      <c r="F213" s="1821" t="s">
        <v>47</v>
      </c>
      <c r="G213" s="1872">
        <f>D!$I$234</f>
        <v>8903.2665000000015</v>
      </c>
      <c r="H213" s="1872">
        <f>D!$I$256</f>
        <v>2245</v>
      </c>
      <c r="I213" s="1338">
        <f t="shared" si="47"/>
        <v>11148.266500000002</v>
      </c>
      <c r="J213" s="1338">
        <f t="shared" si="48"/>
        <v>0</v>
      </c>
      <c r="K213" s="1338">
        <f t="shared" si="49"/>
        <v>0</v>
      </c>
      <c r="L213" s="1530">
        <f t="shared" si="50"/>
        <v>0</v>
      </c>
    </row>
    <row r="214" spans="1:12" ht="18" hidden="1" customHeight="1">
      <c r="A214" s="1352"/>
      <c r="B214" s="1353"/>
      <c r="C214" s="1357" t="s">
        <v>28</v>
      </c>
      <c r="D214" s="1355" t="s">
        <v>1353</v>
      </c>
      <c r="E214" s="1335">
        <f>1.1*BTN!$R$721</f>
        <v>0</v>
      </c>
      <c r="F214" s="1362" t="s">
        <v>47</v>
      </c>
      <c r="G214" s="1872">
        <f>D!$I$225</f>
        <v>9105.3284999999996</v>
      </c>
      <c r="H214" s="1872">
        <f>D!$I$229</f>
        <v>2245</v>
      </c>
      <c r="I214" s="1338">
        <f t="shared" si="47"/>
        <v>11350.3285</v>
      </c>
      <c r="J214" s="1338">
        <f t="shared" si="48"/>
        <v>0</v>
      </c>
      <c r="K214" s="1338">
        <f t="shared" si="49"/>
        <v>0</v>
      </c>
      <c r="L214" s="1530">
        <f t="shared" si="50"/>
        <v>0</v>
      </c>
    </row>
    <row r="215" spans="1:12" ht="18" hidden="1" customHeight="1">
      <c r="A215" s="1352"/>
      <c r="B215" s="1353" t="s">
        <v>56</v>
      </c>
      <c r="C215" s="1354"/>
      <c r="D215" s="1355" t="s">
        <v>57</v>
      </c>
      <c r="E215" s="1335">
        <f>BTN!$E$749</f>
        <v>0</v>
      </c>
      <c r="F215" s="1356" t="s">
        <v>19</v>
      </c>
      <c r="G215" s="1872">
        <f>D!$I$61</f>
        <v>196006.25</v>
      </c>
      <c r="H215" s="1872">
        <f>D!$I$65</f>
        <v>102350</v>
      </c>
      <c r="I215" s="1338">
        <f t="shared" si="47"/>
        <v>298356.25</v>
      </c>
      <c r="J215" s="1338">
        <f t="shared" si="48"/>
        <v>0</v>
      </c>
      <c r="K215" s="1338">
        <f t="shared" si="49"/>
        <v>0</v>
      </c>
      <c r="L215" s="1530">
        <f t="shared" si="50"/>
        <v>0</v>
      </c>
    </row>
    <row r="216" spans="1:12" ht="18" hidden="1" customHeight="1">
      <c r="A216" s="1352">
        <f>A206+1</f>
        <v>2</v>
      </c>
      <c r="B216" s="1353" t="s">
        <v>1356</v>
      </c>
      <c r="C216" s="1354"/>
      <c r="D216" s="1355"/>
      <c r="E216" s="1335"/>
      <c r="F216" s="1356"/>
      <c r="G216" s="1335"/>
      <c r="H216" s="1338"/>
      <c r="I216" s="1338"/>
      <c r="J216" s="1338"/>
      <c r="K216" s="1338"/>
      <c r="L216" s="1530"/>
    </row>
    <row r="217" spans="1:12" ht="18" hidden="1" customHeight="1">
      <c r="A217" s="1352"/>
      <c r="B217" s="1353" t="s">
        <v>54</v>
      </c>
      <c r="C217" s="1354"/>
      <c r="D217" s="1353" t="s">
        <v>1357</v>
      </c>
      <c r="E217" s="1335">
        <f>1.1*BTN!$E$699</f>
        <v>0</v>
      </c>
      <c r="F217" s="1356" t="s">
        <v>35</v>
      </c>
      <c r="G217" s="1872">
        <f>D!$I$134</f>
        <v>892522.85714285716</v>
      </c>
      <c r="H217" s="1872">
        <f>D!$I$138</f>
        <v>288100</v>
      </c>
      <c r="I217" s="1338">
        <f t="shared" si="47"/>
        <v>1180622.8571428573</v>
      </c>
      <c r="J217" s="1338">
        <f t="shared" si="48"/>
        <v>0</v>
      </c>
      <c r="K217" s="1338">
        <f t="shared" si="49"/>
        <v>0</v>
      </c>
      <c r="L217" s="1530">
        <f t="shared" si="50"/>
        <v>0</v>
      </c>
    </row>
    <row r="218" spans="1:12" ht="18" hidden="1" customHeight="1">
      <c r="A218" s="1352"/>
      <c r="B218" s="1353" t="s">
        <v>55</v>
      </c>
      <c r="C218" s="1354"/>
      <c r="D218" s="1355"/>
      <c r="E218" s="1335"/>
      <c r="F218" s="1356"/>
      <c r="G218" s="1872"/>
      <c r="H218" s="1872"/>
      <c r="I218" s="1338"/>
      <c r="J218" s="1338"/>
      <c r="K218" s="1338"/>
      <c r="L218" s="1530"/>
    </row>
    <row r="219" spans="1:12" ht="18" hidden="1" customHeight="1">
      <c r="A219" s="1352"/>
      <c r="B219" s="1353"/>
      <c r="C219" s="1357" t="s">
        <v>28</v>
      </c>
      <c r="D219" s="1372" t="s">
        <v>2221</v>
      </c>
      <c r="E219" s="1335">
        <f>1.1*BTN!$F$728</f>
        <v>0</v>
      </c>
      <c r="F219" s="1356" t="s">
        <v>47</v>
      </c>
      <c r="G219" s="1872">
        <f>D!$I$252</f>
        <v>9796.7115000000013</v>
      </c>
      <c r="H219" s="1872">
        <f>D!$I$256</f>
        <v>2245</v>
      </c>
      <c r="I219" s="1338">
        <f t="shared" si="47"/>
        <v>12041.711500000001</v>
      </c>
      <c r="J219" s="1338">
        <f t="shared" si="48"/>
        <v>0</v>
      </c>
      <c r="K219" s="1338">
        <f t="shared" si="49"/>
        <v>0</v>
      </c>
      <c r="L219" s="1530">
        <f t="shared" si="50"/>
        <v>0</v>
      </c>
    </row>
    <row r="220" spans="1:12" ht="18" hidden="1" customHeight="1">
      <c r="A220" s="1352"/>
      <c r="B220" s="1353"/>
      <c r="C220" s="1357" t="s">
        <v>28</v>
      </c>
      <c r="D220" s="1355" t="s">
        <v>1353</v>
      </c>
      <c r="E220" s="1335">
        <f>1.1*BTN!$Q$728</f>
        <v>0</v>
      </c>
      <c r="F220" s="1356" t="s">
        <v>47</v>
      </c>
      <c r="G220" s="1872">
        <f>D!$I$225</f>
        <v>9105.3284999999996</v>
      </c>
      <c r="H220" s="1872">
        <f>D!$I$229</f>
        <v>2245</v>
      </c>
      <c r="I220" s="1338">
        <f t="shared" si="47"/>
        <v>11350.3285</v>
      </c>
      <c r="J220" s="1338">
        <f t="shared" si="48"/>
        <v>0</v>
      </c>
      <c r="K220" s="1338">
        <f t="shared" si="49"/>
        <v>0</v>
      </c>
      <c r="L220" s="1530">
        <f t="shared" si="50"/>
        <v>0</v>
      </c>
    </row>
    <row r="221" spans="1:12" ht="18" hidden="1" customHeight="1">
      <c r="A221" s="1352"/>
      <c r="B221" s="1353" t="s">
        <v>56</v>
      </c>
      <c r="C221" s="1354"/>
      <c r="D221" s="1355" t="s">
        <v>57</v>
      </c>
      <c r="E221" s="1335">
        <f>BTN!$E$756</f>
        <v>0</v>
      </c>
      <c r="F221" s="1356" t="s">
        <v>19</v>
      </c>
      <c r="G221" s="1872">
        <f>D!$I$61</f>
        <v>196006.25</v>
      </c>
      <c r="H221" s="1872">
        <f>D!$I$65</f>
        <v>102350</v>
      </c>
      <c r="I221" s="1338">
        <f t="shared" si="47"/>
        <v>298356.25</v>
      </c>
      <c r="J221" s="1338">
        <f t="shared" si="48"/>
        <v>0</v>
      </c>
      <c r="K221" s="1338">
        <f t="shared" si="49"/>
        <v>0</v>
      </c>
      <c r="L221" s="1530">
        <f t="shared" si="50"/>
        <v>0</v>
      </c>
    </row>
    <row r="222" spans="1:12" ht="18" hidden="1" customHeight="1">
      <c r="A222" s="1364">
        <f>A216+1</f>
        <v>3</v>
      </c>
      <c r="B222" s="1353" t="s">
        <v>62</v>
      </c>
      <c r="C222" s="1355"/>
      <c r="D222" s="1353"/>
      <c r="E222" s="1335"/>
      <c r="F222" s="1356"/>
      <c r="G222" s="1335"/>
      <c r="H222" s="1338"/>
      <c r="I222" s="1338"/>
      <c r="J222" s="1338"/>
      <c r="K222" s="1338"/>
      <c r="L222" s="1530"/>
    </row>
    <row r="223" spans="1:12" ht="18" hidden="1" customHeight="1">
      <c r="A223" s="1364"/>
      <c r="B223" s="1355" t="s">
        <v>63</v>
      </c>
      <c r="C223" s="1355"/>
      <c r="D223" s="1353" t="s">
        <v>2712</v>
      </c>
      <c r="E223" s="1335">
        <f>1.1*BTN!$D$808</f>
        <v>0</v>
      </c>
      <c r="F223" s="1356" t="s">
        <v>35</v>
      </c>
      <c r="G223" s="1872">
        <f>D!$I$189</f>
        <v>1119202</v>
      </c>
      <c r="H223" s="1872">
        <f>D!$I$193</f>
        <v>288100</v>
      </c>
      <c r="I223" s="1338">
        <f t="shared" ref="I223:I266" si="51">G223+H223</f>
        <v>1407302</v>
      </c>
      <c r="J223" s="1338">
        <f t="shared" ref="J223:J266" si="52">E223*G223</f>
        <v>0</v>
      </c>
      <c r="K223" s="1338">
        <f t="shared" ref="K223:K266" si="53">E223*H223</f>
        <v>0</v>
      </c>
      <c r="L223" s="1530">
        <f t="shared" ref="L223:L266" si="54">J223+K223</f>
        <v>0</v>
      </c>
    </row>
    <row r="224" spans="1:12" ht="18" hidden="1" customHeight="1">
      <c r="A224" s="1364"/>
      <c r="B224" s="1355" t="s">
        <v>64</v>
      </c>
      <c r="C224" s="1355"/>
      <c r="D224" s="1353"/>
      <c r="E224" s="1335"/>
      <c r="F224" s="1356"/>
      <c r="G224" s="1872"/>
      <c r="H224" s="1872"/>
      <c r="I224" s="1338"/>
      <c r="J224" s="1338"/>
      <c r="K224" s="1338"/>
      <c r="L224" s="1530"/>
    </row>
    <row r="225" spans="1:28" ht="18" hidden="1" customHeight="1">
      <c r="A225" s="1528"/>
      <c r="B225" s="1353"/>
      <c r="C225" s="1357" t="s">
        <v>28</v>
      </c>
      <c r="D225" s="1529" t="s">
        <v>2272</v>
      </c>
      <c r="E225" s="1335">
        <f>1.1*BTN!$H$782</f>
        <v>0</v>
      </c>
      <c r="F225" s="1356" t="s">
        <v>47</v>
      </c>
      <c r="G225" s="1872">
        <f>D!$I$270</f>
        <v>9279.7755000000016</v>
      </c>
      <c r="H225" s="1872">
        <f>D!$I$274</f>
        <v>2245</v>
      </c>
      <c r="I225" s="1338">
        <f t="shared" si="51"/>
        <v>11524.775500000002</v>
      </c>
      <c r="J225" s="1338">
        <f t="shared" si="52"/>
        <v>0</v>
      </c>
      <c r="K225" s="1338">
        <f t="shared" si="53"/>
        <v>0</v>
      </c>
      <c r="L225" s="1530">
        <f t="shared" si="54"/>
        <v>0</v>
      </c>
    </row>
    <row r="226" spans="1:28" ht="18" hidden="1" customHeight="1">
      <c r="A226" s="1352"/>
      <c r="B226" s="1353"/>
      <c r="C226" s="1357" t="s">
        <v>28</v>
      </c>
      <c r="D226" s="1372" t="s">
        <v>2221</v>
      </c>
      <c r="E226" s="1335">
        <f>1.1*BTN!$L$782</f>
        <v>0</v>
      </c>
      <c r="F226" s="1356" t="s">
        <v>47</v>
      </c>
      <c r="G226" s="1872">
        <f>D!$I$252</f>
        <v>9796.7115000000013</v>
      </c>
      <c r="H226" s="1872">
        <f>D!$I$256</f>
        <v>2245</v>
      </c>
      <c r="I226" s="1338">
        <f t="shared" si="51"/>
        <v>12041.711500000001</v>
      </c>
      <c r="J226" s="1338">
        <f>E226*G226</f>
        <v>0</v>
      </c>
      <c r="K226" s="1338">
        <f>E226*H226</f>
        <v>0</v>
      </c>
      <c r="L226" s="1530">
        <f t="shared" si="54"/>
        <v>0</v>
      </c>
    </row>
    <row r="227" spans="1:28" ht="18" hidden="1" customHeight="1">
      <c r="A227" s="1352"/>
      <c r="B227" s="1353"/>
      <c r="C227" s="1357" t="s">
        <v>28</v>
      </c>
      <c r="D227" s="1355" t="s">
        <v>2347</v>
      </c>
      <c r="E227" s="1335">
        <f>1.1*BTN!$J$782</f>
        <v>0</v>
      </c>
      <c r="F227" s="1356" t="s">
        <v>47</v>
      </c>
      <c r="G227" s="1872">
        <f>D!$I$243</f>
        <v>8750.67</v>
      </c>
      <c r="H227" s="1872">
        <f>D!$I$247</f>
        <v>2245</v>
      </c>
      <c r="I227" s="1338">
        <f t="shared" si="51"/>
        <v>10995.67</v>
      </c>
      <c r="J227" s="1338">
        <f>E227*G227</f>
        <v>0</v>
      </c>
      <c r="K227" s="1338">
        <f>E227*H227</f>
        <v>0</v>
      </c>
      <c r="L227" s="1530">
        <f t="shared" si="54"/>
        <v>0</v>
      </c>
    </row>
    <row r="228" spans="1:28" ht="18" hidden="1" customHeight="1">
      <c r="A228" s="1352"/>
      <c r="B228" s="1353"/>
      <c r="C228" s="1357" t="s">
        <v>28</v>
      </c>
      <c r="D228" s="1355" t="s">
        <v>1594</v>
      </c>
      <c r="E228" s="1335">
        <f>1.1*BTN!$K$782</f>
        <v>0</v>
      </c>
      <c r="F228" s="1356" t="s">
        <v>47</v>
      </c>
      <c r="G228" s="1872">
        <f>D!$I$234</f>
        <v>8903.2665000000015</v>
      </c>
      <c r="H228" s="1872">
        <f>D!$I$247</f>
        <v>2245</v>
      </c>
      <c r="I228" s="1338">
        <f t="shared" si="51"/>
        <v>11148.266500000002</v>
      </c>
      <c r="J228" s="1338">
        <f>E228*G228</f>
        <v>0</v>
      </c>
      <c r="K228" s="1338">
        <f>E228*H228</f>
        <v>0</v>
      </c>
      <c r="L228" s="1530">
        <f t="shared" si="54"/>
        <v>0</v>
      </c>
    </row>
    <row r="229" spans="1:28" ht="18" hidden="1" customHeight="1">
      <c r="A229" s="1352"/>
      <c r="B229" s="1353"/>
      <c r="C229" s="1357" t="s">
        <v>28</v>
      </c>
      <c r="D229" s="1355" t="s">
        <v>1911</v>
      </c>
      <c r="E229" s="1335">
        <f>1.1*BTN!$R$782</f>
        <v>0</v>
      </c>
      <c r="F229" s="1356" t="s">
        <v>47</v>
      </c>
      <c r="G229" s="1872">
        <f>D!$I$234</f>
        <v>8903.2665000000015</v>
      </c>
      <c r="H229" s="1872">
        <f>D!$I$229</f>
        <v>2245</v>
      </c>
      <c r="I229" s="1338">
        <f t="shared" si="51"/>
        <v>11148.266500000002</v>
      </c>
      <c r="J229" s="1338">
        <f t="shared" si="52"/>
        <v>0</v>
      </c>
      <c r="K229" s="1338">
        <f t="shared" si="53"/>
        <v>0</v>
      </c>
      <c r="L229" s="1530">
        <f t="shared" si="54"/>
        <v>0</v>
      </c>
    </row>
    <row r="230" spans="1:28" ht="18" hidden="1" customHeight="1">
      <c r="A230" s="1352"/>
      <c r="B230" s="1353"/>
      <c r="C230" s="1357" t="s">
        <v>28</v>
      </c>
      <c r="D230" s="1355" t="s">
        <v>1353</v>
      </c>
      <c r="E230" s="1335">
        <f>1.1*BTN!$R$781</f>
        <v>0</v>
      </c>
      <c r="F230" s="1356" t="s">
        <v>47</v>
      </c>
      <c r="G230" s="1872">
        <f>D!$I$225</f>
        <v>9105.3284999999996</v>
      </c>
      <c r="H230" s="1872">
        <f>D!$I$238</f>
        <v>2245</v>
      </c>
      <c r="I230" s="1338">
        <f t="shared" si="51"/>
        <v>11350.3285</v>
      </c>
      <c r="J230" s="1338">
        <f t="shared" si="52"/>
        <v>0</v>
      </c>
      <c r="K230" s="1338">
        <f t="shared" si="53"/>
        <v>0</v>
      </c>
      <c r="L230" s="1530">
        <f t="shared" si="54"/>
        <v>0</v>
      </c>
    </row>
    <row r="231" spans="1:28" ht="18" hidden="1" customHeight="1">
      <c r="A231" s="1364"/>
      <c r="B231" s="1355" t="s">
        <v>65</v>
      </c>
      <c r="C231" s="1355"/>
      <c r="D231" s="1353" t="s">
        <v>57</v>
      </c>
      <c r="E231" s="1335">
        <f>BTN!$D$833</f>
        <v>0</v>
      </c>
      <c r="F231" s="1356" t="s">
        <v>19</v>
      </c>
      <c r="G231" s="1872">
        <f>D!$I$74</f>
        <v>233806.25</v>
      </c>
      <c r="H231" s="1872">
        <f>D!$I$78</f>
        <v>102350</v>
      </c>
      <c r="I231" s="1338">
        <f t="shared" si="51"/>
        <v>336156.25</v>
      </c>
      <c r="J231" s="1338">
        <f t="shared" si="52"/>
        <v>0</v>
      </c>
      <c r="K231" s="1338">
        <f t="shared" si="53"/>
        <v>0</v>
      </c>
      <c r="L231" s="1530">
        <f t="shared" si="54"/>
        <v>0</v>
      </c>
    </row>
    <row r="232" spans="1:28" ht="18" hidden="1" customHeight="1">
      <c r="A232" s="1364">
        <f>A222+1</f>
        <v>4</v>
      </c>
      <c r="B232" s="1355" t="s">
        <v>66</v>
      </c>
      <c r="C232" s="1355"/>
      <c r="D232" s="1353"/>
      <c r="E232" s="1335"/>
      <c r="F232" s="1356"/>
      <c r="G232" s="1335"/>
      <c r="H232" s="1338"/>
      <c r="I232" s="1338"/>
      <c r="J232" s="1338"/>
      <c r="K232" s="1338"/>
      <c r="L232" s="1530"/>
    </row>
    <row r="233" spans="1:28" ht="18" hidden="1" customHeight="1">
      <c r="A233" s="1364"/>
      <c r="B233" s="1355" t="s">
        <v>67</v>
      </c>
      <c r="C233" s="1355"/>
      <c r="D233" s="1353" t="s">
        <v>2713</v>
      </c>
      <c r="E233" s="1335">
        <f>1.1*BTN!$F$1805</f>
        <v>0</v>
      </c>
      <c r="F233" s="1356" t="s">
        <v>35</v>
      </c>
      <c r="G233" s="1872">
        <f>D!$I$216</f>
        <v>1063000</v>
      </c>
      <c r="H233" s="1872">
        <f>D!$I$220</f>
        <v>288300</v>
      </c>
      <c r="I233" s="1338">
        <f t="shared" si="51"/>
        <v>1351300</v>
      </c>
      <c r="J233" s="1338">
        <f t="shared" si="52"/>
        <v>0</v>
      </c>
      <c r="K233" s="1338">
        <f t="shared" si="53"/>
        <v>0</v>
      </c>
      <c r="L233" s="1530">
        <f t="shared" si="54"/>
        <v>0</v>
      </c>
    </row>
    <row r="234" spans="1:28" ht="18" hidden="1" customHeight="1">
      <c r="A234" s="1364"/>
      <c r="B234" s="1355" t="s">
        <v>68</v>
      </c>
      <c r="C234" s="1355"/>
      <c r="D234" s="1353" t="s">
        <v>1798</v>
      </c>
      <c r="E234" s="1335">
        <f>BTN!$E$1805</f>
        <v>0</v>
      </c>
      <c r="F234" s="1356" t="s">
        <v>19</v>
      </c>
      <c r="G234" s="1872">
        <f>D!$I$17</f>
        <v>55169.836884185781</v>
      </c>
      <c r="H234" s="1872">
        <f>D!$I$20</f>
        <v>27400</v>
      </c>
      <c r="I234" s="1338">
        <f t="shared" si="51"/>
        <v>82569.836884185788</v>
      </c>
      <c r="J234" s="1338">
        <f t="shared" si="52"/>
        <v>0</v>
      </c>
      <c r="K234" s="1338">
        <f t="shared" si="53"/>
        <v>0</v>
      </c>
      <c r="L234" s="1530">
        <f t="shared" si="54"/>
        <v>0</v>
      </c>
    </row>
    <row r="235" spans="1:28" ht="18" hidden="1" customHeight="1">
      <c r="A235" s="1364"/>
      <c r="B235" s="1355" t="s">
        <v>69</v>
      </c>
      <c r="C235" s="1355"/>
      <c r="D235" s="1353" t="s">
        <v>70</v>
      </c>
      <c r="E235" s="1335">
        <f>BTN!$E$1805</f>
        <v>0</v>
      </c>
      <c r="F235" s="1356" t="s">
        <v>19</v>
      </c>
      <c r="G235" s="1872">
        <f>D!$I$124</f>
        <v>115280.68000000001</v>
      </c>
      <c r="H235" s="1872">
        <f>D!$I$127</f>
        <v>13400</v>
      </c>
      <c r="I235" s="1338">
        <f t="shared" si="51"/>
        <v>128680.68000000001</v>
      </c>
      <c r="J235" s="1338">
        <f t="shared" si="52"/>
        <v>0</v>
      </c>
      <c r="K235" s="1338">
        <f t="shared" si="53"/>
        <v>0</v>
      </c>
      <c r="L235" s="1530">
        <f t="shared" si="54"/>
        <v>0</v>
      </c>
      <c r="U235" s="1300">
        <f>3.79+0.05</f>
        <v>3.84</v>
      </c>
    </row>
    <row r="236" spans="1:28" ht="18" hidden="1" customHeight="1">
      <c r="A236" s="1352">
        <f>A232+1</f>
        <v>5</v>
      </c>
      <c r="B236" s="1353" t="s">
        <v>1358</v>
      </c>
      <c r="C236" s="1354"/>
      <c r="D236" s="1355"/>
      <c r="E236" s="1335"/>
      <c r="F236" s="1356"/>
      <c r="G236" s="1335"/>
      <c r="H236" s="1338"/>
      <c r="I236" s="1338"/>
      <c r="J236" s="1338"/>
      <c r="K236" s="1338"/>
      <c r="L236" s="1530"/>
      <c r="AB236" s="1221"/>
    </row>
    <row r="237" spans="1:28" ht="18" hidden="1" customHeight="1">
      <c r="A237" s="1352"/>
      <c r="B237" s="1353" t="s">
        <v>1359</v>
      </c>
      <c r="C237" s="1354"/>
      <c r="D237" s="1353" t="s">
        <v>2712</v>
      </c>
      <c r="E237" s="1335">
        <f>BTN!$E$841*1.1</f>
        <v>0</v>
      </c>
      <c r="F237" s="1356" t="s">
        <v>35</v>
      </c>
      <c r="G237" s="1872">
        <f>D!$I$167</f>
        <v>1082620</v>
      </c>
      <c r="H237" s="1872">
        <f>D!$I$193</f>
        <v>288100</v>
      </c>
      <c r="I237" s="1338">
        <f>G237+H237</f>
        <v>1370720</v>
      </c>
      <c r="J237" s="1338">
        <f>E237*G237</f>
        <v>0</v>
      </c>
      <c r="K237" s="1338">
        <f>E237*H237</f>
        <v>0</v>
      </c>
      <c r="L237" s="1530">
        <f>J237+K237</f>
        <v>0</v>
      </c>
      <c r="AB237" s="1221"/>
    </row>
    <row r="238" spans="1:28" ht="18" hidden="1" customHeight="1">
      <c r="A238" s="1352"/>
      <c r="B238" s="1353" t="s">
        <v>1360</v>
      </c>
      <c r="C238" s="1354"/>
      <c r="D238" s="1355"/>
      <c r="E238" s="1335"/>
      <c r="F238" s="1356"/>
      <c r="G238" s="1872"/>
      <c r="H238" s="1872"/>
      <c r="I238" s="1338"/>
      <c r="J238" s="1338"/>
      <c r="K238" s="1338"/>
      <c r="L238" s="1530"/>
      <c r="AB238" s="1221"/>
    </row>
    <row r="239" spans="1:28" ht="18" hidden="1" customHeight="1">
      <c r="A239" s="1352"/>
      <c r="B239" s="1353"/>
      <c r="C239" s="1357" t="s">
        <v>28</v>
      </c>
      <c r="D239" s="1355" t="s">
        <v>1843</v>
      </c>
      <c r="E239" s="1335">
        <f>1.1*BTN!$G$862</f>
        <v>0</v>
      </c>
      <c r="F239" s="1356" t="s">
        <v>47</v>
      </c>
      <c r="G239" s="1872">
        <f>D!$I$243</f>
        <v>8750.67</v>
      </c>
      <c r="H239" s="1872">
        <f>D!$I$247</f>
        <v>2245</v>
      </c>
      <c r="I239" s="1338">
        <f>G239+H239</f>
        <v>10995.67</v>
      </c>
      <c r="J239" s="1338">
        <f>E239*G239</f>
        <v>0</v>
      </c>
      <c r="K239" s="1338">
        <f>E239*H239</f>
        <v>0</v>
      </c>
      <c r="L239" s="1530">
        <f>J239+K239</f>
        <v>0</v>
      </c>
      <c r="AB239" s="1221"/>
    </row>
    <row r="240" spans="1:28" ht="18" hidden="1" customHeight="1">
      <c r="A240" s="1352"/>
      <c r="B240" s="1353"/>
      <c r="C240" s="1357" t="s">
        <v>28</v>
      </c>
      <c r="D240" s="1355" t="s">
        <v>1362</v>
      </c>
      <c r="E240" s="1335">
        <f>1.1*BTN!$G$863</f>
        <v>0</v>
      </c>
      <c r="F240" s="1356" t="s">
        <v>47</v>
      </c>
      <c r="G240" s="1872">
        <f>D!$I$225</f>
        <v>9105.3284999999996</v>
      </c>
      <c r="H240" s="1872">
        <f>D!$I$229</f>
        <v>2245</v>
      </c>
      <c r="I240" s="1338">
        <f>G240+H240</f>
        <v>11350.3285</v>
      </c>
      <c r="J240" s="1338">
        <f>E240*G240</f>
        <v>0</v>
      </c>
      <c r="K240" s="1338">
        <f>E240*H240</f>
        <v>0</v>
      </c>
      <c r="L240" s="1530">
        <f>J240+K240</f>
        <v>0</v>
      </c>
      <c r="AB240" s="1221"/>
    </row>
    <row r="241" spans="1:28" ht="18" hidden="1" customHeight="1">
      <c r="A241" s="1352"/>
      <c r="B241" s="1353" t="s">
        <v>1361</v>
      </c>
      <c r="C241" s="1354"/>
      <c r="D241" s="1355" t="s">
        <v>57</v>
      </c>
      <c r="E241" s="1335">
        <f>BTN!$D$870</f>
        <v>0</v>
      </c>
      <c r="F241" s="1356" t="s">
        <v>19</v>
      </c>
      <c r="G241" s="1872">
        <f>D!$I$100</f>
        <v>206506.25</v>
      </c>
      <c r="H241" s="1872">
        <f>D!$I$104</f>
        <v>102350</v>
      </c>
      <c r="I241" s="1338">
        <f>G241+H241</f>
        <v>308856.25</v>
      </c>
      <c r="J241" s="1338">
        <f>E241*G241</f>
        <v>0</v>
      </c>
      <c r="K241" s="1338">
        <f>E241*H241</f>
        <v>0</v>
      </c>
      <c r="L241" s="1530">
        <f>J241+K241</f>
        <v>0</v>
      </c>
      <c r="AB241" s="1221"/>
    </row>
    <row r="242" spans="1:28" ht="18" hidden="1" customHeight="1">
      <c r="A242" s="1352">
        <f>A232+1</f>
        <v>5</v>
      </c>
      <c r="B242" s="1353" t="s">
        <v>58</v>
      </c>
      <c r="C242" s="1354"/>
      <c r="D242" s="1355"/>
      <c r="E242" s="1335"/>
      <c r="F242" s="1356"/>
      <c r="G242" s="1335"/>
      <c r="H242" s="1338"/>
      <c r="I242" s="1338">
        <f t="shared" si="51"/>
        <v>0</v>
      </c>
      <c r="J242" s="1338">
        <f t="shared" si="52"/>
        <v>0</v>
      </c>
      <c r="K242" s="1338">
        <f t="shared" si="53"/>
        <v>0</v>
      </c>
      <c r="L242" s="1530">
        <f t="shared" si="54"/>
        <v>0</v>
      </c>
      <c r="AB242" s="1221"/>
    </row>
    <row r="243" spans="1:28" ht="18" hidden="1" customHeight="1">
      <c r="A243" s="1352"/>
      <c r="B243" s="1353" t="s">
        <v>1364</v>
      </c>
      <c r="C243" s="1354"/>
      <c r="D243" s="1353" t="s">
        <v>1357</v>
      </c>
      <c r="E243" s="1335">
        <f>1.1*BTN!$D$874</f>
        <v>0</v>
      </c>
      <c r="F243" s="1356" t="s">
        <v>35</v>
      </c>
      <c r="G243" s="1872">
        <f>D!$I$134</f>
        <v>892522.85714285716</v>
      </c>
      <c r="H243" s="1872">
        <f>D!$I$138</f>
        <v>288100</v>
      </c>
      <c r="I243" s="1338">
        <f t="shared" si="51"/>
        <v>1180622.8571428573</v>
      </c>
      <c r="J243" s="1338">
        <f t="shared" si="52"/>
        <v>0</v>
      </c>
      <c r="K243" s="1338">
        <f t="shared" si="53"/>
        <v>0</v>
      </c>
      <c r="L243" s="1530">
        <f t="shared" si="54"/>
        <v>0</v>
      </c>
      <c r="AB243" s="1221"/>
    </row>
    <row r="244" spans="1:28" ht="18" hidden="1" customHeight="1">
      <c r="A244" s="1352"/>
      <c r="B244" s="1353" t="s">
        <v>1365</v>
      </c>
      <c r="C244" s="1354"/>
      <c r="D244" s="1355"/>
      <c r="E244" s="1335"/>
      <c r="F244" s="1356"/>
      <c r="G244" s="1872"/>
      <c r="H244" s="1872"/>
      <c r="I244" s="1338">
        <f t="shared" si="51"/>
        <v>0</v>
      </c>
      <c r="J244" s="1338">
        <f t="shared" si="52"/>
        <v>0</v>
      </c>
      <c r="K244" s="1338">
        <f t="shared" si="53"/>
        <v>0</v>
      </c>
      <c r="L244" s="1530">
        <f t="shared" si="54"/>
        <v>0</v>
      </c>
      <c r="AB244" s="1221"/>
    </row>
    <row r="245" spans="1:28" ht="18" hidden="1" customHeight="1">
      <c r="A245" s="1352"/>
      <c r="B245" s="1353"/>
      <c r="C245" s="1357" t="s">
        <v>28</v>
      </c>
      <c r="D245" s="1355" t="s">
        <v>1844</v>
      </c>
      <c r="E245" s="1335">
        <f>1.1*BTN!$F$880</f>
        <v>0</v>
      </c>
      <c r="F245" s="1356" t="s">
        <v>47</v>
      </c>
      <c r="G245" s="1872">
        <f>D!$I$234</f>
        <v>8903.2665000000015</v>
      </c>
      <c r="H245" s="1872">
        <f>D!$I$238</f>
        <v>2245</v>
      </c>
      <c r="I245" s="1338">
        <f t="shared" si="51"/>
        <v>11148.266500000002</v>
      </c>
      <c r="J245" s="1338">
        <f t="shared" si="52"/>
        <v>0</v>
      </c>
      <c r="K245" s="1338">
        <f t="shared" si="53"/>
        <v>0</v>
      </c>
      <c r="L245" s="1530">
        <f t="shared" si="54"/>
        <v>0</v>
      </c>
      <c r="AB245" s="1221"/>
    </row>
    <row r="246" spans="1:28" ht="18" hidden="1" customHeight="1">
      <c r="A246" s="1352"/>
      <c r="B246" s="1353"/>
      <c r="C246" s="1357" t="s">
        <v>28</v>
      </c>
      <c r="D246" s="1355" t="s">
        <v>1363</v>
      </c>
      <c r="E246" s="1335">
        <f>1.1*BTN!$F$881</f>
        <v>0</v>
      </c>
      <c r="F246" s="1356" t="s">
        <v>47</v>
      </c>
      <c r="G246" s="1872">
        <f>D!$I$234</f>
        <v>8903.2665000000015</v>
      </c>
      <c r="H246" s="1872">
        <f>D!$I$238</f>
        <v>2245</v>
      </c>
      <c r="I246" s="1338">
        <f t="shared" si="51"/>
        <v>11148.266500000002</v>
      </c>
      <c r="J246" s="1338">
        <f t="shared" si="52"/>
        <v>0</v>
      </c>
      <c r="K246" s="1338">
        <f t="shared" si="53"/>
        <v>0</v>
      </c>
      <c r="L246" s="1530">
        <f t="shared" si="54"/>
        <v>0</v>
      </c>
      <c r="AB246" s="1221"/>
    </row>
    <row r="247" spans="1:28" ht="18" hidden="1" customHeight="1">
      <c r="A247" s="1352"/>
      <c r="B247" s="1353" t="s">
        <v>1366</v>
      </c>
      <c r="C247" s="1354"/>
      <c r="D247" s="1355" t="s">
        <v>57</v>
      </c>
      <c r="E247" s="1335">
        <f>BTN!D886</f>
        <v>0</v>
      </c>
      <c r="F247" s="1356" t="s">
        <v>19</v>
      </c>
      <c r="G247" s="1872">
        <f>D!$I$87</f>
        <v>349150</v>
      </c>
      <c r="H247" s="1872">
        <f>D!$I$91</f>
        <v>102350</v>
      </c>
      <c r="I247" s="1338">
        <f t="shared" si="51"/>
        <v>451500</v>
      </c>
      <c r="J247" s="1338">
        <f t="shared" si="52"/>
        <v>0</v>
      </c>
      <c r="K247" s="1338">
        <f t="shared" si="53"/>
        <v>0</v>
      </c>
      <c r="L247" s="1530">
        <f t="shared" si="54"/>
        <v>0</v>
      </c>
      <c r="AB247" s="1221"/>
    </row>
    <row r="248" spans="1:28" ht="18" hidden="1" customHeight="1">
      <c r="A248" s="1352">
        <f>A232+1</f>
        <v>5</v>
      </c>
      <c r="B248" s="1353" t="s">
        <v>1640</v>
      </c>
      <c r="C248" s="1354"/>
      <c r="D248" s="1355"/>
      <c r="E248" s="1335"/>
      <c r="F248" s="1356"/>
      <c r="G248" s="1335"/>
      <c r="H248" s="1338"/>
      <c r="I248" s="1338"/>
      <c r="J248" s="1338"/>
      <c r="K248" s="1338"/>
      <c r="L248" s="1530"/>
    </row>
    <row r="249" spans="1:28" ht="18" hidden="1" customHeight="1">
      <c r="A249" s="1352"/>
      <c r="B249" s="1353" t="s">
        <v>1739</v>
      </c>
      <c r="C249" s="1354"/>
      <c r="D249" s="1353" t="s">
        <v>1357</v>
      </c>
      <c r="E249" s="1335">
        <f>1.1*BTN!$D$899</f>
        <v>0</v>
      </c>
      <c r="F249" s="1356" t="s">
        <v>35</v>
      </c>
      <c r="G249" s="1872">
        <f>D!$I$134</f>
        <v>892522.85714285716</v>
      </c>
      <c r="H249" s="1872">
        <f>D!$I$138</f>
        <v>288100</v>
      </c>
      <c r="I249" s="1338">
        <f t="shared" si="51"/>
        <v>1180622.8571428573</v>
      </c>
      <c r="J249" s="1338">
        <f t="shared" si="52"/>
        <v>0</v>
      </c>
      <c r="K249" s="1338">
        <f t="shared" si="53"/>
        <v>0</v>
      </c>
      <c r="L249" s="1530">
        <f t="shared" si="54"/>
        <v>0</v>
      </c>
    </row>
    <row r="250" spans="1:28" ht="18" hidden="1" customHeight="1">
      <c r="A250" s="1352"/>
      <c r="B250" s="1353" t="s">
        <v>1740</v>
      </c>
      <c r="C250" s="1354"/>
      <c r="D250" s="1355"/>
      <c r="E250" s="1335"/>
      <c r="F250" s="1356"/>
      <c r="G250" s="1872"/>
      <c r="H250" s="1872"/>
      <c r="I250" s="1338"/>
      <c r="J250" s="1338"/>
      <c r="K250" s="1338"/>
      <c r="L250" s="1530"/>
    </row>
    <row r="251" spans="1:28" ht="18" hidden="1" customHeight="1">
      <c r="A251" s="1352"/>
      <c r="B251" s="1353"/>
      <c r="C251" s="1357" t="s">
        <v>28</v>
      </c>
      <c r="D251" s="1355" t="s">
        <v>1594</v>
      </c>
      <c r="E251" s="1335">
        <f>1.1*BTN!$J$893</f>
        <v>0</v>
      </c>
      <c r="F251" s="1356" t="s">
        <v>47</v>
      </c>
      <c r="G251" s="1872">
        <f>D!$I$234</f>
        <v>8903.2665000000015</v>
      </c>
      <c r="H251" s="1872">
        <f>D!$I$238</f>
        <v>2245</v>
      </c>
      <c r="I251" s="1338">
        <f t="shared" si="51"/>
        <v>11148.266500000002</v>
      </c>
      <c r="J251" s="1338">
        <f t="shared" si="52"/>
        <v>0</v>
      </c>
      <c r="K251" s="1338">
        <f t="shared" si="53"/>
        <v>0</v>
      </c>
      <c r="L251" s="1530">
        <f t="shared" si="54"/>
        <v>0</v>
      </c>
    </row>
    <row r="252" spans="1:28" ht="18" hidden="1" customHeight="1">
      <c r="A252" s="1352"/>
      <c r="B252" s="1353"/>
      <c r="C252" s="1357" t="s">
        <v>28</v>
      </c>
      <c r="D252" s="1355" t="s">
        <v>1353</v>
      </c>
      <c r="E252" s="1335">
        <f>1.1*BTN!$P$893</f>
        <v>0</v>
      </c>
      <c r="F252" s="1356" t="s">
        <v>47</v>
      </c>
      <c r="G252" s="1872">
        <f>D!$I$225</f>
        <v>9105.3284999999996</v>
      </c>
      <c r="H252" s="1872">
        <f>D!$I$229</f>
        <v>2245</v>
      </c>
      <c r="I252" s="1338">
        <f t="shared" si="51"/>
        <v>11350.3285</v>
      </c>
      <c r="J252" s="1338">
        <f t="shared" si="52"/>
        <v>0</v>
      </c>
      <c r="K252" s="1338">
        <f t="shared" si="53"/>
        <v>0</v>
      </c>
      <c r="L252" s="1530">
        <f t="shared" si="54"/>
        <v>0</v>
      </c>
    </row>
    <row r="253" spans="1:28" ht="18" hidden="1" customHeight="1">
      <c r="A253" s="1352"/>
      <c r="B253" s="1353" t="s">
        <v>1741</v>
      </c>
      <c r="C253" s="1354"/>
      <c r="D253" s="1355" t="s">
        <v>57</v>
      </c>
      <c r="E253" s="1335">
        <f>BTN!$D$905</f>
        <v>0</v>
      </c>
      <c r="F253" s="1356" t="s">
        <v>19</v>
      </c>
      <c r="G253" s="1872">
        <f>D!$I$74</f>
        <v>233806.25</v>
      </c>
      <c r="H253" s="1872">
        <f>D!$I$78</f>
        <v>102350</v>
      </c>
      <c r="I253" s="1338">
        <f t="shared" si="51"/>
        <v>336156.25</v>
      </c>
      <c r="J253" s="1338">
        <f t="shared" si="52"/>
        <v>0</v>
      </c>
      <c r="K253" s="1338">
        <f t="shared" si="53"/>
        <v>0</v>
      </c>
      <c r="L253" s="1530">
        <f t="shared" si="54"/>
        <v>0</v>
      </c>
    </row>
    <row r="254" spans="1:28" ht="18" hidden="1" customHeight="1">
      <c r="A254" s="1877">
        <f>A248+1</f>
        <v>6</v>
      </c>
      <c r="B254" s="1878" t="s">
        <v>2216</v>
      </c>
      <c r="C254" s="1871"/>
      <c r="D254" s="1818"/>
      <c r="E254" s="1872"/>
      <c r="F254" s="1873"/>
      <c r="G254" s="1872"/>
      <c r="H254" s="1872"/>
      <c r="I254" s="1872"/>
      <c r="J254" s="1872"/>
      <c r="K254" s="1872"/>
      <c r="L254" s="1874"/>
    </row>
    <row r="255" spans="1:28" ht="18" hidden="1" customHeight="1">
      <c r="A255" s="1877"/>
      <c r="B255" s="1878" t="s">
        <v>2217</v>
      </c>
      <c r="C255" s="1871"/>
      <c r="D255" s="1878" t="s">
        <v>1357</v>
      </c>
      <c r="E255" s="1872">
        <f>1.1*BTN!$D$924</f>
        <v>0</v>
      </c>
      <c r="F255" s="1873" t="s">
        <v>35</v>
      </c>
      <c r="G255" s="1872">
        <f>D!$I$134</f>
        <v>892522.85714285716</v>
      </c>
      <c r="H255" s="1872">
        <f>D!$I$138</f>
        <v>288100</v>
      </c>
      <c r="I255" s="1872">
        <f t="shared" si="51"/>
        <v>1180622.8571428573</v>
      </c>
      <c r="J255" s="1872">
        <f t="shared" si="52"/>
        <v>0</v>
      </c>
      <c r="K255" s="1872">
        <f t="shared" si="53"/>
        <v>0</v>
      </c>
      <c r="L255" s="1874">
        <f t="shared" si="54"/>
        <v>0</v>
      </c>
    </row>
    <row r="256" spans="1:28" ht="18" hidden="1" customHeight="1">
      <c r="A256" s="1877"/>
      <c r="B256" s="1878" t="s">
        <v>2218</v>
      </c>
      <c r="C256" s="1871"/>
      <c r="D256" s="1818"/>
      <c r="E256" s="1872"/>
      <c r="F256" s="1873"/>
      <c r="G256" s="1872"/>
      <c r="H256" s="1872"/>
      <c r="I256" s="1872"/>
      <c r="J256" s="1872"/>
      <c r="K256" s="1872"/>
      <c r="L256" s="1874"/>
    </row>
    <row r="257" spans="1:28" ht="18" hidden="1" customHeight="1">
      <c r="A257" s="1877"/>
      <c r="B257" s="1878"/>
      <c r="C257" s="1879" t="s">
        <v>28</v>
      </c>
      <c r="D257" s="1818" t="s">
        <v>1594</v>
      </c>
      <c r="E257" s="1872">
        <f>1.1*BTN!$J$915</f>
        <v>0</v>
      </c>
      <c r="F257" s="1873" t="s">
        <v>47</v>
      </c>
      <c r="G257" s="1872">
        <f>D!$I$234</f>
        <v>8903.2665000000015</v>
      </c>
      <c r="H257" s="1872">
        <f>D!$I$238</f>
        <v>2245</v>
      </c>
      <c r="I257" s="1872">
        <f t="shared" si="51"/>
        <v>11148.266500000002</v>
      </c>
      <c r="J257" s="1872">
        <f t="shared" si="52"/>
        <v>0</v>
      </c>
      <c r="K257" s="1872">
        <f t="shared" si="53"/>
        <v>0</v>
      </c>
      <c r="L257" s="1874">
        <f t="shared" si="54"/>
        <v>0</v>
      </c>
    </row>
    <row r="258" spans="1:28" ht="18" hidden="1" customHeight="1">
      <c r="A258" s="1877"/>
      <c r="B258" s="1878"/>
      <c r="C258" s="1879" t="s">
        <v>28</v>
      </c>
      <c r="D258" s="1818" t="s">
        <v>1353</v>
      </c>
      <c r="E258" s="1872">
        <f>1.1*BTN!$P$915</f>
        <v>0</v>
      </c>
      <c r="F258" s="1873" t="s">
        <v>47</v>
      </c>
      <c r="G258" s="1872">
        <f>D!$I$225</f>
        <v>9105.3284999999996</v>
      </c>
      <c r="H258" s="1872">
        <f>D!$I$229</f>
        <v>2245</v>
      </c>
      <c r="I258" s="1872">
        <f t="shared" si="51"/>
        <v>11350.3285</v>
      </c>
      <c r="J258" s="1872">
        <f t="shared" si="52"/>
        <v>0</v>
      </c>
      <c r="K258" s="1872">
        <f t="shared" si="53"/>
        <v>0</v>
      </c>
      <c r="L258" s="1874">
        <f t="shared" si="54"/>
        <v>0</v>
      </c>
    </row>
    <row r="259" spans="1:28" ht="18" hidden="1" customHeight="1">
      <c r="A259" s="1877"/>
      <c r="B259" s="1878" t="s">
        <v>2219</v>
      </c>
      <c r="C259" s="1871"/>
      <c r="D259" s="1818" t="s">
        <v>57</v>
      </c>
      <c r="E259" s="1872">
        <f>BTN!$D$933</f>
        <v>0</v>
      </c>
      <c r="F259" s="1873" t="s">
        <v>19</v>
      </c>
      <c r="G259" s="1872">
        <f>D!$I$87</f>
        <v>349150</v>
      </c>
      <c r="H259" s="1872">
        <f>D!$I$91</f>
        <v>102350</v>
      </c>
      <c r="I259" s="1872">
        <f t="shared" si="51"/>
        <v>451500</v>
      </c>
      <c r="J259" s="1872">
        <f t="shared" si="52"/>
        <v>0</v>
      </c>
      <c r="K259" s="1872">
        <f t="shared" si="53"/>
        <v>0</v>
      </c>
      <c r="L259" s="1874">
        <f t="shared" si="54"/>
        <v>0</v>
      </c>
    </row>
    <row r="260" spans="1:28" ht="18" hidden="1" customHeight="1">
      <c r="A260" s="1352">
        <f>A254+1</f>
        <v>7</v>
      </c>
      <c r="B260" s="1353" t="s">
        <v>2676</v>
      </c>
      <c r="C260" s="1354"/>
      <c r="D260" s="1355"/>
      <c r="E260" s="1335"/>
      <c r="F260" s="1356"/>
      <c r="G260" s="1335"/>
      <c r="H260" s="1338"/>
      <c r="I260" s="1338">
        <f t="shared" si="51"/>
        <v>0</v>
      </c>
      <c r="J260" s="1338">
        <f t="shared" si="52"/>
        <v>0</v>
      </c>
      <c r="K260" s="1338">
        <f t="shared" si="53"/>
        <v>0</v>
      </c>
      <c r="L260" s="1530">
        <f t="shared" si="54"/>
        <v>0</v>
      </c>
      <c r="AB260" s="1221"/>
    </row>
    <row r="261" spans="1:28" ht="18" hidden="1" customHeight="1">
      <c r="A261" s="1352"/>
      <c r="B261" s="1353" t="s">
        <v>2505</v>
      </c>
      <c r="C261" s="1354"/>
      <c r="D261" s="1353" t="s">
        <v>2712</v>
      </c>
      <c r="E261" s="1335">
        <f>1.1*BTN!$E$1912</f>
        <v>0</v>
      </c>
      <c r="F261" s="1356" t="s">
        <v>35</v>
      </c>
      <c r="G261" s="1872">
        <f>D!$I$189</f>
        <v>1119202</v>
      </c>
      <c r="H261" s="1872">
        <f>D!$I$193</f>
        <v>288100</v>
      </c>
      <c r="I261" s="1338">
        <f t="shared" si="51"/>
        <v>1407302</v>
      </c>
      <c r="J261" s="1338">
        <f t="shared" si="52"/>
        <v>0</v>
      </c>
      <c r="K261" s="1338">
        <f t="shared" si="53"/>
        <v>0</v>
      </c>
      <c r="L261" s="1530">
        <f t="shared" si="54"/>
        <v>0</v>
      </c>
      <c r="AB261" s="1221"/>
    </row>
    <row r="262" spans="1:28" ht="18" hidden="1" customHeight="1">
      <c r="A262" s="1352"/>
      <c r="B262" s="1353" t="s">
        <v>2506</v>
      </c>
      <c r="C262" s="1354"/>
      <c r="D262" s="1355"/>
      <c r="E262" s="1335"/>
      <c r="F262" s="1356"/>
      <c r="G262" s="1872"/>
      <c r="H262" s="1872"/>
      <c r="I262" s="1338">
        <f t="shared" si="51"/>
        <v>0</v>
      </c>
      <c r="J262" s="1338">
        <f t="shared" si="52"/>
        <v>0</v>
      </c>
      <c r="K262" s="1338">
        <f t="shared" si="53"/>
        <v>0</v>
      </c>
      <c r="L262" s="1530">
        <f t="shared" si="54"/>
        <v>0</v>
      </c>
      <c r="AB262" s="1221"/>
    </row>
    <row r="263" spans="1:28" ht="18" hidden="1" customHeight="1">
      <c r="A263" s="1352"/>
      <c r="B263" s="1353"/>
      <c r="C263" s="1357" t="s">
        <v>28</v>
      </c>
      <c r="D263" s="1355" t="s">
        <v>2369</v>
      </c>
      <c r="E263" s="1335">
        <f>1.1*BTN!$H$1894</f>
        <v>0</v>
      </c>
      <c r="F263" s="1356" t="s">
        <v>47</v>
      </c>
      <c r="G263" s="1872">
        <f>D!$I$261</f>
        <v>9365.8860000000004</v>
      </c>
      <c r="H263" s="1872">
        <f>D!$I$274</f>
        <v>2245</v>
      </c>
      <c r="I263" s="1338">
        <f t="shared" si="51"/>
        <v>11610.886</v>
      </c>
      <c r="J263" s="1338">
        <f t="shared" si="52"/>
        <v>0</v>
      </c>
      <c r="K263" s="1338">
        <f t="shared" si="53"/>
        <v>0</v>
      </c>
      <c r="L263" s="1530">
        <f t="shared" si="54"/>
        <v>0</v>
      </c>
      <c r="AB263" s="1221"/>
    </row>
    <row r="264" spans="1:28" ht="18" hidden="1" customHeight="1">
      <c r="A264" s="1352"/>
      <c r="B264" s="1353" t="s">
        <v>2507</v>
      </c>
      <c r="C264" s="1354"/>
      <c r="D264" s="1355" t="s">
        <v>57</v>
      </c>
      <c r="E264" s="1335">
        <f>1.1*BTN!$D$1922</f>
        <v>0</v>
      </c>
      <c r="F264" s="1356" t="s">
        <v>19</v>
      </c>
      <c r="G264" s="1872">
        <f>D!$I$114</f>
        <v>238650</v>
      </c>
      <c r="H264" s="1872">
        <f>D!$I$91</f>
        <v>102350</v>
      </c>
      <c r="I264" s="1338">
        <f t="shared" si="51"/>
        <v>341000</v>
      </c>
      <c r="J264" s="1338">
        <f t="shared" si="52"/>
        <v>0</v>
      </c>
      <c r="K264" s="1338">
        <f t="shared" si="53"/>
        <v>0</v>
      </c>
      <c r="L264" s="1530">
        <f t="shared" si="54"/>
        <v>0</v>
      </c>
      <c r="AB264" s="1221"/>
    </row>
    <row r="265" spans="1:28" ht="18" hidden="1" customHeight="1">
      <c r="A265" s="1352">
        <f>A260+1</f>
        <v>8</v>
      </c>
      <c r="B265" s="1353" t="s">
        <v>2812</v>
      </c>
      <c r="C265" s="1354"/>
      <c r="D265" s="1355"/>
      <c r="E265" s="1335"/>
      <c r="F265" s="1356"/>
      <c r="G265" s="1335"/>
      <c r="H265" s="1338"/>
      <c r="I265" s="1338">
        <f t="shared" si="51"/>
        <v>0</v>
      </c>
      <c r="J265" s="1338">
        <f t="shared" si="52"/>
        <v>0</v>
      </c>
      <c r="K265" s="1338">
        <f t="shared" si="53"/>
        <v>0</v>
      </c>
      <c r="L265" s="1530">
        <f t="shared" si="54"/>
        <v>0</v>
      </c>
      <c r="AB265" s="1221"/>
    </row>
    <row r="266" spans="1:28" ht="18" hidden="1" customHeight="1" thickBot="1">
      <c r="A266" s="1352"/>
      <c r="B266" s="1353" t="s">
        <v>2559</v>
      </c>
      <c r="C266" s="1354"/>
      <c r="D266" s="1353" t="s">
        <v>2528</v>
      </c>
      <c r="E266" s="1335">
        <f>BTN!$J$840*1.1</f>
        <v>0</v>
      </c>
      <c r="F266" s="1922" t="s">
        <v>129</v>
      </c>
      <c r="G266" s="1872">
        <f>D!$I$294</f>
        <v>355800.5</v>
      </c>
      <c r="H266" s="1872">
        <f>D!$I$295</f>
        <v>97036.5</v>
      </c>
      <c r="I266" s="1338">
        <f t="shared" si="51"/>
        <v>452837</v>
      </c>
      <c r="J266" s="1338">
        <f t="shared" si="52"/>
        <v>0</v>
      </c>
      <c r="K266" s="1338">
        <f t="shared" si="53"/>
        <v>0</v>
      </c>
      <c r="L266" s="1530">
        <f t="shared" si="54"/>
        <v>0</v>
      </c>
      <c r="AB266" s="1221"/>
    </row>
    <row r="267" spans="1:28" s="1760" customFormat="1" ht="18" hidden="1" customHeight="1" thickTop="1" thickBot="1">
      <c r="A267" s="2675" t="str">
        <f>"Sub total pekerjaan "&amp;B205&amp;"="</f>
        <v>Sub total pekerjaan Lantai Atap=</v>
      </c>
      <c r="B267" s="2676"/>
      <c r="C267" s="2676"/>
      <c r="D267" s="2676"/>
      <c r="E267" s="2676"/>
      <c r="F267" s="2676"/>
      <c r="G267" s="2676"/>
      <c r="H267" s="1705"/>
      <c r="I267" s="1705"/>
      <c r="J267" s="2067">
        <f>SUM(J206:J266)</f>
        <v>0</v>
      </c>
      <c r="K267" s="2068">
        <f>SUM(K206:K266)</f>
        <v>0</v>
      </c>
      <c r="L267" s="1543">
        <f>SUM(L206:L266)</f>
        <v>0</v>
      </c>
      <c r="M267" s="1760">
        <v>1</v>
      </c>
      <c r="N267" s="1760">
        <v>11</v>
      </c>
      <c r="P267" s="1920"/>
    </row>
    <row r="268" spans="1:28" ht="18" hidden="1" customHeight="1" thickTop="1">
      <c r="A268" s="1379" t="s">
        <v>1413</v>
      </c>
      <c r="B268" s="1535" t="s">
        <v>72</v>
      </c>
      <c r="C268" s="1535"/>
      <c r="D268" s="1370"/>
      <c r="E268" s="1536"/>
      <c r="F268" s="1537"/>
      <c r="G268" s="1330"/>
      <c r="H268" s="1330"/>
      <c r="I268" s="1330"/>
      <c r="J268" s="1330"/>
      <c r="K268" s="1330"/>
      <c r="L268" s="1331"/>
      <c r="N268" s="1300">
        <v>12</v>
      </c>
      <c r="AB268" s="1221"/>
    </row>
    <row r="269" spans="1:28" ht="18" hidden="1" customHeight="1">
      <c r="A269" s="1352">
        <v>1</v>
      </c>
      <c r="B269" s="1353" t="s">
        <v>1354</v>
      </c>
      <c r="C269" s="1354"/>
      <c r="D269" s="1355"/>
      <c r="E269" s="1335"/>
      <c r="F269" s="1356"/>
      <c r="G269" s="1335"/>
      <c r="H269" s="1338"/>
      <c r="I269" s="1338"/>
      <c r="J269" s="1338"/>
      <c r="K269" s="1338"/>
      <c r="L269" s="1530"/>
      <c r="AB269" s="1221"/>
    </row>
    <row r="270" spans="1:28" ht="18" hidden="1" customHeight="1">
      <c r="A270" s="1352"/>
      <c r="B270" s="1353" t="s">
        <v>54</v>
      </c>
      <c r="C270" s="1354"/>
      <c r="D270" s="1353" t="s">
        <v>2712</v>
      </c>
      <c r="E270" s="1335">
        <f>1.1*BTN!$E$959</f>
        <v>0</v>
      </c>
      <c r="F270" s="1356" t="s">
        <v>35</v>
      </c>
      <c r="G270" s="1872">
        <f>D!$I$189</f>
        <v>1119202</v>
      </c>
      <c r="H270" s="1872">
        <f>D!$I$193</f>
        <v>288100</v>
      </c>
      <c r="I270" s="1338">
        <f>G270+H270</f>
        <v>1407302</v>
      </c>
      <c r="J270" s="1338">
        <f>E270*G270</f>
        <v>0</v>
      </c>
      <c r="K270" s="1338">
        <f>E270*H270</f>
        <v>0</v>
      </c>
      <c r="L270" s="1530">
        <f>J270+K270</f>
        <v>0</v>
      </c>
      <c r="AB270" s="1221"/>
    </row>
    <row r="271" spans="1:28" ht="18" hidden="1" customHeight="1">
      <c r="A271" s="1352"/>
      <c r="B271" s="1353" t="s">
        <v>55</v>
      </c>
      <c r="C271" s="1354"/>
      <c r="D271" s="1355"/>
      <c r="E271" s="1335"/>
      <c r="F271" s="1356"/>
      <c r="G271" s="1872"/>
      <c r="H271" s="1872"/>
      <c r="I271" s="1338"/>
      <c r="J271" s="1338"/>
      <c r="K271" s="1338"/>
      <c r="L271" s="1530"/>
      <c r="AB271" s="1221"/>
    </row>
    <row r="272" spans="1:28" ht="18" hidden="1" customHeight="1">
      <c r="A272" s="1352"/>
      <c r="B272" s="1353"/>
      <c r="C272" s="1357" t="s">
        <v>28</v>
      </c>
      <c r="D272" s="1529" t="s">
        <v>2272</v>
      </c>
      <c r="E272" s="1335">
        <f>1.1*BTN!$H$987</f>
        <v>0</v>
      </c>
      <c r="F272" s="1356" t="s">
        <v>47</v>
      </c>
      <c r="G272" s="1872">
        <f>D!$I$270</f>
        <v>9279.7755000000016</v>
      </c>
      <c r="H272" s="1872">
        <f>D!$I$274</f>
        <v>2245</v>
      </c>
      <c r="I272" s="1338">
        <f t="shared" ref="I272:I278" si="55">G272+H272</f>
        <v>11524.775500000002</v>
      </c>
      <c r="J272" s="1338">
        <f t="shared" ref="J272:J278" si="56">E272*G272</f>
        <v>0</v>
      </c>
      <c r="K272" s="1338">
        <f t="shared" ref="K272:K278" si="57">E272*H272</f>
        <v>0</v>
      </c>
      <c r="L272" s="1530">
        <f t="shared" ref="L272:L278" si="58">J272+K272</f>
        <v>0</v>
      </c>
      <c r="AB272" s="1221"/>
    </row>
    <row r="273" spans="1:28" ht="18" hidden="1" customHeight="1">
      <c r="A273" s="1352"/>
      <c r="B273" s="1353"/>
      <c r="C273" s="1357" t="s">
        <v>28</v>
      </c>
      <c r="D273" s="1372" t="s">
        <v>2369</v>
      </c>
      <c r="E273" s="1335">
        <f>1.1*BTN!I987</f>
        <v>0</v>
      </c>
      <c r="F273" s="1356" t="s">
        <v>47</v>
      </c>
      <c r="G273" s="1872">
        <f>D!$I$261</f>
        <v>9365.8860000000004</v>
      </c>
      <c r="H273" s="1872">
        <f>D!$I$256</f>
        <v>2245</v>
      </c>
      <c r="I273" s="1338">
        <f t="shared" si="55"/>
        <v>11610.886</v>
      </c>
      <c r="J273" s="1338">
        <f t="shared" si="56"/>
        <v>0</v>
      </c>
      <c r="K273" s="1338">
        <f t="shared" si="57"/>
        <v>0</v>
      </c>
      <c r="L273" s="1530">
        <f t="shared" si="58"/>
        <v>0</v>
      </c>
      <c r="AB273" s="1221"/>
    </row>
    <row r="274" spans="1:28" ht="18" hidden="1" customHeight="1">
      <c r="A274" s="1352"/>
      <c r="B274" s="1353"/>
      <c r="C274" s="1357" t="s">
        <v>28</v>
      </c>
      <c r="D274" s="1372" t="s">
        <v>2221</v>
      </c>
      <c r="E274" s="1335">
        <f>1.1*BTN!$K$987</f>
        <v>0</v>
      </c>
      <c r="F274" s="1356" t="s">
        <v>47</v>
      </c>
      <c r="G274" s="1872">
        <f>D!$I$252</f>
        <v>9796.7115000000013</v>
      </c>
      <c r="H274" s="1872">
        <f>D!$I$256</f>
        <v>2245</v>
      </c>
      <c r="I274" s="1338">
        <f t="shared" si="55"/>
        <v>12041.711500000001</v>
      </c>
      <c r="J274" s="1338">
        <f t="shared" si="56"/>
        <v>0</v>
      </c>
      <c r="K274" s="1338">
        <f t="shared" si="57"/>
        <v>0</v>
      </c>
      <c r="L274" s="1530">
        <f t="shared" si="58"/>
        <v>0</v>
      </c>
      <c r="AB274" s="1221"/>
    </row>
    <row r="275" spans="1:28" ht="18" hidden="1" customHeight="1">
      <c r="A275" s="1352"/>
      <c r="B275" s="1353"/>
      <c r="C275" s="1357" t="s">
        <v>28</v>
      </c>
      <c r="D275" s="1355" t="s">
        <v>2347</v>
      </c>
      <c r="E275" s="1335">
        <f>1.1*BTN!$J$987</f>
        <v>0</v>
      </c>
      <c r="F275" s="1356" t="s">
        <v>47</v>
      </c>
      <c r="G275" s="1872">
        <f>D!$I$243</f>
        <v>8750.67</v>
      </c>
      <c r="H275" s="1872">
        <f>D!$I$247</f>
        <v>2245</v>
      </c>
      <c r="I275" s="1338">
        <f t="shared" si="55"/>
        <v>10995.67</v>
      </c>
      <c r="J275" s="1338">
        <f t="shared" si="56"/>
        <v>0</v>
      </c>
      <c r="K275" s="1338">
        <f t="shared" si="57"/>
        <v>0</v>
      </c>
      <c r="L275" s="1530">
        <f t="shared" si="58"/>
        <v>0</v>
      </c>
      <c r="AB275" s="1221"/>
    </row>
    <row r="276" spans="1:28" ht="18" hidden="1" customHeight="1">
      <c r="A276" s="1827"/>
      <c r="B276" s="1828"/>
      <c r="C276" s="1830" t="s">
        <v>28</v>
      </c>
      <c r="D276" s="1355" t="s">
        <v>1911</v>
      </c>
      <c r="E276" s="1820">
        <f>1.1*BTN!$R$987</f>
        <v>0</v>
      </c>
      <c r="F276" s="1821" t="s">
        <v>47</v>
      </c>
      <c r="G276" s="1872">
        <f>D!$I$234</f>
        <v>8903.2665000000015</v>
      </c>
      <c r="H276" s="1872">
        <f>D!$I$256</f>
        <v>2245</v>
      </c>
      <c r="I276" s="1338">
        <f t="shared" si="55"/>
        <v>11148.266500000002</v>
      </c>
      <c r="J276" s="1338">
        <f t="shared" si="56"/>
        <v>0</v>
      </c>
      <c r="K276" s="1338">
        <f t="shared" si="57"/>
        <v>0</v>
      </c>
      <c r="L276" s="1530">
        <f t="shared" si="58"/>
        <v>0</v>
      </c>
      <c r="AB276" s="1221"/>
    </row>
    <row r="277" spans="1:28" ht="18" hidden="1" customHeight="1">
      <c r="A277" s="1352"/>
      <c r="B277" s="1353"/>
      <c r="C277" s="1357" t="s">
        <v>28</v>
      </c>
      <c r="D277" s="1355" t="s">
        <v>1353</v>
      </c>
      <c r="E277" s="1335">
        <f>1.1*BTN!$R$986</f>
        <v>0</v>
      </c>
      <c r="F277" s="1362" t="s">
        <v>47</v>
      </c>
      <c r="G277" s="1872">
        <f>D!$I$225</f>
        <v>9105.3284999999996</v>
      </c>
      <c r="H277" s="1872">
        <f>D!$I$229</f>
        <v>2245</v>
      </c>
      <c r="I277" s="1338">
        <f t="shared" si="55"/>
        <v>11350.3285</v>
      </c>
      <c r="J277" s="1338">
        <f t="shared" si="56"/>
        <v>0</v>
      </c>
      <c r="K277" s="1338">
        <f t="shared" si="57"/>
        <v>0</v>
      </c>
      <c r="L277" s="1530">
        <f t="shared" si="58"/>
        <v>0</v>
      </c>
      <c r="AB277" s="1221"/>
    </row>
    <row r="278" spans="1:28" ht="18" hidden="1" customHeight="1">
      <c r="A278" s="1352"/>
      <c r="B278" s="1353" t="s">
        <v>56</v>
      </c>
      <c r="C278" s="1354"/>
      <c r="D278" s="1355" t="s">
        <v>57</v>
      </c>
      <c r="E278" s="1335">
        <f>BTN!$E$1014</f>
        <v>0</v>
      </c>
      <c r="F278" s="1356" t="s">
        <v>19</v>
      </c>
      <c r="G278" s="1872">
        <f>D!$I$61</f>
        <v>196006.25</v>
      </c>
      <c r="H278" s="1872">
        <f>D!$I$65</f>
        <v>102350</v>
      </c>
      <c r="I278" s="1338">
        <f t="shared" si="55"/>
        <v>298356.25</v>
      </c>
      <c r="J278" s="1338">
        <f t="shared" si="56"/>
        <v>0</v>
      </c>
      <c r="K278" s="1338">
        <f t="shared" si="57"/>
        <v>0</v>
      </c>
      <c r="L278" s="1530">
        <f t="shared" si="58"/>
        <v>0</v>
      </c>
      <c r="AB278" s="1221"/>
    </row>
    <row r="279" spans="1:28" ht="18" hidden="1" customHeight="1">
      <c r="A279" s="1352">
        <f>A269+1</f>
        <v>2</v>
      </c>
      <c r="B279" s="1353" t="s">
        <v>1356</v>
      </c>
      <c r="C279" s="1354"/>
      <c r="D279" s="1355"/>
      <c r="E279" s="1335"/>
      <c r="F279" s="1356"/>
      <c r="G279" s="1335"/>
      <c r="H279" s="1338"/>
      <c r="I279" s="1338"/>
      <c r="J279" s="1338"/>
      <c r="K279" s="1338"/>
      <c r="L279" s="1530"/>
      <c r="AB279" s="1221"/>
    </row>
    <row r="280" spans="1:28" ht="18" hidden="1" customHeight="1">
      <c r="A280" s="1352"/>
      <c r="B280" s="1353" t="s">
        <v>54</v>
      </c>
      <c r="C280" s="1354"/>
      <c r="D280" s="1353" t="s">
        <v>1357</v>
      </c>
      <c r="E280" s="1335">
        <f>1.1*BTN!$E$964</f>
        <v>0</v>
      </c>
      <c r="F280" s="1356" t="s">
        <v>35</v>
      </c>
      <c r="G280" s="1872">
        <f>D!$I$134</f>
        <v>892522.85714285716</v>
      </c>
      <c r="H280" s="1872">
        <f>D!$I$138</f>
        <v>288100</v>
      </c>
      <c r="I280" s="1338">
        <f>G280+H280</f>
        <v>1180622.8571428573</v>
      </c>
      <c r="J280" s="1338">
        <f>E280*G280</f>
        <v>0</v>
      </c>
      <c r="K280" s="1338">
        <f>E280*H280</f>
        <v>0</v>
      </c>
      <c r="L280" s="1530">
        <f>J280+K280</f>
        <v>0</v>
      </c>
      <c r="AB280" s="1221"/>
    </row>
    <row r="281" spans="1:28" ht="18" hidden="1" customHeight="1">
      <c r="A281" s="1352"/>
      <c r="B281" s="1353" t="s">
        <v>55</v>
      </c>
      <c r="C281" s="1354"/>
      <c r="D281" s="1355"/>
      <c r="E281" s="1335"/>
      <c r="F281" s="1356"/>
      <c r="G281" s="1872"/>
      <c r="H281" s="1872"/>
      <c r="I281" s="1338"/>
      <c r="J281" s="1338"/>
      <c r="K281" s="1338"/>
      <c r="L281" s="1530"/>
      <c r="AB281" s="1221"/>
    </row>
    <row r="282" spans="1:28" ht="18" hidden="1" customHeight="1">
      <c r="A282" s="1352"/>
      <c r="B282" s="1353"/>
      <c r="C282" s="1357" t="s">
        <v>28</v>
      </c>
      <c r="D282" s="1372" t="s">
        <v>2221</v>
      </c>
      <c r="E282" s="1335">
        <f>1.1*BTN!$F$993</f>
        <v>0</v>
      </c>
      <c r="F282" s="1356" t="s">
        <v>47</v>
      </c>
      <c r="G282" s="1872">
        <f>D!$I$252</f>
        <v>9796.7115000000013</v>
      </c>
      <c r="H282" s="1872">
        <f>D!$I$256</f>
        <v>2245</v>
      </c>
      <c r="I282" s="1338">
        <f>G282+H282</f>
        <v>12041.711500000001</v>
      </c>
      <c r="J282" s="1338">
        <f>E282*G282</f>
        <v>0</v>
      </c>
      <c r="K282" s="1338">
        <f>E282*H282</f>
        <v>0</v>
      </c>
      <c r="L282" s="1530">
        <f>J282+K282</f>
        <v>0</v>
      </c>
      <c r="AB282" s="1221"/>
    </row>
    <row r="283" spans="1:28" ht="18" hidden="1" customHeight="1">
      <c r="A283" s="1352"/>
      <c r="B283" s="1353"/>
      <c r="C283" s="1357" t="s">
        <v>28</v>
      </c>
      <c r="D283" s="1355" t="s">
        <v>1353</v>
      </c>
      <c r="E283" s="1335">
        <f>1.1*BTN!$Q$993</f>
        <v>0</v>
      </c>
      <c r="F283" s="1356" t="s">
        <v>47</v>
      </c>
      <c r="G283" s="1872">
        <f>D!$I$225</f>
        <v>9105.3284999999996</v>
      </c>
      <c r="H283" s="1872">
        <f>D!$I$229</f>
        <v>2245</v>
      </c>
      <c r="I283" s="1338">
        <f>G283+H283</f>
        <v>11350.3285</v>
      </c>
      <c r="J283" s="1338">
        <f>E283*G283</f>
        <v>0</v>
      </c>
      <c r="K283" s="1338">
        <f>E283*H283</f>
        <v>0</v>
      </c>
      <c r="L283" s="1530">
        <f>J283+K283</f>
        <v>0</v>
      </c>
      <c r="AB283" s="1221"/>
    </row>
    <row r="284" spans="1:28" ht="18" hidden="1" customHeight="1">
      <c r="A284" s="1352"/>
      <c r="B284" s="1353" t="s">
        <v>56</v>
      </c>
      <c r="C284" s="1354"/>
      <c r="D284" s="1355" t="s">
        <v>57</v>
      </c>
      <c r="E284" s="1335">
        <f>BTN!$E$1021</f>
        <v>0</v>
      </c>
      <c r="F284" s="1356" t="s">
        <v>19</v>
      </c>
      <c r="G284" s="1872">
        <f>D!$I$61</f>
        <v>196006.25</v>
      </c>
      <c r="H284" s="1872">
        <f>D!$I$65</f>
        <v>102350</v>
      </c>
      <c r="I284" s="1338">
        <f>G284+H284</f>
        <v>298356.25</v>
      </c>
      <c r="J284" s="1338">
        <f>E284*G284</f>
        <v>0</v>
      </c>
      <c r="K284" s="1338">
        <f>E284*H284</f>
        <v>0</v>
      </c>
      <c r="L284" s="1530">
        <f>J284+K284</f>
        <v>0</v>
      </c>
      <c r="AB284" s="1221"/>
    </row>
    <row r="285" spans="1:28" ht="18" hidden="1" customHeight="1">
      <c r="A285" s="1364">
        <f>A279+1</f>
        <v>3</v>
      </c>
      <c r="B285" s="1353" t="s">
        <v>62</v>
      </c>
      <c r="C285" s="1355"/>
      <c r="D285" s="1353"/>
      <c r="E285" s="1335"/>
      <c r="F285" s="1356"/>
      <c r="G285" s="1335"/>
      <c r="H285" s="1338"/>
      <c r="I285" s="1338"/>
      <c r="J285" s="1338"/>
      <c r="K285" s="1338"/>
      <c r="L285" s="1530"/>
      <c r="AB285" s="1221"/>
    </row>
    <row r="286" spans="1:28" ht="18" hidden="1" customHeight="1">
      <c r="A286" s="1364"/>
      <c r="B286" s="1355" t="s">
        <v>63</v>
      </c>
      <c r="C286" s="1355"/>
      <c r="D286" s="1353" t="s">
        <v>2712</v>
      </c>
      <c r="E286" s="1335">
        <f>1.1*BTN!$D$1073</f>
        <v>0</v>
      </c>
      <c r="F286" s="1356" t="s">
        <v>35</v>
      </c>
      <c r="G286" s="1872">
        <f>D!$I$189</f>
        <v>1119202</v>
      </c>
      <c r="H286" s="1872">
        <f>D!$I$193</f>
        <v>288100</v>
      </c>
      <c r="I286" s="1338">
        <f>G286+H286</f>
        <v>1407302</v>
      </c>
      <c r="J286" s="1338">
        <f>E286*G286</f>
        <v>0</v>
      </c>
      <c r="K286" s="1338">
        <f>E286*H286</f>
        <v>0</v>
      </c>
      <c r="L286" s="1530">
        <f>J286+K286</f>
        <v>0</v>
      </c>
      <c r="AB286" s="1221"/>
    </row>
    <row r="287" spans="1:28" ht="18" hidden="1" customHeight="1">
      <c r="A287" s="1364"/>
      <c r="B287" s="1355" t="s">
        <v>64</v>
      </c>
      <c r="C287" s="1355"/>
      <c r="D287" s="1353"/>
      <c r="E287" s="1335"/>
      <c r="F287" s="1356"/>
      <c r="G287" s="1872"/>
      <c r="H287" s="1872"/>
      <c r="I287" s="1338"/>
      <c r="J287" s="1338"/>
      <c r="K287" s="1338"/>
      <c r="L287" s="1530"/>
      <c r="AB287" s="1221"/>
    </row>
    <row r="288" spans="1:28" ht="18" hidden="1" customHeight="1">
      <c r="A288" s="1528"/>
      <c r="B288" s="1353"/>
      <c r="C288" s="1357" t="s">
        <v>28</v>
      </c>
      <c r="D288" s="1529" t="s">
        <v>2272</v>
      </c>
      <c r="E288" s="1335">
        <f>1.1*BTN!$H$1047</f>
        <v>0</v>
      </c>
      <c r="F288" s="1356" t="s">
        <v>47</v>
      </c>
      <c r="G288" s="1872">
        <f>D!$I$270</f>
        <v>9279.7755000000016</v>
      </c>
      <c r="H288" s="1872">
        <f>D!$I$274</f>
        <v>2245</v>
      </c>
      <c r="I288" s="1338">
        <f t="shared" ref="I288:I295" si="59">G288+H288</f>
        <v>11524.775500000002</v>
      </c>
      <c r="J288" s="1338">
        <f t="shared" ref="J288:J295" si="60">E288*G288</f>
        <v>0</v>
      </c>
      <c r="K288" s="1338">
        <f t="shared" ref="K288:K295" si="61">E288*H288</f>
        <v>0</v>
      </c>
      <c r="L288" s="1530">
        <f t="shared" ref="L288:L295" si="62">J288+K288</f>
        <v>0</v>
      </c>
      <c r="AB288" s="1221"/>
    </row>
    <row r="289" spans="1:28" ht="18" hidden="1" customHeight="1">
      <c r="A289" s="1352"/>
      <c r="B289" s="1353"/>
      <c r="C289" s="1357" t="s">
        <v>28</v>
      </c>
      <c r="D289" s="1372" t="s">
        <v>2369</v>
      </c>
      <c r="E289" s="1335">
        <f>1.1*BTN!$I$1047</f>
        <v>0</v>
      </c>
      <c r="F289" s="1356" t="s">
        <v>47</v>
      </c>
      <c r="G289" s="1872">
        <f>D!$I$261</f>
        <v>9365.8860000000004</v>
      </c>
      <c r="H289" s="1872">
        <f>D!$I$256</f>
        <v>2245</v>
      </c>
      <c r="I289" s="1338">
        <f t="shared" si="59"/>
        <v>11610.886</v>
      </c>
      <c r="J289" s="1338">
        <f t="shared" si="60"/>
        <v>0</v>
      </c>
      <c r="K289" s="1338">
        <f t="shared" si="61"/>
        <v>0</v>
      </c>
      <c r="L289" s="1530">
        <f t="shared" si="62"/>
        <v>0</v>
      </c>
      <c r="AB289" s="1221"/>
    </row>
    <row r="290" spans="1:28" ht="18" hidden="1" customHeight="1">
      <c r="A290" s="1352"/>
      <c r="B290" s="1353"/>
      <c r="C290" s="1357" t="s">
        <v>28</v>
      </c>
      <c r="D290" s="1372" t="s">
        <v>2221</v>
      </c>
      <c r="E290" s="1335">
        <f>1.1*BTN!$L$1047</f>
        <v>0</v>
      </c>
      <c r="F290" s="1356" t="s">
        <v>47</v>
      </c>
      <c r="G290" s="1872">
        <f>D!$I$252</f>
        <v>9796.7115000000013</v>
      </c>
      <c r="H290" s="1872">
        <f>D!$I$256</f>
        <v>2245</v>
      </c>
      <c r="I290" s="1338">
        <f t="shared" si="59"/>
        <v>12041.711500000001</v>
      </c>
      <c r="J290" s="1338">
        <f t="shared" si="60"/>
        <v>0</v>
      </c>
      <c r="K290" s="1338">
        <f t="shared" si="61"/>
        <v>0</v>
      </c>
      <c r="L290" s="1530">
        <f t="shared" si="62"/>
        <v>0</v>
      </c>
      <c r="AB290" s="1221"/>
    </row>
    <row r="291" spans="1:28" ht="18" hidden="1" customHeight="1">
      <c r="A291" s="1352"/>
      <c r="B291" s="1353"/>
      <c r="C291" s="1357" t="s">
        <v>28</v>
      </c>
      <c r="D291" s="1355" t="s">
        <v>2347</v>
      </c>
      <c r="E291" s="1335">
        <f>1.1*BTN!$J$1047</f>
        <v>0</v>
      </c>
      <c r="F291" s="1356" t="s">
        <v>47</v>
      </c>
      <c r="G291" s="1872">
        <f>D!$I$243</f>
        <v>8750.67</v>
      </c>
      <c r="H291" s="1872">
        <f>D!$I$247</f>
        <v>2245</v>
      </c>
      <c r="I291" s="1338">
        <f t="shared" si="59"/>
        <v>10995.67</v>
      </c>
      <c r="J291" s="1338">
        <f t="shared" si="60"/>
        <v>0</v>
      </c>
      <c r="K291" s="1338">
        <f t="shared" si="61"/>
        <v>0</v>
      </c>
      <c r="L291" s="1530">
        <f t="shared" si="62"/>
        <v>0</v>
      </c>
      <c r="AB291" s="1221"/>
    </row>
    <row r="292" spans="1:28" ht="18" hidden="1" customHeight="1">
      <c r="A292" s="1352"/>
      <c r="B292" s="1353"/>
      <c r="C292" s="1357" t="s">
        <v>28</v>
      </c>
      <c r="D292" s="1355" t="s">
        <v>1594</v>
      </c>
      <c r="E292" s="1335">
        <f>1.1*BTN!$K$1047</f>
        <v>0</v>
      </c>
      <c r="F292" s="1356" t="s">
        <v>47</v>
      </c>
      <c r="G292" s="1872">
        <f>D!$I$234</f>
        <v>8903.2665000000015</v>
      </c>
      <c r="H292" s="1872">
        <f>D!$I$247</f>
        <v>2245</v>
      </c>
      <c r="I292" s="1338">
        <f t="shared" si="59"/>
        <v>11148.266500000002</v>
      </c>
      <c r="J292" s="1338">
        <f t="shared" si="60"/>
        <v>0</v>
      </c>
      <c r="K292" s="1338">
        <f t="shared" si="61"/>
        <v>0</v>
      </c>
      <c r="L292" s="1530">
        <f t="shared" si="62"/>
        <v>0</v>
      </c>
      <c r="AB292" s="1221"/>
    </row>
    <row r="293" spans="1:28" ht="18" hidden="1" customHeight="1">
      <c r="A293" s="1352"/>
      <c r="B293" s="1353"/>
      <c r="C293" s="1357" t="s">
        <v>28</v>
      </c>
      <c r="D293" s="1355" t="s">
        <v>1911</v>
      </c>
      <c r="E293" s="1335">
        <f>1.1*BTN!$R$1047</f>
        <v>0</v>
      </c>
      <c r="F293" s="1356" t="s">
        <v>47</v>
      </c>
      <c r="G293" s="1872">
        <f>D!$I$234</f>
        <v>8903.2665000000015</v>
      </c>
      <c r="H293" s="1872">
        <f>D!$I$229</f>
        <v>2245</v>
      </c>
      <c r="I293" s="1338">
        <f t="shared" si="59"/>
        <v>11148.266500000002</v>
      </c>
      <c r="J293" s="1338">
        <f t="shared" si="60"/>
        <v>0</v>
      </c>
      <c r="K293" s="1338">
        <f t="shared" si="61"/>
        <v>0</v>
      </c>
      <c r="L293" s="1530">
        <f t="shared" si="62"/>
        <v>0</v>
      </c>
      <c r="AB293" s="1221"/>
    </row>
    <row r="294" spans="1:28" ht="18" hidden="1" customHeight="1">
      <c r="A294" s="1352"/>
      <c r="B294" s="1353"/>
      <c r="C294" s="1357" t="s">
        <v>28</v>
      </c>
      <c r="D294" s="1355" t="s">
        <v>1353</v>
      </c>
      <c r="E294" s="1335">
        <f>1.1*BTN!$R$1046</f>
        <v>0</v>
      </c>
      <c r="F294" s="1356" t="s">
        <v>47</v>
      </c>
      <c r="G294" s="1872">
        <f>D!$I$225</f>
        <v>9105.3284999999996</v>
      </c>
      <c r="H294" s="1872">
        <f>D!$I$238</f>
        <v>2245</v>
      </c>
      <c r="I294" s="1338">
        <f t="shared" si="59"/>
        <v>11350.3285</v>
      </c>
      <c r="J294" s="1338">
        <f t="shared" si="60"/>
        <v>0</v>
      </c>
      <c r="K294" s="1338">
        <f t="shared" si="61"/>
        <v>0</v>
      </c>
      <c r="L294" s="1530">
        <f t="shared" si="62"/>
        <v>0</v>
      </c>
      <c r="AB294" s="1221"/>
    </row>
    <row r="295" spans="1:28" ht="18" hidden="1" customHeight="1">
      <c r="A295" s="1364"/>
      <c r="B295" s="1355" t="s">
        <v>65</v>
      </c>
      <c r="C295" s="1355"/>
      <c r="D295" s="1353" t="s">
        <v>57</v>
      </c>
      <c r="E295" s="1335">
        <f>BTN!$D$1098</f>
        <v>0</v>
      </c>
      <c r="F295" s="1356" t="s">
        <v>19</v>
      </c>
      <c r="G295" s="1872">
        <f>D!$I$74</f>
        <v>233806.25</v>
      </c>
      <c r="H295" s="1872">
        <f>D!$I$78</f>
        <v>102350</v>
      </c>
      <c r="I295" s="1338">
        <f t="shared" si="59"/>
        <v>336156.25</v>
      </c>
      <c r="J295" s="1338">
        <f t="shared" si="60"/>
        <v>0</v>
      </c>
      <c r="K295" s="1338">
        <f t="shared" si="61"/>
        <v>0</v>
      </c>
      <c r="L295" s="1530">
        <f t="shared" si="62"/>
        <v>0</v>
      </c>
      <c r="AB295" s="1221"/>
    </row>
    <row r="296" spans="1:28" ht="18" hidden="1" customHeight="1">
      <c r="A296" s="1364"/>
      <c r="B296" s="1355" t="s">
        <v>2926</v>
      </c>
      <c r="C296" s="1355"/>
      <c r="D296" s="1353"/>
      <c r="E296" s="1335"/>
      <c r="F296" s="1356"/>
      <c r="G296" s="1872"/>
      <c r="H296" s="1872"/>
      <c r="I296" s="1338"/>
      <c r="J296" s="1338"/>
      <c r="K296" s="1338"/>
      <c r="L296" s="1530"/>
      <c r="AB296" s="1221"/>
    </row>
    <row r="297" spans="1:28" s="1760" customFormat="1" ht="18" hidden="1" customHeight="1">
      <c r="A297" s="1761"/>
      <c r="B297" s="1902"/>
      <c r="C297" s="1357" t="s">
        <v>28</v>
      </c>
      <c r="D297" s="1902" t="s">
        <v>2475</v>
      </c>
      <c r="E297" s="1764">
        <f>BTN!$P$46*1.1</f>
        <v>0</v>
      </c>
      <c r="F297" s="1922" t="s">
        <v>129</v>
      </c>
      <c r="G297" s="1872">
        <f>D!$I$300</f>
        <v>185212.68333333335</v>
      </c>
      <c r="H297" s="1872">
        <f>D!$I$301</f>
        <v>50512.55</v>
      </c>
      <c r="I297" s="1764">
        <f>G297+H297</f>
        <v>235725.23333333334</v>
      </c>
      <c r="J297" s="1764">
        <f>E297*G297</f>
        <v>0</v>
      </c>
      <c r="K297" s="1764">
        <f>E297*H297</f>
        <v>0</v>
      </c>
      <c r="L297" s="1766">
        <f>J297+K297</f>
        <v>0</v>
      </c>
      <c r="P297" s="1300"/>
    </row>
    <row r="298" spans="1:28" s="1760" customFormat="1" ht="18" hidden="1" customHeight="1">
      <c r="A298" s="1761"/>
      <c r="B298" s="1902"/>
      <c r="C298" s="1357" t="s">
        <v>28</v>
      </c>
      <c r="D298" s="1902" t="s">
        <v>2531</v>
      </c>
      <c r="E298" s="1764">
        <f>BTN!$P$47*1.1</f>
        <v>0</v>
      </c>
      <c r="F298" s="1922" t="s">
        <v>129</v>
      </c>
      <c r="G298" s="1872">
        <f>D!$I$306</f>
        <v>168793.35</v>
      </c>
      <c r="H298" s="1872">
        <f>D!$I$307</f>
        <v>46034.549999999996</v>
      </c>
      <c r="I298" s="1764">
        <f>G298+H298</f>
        <v>214827.9</v>
      </c>
      <c r="J298" s="1764">
        <f>E298*G298</f>
        <v>0</v>
      </c>
      <c r="K298" s="1764">
        <f>E298*H298</f>
        <v>0</v>
      </c>
      <c r="L298" s="1766">
        <f>J298+K298</f>
        <v>0</v>
      </c>
      <c r="P298" s="1300"/>
    </row>
    <row r="299" spans="1:28" ht="18" hidden="1" customHeight="1">
      <c r="A299" s="1364">
        <f>A285+1</f>
        <v>4</v>
      </c>
      <c r="B299" s="1355" t="s">
        <v>66</v>
      </c>
      <c r="C299" s="1355"/>
      <c r="D299" s="1353"/>
      <c r="E299" s="1335"/>
      <c r="F299" s="1356"/>
      <c r="G299" s="1335"/>
      <c r="H299" s="1338"/>
      <c r="I299" s="1338"/>
      <c r="J299" s="1338"/>
      <c r="K299" s="1338"/>
      <c r="L299" s="1530"/>
      <c r="AB299" s="1221"/>
    </row>
    <row r="300" spans="1:28" ht="18" hidden="1" customHeight="1">
      <c r="A300" s="1364"/>
      <c r="B300" s="1355" t="s">
        <v>67</v>
      </c>
      <c r="C300" s="1355"/>
      <c r="D300" s="1353" t="s">
        <v>2713</v>
      </c>
      <c r="E300" s="1335">
        <f>1.1*BTN!$F$1809</f>
        <v>0</v>
      </c>
      <c r="F300" s="1356" t="s">
        <v>35</v>
      </c>
      <c r="G300" s="1872">
        <f>D!$I$216</f>
        <v>1063000</v>
      </c>
      <c r="H300" s="1872">
        <f>D!$I$220</f>
        <v>288300</v>
      </c>
      <c r="I300" s="1338">
        <f t="shared" ref="I300:I314" si="63">G300+H300</f>
        <v>1351300</v>
      </c>
      <c r="J300" s="1338">
        <f t="shared" ref="J300:J314" si="64">E300*G300</f>
        <v>0</v>
      </c>
      <c r="K300" s="1338">
        <f t="shared" ref="K300:K314" si="65">E300*H300</f>
        <v>0</v>
      </c>
      <c r="L300" s="1530">
        <f t="shared" ref="L300:L314" si="66">J300+K300</f>
        <v>0</v>
      </c>
      <c r="AB300" s="1221"/>
    </row>
    <row r="301" spans="1:28" ht="18" hidden="1" customHeight="1">
      <c r="A301" s="1364"/>
      <c r="B301" s="1355" t="s">
        <v>68</v>
      </c>
      <c r="C301" s="1355"/>
      <c r="D301" s="1353" t="s">
        <v>1798</v>
      </c>
      <c r="E301" s="1335">
        <f>BTN!$E$1809</f>
        <v>0</v>
      </c>
      <c r="F301" s="1356" t="s">
        <v>19</v>
      </c>
      <c r="G301" s="1872">
        <f>D!$I$17</f>
        <v>55169.836884185781</v>
      </c>
      <c r="H301" s="1872">
        <f>D!$I$20</f>
        <v>27400</v>
      </c>
      <c r="I301" s="1338">
        <f t="shared" si="63"/>
        <v>82569.836884185788</v>
      </c>
      <c r="J301" s="1338">
        <f t="shared" si="64"/>
        <v>0</v>
      </c>
      <c r="K301" s="1338">
        <f t="shared" si="65"/>
        <v>0</v>
      </c>
      <c r="L301" s="1530">
        <f t="shared" si="66"/>
        <v>0</v>
      </c>
      <c r="AB301" s="1221"/>
    </row>
    <row r="302" spans="1:28" ht="18" hidden="1" customHeight="1">
      <c r="A302" s="1364"/>
      <c r="B302" s="1355" t="s">
        <v>69</v>
      </c>
      <c r="C302" s="1355"/>
      <c r="D302" s="1353" t="s">
        <v>70</v>
      </c>
      <c r="E302" s="1335">
        <f>BTN!$E$1809</f>
        <v>0</v>
      </c>
      <c r="F302" s="1356" t="s">
        <v>19</v>
      </c>
      <c r="G302" s="1872">
        <f>D!$I$124</f>
        <v>115280.68000000001</v>
      </c>
      <c r="H302" s="1872">
        <f>D!$I$127</f>
        <v>13400</v>
      </c>
      <c r="I302" s="1338">
        <f t="shared" si="63"/>
        <v>128680.68000000001</v>
      </c>
      <c r="J302" s="1338">
        <f t="shared" si="64"/>
        <v>0</v>
      </c>
      <c r="K302" s="1338">
        <f t="shared" si="65"/>
        <v>0</v>
      </c>
      <c r="L302" s="1530">
        <f t="shared" si="66"/>
        <v>0</v>
      </c>
      <c r="U302" s="1300">
        <f>3.79+0.05</f>
        <v>3.84</v>
      </c>
      <c r="AB302" s="1221"/>
    </row>
    <row r="303" spans="1:28" ht="18" hidden="1" customHeight="1">
      <c r="A303" s="1352">
        <f>A299+1</f>
        <v>5</v>
      </c>
      <c r="B303" s="1353" t="s">
        <v>1358</v>
      </c>
      <c r="C303" s="1354"/>
      <c r="D303" s="1355"/>
      <c r="E303" s="1335"/>
      <c r="F303" s="1356"/>
      <c r="G303" s="1335"/>
      <c r="H303" s="1338"/>
      <c r="I303" s="1338"/>
      <c r="J303" s="1338"/>
      <c r="K303" s="1338"/>
      <c r="L303" s="1530"/>
      <c r="AB303" s="1221"/>
    </row>
    <row r="304" spans="1:28" ht="18" hidden="1" customHeight="1">
      <c r="A304" s="1352"/>
      <c r="B304" s="1353" t="s">
        <v>1359</v>
      </c>
      <c r="C304" s="1354"/>
      <c r="D304" s="1353" t="s">
        <v>2712</v>
      </c>
      <c r="E304" s="1335">
        <f>BTN!$E$1106*1.1</f>
        <v>0</v>
      </c>
      <c r="F304" s="1356" t="s">
        <v>35</v>
      </c>
      <c r="G304" s="1872">
        <f>D!$I$167</f>
        <v>1082620</v>
      </c>
      <c r="H304" s="1872">
        <f>D!$I$193</f>
        <v>288100</v>
      </c>
      <c r="I304" s="1338">
        <f>G304+H304</f>
        <v>1370720</v>
      </c>
      <c r="J304" s="1338">
        <f>E304*G304</f>
        <v>0</v>
      </c>
      <c r="K304" s="1338">
        <f>E304*H304</f>
        <v>0</v>
      </c>
      <c r="L304" s="1530">
        <f>J304+K304</f>
        <v>0</v>
      </c>
      <c r="AB304" s="1221"/>
    </row>
    <row r="305" spans="1:28" ht="18" hidden="1" customHeight="1">
      <c r="A305" s="1352"/>
      <c r="B305" s="1353" t="s">
        <v>1360</v>
      </c>
      <c r="C305" s="1354"/>
      <c r="D305" s="1355"/>
      <c r="E305" s="1335"/>
      <c r="F305" s="1356"/>
      <c r="G305" s="1872"/>
      <c r="H305" s="1872"/>
      <c r="I305" s="1338"/>
      <c r="J305" s="1338"/>
      <c r="K305" s="1338"/>
      <c r="L305" s="1530"/>
      <c r="AB305" s="1221"/>
    </row>
    <row r="306" spans="1:28" ht="18" hidden="1" customHeight="1">
      <c r="A306" s="1352"/>
      <c r="B306" s="1353"/>
      <c r="C306" s="1357" t="s">
        <v>28</v>
      </c>
      <c r="D306" s="1355" t="s">
        <v>1843</v>
      </c>
      <c r="E306" s="1335">
        <f>1.1*BTN!$G$1127</f>
        <v>0</v>
      </c>
      <c r="F306" s="1356" t="s">
        <v>47</v>
      </c>
      <c r="G306" s="1872">
        <f>D!$I$243</f>
        <v>8750.67</v>
      </c>
      <c r="H306" s="1872">
        <f>D!$I$247</f>
        <v>2245</v>
      </c>
      <c r="I306" s="1338">
        <f>G306+H306</f>
        <v>10995.67</v>
      </c>
      <c r="J306" s="1338">
        <f>E306*G306</f>
        <v>0</v>
      </c>
      <c r="K306" s="1338">
        <f>E306*H306</f>
        <v>0</v>
      </c>
      <c r="L306" s="1530">
        <f>J306+K306</f>
        <v>0</v>
      </c>
      <c r="AB306" s="1221"/>
    </row>
    <row r="307" spans="1:28" ht="18" hidden="1" customHeight="1">
      <c r="A307" s="1352"/>
      <c r="B307" s="1353"/>
      <c r="C307" s="1357" t="s">
        <v>28</v>
      </c>
      <c r="D307" s="1355" t="s">
        <v>1362</v>
      </c>
      <c r="E307" s="1335">
        <f>1.1*BTN!$G$1128</f>
        <v>0</v>
      </c>
      <c r="F307" s="1356" t="s">
        <v>47</v>
      </c>
      <c r="G307" s="1872">
        <f>D!$I$225</f>
        <v>9105.3284999999996</v>
      </c>
      <c r="H307" s="1872">
        <f>D!$I$229</f>
        <v>2245</v>
      </c>
      <c r="I307" s="1338">
        <f>G307+H307</f>
        <v>11350.3285</v>
      </c>
      <c r="J307" s="1338">
        <f>E307*G307</f>
        <v>0</v>
      </c>
      <c r="K307" s="1338">
        <f>E307*H307</f>
        <v>0</v>
      </c>
      <c r="L307" s="1530">
        <f>J307+K307</f>
        <v>0</v>
      </c>
      <c r="AB307" s="1221"/>
    </row>
    <row r="308" spans="1:28" ht="18" hidden="1" customHeight="1">
      <c r="A308" s="1352"/>
      <c r="B308" s="1353" t="s">
        <v>1361</v>
      </c>
      <c r="C308" s="1354"/>
      <c r="D308" s="1355" t="s">
        <v>57</v>
      </c>
      <c r="E308" s="1335">
        <f>BTN!$D$1135</f>
        <v>0</v>
      </c>
      <c r="F308" s="1356" t="s">
        <v>19</v>
      </c>
      <c r="G308" s="1872">
        <f>D!$I$100</f>
        <v>206506.25</v>
      </c>
      <c r="H308" s="1872">
        <f>D!$I$104</f>
        <v>102350</v>
      </c>
      <c r="I308" s="1338">
        <f>G308+H308</f>
        <v>308856.25</v>
      </c>
      <c r="J308" s="1338">
        <f>E308*G308</f>
        <v>0</v>
      </c>
      <c r="K308" s="1338">
        <f>E308*H308</f>
        <v>0</v>
      </c>
      <c r="L308" s="1530">
        <f>J308+K308</f>
        <v>0</v>
      </c>
      <c r="AB308" s="1221"/>
    </row>
    <row r="309" spans="1:28" ht="18" hidden="1" customHeight="1">
      <c r="A309" s="1352">
        <f>A299+1</f>
        <v>5</v>
      </c>
      <c r="B309" s="1353" t="s">
        <v>58</v>
      </c>
      <c r="C309" s="1354"/>
      <c r="D309" s="1355"/>
      <c r="E309" s="1335"/>
      <c r="F309" s="1356"/>
      <c r="G309" s="1335"/>
      <c r="H309" s="1338"/>
      <c r="I309" s="1338">
        <f t="shared" si="63"/>
        <v>0</v>
      </c>
      <c r="J309" s="1338">
        <f t="shared" si="64"/>
        <v>0</v>
      </c>
      <c r="K309" s="1338">
        <f t="shared" si="65"/>
        <v>0</v>
      </c>
      <c r="L309" s="1530">
        <f t="shared" si="66"/>
        <v>0</v>
      </c>
      <c r="AB309" s="1221"/>
    </row>
    <row r="310" spans="1:28" ht="18" hidden="1" customHeight="1">
      <c r="A310" s="1352"/>
      <c r="B310" s="1353" t="s">
        <v>1364</v>
      </c>
      <c r="C310" s="1354"/>
      <c r="D310" s="1353" t="s">
        <v>1357</v>
      </c>
      <c r="E310" s="1335">
        <f>1.1*BTN!$D$1140</f>
        <v>0</v>
      </c>
      <c r="F310" s="1356" t="s">
        <v>35</v>
      </c>
      <c r="G310" s="1872">
        <f>D!$I$134</f>
        <v>892522.85714285716</v>
      </c>
      <c r="H310" s="1872">
        <f>D!$I$138</f>
        <v>288100</v>
      </c>
      <c r="I310" s="1338">
        <f t="shared" si="63"/>
        <v>1180622.8571428573</v>
      </c>
      <c r="J310" s="1338">
        <f t="shared" si="64"/>
        <v>0</v>
      </c>
      <c r="K310" s="1338">
        <f t="shared" si="65"/>
        <v>0</v>
      </c>
      <c r="L310" s="1530">
        <f t="shared" si="66"/>
        <v>0</v>
      </c>
      <c r="AB310" s="1221"/>
    </row>
    <row r="311" spans="1:28" ht="18" hidden="1" customHeight="1">
      <c r="A311" s="1352"/>
      <c r="B311" s="1353" t="s">
        <v>1365</v>
      </c>
      <c r="C311" s="1354"/>
      <c r="D311" s="1355"/>
      <c r="E311" s="1335"/>
      <c r="F311" s="1356"/>
      <c r="G311" s="1872"/>
      <c r="H311" s="1872"/>
      <c r="I311" s="1338">
        <f t="shared" si="63"/>
        <v>0</v>
      </c>
      <c r="J311" s="1338">
        <f t="shared" si="64"/>
        <v>0</v>
      </c>
      <c r="K311" s="1338">
        <f t="shared" si="65"/>
        <v>0</v>
      </c>
      <c r="L311" s="1530">
        <f t="shared" si="66"/>
        <v>0</v>
      </c>
      <c r="AB311" s="1221"/>
    </row>
    <row r="312" spans="1:28" ht="18" hidden="1" customHeight="1">
      <c r="A312" s="1352"/>
      <c r="B312" s="1353"/>
      <c r="C312" s="1357" t="s">
        <v>28</v>
      </c>
      <c r="D312" s="1355" t="s">
        <v>1844</v>
      </c>
      <c r="E312" s="1335">
        <f>1.1*BTN!$F$1146</f>
        <v>0</v>
      </c>
      <c r="F312" s="1356" t="s">
        <v>47</v>
      </c>
      <c r="G312" s="1872">
        <f>D!$I$234</f>
        <v>8903.2665000000015</v>
      </c>
      <c r="H312" s="1872">
        <f>D!$I$238</f>
        <v>2245</v>
      </c>
      <c r="I312" s="1338">
        <f t="shared" si="63"/>
        <v>11148.266500000002</v>
      </c>
      <c r="J312" s="1338">
        <f t="shared" si="64"/>
        <v>0</v>
      </c>
      <c r="K312" s="1338">
        <f t="shared" si="65"/>
        <v>0</v>
      </c>
      <c r="L312" s="1530">
        <f t="shared" si="66"/>
        <v>0</v>
      </c>
      <c r="AB312" s="1221"/>
    </row>
    <row r="313" spans="1:28" ht="18" hidden="1" customHeight="1">
      <c r="A313" s="1352"/>
      <c r="B313" s="1353"/>
      <c r="C313" s="1357" t="s">
        <v>28</v>
      </c>
      <c r="D313" s="1355" t="s">
        <v>1363</v>
      </c>
      <c r="E313" s="1335">
        <f>1.1*BTN!$F$1145</f>
        <v>0</v>
      </c>
      <c r="F313" s="1356" t="s">
        <v>47</v>
      </c>
      <c r="G313" s="1872">
        <f>D!$I$234</f>
        <v>8903.2665000000015</v>
      </c>
      <c r="H313" s="1872">
        <f>D!$I$238</f>
        <v>2245</v>
      </c>
      <c r="I313" s="1338">
        <f t="shared" si="63"/>
        <v>11148.266500000002</v>
      </c>
      <c r="J313" s="1338">
        <f t="shared" si="64"/>
        <v>0</v>
      </c>
      <c r="K313" s="1338">
        <f t="shared" si="65"/>
        <v>0</v>
      </c>
      <c r="L313" s="1530">
        <f t="shared" si="66"/>
        <v>0</v>
      </c>
      <c r="AB313" s="1221"/>
    </row>
    <row r="314" spans="1:28" ht="18" hidden="1" customHeight="1">
      <c r="A314" s="1352"/>
      <c r="B314" s="1353" t="s">
        <v>1366</v>
      </c>
      <c r="C314" s="1354"/>
      <c r="D314" s="1355" t="s">
        <v>57</v>
      </c>
      <c r="E314" s="1335">
        <f>1.1*BTN!$D$1151</f>
        <v>0</v>
      </c>
      <c r="F314" s="1356" t="s">
        <v>19</v>
      </c>
      <c r="G314" s="1872">
        <f>D!$I$87</f>
        <v>349150</v>
      </c>
      <c r="H314" s="1872">
        <f>D!$I$91</f>
        <v>102350</v>
      </c>
      <c r="I314" s="1338">
        <f t="shared" si="63"/>
        <v>451500</v>
      </c>
      <c r="J314" s="1338">
        <f t="shared" si="64"/>
        <v>0</v>
      </c>
      <c r="K314" s="1338">
        <f t="shared" si="65"/>
        <v>0</v>
      </c>
      <c r="L314" s="1530">
        <f t="shared" si="66"/>
        <v>0</v>
      </c>
      <c r="AB314" s="1221"/>
    </row>
    <row r="315" spans="1:28" ht="18" hidden="1" customHeight="1">
      <c r="A315" s="1352">
        <f>A299+1</f>
        <v>5</v>
      </c>
      <c r="B315" s="1353" t="s">
        <v>1640</v>
      </c>
      <c r="C315" s="1354"/>
      <c r="D315" s="1355"/>
      <c r="E315" s="1335"/>
      <c r="F315" s="1356"/>
      <c r="G315" s="1335"/>
      <c r="H315" s="1338"/>
      <c r="I315" s="1338"/>
      <c r="J315" s="1338"/>
      <c r="K315" s="1338"/>
      <c r="L315" s="1530"/>
      <c r="AB315" s="1221"/>
    </row>
    <row r="316" spans="1:28" ht="18" hidden="1" customHeight="1">
      <c r="A316" s="1352"/>
      <c r="B316" s="1353" t="s">
        <v>1739</v>
      </c>
      <c r="C316" s="1354"/>
      <c r="D316" s="1353" t="s">
        <v>1357</v>
      </c>
      <c r="E316" s="1335">
        <f>1.1*BTN!$D$1164</f>
        <v>0</v>
      </c>
      <c r="F316" s="1356" t="s">
        <v>35</v>
      </c>
      <c r="G316" s="1872">
        <f>D!$I$134</f>
        <v>892522.85714285716</v>
      </c>
      <c r="H316" s="1872">
        <f>D!$I$138</f>
        <v>288100</v>
      </c>
      <c r="I316" s="1338">
        <f>G316+H316</f>
        <v>1180622.8571428573</v>
      </c>
      <c r="J316" s="1338">
        <f>E316*G316</f>
        <v>0</v>
      </c>
      <c r="K316" s="1338">
        <f>E316*H316</f>
        <v>0</v>
      </c>
      <c r="L316" s="1530">
        <f>J316+K316</f>
        <v>0</v>
      </c>
      <c r="AB316" s="1221"/>
    </row>
    <row r="317" spans="1:28" ht="18" hidden="1" customHeight="1">
      <c r="A317" s="1352"/>
      <c r="B317" s="1353" t="s">
        <v>1740</v>
      </c>
      <c r="C317" s="1354"/>
      <c r="D317" s="1355"/>
      <c r="E317" s="1335"/>
      <c r="F317" s="1356"/>
      <c r="G317" s="1872"/>
      <c r="H317" s="1872"/>
      <c r="I317" s="1338"/>
      <c r="J317" s="1338"/>
      <c r="K317" s="1338"/>
      <c r="L317" s="1530"/>
      <c r="AB317" s="1221"/>
    </row>
    <row r="318" spans="1:28" ht="18" hidden="1" customHeight="1">
      <c r="A318" s="1352"/>
      <c r="B318" s="1353"/>
      <c r="C318" s="1357" t="s">
        <v>28</v>
      </c>
      <c r="D318" s="1355" t="s">
        <v>1594</v>
      </c>
      <c r="E318" s="1335">
        <f>1.1*BTN!$J$1158</f>
        <v>0</v>
      </c>
      <c r="F318" s="1356" t="s">
        <v>47</v>
      </c>
      <c r="G318" s="1872">
        <f>D!$I$234</f>
        <v>8903.2665000000015</v>
      </c>
      <c r="H318" s="1872">
        <f>D!$I$238</f>
        <v>2245</v>
      </c>
      <c r="I318" s="1338">
        <f>G318+H318</f>
        <v>11148.266500000002</v>
      </c>
      <c r="J318" s="1338">
        <f>E318*G318</f>
        <v>0</v>
      </c>
      <c r="K318" s="1338">
        <f>E318*H318</f>
        <v>0</v>
      </c>
      <c r="L318" s="1530">
        <f>J318+K318</f>
        <v>0</v>
      </c>
      <c r="AB318" s="1221"/>
    </row>
    <row r="319" spans="1:28" ht="18" hidden="1" customHeight="1">
      <c r="A319" s="1352"/>
      <c r="B319" s="1353"/>
      <c r="C319" s="1357" t="s">
        <v>28</v>
      </c>
      <c r="D319" s="1355" t="s">
        <v>1353</v>
      </c>
      <c r="E319" s="1335">
        <f>1.1*BTN!$P$1158</f>
        <v>0</v>
      </c>
      <c r="F319" s="1356" t="s">
        <v>47</v>
      </c>
      <c r="G319" s="1872">
        <f>D!$I$225</f>
        <v>9105.3284999999996</v>
      </c>
      <c r="H319" s="1872">
        <f>D!$I$229</f>
        <v>2245</v>
      </c>
      <c r="I319" s="1338">
        <f>G319+H319</f>
        <v>11350.3285</v>
      </c>
      <c r="J319" s="1338">
        <f>E319*G319</f>
        <v>0</v>
      </c>
      <c r="K319" s="1338">
        <f>E319*H319</f>
        <v>0</v>
      </c>
      <c r="L319" s="1530">
        <f>J319+K319</f>
        <v>0</v>
      </c>
      <c r="AB319" s="1221"/>
    </row>
    <row r="320" spans="1:28" ht="18" hidden="1" customHeight="1">
      <c r="A320" s="1352"/>
      <c r="B320" s="1353" t="s">
        <v>1741</v>
      </c>
      <c r="C320" s="1354"/>
      <c r="D320" s="1355" t="s">
        <v>57</v>
      </c>
      <c r="E320" s="1335">
        <f>BTN!$D$1170</f>
        <v>0</v>
      </c>
      <c r="F320" s="1356" t="s">
        <v>19</v>
      </c>
      <c r="G320" s="1872">
        <f>D!$I$74</f>
        <v>233806.25</v>
      </c>
      <c r="H320" s="1872">
        <f>D!$I$78</f>
        <v>102350</v>
      </c>
      <c r="I320" s="1338">
        <f>G320+H320</f>
        <v>336156.25</v>
      </c>
      <c r="J320" s="1338">
        <f>E320*G320</f>
        <v>0</v>
      </c>
      <c r="K320" s="1338">
        <f>E320*H320</f>
        <v>0</v>
      </c>
      <c r="L320" s="1530">
        <f>J320+K320</f>
        <v>0</v>
      </c>
      <c r="AB320" s="1221"/>
    </row>
    <row r="321" spans="1:28" ht="18" hidden="1" customHeight="1">
      <c r="A321" s="1877">
        <f>A315+1</f>
        <v>6</v>
      </c>
      <c r="B321" s="1878" t="s">
        <v>2216</v>
      </c>
      <c r="C321" s="1871"/>
      <c r="D321" s="1818"/>
      <c r="E321" s="1872"/>
      <c r="F321" s="1873"/>
      <c r="G321" s="1872"/>
      <c r="H321" s="1872"/>
      <c r="I321" s="1872"/>
      <c r="J321" s="1872"/>
      <c r="K321" s="1872"/>
      <c r="L321" s="1874"/>
      <c r="AB321" s="1221"/>
    </row>
    <row r="322" spans="1:28" ht="18" hidden="1" customHeight="1">
      <c r="A322" s="1877"/>
      <c r="B322" s="1878" t="s">
        <v>2217</v>
      </c>
      <c r="C322" s="1871"/>
      <c r="D322" s="1878" t="s">
        <v>1357</v>
      </c>
      <c r="E322" s="1872">
        <f>1.1*BTN!$D$1189</f>
        <v>0</v>
      </c>
      <c r="F322" s="1873" t="s">
        <v>35</v>
      </c>
      <c r="G322" s="1872">
        <f>D!$I$134</f>
        <v>892522.85714285716</v>
      </c>
      <c r="H322" s="1872">
        <f>D!$I$138</f>
        <v>288100</v>
      </c>
      <c r="I322" s="1872">
        <f>G322+H322</f>
        <v>1180622.8571428573</v>
      </c>
      <c r="J322" s="1872">
        <f>E322*G322</f>
        <v>0</v>
      </c>
      <c r="K322" s="1872">
        <f>E322*H322</f>
        <v>0</v>
      </c>
      <c r="L322" s="1874">
        <f>J322+K322</f>
        <v>0</v>
      </c>
      <c r="AB322" s="1221"/>
    </row>
    <row r="323" spans="1:28" ht="18" hidden="1" customHeight="1">
      <c r="A323" s="1877"/>
      <c r="B323" s="1878" t="s">
        <v>2218</v>
      </c>
      <c r="C323" s="1871"/>
      <c r="D323" s="1818"/>
      <c r="E323" s="1872"/>
      <c r="F323" s="1873"/>
      <c r="G323" s="1872"/>
      <c r="H323" s="1872"/>
      <c r="I323" s="1872"/>
      <c r="J323" s="1872"/>
      <c r="K323" s="1872"/>
      <c r="L323" s="1874"/>
      <c r="AB323" s="1221"/>
    </row>
    <row r="324" spans="1:28" ht="18" hidden="1" customHeight="1">
      <c r="A324" s="1877"/>
      <c r="B324" s="1878"/>
      <c r="C324" s="1879" t="s">
        <v>28</v>
      </c>
      <c r="D324" s="1818" t="s">
        <v>1594</v>
      </c>
      <c r="E324" s="1872">
        <f>1.1*BTN!$J$1180</f>
        <v>0</v>
      </c>
      <c r="F324" s="1873" t="s">
        <v>47</v>
      </c>
      <c r="G324" s="1872">
        <f>D!$I$234</f>
        <v>8903.2665000000015</v>
      </c>
      <c r="H324" s="1872">
        <f>D!$I$238</f>
        <v>2245</v>
      </c>
      <c r="I324" s="1872">
        <f t="shared" ref="I324:I333" si="67">G324+H324</f>
        <v>11148.266500000002</v>
      </c>
      <c r="J324" s="1872">
        <f t="shared" ref="J324:J333" si="68">E324*G324</f>
        <v>0</v>
      </c>
      <c r="K324" s="1872">
        <f t="shared" ref="K324:K333" si="69">E324*H324</f>
        <v>0</v>
      </c>
      <c r="L324" s="1874">
        <f t="shared" ref="L324:L333" si="70">J324+K324</f>
        <v>0</v>
      </c>
      <c r="AB324" s="1221"/>
    </row>
    <row r="325" spans="1:28" ht="18" hidden="1" customHeight="1">
      <c r="A325" s="1877"/>
      <c r="B325" s="1878"/>
      <c r="C325" s="1879" t="s">
        <v>28</v>
      </c>
      <c r="D325" s="1818" t="s">
        <v>1353</v>
      </c>
      <c r="E325" s="1872">
        <f>1.1*BTN!$P$1180</f>
        <v>0</v>
      </c>
      <c r="F325" s="1873" t="s">
        <v>47</v>
      </c>
      <c r="G325" s="1872">
        <f>D!$I$225</f>
        <v>9105.3284999999996</v>
      </c>
      <c r="H325" s="1872">
        <f>D!$I$229</f>
        <v>2245</v>
      </c>
      <c r="I325" s="1872">
        <f t="shared" si="67"/>
        <v>11350.3285</v>
      </c>
      <c r="J325" s="1872">
        <f t="shared" si="68"/>
        <v>0</v>
      </c>
      <c r="K325" s="1872">
        <f t="shared" si="69"/>
        <v>0</v>
      </c>
      <c r="L325" s="1874">
        <f t="shared" si="70"/>
        <v>0</v>
      </c>
      <c r="AB325" s="1221"/>
    </row>
    <row r="326" spans="1:28" ht="18" hidden="1" customHeight="1">
      <c r="A326" s="1877"/>
      <c r="B326" s="1878" t="s">
        <v>2219</v>
      </c>
      <c r="C326" s="1871"/>
      <c r="D326" s="1818" t="s">
        <v>57</v>
      </c>
      <c r="E326" s="1872">
        <f>BTN!$D$1198</f>
        <v>0</v>
      </c>
      <c r="F326" s="1873" t="s">
        <v>19</v>
      </c>
      <c r="G326" s="1872">
        <f>D!$I$87</f>
        <v>349150</v>
      </c>
      <c r="H326" s="1872">
        <f>D!$I$91</f>
        <v>102350</v>
      </c>
      <c r="I326" s="1872">
        <f t="shared" si="67"/>
        <v>451500</v>
      </c>
      <c r="J326" s="1872">
        <f t="shared" si="68"/>
        <v>0</v>
      </c>
      <c r="K326" s="1872">
        <f t="shared" si="69"/>
        <v>0</v>
      </c>
      <c r="L326" s="1874">
        <f t="shared" si="70"/>
        <v>0</v>
      </c>
      <c r="AB326" s="1221"/>
    </row>
    <row r="327" spans="1:28" ht="18" hidden="1" customHeight="1">
      <c r="A327" s="1352">
        <f>A315+1</f>
        <v>6</v>
      </c>
      <c r="B327" s="1353" t="s">
        <v>2676</v>
      </c>
      <c r="C327" s="1354"/>
      <c r="D327" s="1355"/>
      <c r="E327" s="1335"/>
      <c r="F327" s="1356"/>
      <c r="G327" s="1335"/>
      <c r="H327" s="1338"/>
      <c r="I327" s="1338">
        <f t="shared" si="67"/>
        <v>0</v>
      </c>
      <c r="J327" s="1338">
        <f t="shared" si="68"/>
        <v>0</v>
      </c>
      <c r="K327" s="1338">
        <f t="shared" si="69"/>
        <v>0</v>
      </c>
      <c r="L327" s="1530">
        <f t="shared" si="70"/>
        <v>0</v>
      </c>
      <c r="AB327" s="1221"/>
    </row>
    <row r="328" spans="1:28" ht="18" hidden="1" customHeight="1">
      <c r="A328" s="1352"/>
      <c r="B328" s="1353" t="s">
        <v>2505</v>
      </c>
      <c r="C328" s="1354"/>
      <c r="D328" s="1353" t="s">
        <v>2712</v>
      </c>
      <c r="E328" s="1335">
        <f>BTN!$E$1913*1.1</f>
        <v>0</v>
      </c>
      <c r="F328" s="1356" t="s">
        <v>35</v>
      </c>
      <c r="G328" s="1872">
        <f>D!$I$189</f>
        <v>1119202</v>
      </c>
      <c r="H328" s="1872">
        <f>D!$I$193</f>
        <v>288100</v>
      </c>
      <c r="I328" s="1338">
        <f t="shared" si="67"/>
        <v>1407302</v>
      </c>
      <c r="J328" s="1338">
        <f t="shared" si="68"/>
        <v>0</v>
      </c>
      <c r="K328" s="1338">
        <f t="shared" si="69"/>
        <v>0</v>
      </c>
      <c r="L328" s="1530">
        <f t="shared" si="70"/>
        <v>0</v>
      </c>
      <c r="AB328" s="1221"/>
    </row>
    <row r="329" spans="1:28" ht="18" hidden="1" customHeight="1">
      <c r="A329" s="1352"/>
      <c r="B329" s="1353" t="s">
        <v>2506</v>
      </c>
      <c r="C329" s="1354"/>
      <c r="D329" s="1355"/>
      <c r="E329" s="1335"/>
      <c r="F329" s="1356"/>
      <c r="G329" s="1872"/>
      <c r="H329" s="1872"/>
      <c r="I329" s="1338">
        <f t="shared" si="67"/>
        <v>0</v>
      </c>
      <c r="J329" s="1338">
        <f t="shared" si="68"/>
        <v>0</v>
      </c>
      <c r="K329" s="1338">
        <f t="shared" si="69"/>
        <v>0</v>
      </c>
      <c r="L329" s="1530">
        <f t="shared" si="70"/>
        <v>0</v>
      </c>
      <c r="AB329" s="1221"/>
    </row>
    <row r="330" spans="1:28" ht="18" hidden="1" customHeight="1">
      <c r="A330" s="1352"/>
      <c r="B330" s="1353"/>
      <c r="C330" s="1357" t="s">
        <v>28</v>
      </c>
      <c r="D330" s="1355" t="s">
        <v>2369</v>
      </c>
      <c r="E330" s="1335">
        <f>BTN!$H$1899*1.1</f>
        <v>0</v>
      </c>
      <c r="F330" s="1356" t="s">
        <v>47</v>
      </c>
      <c r="G330" s="1872">
        <f>D!$I$261</f>
        <v>9365.8860000000004</v>
      </c>
      <c r="H330" s="1872">
        <f>D!$I$274</f>
        <v>2245</v>
      </c>
      <c r="I330" s="1338">
        <f t="shared" si="67"/>
        <v>11610.886</v>
      </c>
      <c r="J330" s="1338">
        <f t="shared" si="68"/>
        <v>0</v>
      </c>
      <c r="K330" s="1338">
        <f t="shared" si="69"/>
        <v>0</v>
      </c>
      <c r="L330" s="1530">
        <f t="shared" si="70"/>
        <v>0</v>
      </c>
      <c r="AB330" s="1221"/>
    </row>
    <row r="331" spans="1:28" ht="18" hidden="1" customHeight="1">
      <c r="A331" s="1352"/>
      <c r="B331" s="1353" t="s">
        <v>2507</v>
      </c>
      <c r="C331" s="1354"/>
      <c r="D331" s="1355" t="s">
        <v>57</v>
      </c>
      <c r="E331" s="1335">
        <f>BTN!$D$1923*1.1</f>
        <v>0</v>
      </c>
      <c r="F331" s="1356" t="s">
        <v>19</v>
      </c>
      <c r="G331" s="1872">
        <f>D!$I$114</f>
        <v>238650</v>
      </c>
      <c r="H331" s="1872">
        <f>D!$I$91</f>
        <v>102350</v>
      </c>
      <c r="I331" s="1338">
        <f t="shared" si="67"/>
        <v>341000</v>
      </c>
      <c r="J331" s="1338">
        <f t="shared" si="68"/>
        <v>0</v>
      </c>
      <c r="K331" s="1338">
        <f t="shared" si="69"/>
        <v>0</v>
      </c>
      <c r="L331" s="1530">
        <f t="shared" si="70"/>
        <v>0</v>
      </c>
      <c r="AB331" s="1221"/>
    </row>
    <row r="332" spans="1:28" ht="18" hidden="1" customHeight="1">
      <c r="A332" s="1352">
        <f>A327+1</f>
        <v>7</v>
      </c>
      <c r="B332" s="1353" t="s">
        <v>2684</v>
      </c>
      <c r="C332" s="1354"/>
      <c r="D332" s="1355"/>
      <c r="E332" s="1335"/>
      <c r="F332" s="1356"/>
      <c r="G332" s="1335"/>
      <c r="H332" s="1338"/>
      <c r="I332" s="1338">
        <f t="shared" si="67"/>
        <v>0</v>
      </c>
      <c r="J332" s="1338">
        <f t="shared" si="68"/>
        <v>0</v>
      </c>
      <c r="K332" s="1338">
        <f t="shared" si="69"/>
        <v>0</v>
      </c>
      <c r="L332" s="1530">
        <f t="shared" si="70"/>
        <v>0</v>
      </c>
      <c r="AB332" s="1221"/>
    </row>
    <row r="333" spans="1:28" ht="18" hidden="1" customHeight="1" thickBot="1">
      <c r="A333" s="1352"/>
      <c r="B333" s="1353" t="s">
        <v>2559</v>
      </c>
      <c r="C333" s="1354"/>
      <c r="D333" s="1353" t="s">
        <v>2528</v>
      </c>
      <c r="E333" s="1335">
        <f>BTN!$J$1105*1.1</f>
        <v>0</v>
      </c>
      <c r="F333" s="1922" t="s">
        <v>129</v>
      </c>
      <c r="G333" s="1872">
        <f>D!$I$294</f>
        <v>355800.5</v>
      </c>
      <c r="H333" s="1872">
        <f>D!$I$295</f>
        <v>97036.5</v>
      </c>
      <c r="I333" s="1338">
        <f t="shared" si="67"/>
        <v>452837</v>
      </c>
      <c r="J333" s="1338">
        <f t="shared" si="68"/>
        <v>0</v>
      </c>
      <c r="K333" s="1338">
        <f t="shared" si="69"/>
        <v>0</v>
      </c>
      <c r="L333" s="1530">
        <f t="shared" si="70"/>
        <v>0</v>
      </c>
      <c r="AB333" s="1221"/>
    </row>
    <row r="334" spans="1:28" s="1760" customFormat="1" ht="18" hidden="1" customHeight="1" thickTop="1" thickBot="1">
      <c r="A334" s="2675" t="str">
        <f>"sub total pekerjaan "&amp;$B$268&amp;" ="</f>
        <v>sub total pekerjaan Lantai Atap =</v>
      </c>
      <c r="B334" s="2676"/>
      <c r="C334" s="2676"/>
      <c r="D334" s="2676"/>
      <c r="E334" s="2676"/>
      <c r="F334" s="2676"/>
      <c r="G334" s="2676"/>
      <c r="H334" s="2373"/>
      <c r="I334" s="2373"/>
      <c r="J334" s="2067">
        <f>SUM(J269:J333)</f>
        <v>0</v>
      </c>
      <c r="K334" s="2068">
        <f>SUM(K269:K333)</f>
        <v>0</v>
      </c>
      <c r="L334" s="1543">
        <f>SUM(L269:L333)</f>
        <v>0</v>
      </c>
      <c r="M334" s="1760">
        <v>1</v>
      </c>
      <c r="N334" s="1760">
        <v>13</v>
      </c>
      <c r="P334" s="1920"/>
    </row>
    <row r="335" spans="1:28" ht="18" hidden="1" customHeight="1" thickTop="1">
      <c r="A335" s="1379" t="s">
        <v>1010</v>
      </c>
      <c r="B335" s="1535" t="s">
        <v>2617</v>
      </c>
      <c r="C335" s="1535"/>
      <c r="D335" s="1370"/>
      <c r="E335" s="1536"/>
      <c r="F335" s="1537"/>
      <c r="G335" s="1330"/>
      <c r="H335" s="1330"/>
      <c r="I335" s="1330"/>
      <c r="J335" s="1330"/>
      <c r="K335" s="1330"/>
      <c r="L335" s="1331"/>
      <c r="N335" s="1300">
        <v>14</v>
      </c>
    </row>
    <row r="336" spans="1:28" ht="18" hidden="1" customHeight="1">
      <c r="A336" s="1352">
        <v>1</v>
      </c>
      <c r="B336" s="1353" t="s">
        <v>1354</v>
      </c>
      <c r="C336" s="1354"/>
      <c r="D336" s="1355"/>
      <c r="E336" s="1335"/>
      <c r="F336" s="1356"/>
      <c r="G336" s="1335"/>
      <c r="H336" s="1338"/>
      <c r="I336" s="1338">
        <f t="shared" ref="I336:I382" si="71">G336+H336</f>
        <v>0</v>
      </c>
      <c r="J336" s="1338">
        <f t="shared" ref="J336:J355" si="72">E336*G336</f>
        <v>0</v>
      </c>
      <c r="K336" s="1338">
        <f t="shared" ref="K336:K355" si="73">E336*H336</f>
        <v>0</v>
      </c>
      <c r="L336" s="1530">
        <f t="shared" ref="L336:L382" si="74">J336+K336</f>
        <v>0</v>
      </c>
    </row>
    <row r="337" spans="1:28" ht="18" hidden="1" customHeight="1">
      <c r="A337" s="1352"/>
      <c r="B337" s="1353" t="s">
        <v>54</v>
      </c>
      <c r="C337" s="1354"/>
      <c r="D337" s="1353" t="s">
        <v>2712</v>
      </c>
      <c r="E337" s="1335">
        <f>1.1*BTN!$E$1224</f>
        <v>0</v>
      </c>
      <c r="F337" s="1356" t="s">
        <v>35</v>
      </c>
      <c r="G337" s="1872">
        <f>D!$I$189</f>
        <v>1119202</v>
      </c>
      <c r="H337" s="1872">
        <f>D!$I$193</f>
        <v>288100</v>
      </c>
      <c r="I337" s="1338">
        <f t="shared" si="71"/>
        <v>1407302</v>
      </c>
      <c r="J337" s="1338">
        <f t="shared" si="72"/>
        <v>0</v>
      </c>
      <c r="K337" s="1338">
        <f t="shared" si="73"/>
        <v>0</v>
      </c>
      <c r="L337" s="1530">
        <f t="shared" si="74"/>
        <v>0</v>
      </c>
    </row>
    <row r="338" spans="1:28" ht="18" hidden="1" customHeight="1">
      <c r="A338" s="1352"/>
      <c r="B338" s="1353" t="s">
        <v>55</v>
      </c>
      <c r="C338" s="1354"/>
      <c r="D338" s="1355"/>
      <c r="E338" s="1335"/>
      <c r="F338" s="1356"/>
      <c r="G338" s="1872"/>
      <c r="H338" s="1872"/>
      <c r="I338" s="1338">
        <f t="shared" si="71"/>
        <v>0</v>
      </c>
      <c r="J338" s="1338">
        <f t="shared" si="72"/>
        <v>0</v>
      </c>
      <c r="K338" s="1338">
        <f t="shared" si="73"/>
        <v>0</v>
      </c>
      <c r="L338" s="1530">
        <f t="shared" si="74"/>
        <v>0</v>
      </c>
    </row>
    <row r="339" spans="1:28" ht="18" hidden="1" customHeight="1">
      <c r="A339" s="1352"/>
      <c r="B339" s="1353"/>
      <c r="C339" s="1357" t="s">
        <v>28</v>
      </c>
      <c r="D339" s="1529" t="s">
        <v>2272</v>
      </c>
      <c r="E339" s="1335">
        <f>1.1*BTN!$H$1252</f>
        <v>0</v>
      </c>
      <c r="F339" s="1356" t="s">
        <v>47</v>
      </c>
      <c r="G339" s="1872">
        <f>D!$I$270</f>
        <v>9279.7755000000016</v>
      </c>
      <c r="H339" s="1872">
        <f>D!$I$274</f>
        <v>2245</v>
      </c>
      <c r="I339" s="1338">
        <f t="shared" si="71"/>
        <v>11524.775500000002</v>
      </c>
      <c r="J339" s="1338">
        <f t="shared" si="72"/>
        <v>0</v>
      </c>
      <c r="K339" s="1338">
        <f t="shared" si="73"/>
        <v>0</v>
      </c>
      <c r="L339" s="1530">
        <f t="shared" si="74"/>
        <v>0</v>
      </c>
      <c r="AB339" s="1221"/>
    </row>
    <row r="340" spans="1:28" ht="18" hidden="1" customHeight="1">
      <c r="A340" s="1352"/>
      <c r="B340" s="1353"/>
      <c r="C340" s="1357" t="s">
        <v>28</v>
      </c>
      <c r="D340" s="1372" t="s">
        <v>2369</v>
      </c>
      <c r="E340" s="1335">
        <f>1.1*BTN!$I$1252</f>
        <v>0</v>
      </c>
      <c r="F340" s="1356" t="s">
        <v>47</v>
      </c>
      <c r="G340" s="1872">
        <f>D!$I$261</f>
        <v>9365.8860000000004</v>
      </c>
      <c r="H340" s="1872">
        <f>D!$I$256</f>
        <v>2245</v>
      </c>
      <c r="I340" s="1338">
        <f t="shared" si="71"/>
        <v>11610.886</v>
      </c>
      <c r="J340" s="1338">
        <f t="shared" si="72"/>
        <v>0</v>
      </c>
      <c r="K340" s="1338">
        <f t="shared" si="73"/>
        <v>0</v>
      </c>
      <c r="L340" s="1530">
        <f t="shared" si="74"/>
        <v>0</v>
      </c>
      <c r="AB340" s="1221"/>
    </row>
    <row r="341" spans="1:28" ht="18" hidden="1" customHeight="1">
      <c r="A341" s="1352"/>
      <c r="B341" s="1353"/>
      <c r="C341" s="1357" t="s">
        <v>28</v>
      </c>
      <c r="D341" s="1372" t="s">
        <v>2221</v>
      </c>
      <c r="E341" s="1335">
        <f>1.1*BTN!$K$1252</f>
        <v>0</v>
      </c>
      <c r="F341" s="1356" t="s">
        <v>47</v>
      </c>
      <c r="G341" s="1872">
        <f>D!$I$252</f>
        <v>9796.7115000000013</v>
      </c>
      <c r="H341" s="1872">
        <f>D!$I$256</f>
        <v>2245</v>
      </c>
      <c r="I341" s="1338">
        <f t="shared" si="71"/>
        <v>12041.711500000001</v>
      </c>
      <c r="J341" s="1338">
        <f t="shared" si="72"/>
        <v>0</v>
      </c>
      <c r="K341" s="1338">
        <f t="shared" si="73"/>
        <v>0</v>
      </c>
      <c r="L341" s="1530">
        <f t="shared" si="74"/>
        <v>0</v>
      </c>
      <c r="AB341" s="1221"/>
    </row>
    <row r="342" spans="1:28" ht="18" hidden="1" customHeight="1">
      <c r="A342" s="1352"/>
      <c r="B342" s="1353"/>
      <c r="C342" s="1357" t="s">
        <v>28</v>
      </c>
      <c r="D342" s="1355" t="s">
        <v>2347</v>
      </c>
      <c r="E342" s="1335">
        <f>1.1*BTN!$J$1252</f>
        <v>0</v>
      </c>
      <c r="F342" s="1356" t="s">
        <v>47</v>
      </c>
      <c r="G342" s="1872">
        <f>D!$I$243</f>
        <v>8750.67</v>
      </c>
      <c r="H342" s="1872">
        <f>D!$I$247</f>
        <v>2245</v>
      </c>
      <c r="I342" s="1338">
        <f t="shared" si="71"/>
        <v>10995.67</v>
      </c>
      <c r="J342" s="1338">
        <f t="shared" si="72"/>
        <v>0</v>
      </c>
      <c r="K342" s="1338">
        <f t="shared" si="73"/>
        <v>0</v>
      </c>
      <c r="L342" s="1530">
        <f t="shared" si="74"/>
        <v>0</v>
      </c>
      <c r="AB342" s="1221"/>
    </row>
    <row r="343" spans="1:28" ht="18" hidden="1" customHeight="1">
      <c r="A343" s="1827"/>
      <c r="B343" s="1828"/>
      <c r="C343" s="1830" t="s">
        <v>28</v>
      </c>
      <c r="D343" s="1355" t="s">
        <v>1911</v>
      </c>
      <c r="E343" s="1820">
        <f>1.1*BTN!$R$1252</f>
        <v>0</v>
      </c>
      <c r="F343" s="1821" t="s">
        <v>47</v>
      </c>
      <c r="G343" s="1872">
        <f>D!$I$234</f>
        <v>8903.2665000000015</v>
      </c>
      <c r="H343" s="1872">
        <f>D!$I$256</f>
        <v>2245</v>
      </c>
      <c r="I343" s="1338">
        <f t="shared" si="71"/>
        <v>11148.266500000002</v>
      </c>
      <c r="J343" s="1338">
        <f t="shared" si="72"/>
        <v>0</v>
      </c>
      <c r="K343" s="1338">
        <f t="shared" si="73"/>
        <v>0</v>
      </c>
      <c r="L343" s="1530">
        <f t="shared" si="74"/>
        <v>0</v>
      </c>
      <c r="AB343" s="1221"/>
    </row>
    <row r="344" spans="1:28" ht="18" hidden="1" customHeight="1">
      <c r="A344" s="1352"/>
      <c r="B344" s="1353"/>
      <c r="C344" s="1357" t="s">
        <v>28</v>
      </c>
      <c r="D344" s="1355" t="s">
        <v>1353</v>
      </c>
      <c r="E344" s="1335">
        <f>1.1*BTN!$R$1251</f>
        <v>0</v>
      </c>
      <c r="F344" s="1362" t="s">
        <v>47</v>
      </c>
      <c r="G344" s="1872">
        <f>D!$I$225</f>
        <v>9105.3284999999996</v>
      </c>
      <c r="H344" s="1872">
        <f>D!$I$229</f>
        <v>2245</v>
      </c>
      <c r="I344" s="1338">
        <f t="shared" si="71"/>
        <v>11350.3285</v>
      </c>
      <c r="J344" s="1338">
        <f t="shared" si="72"/>
        <v>0</v>
      </c>
      <c r="K344" s="1338">
        <f t="shared" si="73"/>
        <v>0</v>
      </c>
      <c r="L344" s="1530">
        <f t="shared" si="74"/>
        <v>0</v>
      </c>
      <c r="AB344" s="1221"/>
    </row>
    <row r="345" spans="1:28" ht="18" hidden="1" customHeight="1">
      <c r="A345" s="1352"/>
      <c r="B345" s="1353" t="s">
        <v>56</v>
      </c>
      <c r="C345" s="1354"/>
      <c r="D345" s="1355" t="s">
        <v>57</v>
      </c>
      <c r="E345" s="1335">
        <f>BTN!$E$1279</f>
        <v>0</v>
      </c>
      <c r="F345" s="1356" t="s">
        <v>19</v>
      </c>
      <c r="G345" s="1872">
        <f>D!$I$61</f>
        <v>196006.25</v>
      </c>
      <c r="H345" s="1872">
        <f>D!$I$65</f>
        <v>102350</v>
      </c>
      <c r="I345" s="1338">
        <f t="shared" si="71"/>
        <v>298356.25</v>
      </c>
      <c r="J345" s="1338">
        <f t="shared" si="72"/>
        <v>0</v>
      </c>
      <c r="K345" s="1338">
        <f t="shared" si="73"/>
        <v>0</v>
      </c>
      <c r="L345" s="1530">
        <f t="shared" si="74"/>
        <v>0</v>
      </c>
    </row>
    <row r="346" spans="1:28" ht="18" hidden="1" customHeight="1">
      <c r="A346" s="1352">
        <f>A336+1</f>
        <v>2</v>
      </c>
      <c r="B346" s="1353" t="s">
        <v>1356</v>
      </c>
      <c r="C346" s="1354"/>
      <c r="D346" s="1355"/>
      <c r="E346" s="1335"/>
      <c r="F346" s="1356"/>
      <c r="G346" s="1335"/>
      <c r="H346" s="1338"/>
      <c r="I346" s="1338">
        <f t="shared" si="71"/>
        <v>0</v>
      </c>
      <c r="J346" s="1338">
        <f t="shared" si="72"/>
        <v>0</v>
      </c>
      <c r="K346" s="1338">
        <f t="shared" si="73"/>
        <v>0</v>
      </c>
      <c r="L346" s="1530">
        <f t="shared" si="74"/>
        <v>0</v>
      </c>
    </row>
    <row r="347" spans="1:28" ht="18" hidden="1" customHeight="1">
      <c r="A347" s="1352"/>
      <c r="B347" s="1353" t="s">
        <v>54</v>
      </c>
      <c r="C347" s="1354"/>
      <c r="D347" s="1353" t="s">
        <v>1357</v>
      </c>
      <c r="E347" s="1335">
        <f>1.1*BTN!$E$1229</f>
        <v>0</v>
      </c>
      <c r="F347" s="1356" t="s">
        <v>35</v>
      </c>
      <c r="G347" s="1872">
        <f>D!$I$134</f>
        <v>892522.85714285716</v>
      </c>
      <c r="H347" s="1872">
        <f>D!$I$138</f>
        <v>288100</v>
      </c>
      <c r="I347" s="1338">
        <f t="shared" si="71"/>
        <v>1180622.8571428573</v>
      </c>
      <c r="J347" s="1338">
        <f t="shared" si="72"/>
        <v>0</v>
      </c>
      <c r="K347" s="1338">
        <f t="shared" si="73"/>
        <v>0</v>
      </c>
      <c r="L347" s="1530">
        <f t="shared" si="74"/>
        <v>0</v>
      </c>
    </row>
    <row r="348" spans="1:28" ht="18" hidden="1" customHeight="1">
      <c r="A348" s="1352"/>
      <c r="B348" s="1353" t="s">
        <v>55</v>
      </c>
      <c r="C348" s="1354"/>
      <c r="D348" s="1355"/>
      <c r="E348" s="1335"/>
      <c r="F348" s="1356"/>
      <c r="G348" s="1872"/>
      <c r="H348" s="1872"/>
      <c r="I348" s="1338">
        <f t="shared" si="71"/>
        <v>0</v>
      </c>
      <c r="J348" s="1338">
        <f t="shared" si="72"/>
        <v>0</v>
      </c>
      <c r="K348" s="1338">
        <f t="shared" si="73"/>
        <v>0</v>
      </c>
      <c r="L348" s="1530">
        <f t="shared" si="74"/>
        <v>0</v>
      </c>
    </row>
    <row r="349" spans="1:28" ht="18" hidden="1" customHeight="1">
      <c r="A349" s="1352"/>
      <c r="B349" s="1353"/>
      <c r="C349" s="1357" t="s">
        <v>28</v>
      </c>
      <c r="D349" s="1372" t="s">
        <v>2221</v>
      </c>
      <c r="E349" s="1335">
        <f>1.1*BTN!$F$1258</f>
        <v>0</v>
      </c>
      <c r="F349" s="1356" t="s">
        <v>47</v>
      </c>
      <c r="G349" s="1872">
        <f>D!$I$252</f>
        <v>9796.7115000000013</v>
      </c>
      <c r="H349" s="1872">
        <f>D!$I$256</f>
        <v>2245</v>
      </c>
      <c r="I349" s="1338">
        <f t="shared" si="71"/>
        <v>12041.711500000001</v>
      </c>
      <c r="J349" s="1338">
        <f t="shared" si="72"/>
        <v>0</v>
      </c>
      <c r="K349" s="1338">
        <f t="shared" si="73"/>
        <v>0</v>
      </c>
      <c r="L349" s="1530">
        <f t="shared" si="74"/>
        <v>0</v>
      </c>
    </row>
    <row r="350" spans="1:28" ht="18" hidden="1" customHeight="1">
      <c r="A350" s="1352"/>
      <c r="B350" s="1353"/>
      <c r="C350" s="1357" t="s">
        <v>28</v>
      </c>
      <c r="D350" s="1355" t="s">
        <v>1353</v>
      </c>
      <c r="E350" s="1335">
        <f>1.1*BTN!$Q$1258</f>
        <v>0</v>
      </c>
      <c r="F350" s="1356" t="s">
        <v>47</v>
      </c>
      <c r="G350" s="1872">
        <f>D!$I$225</f>
        <v>9105.3284999999996</v>
      </c>
      <c r="H350" s="1872">
        <f>D!$I$229</f>
        <v>2245</v>
      </c>
      <c r="I350" s="1338">
        <f t="shared" si="71"/>
        <v>11350.3285</v>
      </c>
      <c r="J350" s="1338">
        <f t="shared" si="72"/>
        <v>0</v>
      </c>
      <c r="K350" s="1338">
        <f t="shared" si="73"/>
        <v>0</v>
      </c>
      <c r="L350" s="1530">
        <f t="shared" si="74"/>
        <v>0</v>
      </c>
    </row>
    <row r="351" spans="1:28" ht="18" hidden="1" customHeight="1">
      <c r="A351" s="1352"/>
      <c r="B351" s="1353" t="s">
        <v>56</v>
      </c>
      <c r="C351" s="1354"/>
      <c r="D351" s="1355" t="s">
        <v>57</v>
      </c>
      <c r="E351" s="1335">
        <f>BTN!$E$1286</f>
        <v>0</v>
      </c>
      <c r="F351" s="1356" t="s">
        <v>19</v>
      </c>
      <c r="G351" s="1872">
        <f>D!$I$61</f>
        <v>196006.25</v>
      </c>
      <c r="H351" s="1872">
        <f>D!$I$65</f>
        <v>102350</v>
      </c>
      <c r="I351" s="1338">
        <f t="shared" si="71"/>
        <v>298356.25</v>
      </c>
      <c r="J351" s="1338">
        <f t="shared" si="72"/>
        <v>0</v>
      </c>
      <c r="K351" s="1338">
        <f t="shared" si="73"/>
        <v>0</v>
      </c>
      <c r="L351" s="1530">
        <f t="shared" si="74"/>
        <v>0</v>
      </c>
    </row>
    <row r="352" spans="1:28" ht="18" hidden="1" customHeight="1">
      <c r="A352" s="1352">
        <f>A346+1</f>
        <v>3</v>
      </c>
      <c r="B352" s="1353" t="s">
        <v>62</v>
      </c>
      <c r="C352" s="1355"/>
      <c r="D352" s="1353"/>
      <c r="E352" s="1335"/>
      <c r="F352" s="1356"/>
      <c r="G352" s="1335"/>
      <c r="H352" s="1338"/>
      <c r="I352" s="1338">
        <f t="shared" si="71"/>
        <v>0</v>
      </c>
      <c r="J352" s="1338">
        <f t="shared" si="72"/>
        <v>0</v>
      </c>
      <c r="K352" s="1338">
        <f t="shared" si="73"/>
        <v>0</v>
      </c>
      <c r="L352" s="1530">
        <f t="shared" si="74"/>
        <v>0</v>
      </c>
    </row>
    <row r="353" spans="1:12" ht="18" hidden="1" customHeight="1">
      <c r="A353" s="1364"/>
      <c r="B353" s="1355" t="s">
        <v>63</v>
      </c>
      <c r="C353" s="1355"/>
      <c r="D353" s="1353" t="s">
        <v>2712</v>
      </c>
      <c r="E353" s="1335">
        <f>1.1*BTN!$D$1338</f>
        <v>0</v>
      </c>
      <c r="F353" s="1356" t="s">
        <v>35</v>
      </c>
      <c r="G353" s="1872">
        <f>D!$I$189</f>
        <v>1119202</v>
      </c>
      <c r="H353" s="1872">
        <f>D!$I$193</f>
        <v>288100</v>
      </c>
      <c r="I353" s="1338">
        <f t="shared" si="71"/>
        <v>1407302</v>
      </c>
      <c r="J353" s="1338">
        <f t="shared" si="72"/>
        <v>0</v>
      </c>
      <c r="K353" s="1338">
        <f t="shared" si="73"/>
        <v>0</v>
      </c>
      <c r="L353" s="1530">
        <f t="shared" si="74"/>
        <v>0</v>
      </c>
    </row>
    <row r="354" spans="1:12" ht="18" hidden="1" customHeight="1">
      <c r="A354" s="1364"/>
      <c r="B354" s="1355" t="s">
        <v>64</v>
      </c>
      <c r="C354" s="1355"/>
      <c r="D354" s="1353"/>
      <c r="E354" s="1335"/>
      <c r="F354" s="1356"/>
      <c r="G354" s="1872"/>
      <c r="H354" s="1872"/>
      <c r="I354" s="1338">
        <f t="shared" si="71"/>
        <v>0</v>
      </c>
      <c r="J354" s="1338">
        <f t="shared" si="72"/>
        <v>0</v>
      </c>
      <c r="K354" s="1338">
        <f t="shared" si="73"/>
        <v>0</v>
      </c>
      <c r="L354" s="1530">
        <f t="shared" si="74"/>
        <v>0</v>
      </c>
    </row>
    <row r="355" spans="1:12" ht="18" hidden="1" customHeight="1">
      <c r="A355" s="1528"/>
      <c r="B355" s="1353"/>
      <c r="C355" s="1357" t="s">
        <v>28</v>
      </c>
      <c r="D355" s="1529" t="s">
        <v>2272</v>
      </c>
      <c r="E355" s="1335">
        <f>1.1*BTN!$H$1312</f>
        <v>0</v>
      </c>
      <c r="F355" s="1356" t="s">
        <v>47</v>
      </c>
      <c r="G355" s="1872">
        <f>D!$I$270</f>
        <v>9279.7755000000016</v>
      </c>
      <c r="H355" s="1872">
        <f>D!$I$274</f>
        <v>2245</v>
      </c>
      <c r="I355" s="1338">
        <f t="shared" si="71"/>
        <v>11524.775500000002</v>
      </c>
      <c r="J355" s="1338">
        <f t="shared" si="72"/>
        <v>0</v>
      </c>
      <c r="K355" s="1338">
        <f t="shared" si="73"/>
        <v>0</v>
      </c>
      <c r="L355" s="1530">
        <f t="shared" si="74"/>
        <v>0</v>
      </c>
    </row>
    <row r="356" spans="1:12" ht="18" hidden="1" customHeight="1">
      <c r="A356" s="1352"/>
      <c r="B356" s="1353"/>
      <c r="C356" s="1357" t="s">
        <v>28</v>
      </c>
      <c r="D356" s="1372" t="s">
        <v>2221</v>
      </c>
      <c r="E356" s="1335">
        <f>1.1*BTN!$L$1312</f>
        <v>0</v>
      </c>
      <c r="F356" s="1356" t="s">
        <v>47</v>
      </c>
      <c r="G356" s="1872">
        <f>D!$I$252</f>
        <v>9796.7115000000013</v>
      </c>
      <c r="H356" s="1872">
        <f>D!$I$256</f>
        <v>2245</v>
      </c>
      <c r="I356" s="1338">
        <f t="shared" si="71"/>
        <v>12041.711500000001</v>
      </c>
      <c r="J356" s="1338">
        <f>E356*G356</f>
        <v>0</v>
      </c>
      <c r="K356" s="1338">
        <f>E356*H356</f>
        <v>0</v>
      </c>
      <c r="L356" s="1530">
        <f t="shared" si="74"/>
        <v>0</v>
      </c>
    </row>
    <row r="357" spans="1:12" ht="18" hidden="1" customHeight="1">
      <c r="A357" s="1352"/>
      <c r="B357" s="1353"/>
      <c r="C357" s="1357" t="s">
        <v>28</v>
      </c>
      <c r="D357" s="1355" t="s">
        <v>2347</v>
      </c>
      <c r="E357" s="1335">
        <f>1.1*BTN!$J$1312</f>
        <v>0</v>
      </c>
      <c r="F357" s="1356" t="s">
        <v>47</v>
      </c>
      <c r="G357" s="1872">
        <f>D!$I$243</f>
        <v>8750.67</v>
      </c>
      <c r="H357" s="1872">
        <f>D!$I$247</f>
        <v>2245</v>
      </c>
      <c r="I357" s="1338">
        <f>G357+H357</f>
        <v>10995.67</v>
      </c>
      <c r="J357" s="1338">
        <f>E357*G357</f>
        <v>0</v>
      </c>
      <c r="K357" s="1338">
        <f>E357*H357</f>
        <v>0</v>
      </c>
      <c r="L357" s="1530">
        <f>J357+K357</f>
        <v>0</v>
      </c>
    </row>
    <row r="358" spans="1:12" ht="18" hidden="1" customHeight="1">
      <c r="A358" s="1352"/>
      <c r="B358" s="1353"/>
      <c r="C358" s="1357" t="s">
        <v>28</v>
      </c>
      <c r="D358" s="1355" t="s">
        <v>1594</v>
      </c>
      <c r="E358" s="1335">
        <f>1.1*BTN!$K$1312</f>
        <v>0</v>
      </c>
      <c r="F358" s="1356" t="s">
        <v>47</v>
      </c>
      <c r="G358" s="1872">
        <f>D!$I$234</f>
        <v>8903.2665000000015</v>
      </c>
      <c r="H358" s="1872">
        <f>D!$I$247</f>
        <v>2245</v>
      </c>
      <c r="I358" s="1338">
        <f t="shared" si="71"/>
        <v>11148.266500000002</v>
      </c>
      <c r="J358" s="1338">
        <f>E358*G358</f>
        <v>0</v>
      </c>
      <c r="K358" s="1338">
        <f>E358*H358</f>
        <v>0</v>
      </c>
      <c r="L358" s="1530">
        <f t="shared" si="74"/>
        <v>0</v>
      </c>
    </row>
    <row r="359" spans="1:12" ht="18" hidden="1" customHeight="1">
      <c r="A359" s="1352"/>
      <c r="B359" s="1353"/>
      <c r="C359" s="1357" t="s">
        <v>28</v>
      </c>
      <c r="D359" s="1355" t="s">
        <v>1353</v>
      </c>
      <c r="E359" s="1335">
        <f>1.1*BTN!$R$1311</f>
        <v>0</v>
      </c>
      <c r="F359" s="1356" t="s">
        <v>47</v>
      </c>
      <c r="G359" s="1872">
        <f>D!$I$225</f>
        <v>9105.3284999999996</v>
      </c>
      <c r="H359" s="1872">
        <f>D!$I$229</f>
        <v>2245</v>
      </c>
      <c r="I359" s="1338">
        <f t="shared" si="71"/>
        <v>11350.3285</v>
      </c>
      <c r="J359" s="1338">
        <f t="shared" ref="J359:J382" si="75">E359*G359</f>
        <v>0</v>
      </c>
      <c r="K359" s="1338">
        <f t="shared" ref="K359:K382" si="76">E359*H359</f>
        <v>0</v>
      </c>
      <c r="L359" s="1530">
        <f t="shared" si="74"/>
        <v>0</v>
      </c>
    </row>
    <row r="360" spans="1:12" ht="18" hidden="1" customHeight="1">
      <c r="A360" s="1352"/>
      <c r="B360" s="1353"/>
      <c r="C360" s="1357" t="s">
        <v>28</v>
      </c>
      <c r="D360" s="1355" t="s">
        <v>1911</v>
      </c>
      <c r="E360" s="1335">
        <f>1.1*BTN!$R$1312</f>
        <v>0</v>
      </c>
      <c r="F360" s="1356" t="s">
        <v>47</v>
      </c>
      <c r="G360" s="1872">
        <f>D!$I$234</f>
        <v>8903.2665000000015</v>
      </c>
      <c r="H360" s="1872">
        <f>D!$I$238</f>
        <v>2245</v>
      </c>
      <c r="I360" s="1338">
        <f t="shared" si="71"/>
        <v>11148.266500000002</v>
      </c>
      <c r="J360" s="1338">
        <f t="shared" si="75"/>
        <v>0</v>
      </c>
      <c r="K360" s="1338">
        <f t="shared" si="76"/>
        <v>0</v>
      </c>
      <c r="L360" s="1530">
        <f t="shared" si="74"/>
        <v>0</v>
      </c>
    </row>
    <row r="361" spans="1:12" ht="18" hidden="1" customHeight="1">
      <c r="A361" s="1364"/>
      <c r="B361" s="1355" t="s">
        <v>65</v>
      </c>
      <c r="C361" s="1355"/>
      <c r="D361" s="1353" t="s">
        <v>57</v>
      </c>
      <c r="E361" s="1335">
        <f>BTN!$D$1363</f>
        <v>0</v>
      </c>
      <c r="F361" s="1356" t="s">
        <v>19</v>
      </c>
      <c r="G361" s="1872">
        <f>D!$I$74</f>
        <v>233806.25</v>
      </c>
      <c r="H361" s="1872">
        <f>D!$I$78</f>
        <v>102350</v>
      </c>
      <c r="I361" s="1338">
        <f t="shared" si="71"/>
        <v>336156.25</v>
      </c>
      <c r="J361" s="1338">
        <f t="shared" si="75"/>
        <v>0</v>
      </c>
      <c r="K361" s="1338">
        <f t="shared" si="76"/>
        <v>0</v>
      </c>
      <c r="L361" s="1530">
        <f t="shared" si="74"/>
        <v>0</v>
      </c>
    </row>
    <row r="362" spans="1:12" ht="18" hidden="1" customHeight="1">
      <c r="A362" s="1364">
        <f>A352+1</f>
        <v>4</v>
      </c>
      <c r="B362" s="1355" t="s">
        <v>66</v>
      </c>
      <c r="C362" s="1355"/>
      <c r="D362" s="1353"/>
      <c r="E362" s="1335"/>
      <c r="F362" s="1356"/>
      <c r="G362" s="1335"/>
      <c r="H362" s="1338"/>
      <c r="I362" s="1338">
        <f t="shared" si="71"/>
        <v>0</v>
      </c>
      <c r="J362" s="1338">
        <f t="shared" si="75"/>
        <v>0</v>
      </c>
      <c r="K362" s="1338">
        <f t="shared" si="76"/>
        <v>0</v>
      </c>
      <c r="L362" s="1530">
        <f t="shared" si="74"/>
        <v>0</v>
      </c>
    </row>
    <row r="363" spans="1:12" ht="18" hidden="1" customHeight="1">
      <c r="A363" s="1364"/>
      <c r="B363" s="1355" t="s">
        <v>67</v>
      </c>
      <c r="C363" s="1355"/>
      <c r="D363" s="1353" t="s">
        <v>2713</v>
      </c>
      <c r="E363" s="1335">
        <f>1.1*BTN!$F$1814</f>
        <v>0</v>
      </c>
      <c r="F363" s="1356" t="s">
        <v>35</v>
      </c>
      <c r="G363" s="1872">
        <f>D!$I$216</f>
        <v>1063000</v>
      </c>
      <c r="H363" s="1872">
        <f>D!$I$220</f>
        <v>288300</v>
      </c>
      <c r="I363" s="1338">
        <f t="shared" si="71"/>
        <v>1351300</v>
      </c>
      <c r="J363" s="1338">
        <f t="shared" si="75"/>
        <v>0</v>
      </c>
      <c r="K363" s="1338">
        <f t="shared" si="76"/>
        <v>0</v>
      </c>
      <c r="L363" s="1530">
        <f t="shared" si="74"/>
        <v>0</v>
      </c>
    </row>
    <row r="364" spans="1:12" ht="18" hidden="1" customHeight="1">
      <c r="A364" s="1364"/>
      <c r="B364" s="1355" t="s">
        <v>68</v>
      </c>
      <c r="C364" s="1355"/>
      <c r="D364" s="1353" t="s">
        <v>1798</v>
      </c>
      <c r="E364" s="1335">
        <f>BTN!$E$1814</f>
        <v>0</v>
      </c>
      <c r="F364" s="1356" t="s">
        <v>19</v>
      </c>
      <c r="G364" s="1872">
        <f>D!$I$17</f>
        <v>55169.836884185781</v>
      </c>
      <c r="H364" s="1872">
        <f>D!$I$20</f>
        <v>27400</v>
      </c>
      <c r="I364" s="1338">
        <f t="shared" si="71"/>
        <v>82569.836884185788</v>
      </c>
      <c r="J364" s="1338">
        <f t="shared" si="75"/>
        <v>0</v>
      </c>
      <c r="K364" s="1338">
        <f t="shared" si="76"/>
        <v>0</v>
      </c>
      <c r="L364" s="1530">
        <f t="shared" si="74"/>
        <v>0</v>
      </c>
    </row>
    <row r="365" spans="1:12" ht="18" hidden="1" customHeight="1">
      <c r="A365" s="1364"/>
      <c r="B365" s="1355" t="s">
        <v>69</v>
      </c>
      <c r="C365" s="1355"/>
      <c r="D365" s="1353" t="s">
        <v>70</v>
      </c>
      <c r="E365" s="1335">
        <f>BTN!$E$1814</f>
        <v>0</v>
      </c>
      <c r="F365" s="1356" t="s">
        <v>19</v>
      </c>
      <c r="G365" s="1872">
        <f>D!$I$124</f>
        <v>115280.68000000001</v>
      </c>
      <c r="H365" s="1872">
        <f>D!$I$127</f>
        <v>13400</v>
      </c>
      <c r="I365" s="1338">
        <f t="shared" si="71"/>
        <v>128680.68000000001</v>
      </c>
      <c r="J365" s="1338">
        <f t="shared" si="75"/>
        <v>0</v>
      </c>
      <c r="K365" s="1338">
        <f t="shared" si="76"/>
        <v>0</v>
      </c>
      <c r="L365" s="1530">
        <f t="shared" si="74"/>
        <v>0</v>
      </c>
    </row>
    <row r="366" spans="1:12" ht="18" hidden="1" customHeight="1">
      <c r="A366" s="1352">
        <f>A362+1</f>
        <v>5</v>
      </c>
      <c r="B366" s="1353" t="s">
        <v>1640</v>
      </c>
      <c r="C366" s="1354"/>
      <c r="D366" s="1355"/>
      <c r="E366" s="1335"/>
      <c r="F366" s="1356"/>
      <c r="G366" s="1335"/>
      <c r="H366" s="1338"/>
      <c r="I366" s="1338">
        <f t="shared" si="71"/>
        <v>0</v>
      </c>
      <c r="J366" s="1338">
        <f t="shared" si="75"/>
        <v>0</v>
      </c>
      <c r="K366" s="1338">
        <f t="shared" si="76"/>
        <v>0</v>
      </c>
      <c r="L366" s="1530">
        <f t="shared" si="74"/>
        <v>0</v>
      </c>
    </row>
    <row r="367" spans="1:12" ht="18" hidden="1" customHeight="1">
      <c r="A367" s="1352"/>
      <c r="B367" s="1353" t="s">
        <v>1739</v>
      </c>
      <c r="C367" s="1354"/>
      <c r="D367" s="1353" t="s">
        <v>1357</v>
      </c>
      <c r="E367" s="1335">
        <f>1.1*BTN!$D$1506</f>
        <v>0</v>
      </c>
      <c r="F367" s="1356" t="s">
        <v>35</v>
      </c>
      <c r="G367" s="1872">
        <f>D!$I$134</f>
        <v>892522.85714285716</v>
      </c>
      <c r="H367" s="1872">
        <f>D!$I$138</f>
        <v>288100</v>
      </c>
      <c r="I367" s="1338">
        <f t="shared" si="71"/>
        <v>1180622.8571428573</v>
      </c>
      <c r="J367" s="1338">
        <f t="shared" si="75"/>
        <v>0</v>
      </c>
      <c r="K367" s="1338">
        <f t="shared" si="76"/>
        <v>0</v>
      </c>
      <c r="L367" s="1530">
        <f t="shared" si="74"/>
        <v>0</v>
      </c>
    </row>
    <row r="368" spans="1:12" ht="18" hidden="1" customHeight="1">
      <c r="A368" s="1352"/>
      <c r="B368" s="1353" t="s">
        <v>1740</v>
      </c>
      <c r="C368" s="1354"/>
      <c r="D368" s="1355"/>
      <c r="E368" s="1335"/>
      <c r="F368" s="1356"/>
      <c r="G368" s="1872"/>
      <c r="H368" s="1872"/>
      <c r="I368" s="1338">
        <f t="shared" si="71"/>
        <v>0</v>
      </c>
      <c r="J368" s="1338">
        <f t="shared" si="75"/>
        <v>0</v>
      </c>
      <c r="K368" s="1338">
        <f t="shared" si="76"/>
        <v>0</v>
      </c>
      <c r="L368" s="1530">
        <f t="shared" si="74"/>
        <v>0</v>
      </c>
    </row>
    <row r="369" spans="1:33" ht="18" hidden="1" customHeight="1">
      <c r="A369" s="1352"/>
      <c r="B369" s="1353"/>
      <c r="C369" s="1357" t="s">
        <v>28</v>
      </c>
      <c r="D369" s="1355" t="s">
        <v>1594</v>
      </c>
      <c r="E369" s="1335">
        <f>1.1*BTN!$J$1500</f>
        <v>0</v>
      </c>
      <c r="F369" s="1356" t="s">
        <v>47</v>
      </c>
      <c r="G369" s="1872">
        <f>D!$I$234</f>
        <v>8903.2665000000015</v>
      </c>
      <c r="H369" s="1872">
        <f>D!$I$238</f>
        <v>2245</v>
      </c>
      <c r="I369" s="1338">
        <f t="shared" si="71"/>
        <v>11148.266500000002</v>
      </c>
      <c r="J369" s="1338">
        <f t="shared" si="75"/>
        <v>0</v>
      </c>
      <c r="K369" s="1338">
        <f t="shared" si="76"/>
        <v>0</v>
      </c>
      <c r="L369" s="1530">
        <f t="shared" si="74"/>
        <v>0</v>
      </c>
    </row>
    <row r="370" spans="1:33" ht="18" hidden="1" customHeight="1">
      <c r="A370" s="1352"/>
      <c r="B370" s="1353"/>
      <c r="C370" s="1357" t="s">
        <v>28</v>
      </c>
      <c r="D370" s="1355" t="s">
        <v>1353</v>
      </c>
      <c r="E370" s="1335">
        <f>1.1*BTN!$P$1500</f>
        <v>0</v>
      </c>
      <c r="F370" s="1356" t="s">
        <v>47</v>
      </c>
      <c r="G370" s="1872">
        <f>D!$I$225</f>
        <v>9105.3284999999996</v>
      </c>
      <c r="H370" s="1872">
        <f>D!$I$229</f>
        <v>2245</v>
      </c>
      <c r="I370" s="1338">
        <f t="shared" si="71"/>
        <v>11350.3285</v>
      </c>
      <c r="J370" s="1338">
        <f t="shared" si="75"/>
        <v>0</v>
      </c>
      <c r="K370" s="1338">
        <f t="shared" si="76"/>
        <v>0</v>
      </c>
      <c r="L370" s="1530">
        <f t="shared" si="74"/>
        <v>0</v>
      </c>
    </row>
    <row r="371" spans="1:33" ht="18" hidden="1" customHeight="1">
      <c r="A371" s="1352"/>
      <c r="B371" s="1353" t="s">
        <v>1741</v>
      </c>
      <c r="C371" s="1354"/>
      <c r="D371" s="1355" t="s">
        <v>57</v>
      </c>
      <c r="E371" s="1335">
        <f>BTN!$D$1512</f>
        <v>0</v>
      </c>
      <c r="F371" s="1356" t="s">
        <v>19</v>
      </c>
      <c r="G371" s="1872">
        <f>D!$I$74</f>
        <v>233806.25</v>
      </c>
      <c r="H371" s="1872">
        <f>D!$I$78</f>
        <v>102350</v>
      </c>
      <c r="I371" s="1338">
        <f t="shared" si="71"/>
        <v>336156.25</v>
      </c>
      <c r="J371" s="1338">
        <f t="shared" si="75"/>
        <v>0</v>
      </c>
      <c r="K371" s="1338">
        <f t="shared" si="76"/>
        <v>0</v>
      </c>
      <c r="L371" s="1530">
        <f t="shared" si="74"/>
        <v>0</v>
      </c>
    </row>
    <row r="372" spans="1:33" ht="18" hidden="1" customHeight="1">
      <c r="A372" s="1877">
        <v>0</v>
      </c>
      <c r="B372" s="1878" t="s">
        <v>2216</v>
      </c>
      <c r="C372" s="1871"/>
      <c r="D372" s="1818"/>
      <c r="E372" s="1872"/>
      <c r="F372" s="1873"/>
      <c r="G372" s="1872"/>
      <c r="H372" s="1872"/>
      <c r="I372" s="1872">
        <f t="shared" si="71"/>
        <v>0</v>
      </c>
      <c r="J372" s="1872">
        <f t="shared" si="75"/>
        <v>0</v>
      </c>
      <c r="K372" s="1872">
        <f t="shared" si="76"/>
        <v>0</v>
      </c>
      <c r="L372" s="1874">
        <f t="shared" si="74"/>
        <v>0</v>
      </c>
    </row>
    <row r="373" spans="1:33" ht="18" hidden="1" customHeight="1">
      <c r="A373" s="1877"/>
      <c r="B373" s="1878" t="s">
        <v>2217</v>
      </c>
      <c r="C373" s="1871"/>
      <c r="D373" s="1878" t="s">
        <v>1357</v>
      </c>
      <c r="E373" s="1872"/>
      <c r="F373" s="1873" t="s">
        <v>35</v>
      </c>
      <c r="G373" s="1872">
        <f>D!$I$134</f>
        <v>892522.85714285716</v>
      </c>
      <c r="H373" s="1872">
        <f>D!$I$138</f>
        <v>288100</v>
      </c>
      <c r="I373" s="1872">
        <f t="shared" si="71"/>
        <v>1180622.8571428573</v>
      </c>
      <c r="J373" s="1872">
        <f t="shared" si="75"/>
        <v>0</v>
      </c>
      <c r="K373" s="1872">
        <f t="shared" si="76"/>
        <v>0</v>
      </c>
      <c r="L373" s="1874">
        <f t="shared" si="74"/>
        <v>0</v>
      </c>
    </row>
    <row r="374" spans="1:33" ht="18" hidden="1" customHeight="1">
      <c r="A374" s="1877"/>
      <c r="B374" s="1878" t="s">
        <v>2218</v>
      </c>
      <c r="C374" s="1871"/>
      <c r="D374" s="1818"/>
      <c r="E374" s="1872"/>
      <c r="F374" s="1873"/>
      <c r="G374" s="1872"/>
      <c r="H374" s="1872"/>
      <c r="I374" s="1872">
        <f t="shared" si="71"/>
        <v>0</v>
      </c>
      <c r="J374" s="1872">
        <f t="shared" si="75"/>
        <v>0</v>
      </c>
      <c r="K374" s="1872">
        <f t="shared" si="76"/>
        <v>0</v>
      </c>
      <c r="L374" s="1874">
        <f t="shared" si="74"/>
        <v>0</v>
      </c>
    </row>
    <row r="375" spans="1:33" ht="18" hidden="1" customHeight="1">
      <c r="A375" s="1877"/>
      <c r="B375" s="1878"/>
      <c r="C375" s="1879" t="s">
        <v>28</v>
      </c>
      <c r="D375" s="1818" t="s">
        <v>1594</v>
      </c>
      <c r="E375" s="1872"/>
      <c r="F375" s="1873" t="s">
        <v>47</v>
      </c>
      <c r="G375" s="1872">
        <f>D!$I$234</f>
        <v>8903.2665000000015</v>
      </c>
      <c r="H375" s="1872">
        <f>D!$I$238</f>
        <v>2245</v>
      </c>
      <c r="I375" s="1872">
        <f t="shared" si="71"/>
        <v>11148.266500000002</v>
      </c>
      <c r="J375" s="1872">
        <f t="shared" si="75"/>
        <v>0</v>
      </c>
      <c r="K375" s="1872">
        <f t="shared" si="76"/>
        <v>0</v>
      </c>
      <c r="L375" s="1874">
        <f t="shared" si="74"/>
        <v>0</v>
      </c>
    </row>
    <row r="376" spans="1:33" ht="18" hidden="1" customHeight="1">
      <c r="A376" s="1877"/>
      <c r="B376" s="1878"/>
      <c r="C376" s="1879" t="s">
        <v>28</v>
      </c>
      <c r="D376" s="1818" t="s">
        <v>1353</v>
      </c>
      <c r="E376" s="1872"/>
      <c r="F376" s="1873" t="s">
        <v>47</v>
      </c>
      <c r="G376" s="1872">
        <f>D!$I$225</f>
        <v>9105.3284999999996</v>
      </c>
      <c r="H376" s="1872">
        <f>D!$I$229</f>
        <v>2245</v>
      </c>
      <c r="I376" s="1872">
        <f t="shared" si="71"/>
        <v>11350.3285</v>
      </c>
      <c r="J376" s="1872">
        <f t="shared" si="75"/>
        <v>0</v>
      </c>
      <c r="K376" s="1872">
        <f t="shared" si="76"/>
        <v>0</v>
      </c>
      <c r="L376" s="1874">
        <f t="shared" si="74"/>
        <v>0</v>
      </c>
    </row>
    <row r="377" spans="1:33" ht="18" hidden="1" customHeight="1">
      <c r="A377" s="1877"/>
      <c r="B377" s="1878" t="s">
        <v>2219</v>
      </c>
      <c r="C377" s="1871"/>
      <c r="D377" s="1818" t="s">
        <v>57</v>
      </c>
      <c r="E377" s="1872"/>
      <c r="F377" s="1873" t="s">
        <v>19</v>
      </c>
      <c r="G377" s="1872">
        <f>D!$I$87</f>
        <v>349150</v>
      </c>
      <c r="H377" s="1872">
        <f>D!$I$91</f>
        <v>102350</v>
      </c>
      <c r="I377" s="1872">
        <f t="shared" si="71"/>
        <v>451500</v>
      </c>
      <c r="J377" s="1872">
        <f t="shared" si="75"/>
        <v>0</v>
      </c>
      <c r="K377" s="1872">
        <f t="shared" si="76"/>
        <v>0</v>
      </c>
      <c r="L377" s="1874">
        <f t="shared" si="74"/>
        <v>0</v>
      </c>
      <c r="AE377" s="1300">
        <f>SUM(AE383:AE433)</f>
        <v>0</v>
      </c>
      <c r="AF377" s="1300">
        <f>SUM(AF383:AF433)</f>
        <v>0</v>
      </c>
      <c r="AG377" s="1300">
        <f>SUM(AG383:AG433)</f>
        <v>0</v>
      </c>
    </row>
    <row r="378" spans="1:33" ht="18" hidden="1" customHeight="1">
      <c r="A378" s="1352">
        <f>A366+1</f>
        <v>6</v>
      </c>
      <c r="B378" s="1353" t="s">
        <v>2676</v>
      </c>
      <c r="C378" s="1354"/>
      <c r="D378" s="1355"/>
      <c r="E378" s="1335"/>
      <c r="F378" s="1356"/>
      <c r="G378" s="1335"/>
      <c r="H378" s="1338"/>
      <c r="I378" s="1338">
        <f t="shared" si="71"/>
        <v>0</v>
      </c>
      <c r="J378" s="1338">
        <f t="shared" si="75"/>
        <v>0</v>
      </c>
      <c r="K378" s="1338">
        <f t="shared" si="76"/>
        <v>0</v>
      </c>
      <c r="L378" s="1530">
        <f t="shared" si="74"/>
        <v>0</v>
      </c>
      <c r="AB378" s="1221"/>
    </row>
    <row r="379" spans="1:33" ht="18" hidden="1" customHeight="1">
      <c r="A379" s="1352"/>
      <c r="B379" s="1353" t="s">
        <v>2505</v>
      </c>
      <c r="C379" s="1354"/>
      <c r="D379" s="1353" t="s">
        <v>2712</v>
      </c>
      <c r="E379" s="1335">
        <f>BTN!$E$1914*1.1</f>
        <v>0</v>
      </c>
      <c r="F379" s="1356" t="s">
        <v>35</v>
      </c>
      <c r="G379" s="1872">
        <f>D!$I$189</f>
        <v>1119202</v>
      </c>
      <c r="H379" s="1872">
        <f>D!$I$193</f>
        <v>288100</v>
      </c>
      <c r="I379" s="1338">
        <f t="shared" si="71"/>
        <v>1407302</v>
      </c>
      <c r="J379" s="1338">
        <f t="shared" si="75"/>
        <v>0</v>
      </c>
      <c r="K379" s="1338">
        <f t="shared" si="76"/>
        <v>0</v>
      </c>
      <c r="L379" s="1530">
        <f t="shared" si="74"/>
        <v>0</v>
      </c>
      <c r="AB379" s="1221"/>
    </row>
    <row r="380" spans="1:33" ht="18" hidden="1" customHeight="1">
      <c r="A380" s="1352"/>
      <c r="B380" s="1353" t="s">
        <v>2506</v>
      </c>
      <c r="C380" s="1354"/>
      <c r="D380" s="1355"/>
      <c r="E380" s="1335"/>
      <c r="F380" s="1356"/>
      <c r="G380" s="1872"/>
      <c r="H380" s="1872"/>
      <c r="I380" s="1338">
        <f t="shared" si="71"/>
        <v>0</v>
      </c>
      <c r="J380" s="1338">
        <f t="shared" si="75"/>
        <v>0</v>
      </c>
      <c r="K380" s="1338">
        <f t="shared" si="76"/>
        <v>0</v>
      </c>
      <c r="L380" s="1530">
        <f t="shared" si="74"/>
        <v>0</v>
      </c>
      <c r="AB380" s="1221"/>
    </row>
    <row r="381" spans="1:33" ht="18" hidden="1" customHeight="1">
      <c r="A381" s="1352"/>
      <c r="B381" s="1353"/>
      <c r="C381" s="1357" t="s">
        <v>28</v>
      </c>
      <c r="D381" s="1355" t="s">
        <v>2369</v>
      </c>
      <c r="E381" s="1335">
        <f>BTN!$H$1904*1.1</f>
        <v>0</v>
      </c>
      <c r="F381" s="1356" t="s">
        <v>47</v>
      </c>
      <c r="G381" s="1872">
        <f>D!$I$261</f>
        <v>9365.8860000000004</v>
      </c>
      <c r="H381" s="1872">
        <f>D!$I$274</f>
        <v>2245</v>
      </c>
      <c r="I381" s="1338">
        <f t="shared" si="71"/>
        <v>11610.886</v>
      </c>
      <c r="J381" s="1338">
        <f t="shared" si="75"/>
        <v>0</v>
      </c>
      <c r="K381" s="1338">
        <f t="shared" si="76"/>
        <v>0</v>
      </c>
      <c r="L381" s="1530">
        <f t="shared" si="74"/>
        <v>0</v>
      </c>
      <c r="AB381" s="1221"/>
    </row>
    <row r="382" spans="1:33" ht="18" hidden="1" customHeight="1" thickBot="1">
      <c r="A382" s="1352"/>
      <c r="B382" s="1353" t="s">
        <v>2507</v>
      </c>
      <c r="C382" s="1354"/>
      <c r="D382" s="1355" t="s">
        <v>57</v>
      </c>
      <c r="E382" s="1335">
        <f>BTN!$D$1924*1.1</f>
        <v>0</v>
      </c>
      <c r="F382" s="1356" t="s">
        <v>19</v>
      </c>
      <c r="G382" s="1872">
        <f>D!$I$114</f>
        <v>238650</v>
      </c>
      <c r="H382" s="1872">
        <f>D!$I$91</f>
        <v>102350</v>
      </c>
      <c r="I382" s="1338">
        <f t="shared" si="71"/>
        <v>341000</v>
      </c>
      <c r="J382" s="1338">
        <f t="shared" si="75"/>
        <v>0</v>
      </c>
      <c r="K382" s="1338">
        <f t="shared" si="76"/>
        <v>0</v>
      </c>
      <c r="L382" s="1530">
        <f t="shared" si="74"/>
        <v>0</v>
      </c>
      <c r="AB382" s="1221"/>
    </row>
    <row r="383" spans="1:33" s="1760" customFormat="1" ht="18" hidden="1" customHeight="1" thickTop="1" thickBot="1">
      <c r="A383" s="2675" t="s">
        <v>2677</v>
      </c>
      <c r="B383" s="2676"/>
      <c r="C383" s="2676"/>
      <c r="D383" s="2676"/>
      <c r="E383" s="2676"/>
      <c r="F383" s="2676"/>
      <c r="G383" s="2676"/>
      <c r="H383" s="1965"/>
      <c r="I383" s="1965"/>
      <c r="J383" s="1542">
        <f>SUM(J336:J382)</f>
        <v>0</v>
      </c>
      <c r="K383" s="1542">
        <f>SUM(K336:K382)</f>
        <v>0</v>
      </c>
      <c r="L383" s="1340">
        <f>SUM(L336:L382)</f>
        <v>0</v>
      </c>
      <c r="M383" s="1760">
        <v>1</v>
      </c>
      <c r="N383" s="1760">
        <v>15</v>
      </c>
      <c r="P383" s="1920"/>
    </row>
    <row r="384" spans="1:33" ht="18" hidden="1" customHeight="1" thickTop="1">
      <c r="A384" s="1379" t="s">
        <v>1022</v>
      </c>
      <c r="B384" s="1535" t="s">
        <v>72</v>
      </c>
      <c r="C384" s="1535"/>
      <c r="D384" s="1370"/>
      <c r="E384" s="1536"/>
      <c r="F384" s="1537"/>
      <c r="G384" s="1330"/>
      <c r="H384" s="1330"/>
      <c r="I384" s="1330"/>
      <c r="J384" s="1330"/>
      <c r="K384" s="1330"/>
      <c r="L384" s="1331"/>
      <c r="N384" s="1300">
        <v>16</v>
      </c>
      <c r="AB384" s="1221"/>
    </row>
    <row r="385" spans="1:28" ht="18" hidden="1" customHeight="1">
      <c r="A385" s="1352">
        <v>1</v>
      </c>
      <c r="B385" s="1353" t="s">
        <v>1354</v>
      </c>
      <c r="C385" s="1354"/>
      <c r="D385" s="1355"/>
      <c r="E385" s="1335"/>
      <c r="F385" s="1356"/>
      <c r="G385" s="1335"/>
      <c r="H385" s="1338"/>
      <c r="I385" s="1338">
        <f t="shared" ref="I385:I431" si="77">G385+H385</f>
        <v>0</v>
      </c>
      <c r="J385" s="1338">
        <f t="shared" ref="J385:J404" si="78">E385*G385</f>
        <v>0</v>
      </c>
      <c r="K385" s="1338">
        <f t="shared" ref="K385:K404" si="79">E385*H385</f>
        <v>0</v>
      </c>
      <c r="L385" s="1530">
        <f t="shared" ref="L385:L431" si="80">J385+K385</f>
        <v>0</v>
      </c>
      <c r="AB385" s="1221"/>
    </row>
    <row r="386" spans="1:28" ht="18" hidden="1" customHeight="1">
      <c r="A386" s="1352"/>
      <c r="B386" s="1353" t="s">
        <v>54</v>
      </c>
      <c r="C386" s="1354"/>
      <c r="D386" s="1353" t="s">
        <v>2712</v>
      </c>
      <c r="E386" s="1335">
        <f>1.1*BTN!$E$1557</f>
        <v>0</v>
      </c>
      <c r="F386" s="1356" t="s">
        <v>35</v>
      </c>
      <c r="G386" s="1872">
        <f>D!$I$167</f>
        <v>1082620</v>
      </c>
      <c r="H386" s="1872">
        <f>D!$I$193</f>
        <v>288100</v>
      </c>
      <c r="I386" s="1338">
        <f t="shared" si="77"/>
        <v>1370720</v>
      </c>
      <c r="J386" s="1338">
        <f t="shared" si="78"/>
        <v>0</v>
      </c>
      <c r="K386" s="1338">
        <f t="shared" si="79"/>
        <v>0</v>
      </c>
      <c r="L386" s="1530">
        <f t="shared" si="80"/>
        <v>0</v>
      </c>
      <c r="AB386" s="1221"/>
    </row>
    <row r="387" spans="1:28" ht="18" hidden="1" customHeight="1">
      <c r="A387" s="1352"/>
      <c r="B387" s="1353" t="s">
        <v>55</v>
      </c>
      <c r="C387" s="1354"/>
      <c r="D387" s="1355"/>
      <c r="E387" s="1335"/>
      <c r="F387" s="1356"/>
      <c r="G387" s="1872"/>
      <c r="H387" s="1872"/>
      <c r="I387" s="1338">
        <f t="shared" si="77"/>
        <v>0</v>
      </c>
      <c r="J387" s="1338">
        <f t="shared" si="78"/>
        <v>0</v>
      </c>
      <c r="K387" s="1338">
        <f t="shared" si="79"/>
        <v>0</v>
      </c>
      <c r="L387" s="1530">
        <f t="shared" si="80"/>
        <v>0</v>
      </c>
      <c r="AB387" s="1221"/>
    </row>
    <row r="388" spans="1:28" ht="18" hidden="1" customHeight="1">
      <c r="A388" s="1352"/>
      <c r="B388" s="1353"/>
      <c r="C388" s="1357" t="s">
        <v>28</v>
      </c>
      <c r="D388" s="1529" t="s">
        <v>2272</v>
      </c>
      <c r="E388" s="1335">
        <f>1.1*BTN!$H$1585</f>
        <v>0</v>
      </c>
      <c r="F388" s="1356" t="s">
        <v>47</v>
      </c>
      <c r="G388" s="1872">
        <f>D!$I$270</f>
        <v>9279.7755000000016</v>
      </c>
      <c r="H388" s="1872">
        <f>D!$I$274</f>
        <v>2245</v>
      </c>
      <c r="I388" s="1338">
        <f t="shared" si="77"/>
        <v>11524.775500000002</v>
      </c>
      <c r="J388" s="1338">
        <f t="shared" si="78"/>
        <v>0</v>
      </c>
      <c r="K388" s="1338">
        <f t="shared" si="79"/>
        <v>0</v>
      </c>
      <c r="L388" s="1530">
        <f t="shared" si="80"/>
        <v>0</v>
      </c>
      <c r="AB388" s="1221"/>
    </row>
    <row r="389" spans="1:28" ht="18" hidden="1" customHeight="1">
      <c r="A389" s="1352"/>
      <c r="B389" s="1353"/>
      <c r="C389" s="1357" t="s">
        <v>28</v>
      </c>
      <c r="D389" s="1372" t="s">
        <v>2369</v>
      </c>
      <c r="E389" s="1335">
        <f>1.1*BTN!$I$1585</f>
        <v>0</v>
      </c>
      <c r="F389" s="1356" t="s">
        <v>47</v>
      </c>
      <c r="G389" s="1872">
        <f>D!$I$261</f>
        <v>9365.8860000000004</v>
      </c>
      <c r="H389" s="1872">
        <f>D!$I$256</f>
        <v>2245</v>
      </c>
      <c r="I389" s="1338">
        <f t="shared" si="77"/>
        <v>11610.886</v>
      </c>
      <c r="J389" s="1338">
        <f t="shared" si="78"/>
        <v>0</v>
      </c>
      <c r="K389" s="1338">
        <f t="shared" si="79"/>
        <v>0</v>
      </c>
      <c r="L389" s="1530">
        <f t="shared" si="80"/>
        <v>0</v>
      </c>
      <c r="AB389" s="1221"/>
    </row>
    <row r="390" spans="1:28" ht="18" hidden="1" customHeight="1">
      <c r="A390" s="1352"/>
      <c r="B390" s="1353"/>
      <c r="C390" s="1357" t="s">
        <v>28</v>
      </c>
      <c r="D390" s="1372" t="s">
        <v>2221</v>
      </c>
      <c r="E390" s="1335">
        <f>1.1*BTN!$K$1585</f>
        <v>0</v>
      </c>
      <c r="F390" s="1356" t="s">
        <v>47</v>
      </c>
      <c r="G390" s="1872">
        <f>D!$I$252</f>
        <v>9796.7115000000013</v>
      </c>
      <c r="H390" s="1872">
        <f>D!$I$256</f>
        <v>2245</v>
      </c>
      <c r="I390" s="1338">
        <f t="shared" si="77"/>
        <v>12041.711500000001</v>
      </c>
      <c r="J390" s="1338">
        <f t="shared" si="78"/>
        <v>0</v>
      </c>
      <c r="K390" s="1338">
        <f t="shared" si="79"/>
        <v>0</v>
      </c>
      <c r="L390" s="1530">
        <f t="shared" si="80"/>
        <v>0</v>
      </c>
      <c r="AB390" s="1221"/>
    </row>
    <row r="391" spans="1:28" ht="18" hidden="1" customHeight="1">
      <c r="A391" s="1352"/>
      <c r="B391" s="1353"/>
      <c r="C391" s="1357" t="s">
        <v>28</v>
      </c>
      <c r="D391" s="1355" t="s">
        <v>2347</v>
      </c>
      <c r="E391" s="1335">
        <f>1.1*BTN!$J$1585</f>
        <v>0</v>
      </c>
      <c r="F391" s="1356" t="s">
        <v>47</v>
      </c>
      <c r="G391" s="1872">
        <f>D!$I$243</f>
        <v>8750.67</v>
      </c>
      <c r="H391" s="1872">
        <f>D!$I$247</f>
        <v>2245</v>
      </c>
      <c r="I391" s="1338">
        <f t="shared" si="77"/>
        <v>10995.67</v>
      </c>
      <c r="J391" s="1338">
        <f t="shared" si="78"/>
        <v>0</v>
      </c>
      <c r="K391" s="1338">
        <f t="shared" si="79"/>
        <v>0</v>
      </c>
      <c r="L391" s="1530">
        <f t="shared" si="80"/>
        <v>0</v>
      </c>
      <c r="AB391" s="1221"/>
    </row>
    <row r="392" spans="1:28" ht="18" hidden="1" customHeight="1">
      <c r="A392" s="1827"/>
      <c r="B392" s="1828"/>
      <c r="C392" s="1830" t="s">
        <v>28</v>
      </c>
      <c r="D392" s="1355" t="s">
        <v>1911</v>
      </c>
      <c r="E392" s="1820">
        <f>1.1*BTN!$R$1585</f>
        <v>0</v>
      </c>
      <c r="F392" s="1821" t="s">
        <v>47</v>
      </c>
      <c r="G392" s="1872">
        <f>D!$I$234</f>
        <v>8903.2665000000015</v>
      </c>
      <c r="H392" s="1872">
        <f>D!$I$256</f>
        <v>2245</v>
      </c>
      <c r="I392" s="1338">
        <f t="shared" si="77"/>
        <v>11148.266500000002</v>
      </c>
      <c r="J392" s="1338">
        <f t="shared" si="78"/>
        <v>0</v>
      </c>
      <c r="K392" s="1338">
        <f t="shared" si="79"/>
        <v>0</v>
      </c>
      <c r="L392" s="1530">
        <f t="shared" si="80"/>
        <v>0</v>
      </c>
      <c r="AB392" s="1221"/>
    </row>
    <row r="393" spans="1:28" ht="18" hidden="1" customHeight="1">
      <c r="A393" s="1352"/>
      <c r="B393" s="1353"/>
      <c r="C393" s="1357" t="s">
        <v>28</v>
      </c>
      <c r="D393" s="1355" t="s">
        <v>1353</v>
      </c>
      <c r="E393" s="1335">
        <f>1.1*BTN!$R$1584</f>
        <v>0</v>
      </c>
      <c r="F393" s="1362" t="s">
        <v>47</v>
      </c>
      <c r="G393" s="1872">
        <f>D!$I$225</f>
        <v>9105.3284999999996</v>
      </c>
      <c r="H393" s="1872">
        <f>D!$I$229</f>
        <v>2245</v>
      </c>
      <c r="I393" s="1338">
        <f t="shared" si="77"/>
        <v>11350.3285</v>
      </c>
      <c r="J393" s="1338">
        <f t="shared" si="78"/>
        <v>0</v>
      </c>
      <c r="K393" s="1338">
        <f t="shared" si="79"/>
        <v>0</v>
      </c>
      <c r="L393" s="1530">
        <f t="shared" si="80"/>
        <v>0</v>
      </c>
      <c r="AB393" s="1221"/>
    </row>
    <row r="394" spans="1:28" ht="18" hidden="1" customHeight="1">
      <c r="A394" s="1352"/>
      <c r="B394" s="1353" t="s">
        <v>56</v>
      </c>
      <c r="C394" s="1354"/>
      <c r="D394" s="1355" t="s">
        <v>57</v>
      </c>
      <c r="E394" s="1335">
        <f>BTN!$E$1612</f>
        <v>0</v>
      </c>
      <c r="F394" s="1356" t="s">
        <v>19</v>
      </c>
      <c r="G394" s="1872">
        <f>D!$I$61</f>
        <v>196006.25</v>
      </c>
      <c r="H394" s="1872">
        <f>D!$I$65</f>
        <v>102350</v>
      </c>
      <c r="I394" s="1338">
        <f t="shared" si="77"/>
        <v>298356.25</v>
      </c>
      <c r="J394" s="1338">
        <f t="shared" si="78"/>
        <v>0</v>
      </c>
      <c r="K394" s="1338">
        <f t="shared" si="79"/>
        <v>0</v>
      </c>
      <c r="L394" s="1530">
        <f t="shared" si="80"/>
        <v>0</v>
      </c>
      <c r="AB394" s="1221"/>
    </row>
    <row r="395" spans="1:28" ht="18" hidden="1" customHeight="1">
      <c r="A395" s="1352">
        <v>1</v>
      </c>
      <c r="B395" s="1353" t="s">
        <v>1356</v>
      </c>
      <c r="C395" s="1354"/>
      <c r="D395" s="1355"/>
      <c r="E395" s="1335"/>
      <c r="F395" s="1356"/>
      <c r="G395" s="1335"/>
      <c r="H395" s="1338"/>
      <c r="I395" s="1338">
        <f t="shared" si="77"/>
        <v>0</v>
      </c>
      <c r="J395" s="1338">
        <f t="shared" si="78"/>
        <v>0</v>
      </c>
      <c r="K395" s="1338">
        <f t="shared" si="79"/>
        <v>0</v>
      </c>
      <c r="L395" s="1530">
        <f t="shared" si="80"/>
        <v>0</v>
      </c>
      <c r="AB395" s="1221"/>
    </row>
    <row r="396" spans="1:28" ht="18" hidden="1" customHeight="1">
      <c r="A396" s="1352"/>
      <c r="B396" s="1353" t="s">
        <v>54</v>
      </c>
      <c r="C396" s="1354"/>
      <c r="D396" s="1353" t="s">
        <v>1357</v>
      </c>
      <c r="E396" s="1335">
        <f>1.1*BTN!$E$1562</f>
        <v>0</v>
      </c>
      <c r="F396" s="1356" t="s">
        <v>35</v>
      </c>
      <c r="G396" s="1872">
        <f>D!$I$134</f>
        <v>892522.85714285716</v>
      </c>
      <c r="H396" s="1872">
        <f>D!$I$138</f>
        <v>288100</v>
      </c>
      <c r="I396" s="1338">
        <f t="shared" si="77"/>
        <v>1180622.8571428573</v>
      </c>
      <c r="J396" s="1338">
        <f t="shared" si="78"/>
        <v>0</v>
      </c>
      <c r="K396" s="1338">
        <f t="shared" si="79"/>
        <v>0</v>
      </c>
      <c r="L396" s="1530">
        <f t="shared" si="80"/>
        <v>0</v>
      </c>
      <c r="AB396" s="1221"/>
    </row>
    <row r="397" spans="1:28" ht="18" hidden="1" customHeight="1">
      <c r="A397" s="1352"/>
      <c r="B397" s="1353" t="s">
        <v>55</v>
      </c>
      <c r="C397" s="1354"/>
      <c r="D397" s="1355"/>
      <c r="E397" s="1335"/>
      <c r="F397" s="1356"/>
      <c r="G397" s="1872"/>
      <c r="H397" s="1872"/>
      <c r="I397" s="1338">
        <f t="shared" si="77"/>
        <v>0</v>
      </c>
      <c r="J397" s="1338">
        <f t="shared" si="78"/>
        <v>0</v>
      </c>
      <c r="K397" s="1338">
        <f t="shared" si="79"/>
        <v>0</v>
      </c>
      <c r="L397" s="1530">
        <f t="shared" si="80"/>
        <v>0</v>
      </c>
      <c r="AB397" s="1221"/>
    </row>
    <row r="398" spans="1:28" ht="18" hidden="1" customHeight="1">
      <c r="A398" s="1352"/>
      <c r="B398" s="1353"/>
      <c r="C398" s="1357" t="s">
        <v>28</v>
      </c>
      <c r="D398" s="1372" t="s">
        <v>2221</v>
      </c>
      <c r="E398" s="1335">
        <f>1.1*BTN!$F$1591</f>
        <v>0</v>
      </c>
      <c r="F398" s="1356" t="s">
        <v>47</v>
      </c>
      <c r="G398" s="1872">
        <f>D!$I$252</f>
        <v>9796.7115000000013</v>
      </c>
      <c r="H398" s="1872">
        <f>D!$I$256</f>
        <v>2245</v>
      </c>
      <c r="I398" s="1338">
        <f t="shared" si="77"/>
        <v>12041.711500000001</v>
      </c>
      <c r="J398" s="1338">
        <f t="shared" si="78"/>
        <v>0</v>
      </c>
      <c r="K398" s="1338">
        <f t="shared" si="79"/>
        <v>0</v>
      </c>
      <c r="L398" s="1530">
        <f t="shared" si="80"/>
        <v>0</v>
      </c>
      <c r="AB398" s="1221"/>
    </row>
    <row r="399" spans="1:28" ht="18" hidden="1" customHeight="1">
      <c r="A399" s="1352"/>
      <c r="B399" s="1353"/>
      <c r="C399" s="1357" t="s">
        <v>28</v>
      </c>
      <c r="D399" s="1355" t="s">
        <v>1353</v>
      </c>
      <c r="E399" s="1335">
        <f>1.1*BTN!$Q$1591</f>
        <v>0</v>
      </c>
      <c r="F399" s="1356" t="s">
        <v>47</v>
      </c>
      <c r="G399" s="1872">
        <f>D!$I$225</f>
        <v>9105.3284999999996</v>
      </c>
      <c r="H399" s="1872">
        <f>D!$I$229</f>
        <v>2245</v>
      </c>
      <c r="I399" s="1338">
        <f t="shared" si="77"/>
        <v>11350.3285</v>
      </c>
      <c r="J399" s="1338">
        <f t="shared" si="78"/>
        <v>0</v>
      </c>
      <c r="K399" s="1338">
        <f t="shared" si="79"/>
        <v>0</v>
      </c>
      <c r="L399" s="1530">
        <f t="shared" si="80"/>
        <v>0</v>
      </c>
      <c r="AB399" s="1221"/>
    </row>
    <row r="400" spans="1:28" ht="18" hidden="1" customHeight="1">
      <c r="A400" s="1352"/>
      <c r="B400" s="1353" t="s">
        <v>56</v>
      </c>
      <c r="C400" s="1354"/>
      <c r="D400" s="1355" t="s">
        <v>57</v>
      </c>
      <c r="E400" s="1335">
        <f>BTN!$E$1619</f>
        <v>0</v>
      </c>
      <c r="F400" s="1356" t="s">
        <v>19</v>
      </c>
      <c r="G400" s="1872">
        <f>D!$I$61</f>
        <v>196006.25</v>
      </c>
      <c r="H400" s="1872">
        <f>D!$I$65</f>
        <v>102350</v>
      </c>
      <c r="I400" s="1338">
        <f t="shared" si="77"/>
        <v>298356.25</v>
      </c>
      <c r="J400" s="1338">
        <f t="shared" si="78"/>
        <v>0</v>
      </c>
      <c r="K400" s="1338">
        <f t="shared" si="79"/>
        <v>0</v>
      </c>
      <c r="L400" s="1530">
        <f t="shared" si="80"/>
        <v>0</v>
      </c>
      <c r="AB400" s="1221"/>
    </row>
    <row r="401" spans="1:28" ht="18" hidden="1" customHeight="1">
      <c r="A401" s="1352">
        <f>A395+1</f>
        <v>2</v>
      </c>
      <c r="B401" s="1353" t="s">
        <v>62</v>
      </c>
      <c r="C401" s="1355"/>
      <c r="D401" s="1353"/>
      <c r="E401" s="1335"/>
      <c r="F401" s="1356"/>
      <c r="G401" s="1335"/>
      <c r="H401" s="1338"/>
      <c r="I401" s="1338">
        <f t="shared" si="77"/>
        <v>0</v>
      </c>
      <c r="J401" s="1338">
        <f t="shared" si="78"/>
        <v>0</v>
      </c>
      <c r="K401" s="1338">
        <f t="shared" si="79"/>
        <v>0</v>
      </c>
      <c r="L401" s="1530">
        <f t="shared" si="80"/>
        <v>0</v>
      </c>
      <c r="AB401" s="1221"/>
    </row>
    <row r="402" spans="1:28" ht="18" hidden="1" customHeight="1">
      <c r="A402" s="1364"/>
      <c r="B402" s="1355" t="s">
        <v>63</v>
      </c>
      <c r="C402" s="1355"/>
      <c r="D402" s="1353" t="s">
        <v>2712</v>
      </c>
      <c r="E402" s="1335">
        <f>1.1*BTN!$D$1671</f>
        <v>0</v>
      </c>
      <c r="F402" s="1356" t="s">
        <v>35</v>
      </c>
      <c r="G402" s="1872">
        <f>D!$I$189</f>
        <v>1119202</v>
      </c>
      <c r="H402" s="1872">
        <f>D!$I$193</f>
        <v>288100</v>
      </c>
      <c r="I402" s="1338">
        <f t="shared" si="77"/>
        <v>1407302</v>
      </c>
      <c r="J402" s="1338">
        <f t="shared" si="78"/>
        <v>0</v>
      </c>
      <c r="K402" s="1338">
        <f t="shared" si="79"/>
        <v>0</v>
      </c>
      <c r="L402" s="1530">
        <f t="shared" si="80"/>
        <v>0</v>
      </c>
      <c r="AB402" s="1221"/>
    </row>
    <row r="403" spans="1:28" ht="18" hidden="1" customHeight="1">
      <c r="A403" s="1364"/>
      <c r="B403" s="1355" t="s">
        <v>64</v>
      </c>
      <c r="C403" s="1355"/>
      <c r="D403" s="1353"/>
      <c r="E403" s="1335"/>
      <c r="F403" s="1356"/>
      <c r="G403" s="1872"/>
      <c r="H403" s="1872"/>
      <c r="I403" s="1338">
        <f t="shared" si="77"/>
        <v>0</v>
      </c>
      <c r="J403" s="1338">
        <f t="shared" si="78"/>
        <v>0</v>
      </c>
      <c r="K403" s="1338">
        <f t="shared" si="79"/>
        <v>0</v>
      </c>
      <c r="L403" s="1530">
        <f t="shared" si="80"/>
        <v>0</v>
      </c>
      <c r="AB403" s="1221"/>
    </row>
    <row r="404" spans="1:28" ht="18" hidden="1" customHeight="1">
      <c r="A404" s="1528"/>
      <c r="B404" s="1353"/>
      <c r="C404" s="1357" t="s">
        <v>28</v>
      </c>
      <c r="D404" s="1529" t="s">
        <v>2272</v>
      </c>
      <c r="E404" s="1335">
        <f>1.1*BTN!$H$1645</f>
        <v>0</v>
      </c>
      <c r="F404" s="1356" t="s">
        <v>47</v>
      </c>
      <c r="G404" s="1872">
        <f>D!$I$270</f>
        <v>9279.7755000000016</v>
      </c>
      <c r="H404" s="1872">
        <f>D!$I$274</f>
        <v>2245</v>
      </c>
      <c r="I404" s="1338">
        <f t="shared" si="77"/>
        <v>11524.775500000002</v>
      </c>
      <c r="J404" s="1338">
        <f t="shared" si="78"/>
        <v>0</v>
      </c>
      <c r="K404" s="1338">
        <f t="shared" si="79"/>
        <v>0</v>
      </c>
      <c r="L404" s="1530">
        <f t="shared" si="80"/>
        <v>0</v>
      </c>
      <c r="AB404" s="1221"/>
    </row>
    <row r="405" spans="1:28" ht="18" hidden="1" customHeight="1">
      <c r="A405" s="1352"/>
      <c r="B405" s="1353"/>
      <c r="C405" s="1357" t="s">
        <v>28</v>
      </c>
      <c r="D405" s="1372" t="s">
        <v>2221</v>
      </c>
      <c r="E405" s="1335">
        <f>1.1*BTN!L1645</f>
        <v>0</v>
      </c>
      <c r="F405" s="1356" t="s">
        <v>47</v>
      </c>
      <c r="G405" s="1872">
        <f>D!$I$252</f>
        <v>9796.7115000000013</v>
      </c>
      <c r="H405" s="1872">
        <f>D!$I$256</f>
        <v>2245</v>
      </c>
      <c r="I405" s="1338">
        <f t="shared" si="77"/>
        <v>12041.711500000001</v>
      </c>
      <c r="J405" s="1338">
        <f>E405*G405</f>
        <v>0</v>
      </c>
      <c r="K405" s="1338">
        <f>E405*H405</f>
        <v>0</v>
      </c>
      <c r="L405" s="1530">
        <f t="shared" si="80"/>
        <v>0</v>
      </c>
      <c r="AB405" s="1221"/>
    </row>
    <row r="406" spans="1:28" ht="18" hidden="1" customHeight="1">
      <c r="A406" s="1352"/>
      <c r="B406" s="1353"/>
      <c r="C406" s="1357" t="s">
        <v>28</v>
      </c>
      <c r="D406" s="1355" t="s">
        <v>2347</v>
      </c>
      <c r="E406" s="1335">
        <f>1.1*BTN!$J$1645</f>
        <v>0</v>
      </c>
      <c r="F406" s="1356" t="s">
        <v>47</v>
      </c>
      <c r="G406" s="1872">
        <f>D!$I$243</f>
        <v>8750.67</v>
      </c>
      <c r="H406" s="1872">
        <f>D!$I$247</f>
        <v>2245</v>
      </c>
      <c r="I406" s="1338">
        <f t="shared" si="77"/>
        <v>10995.67</v>
      </c>
      <c r="J406" s="1338">
        <f>E406*G406</f>
        <v>0</v>
      </c>
      <c r="K406" s="1338">
        <f>E406*H406</f>
        <v>0</v>
      </c>
      <c r="L406" s="1530">
        <f t="shared" si="80"/>
        <v>0</v>
      </c>
      <c r="AB406" s="1221"/>
    </row>
    <row r="407" spans="1:28" ht="18" hidden="1" customHeight="1">
      <c r="A407" s="1352"/>
      <c r="B407" s="1353"/>
      <c r="C407" s="1357" t="s">
        <v>28</v>
      </c>
      <c r="D407" s="1355" t="s">
        <v>1594</v>
      </c>
      <c r="E407" s="1335">
        <f>1.1*BTN!$K$1645</f>
        <v>0</v>
      </c>
      <c r="F407" s="1356" t="s">
        <v>47</v>
      </c>
      <c r="G407" s="1872">
        <f>D!$I$234</f>
        <v>8903.2665000000015</v>
      </c>
      <c r="H407" s="1872">
        <f>D!$I$247</f>
        <v>2245</v>
      </c>
      <c r="I407" s="1338">
        <f t="shared" si="77"/>
        <v>11148.266500000002</v>
      </c>
      <c r="J407" s="1338">
        <f>E407*G407</f>
        <v>0</v>
      </c>
      <c r="K407" s="1338">
        <f>E407*H407</f>
        <v>0</v>
      </c>
      <c r="L407" s="1530">
        <f t="shared" si="80"/>
        <v>0</v>
      </c>
      <c r="AB407" s="1221"/>
    </row>
    <row r="408" spans="1:28" ht="18" hidden="1" customHeight="1">
      <c r="A408" s="1352"/>
      <c r="B408" s="1353"/>
      <c r="C408" s="1357" t="s">
        <v>28</v>
      </c>
      <c r="D408" s="1355" t="s">
        <v>1353</v>
      </c>
      <c r="E408" s="1335">
        <f>1.1*BTN!$R$1644</f>
        <v>0</v>
      </c>
      <c r="F408" s="1356" t="s">
        <v>47</v>
      </c>
      <c r="G408" s="1872">
        <f>D!$I$225</f>
        <v>9105.3284999999996</v>
      </c>
      <c r="H408" s="1872">
        <f>D!$I$229</f>
        <v>2245</v>
      </c>
      <c r="I408" s="1338">
        <f t="shared" si="77"/>
        <v>11350.3285</v>
      </c>
      <c r="J408" s="1338">
        <f t="shared" ref="J408:J431" si="81">E408*G408</f>
        <v>0</v>
      </c>
      <c r="K408" s="1338">
        <f t="shared" ref="K408:K431" si="82">E408*H408</f>
        <v>0</v>
      </c>
      <c r="L408" s="1530">
        <f t="shared" si="80"/>
        <v>0</v>
      </c>
      <c r="AB408" s="1221"/>
    </row>
    <row r="409" spans="1:28" ht="18" hidden="1" customHeight="1">
      <c r="A409" s="1352"/>
      <c r="B409" s="1353"/>
      <c r="C409" s="1357" t="s">
        <v>28</v>
      </c>
      <c r="D409" s="1355" t="s">
        <v>1911</v>
      </c>
      <c r="E409" s="1335">
        <f>1.1*BTN!$R$1645</f>
        <v>0</v>
      </c>
      <c r="F409" s="1356" t="s">
        <v>47</v>
      </c>
      <c r="G409" s="1872">
        <f>D!$I$234</f>
        <v>8903.2665000000015</v>
      </c>
      <c r="H409" s="1872">
        <f>D!$I$238</f>
        <v>2245</v>
      </c>
      <c r="I409" s="1338">
        <f t="shared" si="77"/>
        <v>11148.266500000002</v>
      </c>
      <c r="J409" s="1338">
        <f t="shared" si="81"/>
        <v>0</v>
      </c>
      <c r="K409" s="1338">
        <f t="shared" si="82"/>
        <v>0</v>
      </c>
      <c r="L409" s="1530">
        <f t="shared" si="80"/>
        <v>0</v>
      </c>
      <c r="AB409" s="1221"/>
    </row>
    <row r="410" spans="1:28" ht="18" hidden="1" customHeight="1">
      <c r="A410" s="1364"/>
      <c r="B410" s="1355" t="s">
        <v>65</v>
      </c>
      <c r="C410" s="1355"/>
      <c r="D410" s="1353" t="s">
        <v>57</v>
      </c>
      <c r="E410" s="1335">
        <f>BTN!$D$1696</f>
        <v>0</v>
      </c>
      <c r="F410" s="1356" t="s">
        <v>19</v>
      </c>
      <c r="G410" s="1872">
        <f>D!$I$74</f>
        <v>233806.25</v>
      </c>
      <c r="H410" s="1872">
        <f>D!$I$78</f>
        <v>102350</v>
      </c>
      <c r="I410" s="1338">
        <f t="shared" si="77"/>
        <v>336156.25</v>
      </c>
      <c r="J410" s="1338">
        <f t="shared" si="81"/>
        <v>0</v>
      </c>
      <c r="K410" s="1338">
        <f t="shared" si="82"/>
        <v>0</v>
      </c>
      <c r="L410" s="1530">
        <f t="shared" si="80"/>
        <v>0</v>
      </c>
      <c r="AB410" s="1221"/>
    </row>
    <row r="411" spans="1:28" ht="18" hidden="1" customHeight="1">
      <c r="A411" s="1364">
        <f>A401+1</f>
        <v>3</v>
      </c>
      <c r="B411" s="1355" t="s">
        <v>66</v>
      </c>
      <c r="C411" s="1355"/>
      <c r="D411" s="1353"/>
      <c r="E411" s="1335"/>
      <c r="F411" s="1356"/>
      <c r="G411" s="1335"/>
      <c r="H411" s="1338"/>
      <c r="I411" s="1338">
        <f t="shared" si="77"/>
        <v>0</v>
      </c>
      <c r="J411" s="1338">
        <f t="shared" si="81"/>
        <v>0</v>
      </c>
      <c r="K411" s="1338">
        <f t="shared" si="82"/>
        <v>0</v>
      </c>
      <c r="L411" s="1530">
        <f t="shared" si="80"/>
        <v>0</v>
      </c>
      <c r="AB411" s="1221"/>
    </row>
    <row r="412" spans="1:28" ht="18" hidden="1" customHeight="1">
      <c r="A412" s="1364"/>
      <c r="B412" s="1355" t="s">
        <v>67</v>
      </c>
      <c r="C412" s="1355"/>
      <c r="D412" s="1353" t="s">
        <v>2713</v>
      </c>
      <c r="E412" s="1335">
        <f>1.1*BTN!$F$1820</f>
        <v>0</v>
      </c>
      <c r="F412" s="1356" t="s">
        <v>35</v>
      </c>
      <c r="G412" s="1872">
        <f>D!$I$216</f>
        <v>1063000</v>
      </c>
      <c r="H412" s="1872">
        <f>D!$I$220</f>
        <v>288300</v>
      </c>
      <c r="I412" s="1338">
        <f t="shared" si="77"/>
        <v>1351300</v>
      </c>
      <c r="J412" s="1338">
        <f t="shared" si="81"/>
        <v>0</v>
      </c>
      <c r="K412" s="1338">
        <f t="shared" si="82"/>
        <v>0</v>
      </c>
      <c r="L412" s="1530">
        <f t="shared" si="80"/>
        <v>0</v>
      </c>
      <c r="AB412" s="1221"/>
    </row>
    <row r="413" spans="1:28" ht="18" hidden="1" customHeight="1">
      <c r="A413" s="1364"/>
      <c r="B413" s="1355" t="s">
        <v>68</v>
      </c>
      <c r="C413" s="1355"/>
      <c r="D413" s="1353" t="s">
        <v>1798</v>
      </c>
      <c r="E413" s="1335">
        <f>BTN!$E$1820</f>
        <v>0</v>
      </c>
      <c r="F413" s="1356" t="s">
        <v>19</v>
      </c>
      <c r="G413" s="1872">
        <f>D!$I$17</f>
        <v>55169.836884185781</v>
      </c>
      <c r="H413" s="1872">
        <f>D!$I$20</f>
        <v>27400</v>
      </c>
      <c r="I413" s="1338">
        <f t="shared" si="77"/>
        <v>82569.836884185788</v>
      </c>
      <c r="J413" s="1338">
        <f t="shared" si="81"/>
        <v>0</v>
      </c>
      <c r="K413" s="1338">
        <f t="shared" si="82"/>
        <v>0</v>
      </c>
      <c r="L413" s="1530">
        <f t="shared" si="80"/>
        <v>0</v>
      </c>
      <c r="AB413" s="1221"/>
    </row>
    <row r="414" spans="1:28" ht="18" hidden="1" customHeight="1">
      <c r="A414" s="1364"/>
      <c r="B414" s="1355" t="s">
        <v>69</v>
      </c>
      <c r="C414" s="1355"/>
      <c r="D414" s="1353" t="s">
        <v>70</v>
      </c>
      <c r="E414" s="1335">
        <f>BTN!$E$1820</f>
        <v>0</v>
      </c>
      <c r="F414" s="1356" t="s">
        <v>19</v>
      </c>
      <c r="G414" s="1872">
        <f>D!$I$124</f>
        <v>115280.68000000001</v>
      </c>
      <c r="H414" s="1872">
        <f>D!$I$127</f>
        <v>13400</v>
      </c>
      <c r="I414" s="1338">
        <f t="shared" si="77"/>
        <v>128680.68000000001</v>
      </c>
      <c r="J414" s="1338">
        <f t="shared" si="81"/>
        <v>0</v>
      </c>
      <c r="K414" s="1338">
        <f t="shared" si="82"/>
        <v>0</v>
      </c>
      <c r="L414" s="1530">
        <f t="shared" si="80"/>
        <v>0</v>
      </c>
      <c r="AB414" s="1221"/>
    </row>
    <row r="415" spans="1:28" ht="18" hidden="1" customHeight="1">
      <c r="A415" s="1352">
        <v>0</v>
      </c>
      <c r="B415" s="1353" t="s">
        <v>1640</v>
      </c>
      <c r="C415" s="1354"/>
      <c r="D415" s="1355"/>
      <c r="E415" s="1335"/>
      <c r="F415" s="1356"/>
      <c r="G415" s="1335"/>
      <c r="H415" s="1338"/>
      <c r="I415" s="1338">
        <f t="shared" si="77"/>
        <v>0</v>
      </c>
      <c r="J415" s="1338">
        <f t="shared" si="81"/>
        <v>0</v>
      </c>
      <c r="K415" s="1338">
        <f t="shared" si="82"/>
        <v>0</v>
      </c>
      <c r="L415" s="1530">
        <f t="shared" si="80"/>
        <v>0</v>
      </c>
      <c r="AB415" s="1221"/>
    </row>
    <row r="416" spans="1:28" ht="18" hidden="1" customHeight="1">
      <c r="A416" s="1352"/>
      <c r="B416" s="1353" t="s">
        <v>1739</v>
      </c>
      <c r="C416" s="1354"/>
      <c r="D416" s="1353" t="s">
        <v>1357</v>
      </c>
      <c r="E416" s="1335"/>
      <c r="F416" s="1356" t="s">
        <v>35</v>
      </c>
      <c r="G416" s="1872">
        <f>D!$I$134</f>
        <v>892522.85714285716</v>
      </c>
      <c r="H416" s="1872">
        <f>D!$I$138</f>
        <v>288100</v>
      </c>
      <c r="I416" s="1338">
        <f t="shared" si="77"/>
        <v>1180622.8571428573</v>
      </c>
      <c r="J416" s="1338">
        <f t="shared" si="81"/>
        <v>0</v>
      </c>
      <c r="K416" s="1338">
        <f t="shared" si="82"/>
        <v>0</v>
      </c>
      <c r="L416" s="1530">
        <f t="shared" si="80"/>
        <v>0</v>
      </c>
      <c r="AB416" s="1221"/>
    </row>
    <row r="417" spans="1:40" ht="18" hidden="1" customHeight="1">
      <c r="A417" s="1352"/>
      <c r="B417" s="1353" t="s">
        <v>1740</v>
      </c>
      <c r="C417" s="1354"/>
      <c r="D417" s="1355"/>
      <c r="E417" s="1335"/>
      <c r="F417" s="1356"/>
      <c r="G417" s="1872"/>
      <c r="H417" s="1872"/>
      <c r="I417" s="1338">
        <f t="shared" si="77"/>
        <v>0</v>
      </c>
      <c r="J417" s="1338">
        <f t="shared" si="81"/>
        <v>0</v>
      </c>
      <c r="K417" s="1338">
        <f t="shared" si="82"/>
        <v>0</v>
      </c>
      <c r="L417" s="1530">
        <f t="shared" si="80"/>
        <v>0</v>
      </c>
      <c r="AB417" s="1221"/>
    </row>
    <row r="418" spans="1:40" ht="18" hidden="1" customHeight="1">
      <c r="A418" s="1352"/>
      <c r="B418" s="1353"/>
      <c r="C418" s="1357" t="s">
        <v>28</v>
      </c>
      <c r="D418" s="1355" t="s">
        <v>1594</v>
      </c>
      <c r="E418" s="1335"/>
      <c r="F418" s="1356" t="s">
        <v>47</v>
      </c>
      <c r="G418" s="1872">
        <f>D!$I$234</f>
        <v>8903.2665000000015</v>
      </c>
      <c r="H418" s="1872">
        <f>D!$I$238</f>
        <v>2245</v>
      </c>
      <c r="I418" s="1338">
        <f t="shared" si="77"/>
        <v>11148.266500000002</v>
      </c>
      <c r="J418" s="1338">
        <f t="shared" si="81"/>
        <v>0</v>
      </c>
      <c r="K418" s="1338">
        <f t="shared" si="82"/>
        <v>0</v>
      </c>
      <c r="L418" s="1530">
        <f t="shared" si="80"/>
        <v>0</v>
      </c>
      <c r="AB418" s="1221"/>
    </row>
    <row r="419" spans="1:40" ht="18" hidden="1" customHeight="1">
      <c r="A419" s="1352"/>
      <c r="B419" s="1353"/>
      <c r="C419" s="1357" t="s">
        <v>28</v>
      </c>
      <c r="D419" s="1355" t="s">
        <v>1353</v>
      </c>
      <c r="E419" s="1335"/>
      <c r="F419" s="1356" t="s">
        <v>47</v>
      </c>
      <c r="G419" s="1872">
        <f>D!$I$225</f>
        <v>9105.3284999999996</v>
      </c>
      <c r="H419" s="1872">
        <f>D!$I$229</f>
        <v>2245</v>
      </c>
      <c r="I419" s="1338">
        <f t="shared" si="77"/>
        <v>11350.3285</v>
      </c>
      <c r="J419" s="1338">
        <f t="shared" si="81"/>
        <v>0</v>
      </c>
      <c r="K419" s="1338">
        <f t="shared" si="82"/>
        <v>0</v>
      </c>
      <c r="L419" s="1530">
        <f t="shared" si="80"/>
        <v>0</v>
      </c>
      <c r="AB419" s="1221"/>
    </row>
    <row r="420" spans="1:40" ht="18" hidden="1" customHeight="1">
      <c r="A420" s="1352"/>
      <c r="B420" s="1353" t="s">
        <v>1741</v>
      </c>
      <c r="C420" s="1354"/>
      <c r="D420" s="1355" t="s">
        <v>57</v>
      </c>
      <c r="E420" s="1335"/>
      <c r="F420" s="1356" t="s">
        <v>19</v>
      </c>
      <c r="G420" s="1872">
        <f>D!$I$74</f>
        <v>233806.25</v>
      </c>
      <c r="H420" s="1872">
        <f>D!$I$78</f>
        <v>102350</v>
      </c>
      <c r="I420" s="1338">
        <f t="shared" si="77"/>
        <v>336156.25</v>
      </c>
      <c r="J420" s="1338">
        <f t="shared" si="81"/>
        <v>0</v>
      </c>
      <c r="K420" s="1338">
        <f t="shared" si="82"/>
        <v>0</v>
      </c>
      <c r="L420" s="1530">
        <f t="shared" si="80"/>
        <v>0</v>
      </c>
      <c r="AB420" s="1221"/>
    </row>
    <row r="421" spans="1:40" ht="18" hidden="1" customHeight="1">
      <c r="A421" s="1877">
        <v>0</v>
      </c>
      <c r="B421" s="1878" t="s">
        <v>2216</v>
      </c>
      <c r="C421" s="1871"/>
      <c r="D421" s="1818"/>
      <c r="E421" s="1872"/>
      <c r="F421" s="1873"/>
      <c r="G421" s="1872"/>
      <c r="H421" s="1872"/>
      <c r="I421" s="1872">
        <f t="shared" si="77"/>
        <v>0</v>
      </c>
      <c r="J421" s="1872">
        <f t="shared" si="81"/>
        <v>0</v>
      </c>
      <c r="K421" s="1872">
        <f t="shared" si="82"/>
        <v>0</v>
      </c>
      <c r="L421" s="1874">
        <f t="shared" si="80"/>
        <v>0</v>
      </c>
      <c r="AB421" s="1221"/>
    </row>
    <row r="422" spans="1:40" ht="18" hidden="1" customHeight="1">
      <c r="A422" s="1877"/>
      <c r="B422" s="1878" t="s">
        <v>2217</v>
      </c>
      <c r="C422" s="1871"/>
      <c r="D422" s="1878" t="s">
        <v>1357</v>
      </c>
      <c r="E422" s="1872"/>
      <c r="F422" s="1873" t="s">
        <v>35</v>
      </c>
      <c r="G422" s="1872">
        <f>D!$I$134</f>
        <v>892522.85714285716</v>
      </c>
      <c r="H422" s="1872">
        <f>D!$I$138</f>
        <v>288100</v>
      </c>
      <c r="I422" s="1872">
        <f t="shared" si="77"/>
        <v>1180622.8571428573</v>
      </c>
      <c r="J422" s="1872">
        <f t="shared" si="81"/>
        <v>0</v>
      </c>
      <c r="K422" s="1872">
        <f t="shared" si="82"/>
        <v>0</v>
      </c>
      <c r="L422" s="1874">
        <f t="shared" si="80"/>
        <v>0</v>
      </c>
      <c r="AB422" s="1221"/>
    </row>
    <row r="423" spans="1:40" ht="18" hidden="1" customHeight="1">
      <c r="A423" s="1877"/>
      <c r="B423" s="1878" t="s">
        <v>2218</v>
      </c>
      <c r="C423" s="1871"/>
      <c r="D423" s="1818"/>
      <c r="E423" s="1872"/>
      <c r="F423" s="1873"/>
      <c r="G423" s="1872"/>
      <c r="H423" s="1872"/>
      <c r="I423" s="1872">
        <f t="shared" si="77"/>
        <v>0</v>
      </c>
      <c r="J423" s="1872">
        <f t="shared" si="81"/>
        <v>0</v>
      </c>
      <c r="K423" s="1872">
        <f t="shared" si="82"/>
        <v>0</v>
      </c>
      <c r="L423" s="1874">
        <f t="shared" si="80"/>
        <v>0</v>
      </c>
      <c r="AB423" s="1221"/>
    </row>
    <row r="424" spans="1:40" ht="18" hidden="1" customHeight="1">
      <c r="A424" s="1877"/>
      <c r="B424" s="1878"/>
      <c r="C424" s="1879" t="s">
        <v>28</v>
      </c>
      <c r="D424" s="1818" t="s">
        <v>1594</v>
      </c>
      <c r="E424" s="1872"/>
      <c r="F424" s="1873" t="s">
        <v>47</v>
      </c>
      <c r="G424" s="1872">
        <f>D!$I$234</f>
        <v>8903.2665000000015</v>
      </c>
      <c r="H424" s="1872">
        <f>D!$I$238</f>
        <v>2245</v>
      </c>
      <c r="I424" s="1872">
        <f t="shared" si="77"/>
        <v>11148.266500000002</v>
      </c>
      <c r="J424" s="1872">
        <f t="shared" si="81"/>
        <v>0</v>
      </c>
      <c r="K424" s="1872">
        <f t="shared" si="82"/>
        <v>0</v>
      </c>
      <c r="L424" s="1874">
        <f t="shared" si="80"/>
        <v>0</v>
      </c>
      <c r="AB424" s="1221"/>
    </row>
    <row r="425" spans="1:40" ht="18" hidden="1" customHeight="1">
      <c r="A425" s="1877"/>
      <c r="B425" s="1878"/>
      <c r="C425" s="1879" t="s">
        <v>28</v>
      </c>
      <c r="D425" s="1818" t="s">
        <v>1353</v>
      </c>
      <c r="E425" s="1872"/>
      <c r="F425" s="1873" t="s">
        <v>47</v>
      </c>
      <c r="G425" s="1872">
        <f>D!$I$225</f>
        <v>9105.3284999999996</v>
      </c>
      <c r="H425" s="1872">
        <f>D!$I$229</f>
        <v>2245</v>
      </c>
      <c r="I425" s="1872">
        <f t="shared" si="77"/>
        <v>11350.3285</v>
      </c>
      <c r="J425" s="1872">
        <f t="shared" si="81"/>
        <v>0</v>
      </c>
      <c r="K425" s="1872">
        <f t="shared" si="82"/>
        <v>0</v>
      </c>
      <c r="L425" s="1874">
        <f t="shared" si="80"/>
        <v>0</v>
      </c>
      <c r="AB425" s="1221"/>
    </row>
    <row r="426" spans="1:40" ht="18" hidden="1" customHeight="1">
      <c r="A426" s="1877"/>
      <c r="B426" s="1878" t="s">
        <v>2219</v>
      </c>
      <c r="C426" s="1871"/>
      <c r="D426" s="1818" t="s">
        <v>57</v>
      </c>
      <c r="E426" s="1872"/>
      <c r="F426" s="1873" t="s">
        <v>19</v>
      </c>
      <c r="G426" s="1872">
        <f>D!$I$87</f>
        <v>349150</v>
      </c>
      <c r="H426" s="1872">
        <f>D!$I$91</f>
        <v>102350</v>
      </c>
      <c r="I426" s="1872">
        <f t="shared" si="77"/>
        <v>451500</v>
      </c>
      <c r="J426" s="1872">
        <f t="shared" si="81"/>
        <v>0</v>
      </c>
      <c r="K426" s="1872">
        <f t="shared" si="82"/>
        <v>0</v>
      </c>
      <c r="L426" s="1874">
        <f t="shared" si="80"/>
        <v>0</v>
      </c>
      <c r="AB426" s="1221"/>
      <c r="AE426" s="1300">
        <f>SUM(AE432:AE491)</f>
        <v>0</v>
      </c>
      <c r="AF426" s="1300">
        <f>SUM(AF432:AF491)</f>
        <v>0</v>
      </c>
      <c r="AG426" s="1300">
        <f>SUM(AG432:AG491)</f>
        <v>0</v>
      </c>
    </row>
    <row r="427" spans="1:40" ht="18" hidden="1" customHeight="1">
      <c r="A427" s="1352">
        <v>5</v>
      </c>
      <c r="B427" s="1353" t="s">
        <v>2676</v>
      </c>
      <c r="C427" s="1354"/>
      <c r="D427" s="1355"/>
      <c r="E427" s="1335"/>
      <c r="F427" s="1356"/>
      <c r="G427" s="1335"/>
      <c r="H427" s="1338"/>
      <c r="I427" s="1338">
        <f t="shared" si="77"/>
        <v>0</v>
      </c>
      <c r="J427" s="1338">
        <f t="shared" si="81"/>
        <v>0</v>
      </c>
      <c r="K427" s="1338">
        <f t="shared" si="82"/>
        <v>0</v>
      </c>
      <c r="L427" s="1530">
        <f t="shared" si="80"/>
        <v>0</v>
      </c>
      <c r="AB427" s="1221"/>
    </row>
    <row r="428" spans="1:40" ht="18" hidden="1" customHeight="1">
      <c r="A428" s="1352"/>
      <c r="B428" s="1353" t="s">
        <v>2505</v>
      </c>
      <c r="C428" s="1354"/>
      <c r="D428" s="1353" t="s">
        <v>2712</v>
      </c>
      <c r="E428" s="1335"/>
      <c r="F428" s="1356" t="s">
        <v>35</v>
      </c>
      <c r="G428" s="1872">
        <f>D!$I$189</f>
        <v>1119202</v>
      </c>
      <c r="H428" s="1872">
        <f>D!$I$193</f>
        <v>288100</v>
      </c>
      <c r="I428" s="1338">
        <f t="shared" si="77"/>
        <v>1407302</v>
      </c>
      <c r="J428" s="1338">
        <f t="shared" si="81"/>
        <v>0</v>
      </c>
      <c r="K428" s="1338">
        <f t="shared" si="82"/>
        <v>0</v>
      </c>
      <c r="L428" s="1530">
        <f t="shared" si="80"/>
        <v>0</v>
      </c>
      <c r="AB428" s="1221"/>
    </row>
    <row r="429" spans="1:40" ht="18" hidden="1" customHeight="1">
      <c r="A429" s="1352"/>
      <c r="B429" s="1353" t="s">
        <v>2506</v>
      </c>
      <c r="C429" s="1354"/>
      <c r="D429" s="1355"/>
      <c r="E429" s="1335"/>
      <c r="F429" s="1356"/>
      <c r="G429" s="1872"/>
      <c r="H429" s="1872"/>
      <c r="I429" s="1338">
        <f t="shared" si="77"/>
        <v>0</v>
      </c>
      <c r="J429" s="1338">
        <f t="shared" si="81"/>
        <v>0</v>
      </c>
      <c r="K429" s="1338">
        <f t="shared" si="82"/>
        <v>0</v>
      </c>
      <c r="L429" s="1530">
        <f t="shared" si="80"/>
        <v>0</v>
      </c>
      <c r="AB429" s="1221"/>
    </row>
    <row r="430" spans="1:40" ht="18" hidden="1" customHeight="1">
      <c r="A430" s="1352"/>
      <c r="B430" s="1353"/>
      <c r="C430" s="1357" t="s">
        <v>28</v>
      </c>
      <c r="D430" s="1355" t="s">
        <v>2369</v>
      </c>
      <c r="E430" s="1335"/>
      <c r="F430" s="1356" t="s">
        <v>47</v>
      </c>
      <c r="G430" s="1872">
        <f>D!$I$261</f>
        <v>9365.8860000000004</v>
      </c>
      <c r="H430" s="1872">
        <f>D!$I$274</f>
        <v>2245</v>
      </c>
      <c r="I430" s="1338">
        <f t="shared" si="77"/>
        <v>11610.886</v>
      </c>
      <c r="J430" s="1338">
        <f t="shared" si="81"/>
        <v>0</v>
      </c>
      <c r="K430" s="1338">
        <f t="shared" si="82"/>
        <v>0</v>
      </c>
      <c r="L430" s="1530">
        <f t="shared" si="80"/>
        <v>0</v>
      </c>
      <c r="AB430" s="1221"/>
    </row>
    <row r="431" spans="1:40" ht="18" hidden="1" customHeight="1" thickBot="1">
      <c r="A431" s="1352"/>
      <c r="B431" s="1353" t="s">
        <v>2507</v>
      </c>
      <c r="C431" s="1354"/>
      <c r="D431" s="1355" t="s">
        <v>57</v>
      </c>
      <c r="E431" s="1335"/>
      <c r="F431" s="1356" t="s">
        <v>19</v>
      </c>
      <c r="G431" s="1872">
        <f>D!$I$114</f>
        <v>238650</v>
      </c>
      <c r="H431" s="1872">
        <f>D!$I$91</f>
        <v>102350</v>
      </c>
      <c r="I431" s="1338">
        <f t="shared" si="77"/>
        <v>341000</v>
      </c>
      <c r="J431" s="1338">
        <f t="shared" si="81"/>
        <v>0</v>
      </c>
      <c r="K431" s="1338">
        <f t="shared" si="82"/>
        <v>0</v>
      </c>
      <c r="L431" s="1530">
        <f t="shared" si="80"/>
        <v>0</v>
      </c>
      <c r="AB431" s="1221"/>
    </row>
    <row r="432" spans="1:40" s="1760" customFormat="1" ht="18" hidden="1" customHeight="1" thickTop="1" thickBot="1">
      <c r="A432" s="2675" t="s">
        <v>2317</v>
      </c>
      <c r="B432" s="2676"/>
      <c r="C432" s="2676"/>
      <c r="D432" s="2676"/>
      <c r="E432" s="2676"/>
      <c r="F432" s="2676"/>
      <c r="G432" s="2676"/>
      <c r="H432" s="2389"/>
      <c r="I432" s="2389"/>
      <c r="J432" s="1542">
        <f>SUM(J385:J431)</f>
        <v>0</v>
      </c>
      <c r="K432" s="1542">
        <f>SUM(K385:K431)</f>
        <v>0</v>
      </c>
      <c r="L432" s="1340">
        <f>SUM(L385:L431)</f>
        <v>0</v>
      </c>
      <c r="M432" s="1760">
        <v>1</v>
      </c>
      <c r="N432" s="1760">
        <v>17</v>
      </c>
      <c r="P432" s="1711"/>
      <c r="Q432" s="1300"/>
      <c r="R432" s="1300"/>
      <c r="S432" s="1300"/>
      <c r="T432" s="1300"/>
      <c r="U432" s="1300"/>
      <c r="V432" s="1300"/>
      <c r="W432" s="1300"/>
      <c r="X432" s="1300"/>
      <c r="Y432" s="1300"/>
      <c r="Z432" s="1300"/>
      <c r="AA432" s="1300"/>
      <c r="AB432" s="1300"/>
      <c r="AC432" s="1300"/>
      <c r="AD432" s="1300"/>
      <c r="AE432" s="1300"/>
      <c r="AF432" s="1300"/>
      <c r="AG432" s="1300"/>
      <c r="AH432" s="1300"/>
      <c r="AI432" s="1300"/>
      <c r="AJ432" s="1300"/>
      <c r="AK432" s="1300"/>
      <c r="AL432" s="1300"/>
      <c r="AM432" s="1300"/>
      <c r="AN432" s="1300"/>
    </row>
    <row r="433" spans="1:40" ht="18" customHeight="1" thickTop="1">
      <c r="A433" s="2553" t="s">
        <v>73</v>
      </c>
      <c r="B433" s="2642" t="s">
        <v>2110</v>
      </c>
      <c r="C433" s="1803"/>
      <c r="D433" s="1330"/>
      <c r="E433" s="1330"/>
      <c r="F433" s="2308"/>
      <c r="G433" s="2309"/>
      <c r="H433" s="1330"/>
      <c r="I433" s="1330"/>
      <c r="J433" s="1330"/>
      <c r="K433" s="1330"/>
      <c r="L433" s="1331"/>
      <c r="N433" s="1300">
        <v>18</v>
      </c>
      <c r="P433" s="1711"/>
      <c r="AB433" s="1300"/>
    </row>
    <row r="434" spans="1:40" ht="18" customHeight="1">
      <c r="A434" s="2310" t="s">
        <v>42</v>
      </c>
      <c r="B434" s="2311" t="s">
        <v>74</v>
      </c>
      <c r="C434" s="1803"/>
      <c r="D434" s="2058"/>
      <c r="E434" s="2058"/>
      <c r="F434" s="2308"/>
      <c r="G434" s="2309"/>
      <c r="H434" s="2309"/>
      <c r="I434" s="2309"/>
      <c r="J434" s="2309"/>
      <c r="K434" s="2309"/>
      <c r="L434" s="1562"/>
      <c r="N434" s="1300">
        <v>19</v>
      </c>
      <c r="P434" s="1711"/>
      <c r="AB434" s="1300"/>
      <c r="AD434" s="1711"/>
    </row>
    <row r="435" spans="1:40" s="1760" customFormat="1" ht="18" customHeight="1">
      <c r="A435" s="1761">
        <v>1</v>
      </c>
      <c r="B435" s="2016" t="s">
        <v>3009</v>
      </c>
      <c r="C435" s="2017"/>
      <c r="D435" s="2016" t="str">
        <f>D447</f>
        <v>Bata merah tebal 1/2 bata. Adukan 1 PC : 5 PS</v>
      </c>
      <c r="E435" s="1764">
        <f>'DINDING BATA'!$B$2</f>
        <v>1134.0500000000002</v>
      </c>
      <c r="F435" s="1765" t="s">
        <v>19</v>
      </c>
      <c r="G435" s="1872">
        <v>0</v>
      </c>
      <c r="H435" s="1872">
        <v>0</v>
      </c>
      <c r="I435" s="1764">
        <f>G435+H435</f>
        <v>0</v>
      </c>
      <c r="J435" s="1764">
        <f>E435*G435</f>
        <v>0</v>
      </c>
      <c r="K435" s="1764">
        <f>E435*H435</f>
        <v>0</v>
      </c>
      <c r="L435" s="1766">
        <f>J435+K435</f>
        <v>0</v>
      </c>
      <c r="P435" s="1300"/>
      <c r="Q435" s="1300"/>
      <c r="R435" s="1300"/>
      <c r="S435" s="1300"/>
      <c r="T435" s="1300"/>
      <c r="U435" s="1300"/>
      <c r="V435" s="1300"/>
      <c r="W435" s="1300"/>
      <c r="X435" s="1300"/>
      <c r="Y435" s="1300"/>
      <c r="Z435" s="1300"/>
      <c r="AA435" s="1300"/>
      <c r="AB435" s="1300"/>
      <c r="AC435" s="1300"/>
      <c r="AD435" s="1300"/>
      <c r="AE435" s="1300"/>
      <c r="AF435" s="1300"/>
      <c r="AG435" s="1300"/>
      <c r="AH435" s="1300"/>
      <c r="AI435" s="1300"/>
      <c r="AJ435" s="1711"/>
      <c r="AK435" s="1300"/>
      <c r="AL435" s="1300"/>
      <c r="AM435" s="1300"/>
      <c r="AN435" s="1300"/>
    </row>
    <row r="436" spans="1:40" s="1760" customFormat="1" ht="18" customHeight="1">
      <c r="A436" s="1761"/>
      <c r="B436" s="1762" t="s">
        <v>1619</v>
      </c>
      <c r="C436" s="1763"/>
      <c r="D436" s="1762" t="s">
        <v>2111</v>
      </c>
      <c r="E436" s="1764">
        <v>0</v>
      </c>
      <c r="F436" s="1765" t="s">
        <v>19</v>
      </c>
      <c r="G436" s="1872">
        <v>0</v>
      </c>
      <c r="H436" s="1872">
        <v>0</v>
      </c>
      <c r="I436" s="1764">
        <f>G436+H436</f>
        <v>0</v>
      </c>
      <c r="J436" s="1764">
        <f>E436*G436</f>
        <v>0</v>
      </c>
      <c r="K436" s="1764">
        <f>E436*H436</f>
        <v>0</v>
      </c>
      <c r="L436" s="1766">
        <f>J436+K436</f>
        <v>0</v>
      </c>
      <c r="P436" s="1300"/>
      <c r="Q436" s="1300"/>
      <c r="R436" s="1300"/>
      <c r="S436" s="1300"/>
      <c r="T436" s="1300"/>
      <c r="U436" s="1300"/>
      <c r="V436" s="1300"/>
      <c r="W436" s="1300"/>
      <c r="X436" s="1300"/>
      <c r="Y436" s="1300"/>
      <c r="Z436" s="1300"/>
      <c r="AA436" s="1300"/>
      <c r="AB436" s="1300"/>
      <c r="AC436" s="1300"/>
      <c r="AD436" s="1300"/>
      <c r="AE436" s="1300"/>
      <c r="AF436" s="1300"/>
      <c r="AG436" s="1300"/>
      <c r="AH436" s="1300"/>
      <c r="AI436" s="1300"/>
      <c r="AJ436" s="2423"/>
      <c r="AK436" s="2423"/>
      <c r="AL436" s="2423"/>
      <c r="AM436" s="2423"/>
      <c r="AN436" s="1300"/>
    </row>
    <row r="437" spans="1:40" s="1760" customFormat="1" ht="18" customHeight="1">
      <c r="A437" s="1761">
        <v>2</v>
      </c>
      <c r="B437" s="1762" t="s">
        <v>2460</v>
      </c>
      <c r="C437" s="1763"/>
      <c r="D437" s="2386" t="str">
        <f>BAHAN!$F$30</f>
        <v>Semen Tiga Roda /50 kg</v>
      </c>
      <c r="E437" s="1764">
        <f>2*E435</f>
        <v>2268.1000000000004</v>
      </c>
      <c r="F437" s="1765" t="s">
        <v>19</v>
      </c>
      <c r="G437" s="1872">
        <v>0</v>
      </c>
      <c r="H437" s="1872">
        <v>0</v>
      </c>
      <c r="I437" s="1764">
        <f>G437+H437</f>
        <v>0</v>
      </c>
      <c r="J437" s="1764">
        <f>E437*G437</f>
        <v>0</v>
      </c>
      <c r="K437" s="1764">
        <f>E437*H437</f>
        <v>0</v>
      </c>
      <c r="L437" s="1766">
        <f>J437+K437</f>
        <v>0</v>
      </c>
      <c r="P437" s="1300"/>
      <c r="Q437" s="1300"/>
      <c r="R437" s="1300"/>
      <c r="S437" s="1300"/>
      <c r="T437" s="1300"/>
      <c r="U437" s="1300"/>
      <c r="V437" s="1300"/>
      <c r="W437" s="1300"/>
      <c r="X437" s="1300"/>
      <c r="Y437" s="1300"/>
      <c r="Z437" s="1300"/>
      <c r="AA437" s="1300"/>
      <c r="AB437" s="1300"/>
      <c r="AC437" s="1300"/>
      <c r="AD437" s="1300"/>
      <c r="AE437" s="1300"/>
      <c r="AF437" s="1300"/>
      <c r="AG437" s="1300"/>
      <c r="AH437" s="1300"/>
      <c r="AI437" s="1300"/>
      <c r="AJ437" s="1300"/>
      <c r="AK437" s="1300"/>
      <c r="AL437" s="1300"/>
      <c r="AM437" s="1300"/>
      <c r="AN437" s="1300"/>
    </row>
    <row r="438" spans="1:40" s="1760" customFormat="1" ht="18" customHeight="1" thickBot="1">
      <c r="A438" s="1761">
        <v>3</v>
      </c>
      <c r="B438" s="1768" t="s">
        <v>2112</v>
      </c>
      <c r="C438" s="1769"/>
      <c r="D438" s="2386" t="str">
        <f>BAHAN!$F$30</f>
        <v>Semen Tiga Roda /50 kg</v>
      </c>
      <c r="E438" s="1764">
        <f>2*E435</f>
        <v>2268.1000000000004</v>
      </c>
      <c r="F438" s="1765" t="s">
        <v>19</v>
      </c>
      <c r="G438" s="1872">
        <v>0</v>
      </c>
      <c r="H438" s="1872">
        <v>0</v>
      </c>
      <c r="I438" s="1764">
        <f>G438+H438</f>
        <v>0</v>
      </c>
      <c r="J438" s="1764">
        <f>E438*G438</f>
        <v>0</v>
      </c>
      <c r="K438" s="1764">
        <f>E438*H438</f>
        <v>0</v>
      </c>
      <c r="L438" s="1766">
        <f>J438+K438</f>
        <v>0</v>
      </c>
      <c r="P438" s="1300"/>
      <c r="Q438" s="1300"/>
      <c r="R438" s="1300"/>
      <c r="S438" s="1300"/>
      <c r="T438" s="1300"/>
      <c r="U438" s="1300"/>
      <c r="V438" s="1300"/>
      <c r="W438" s="1300"/>
      <c r="X438" s="1300"/>
      <c r="Y438" s="1300"/>
      <c r="Z438" s="1300"/>
      <c r="AA438" s="1300"/>
      <c r="AB438" s="1300"/>
      <c r="AC438" s="1300"/>
      <c r="AD438" s="1300"/>
      <c r="AE438" s="1300"/>
      <c r="AF438" s="1300"/>
      <c r="AG438" s="1300"/>
      <c r="AH438" s="1300"/>
      <c r="AI438" s="1300"/>
      <c r="AJ438" s="1300"/>
      <c r="AK438" s="1300"/>
      <c r="AL438" s="1300"/>
      <c r="AM438" s="1300"/>
      <c r="AN438" s="1300"/>
    </row>
    <row r="439" spans="1:40" s="1760" customFormat="1" ht="18" customHeight="1" thickTop="1" thickBot="1">
      <c r="A439" s="2677" t="str">
        <f>"Sub Total pekerjaan dinding "&amp;B434&amp;"="</f>
        <v>Sub Total pekerjaan dinding Lantai 1=</v>
      </c>
      <c r="B439" s="2678"/>
      <c r="C439" s="2678"/>
      <c r="D439" s="2678"/>
      <c r="E439" s="2678"/>
      <c r="F439" s="2678"/>
      <c r="G439" s="2678"/>
      <c r="H439" s="1771"/>
      <c r="I439" s="1771"/>
      <c r="J439" s="1772">
        <f>SUM(J435:J438)</f>
        <v>0</v>
      </c>
      <c r="K439" s="1772">
        <f>SUM(K435:K438)</f>
        <v>0</v>
      </c>
      <c r="L439" s="1773">
        <f>SUM(L435:L438)</f>
        <v>0</v>
      </c>
      <c r="M439" s="1760">
        <v>1</v>
      </c>
      <c r="N439" s="1760">
        <v>20</v>
      </c>
      <c r="P439" s="1711"/>
      <c r="Q439" s="1300"/>
      <c r="R439" s="1300"/>
      <c r="S439" s="1300"/>
      <c r="T439" s="1300"/>
      <c r="U439" s="1300"/>
      <c r="V439" s="1300"/>
      <c r="W439" s="1300"/>
      <c r="X439" s="1300"/>
      <c r="Y439" s="1300"/>
      <c r="Z439" s="1300"/>
      <c r="AA439" s="1300"/>
      <c r="AB439" s="1300"/>
      <c r="AC439" s="1300"/>
      <c r="AD439" s="1300"/>
      <c r="AE439" s="1300"/>
      <c r="AF439" s="1300"/>
      <c r="AG439" s="1300"/>
      <c r="AH439" s="1300"/>
      <c r="AI439" s="1300"/>
      <c r="AJ439" s="1300"/>
      <c r="AK439" s="1300"/>
      <c r="AL439" s="1300"/>
      <c r="AM439" s="1300"/>
      <c r="AN439" s="1300"/>
    </row>
    <row r="440" spans="1:40" s="1760" customFormat="1" ht="18" hidden="1" customHeight="1" thickTop="1">
      <c r="A440" s="1753" t="s">
        <v>60</v>
      </c>
      <c r="B440" s="1754" t="s">
        <v>61</v>
      </c>
      <c r="C440" s="1755"/>
      <c r="D440" s="1758"/>
      <c r="E440" s="1758"/>
      <c r="F440" s="1756"/>
      <c r="G440" s="1757"/>
      <c r="H440" s="1758"/>
      <c r="I440" s="1758"/>
      <c r="J440" s="1758"/>
      <c r="K440" s="1758"/>
      <c r="L440" s="1759"/>
      <c r="N440" s="1760">
        <v>21</v>
      </c>
      <c r="P440" s="1711"/>
      <c r="Q440" s="1300"/>
      <c r="R440" s="1300"/>
      <c r="S440" s="1300"/>
      <c r="T440" s="1300"/>
      <c r="U440" s="1300"/>
      <c r="V440" s="1300"/>
      <c r="W440" s="1300"/>
      <c r="X440" s="1300"/>
      <c r="Y440" s="1300"/>
      <c r="Z440" s="1300"/>
      <c r="AA440" s="1300"/>
      <c r="AB440" s="1300"/>
      <c r="AC440" s="1300"/>
      <c r="AD440" s="1300"/>
      <c r="AE440" s="1300"/>
      <c r="AF440" s="1300"/>
      <c r="AG440" s="1300"/>
      <c r="AH440" s="1300"/>
      <c r="AI440" s="1300"/>
      <c r="AJ440" s="1300"/>
      <c r="AK440" s="1300"/>
      <c r="AL440" s="1300"/>
      <c r="AM440" s="1300"/>
      <c r="AN440" s="1300"/>
    </row>
    <row r="441" spans="1:40" s="1760" customFormat="1" ht="18" hidden="1" customHeight="1">
      <c r="A441" s="1761">
        <v>1</v>
      </c>
      <c r="B441" s="2016" t="s">
        <v>2473</v>
      </c>
      <c r="C441" s="2017"/>
      <c r="D441" s="2016" t="str">
        <f>E!D66</f>
        <v>Bata Ringan Lokal T 7 cm</v>
      </c>
      <c r="E441" s="2057">
        <f>'DINDING BATA'!$C$2</f>
        <v>0</v>
      </c>
      <c r="F441" s="1765" t="s">
        <v>19</v>
      </c>
      <c r="G441" s="1872">
        <f>E!$I$39</f>
        <v>102590</v>
      </c>
      <c r="H441" s="1872">
        <f>E!$I$43</f>
        <v>63920</v>
      </c>
      <c r="I441" s="1764">
        <f>G441+H441</f>
        <v>166510</v>
      </c>
      <c r="J441" s="1764">
        <f>E441*G441</f>
        <v>0</v>
      </c>
      <c r="K441" s="1764">
        <f>E441*H441</f>
        <v>0</v>
      </c>
      <c r="L441" s="1766">
        <f>J441+K441</f>
        <v>0</v>
      </c>
      <c r="P441" s="1300"/>
      <c r="Q441" s="1300"/>
      <c r="R441" s="1300"/>
      <c r="S441" s="1300"/>
      <c r="T441" s="1300"/>
      <c r="U441" s="1300"/>
      <c r="V441" s="1300"/>
      <c r="W441" s="1300"/>
      <c r="X441" s="1300"/>
      <c r="Y441" s="1300"/>
      <c r="Z441" s="1300"/>
      <c r="AA441" s="1300"/>
      <c r="AB441" s="1300"/>
      <c r="AC441" s="1300"/>
      <c r="AD441" s="1300"/>
      <c r="AE441" s="1300"/>
      <c r="AF441" s="1300"/>
      <c r="AG441" s="1300"/>
      <c r="AH441" s="1300"/>
      <c r="AI441" s="1300"/>
      <c r="AJ441" s="1711"/>
      <c r="AK441" s="1300"/>
      <c r="AL441" s="1300"/>
      <c r="AM441" s="1300"/>
      <c r="AN441" s="1300"/>
    </row>
    <row r="442" spans="1:40" s="1760" customFormat="1" ht="18" hidden="1" customHeight="1">
      <c r="A442" s="1761"/>
      <c r="B442" s="1762" t="s">
        <v>1619</v>
      </c>
      <c r="C442" s="1763"/>
      <c r="D442" s="1762" t="s">
        <v>2111</v>
      </c>
      <c r="E442" s="1764">
        <v>0</v>
      </c>
      <c r="F442" s="1765" t="s">
        <v>19</v>
      </c>
      <c r="G442" s="1872">
        <v>0</v>
      </c>
      <c r="H442" s="1872">
        <v>0</v>
      </c>
      <c r="I442" s="1764">
        <f>G442+H442</f>
        <v>0</v>
      </c>
      <c r="J442" s="1764">
        <f>E442*G442</f>
        <v>0</v>
      </c>
      <c r="K442" s="1764">
        <f>E442*H442</f>
        <v>0</v>
      </c>
      <c r="L442" s="1766">
        <f>J442+K442</f>
        <v>0</v>
      </c>
      <c r="P442" s="1300"/>
      <c r="Q442" s="1300"/>
      <c r="R442" s="1300"/>
      <c r="S442" s="1300"/>
      <c r="T442" s="1300"/>
      <c r="U442" s="1300"/>
      <c r="V442" s="1300"/>
      <c r="W442" s="1300"/>
      <c r="X442" s="1300"/>
      <c r="Y442" s="1300"/>
      <c r="Z442" s="1300"/>
      <c r="AA442" s="1300"/>
      <c r="AB442" s="1300"/>
      <c r="AC442" s="1300"/>
      <c r="AD442" s="1300"/>
      <c r="AE442" s="1300"/>
      <c r="AF442" s="1300"/>
      <c r="AG442" s="1300"/>
      <c r="AH442" s="1300"/>
      <c r="AI442" s="1300"/>
      <c r="AJ442" s="2423"/>
      <c r="AK442" s="2423"/>
      <c r="AL442" s="2423"/>
      <c r="AM442" s="2423"/>
      <c r="AN442" s="1300"/>
    </row>
    <row r="443" spans="1:40" s="1760" customFormat="1" ht="18" hidden="1" customHeight="1">
      <c r="A443" s="1761">
        <v>2</v>
      </c>
      <c r="B443" s="1762" t="s">
        <v>2461</v>
      </c>
      <c r="C443" s="1763"/>
      <c r="D443" s="2386" t="str">
        <f>BAHAN!$F$30</f>
        <v>Semen Tiga Roda /50 kg</v>
      </c>
      <c r="E443" s="1764">
        <f>2*E441</f>
        <v>0</v>
      </c>
      <c r="F443" s="1765" t="s">
        <v>19</v>
      </c>
      <c r="G443" s="1872">
        <f>F!$I$8</f>
        <v>14394</v>
      </c>
      <c r="H443" s="1872">
        <f>F!$I$12</f>
        <v>70000</v>
      </c>
      <c r="I443" s="1764">
        <f>G443+H443</f>
        <v>84394</v>
      </c>
      <c r="J443" s="1764">
        <f>E443*G443</f>
        <v>0</v>
      </c>
      <c r="K443" s="1764">
        <f>E443*H443</f>
        <v>0</v>
      </c>
      <c r="L443" s="1766">
        <f>J443+K443</f>
        <v>0</v>
      </c>
      <c r="P443" s="1300"/>
      <c r="Q443" s="1300"/>
      <c r="R443" s="1300"/>
      <c r="S443" s="1300"/>
      <c r="T443" s="1300"/>
      <c r="U443" s="1300"/>
      <c r="V443" s="1300"/>
      <c r="W443" s="1300"/>
      <c r="X443" s="1300"/>
      <c r="Y443" s="1300"/>
      <c r="Z443" s="1300"/>
      <c r="AA443" s="1300"/>
      <c r="AB443" s="1300"/>
      <c r="AC443" s="1300"/>
      <c r="AD443" s="1300"/>
      <c r="AE443" s="1300"/>
      <c r="AF443" s="1300"/>
      <c r="AG443" s="1300"/>
      <c r="AH443" s="1300"/>
      <c r="AI443" s="1300"/>
      <c r="AJ443" s="1300"/>
      <c r="AK443" s="1300"/>
      <c r="AL443" s="1300"/>
      <c r="AM443" s="1300"/>
      <c r="AN443" s="1300"/>
    </row>
    <row r="444" spans="1:40" s="1760" customFormat="1" ht="18" hidden="1" customHeight="1" thickBot="1">
      <c r="A444" s="1761">
        <v>3</v>
      </c>
      <c r="B444" s="1768" t="s">
        <v>2112</v>
      </c>
      <c r="C444" s="1769"/>
      <c r="D444" s="2386" t="str">
        <f>BAHAN!$F$30</f>
        <v>Semen Tiga Roda /50 kg</v>
      </c>
      <c r="E444" s="1764">
        <f>2*E441</f>
        <v>0</v>
      </c>
      <c r="F444" s="1765" t="s">
        <v>19</v>
      </c>
      <c r="G444" s="1872">
        <f>F!$I$16</f>
        <v>6000</v>
      </c>
      <c r="H444" s="1770">
        <f>F!$I$20</f>
        <v>40243</v>
      </c>
      <c r="I444" s="1764">
        <f>G444+H444</f>
        <v>46243</v>
      </c>
      <c r="J444" s="1764">
        <f>E444*G444</f>
        <v>0</v>
      </c>
      <c r="K444" s="1764">
        <f>E444*H444</f>
        <v>0</v>
      </c>
      <c r="L444" s="1766">
        <f>J444+K444</f>
        <v>0</v>
      </c>
      <c r="P444" s="1300"/>
      <c r="Q444" s="1300"/>
      <c r="R444" s="1300"/>
      <c r="S444" s="1300"/>
      <c r="T444" s="1300"/>
      <c r="U444" s="1300"/>
      <c r="V444" s="1300"/>
      <c r="W444" s="1300"/>
      <c r="X444" s="1300"/>
      <c r="Y444" s="1300"/>
      <c r="Z444" s="1300"/>
      <c r="AA444" s="1300"/>
      <c r="AB444" s="1300"/>
      <c r="AC444" s="1300"/>
      <c r="AD444" s="1300"/>
      <c r="AE444" s="1300"/>
      <c r="AF444" s="1300"/>
      <c r="AG444" s="1300"/>
      <c r="AH444" s="1300"/>
      <c r="AI444" s="1300"/>
      <c r="AJ444" s="1300"/>
      <c r="AK444" s="1300"/>
      <c r="AL444" s="1300"/>
      <c r="AM444" s="1300"/>
      <c r="AN444" s="1300"/>
    </row>
    <row r="445" spans="1:40" s="1760" customFormat="1" ht="18" hidden="1" customHeight="1" thickTop="1" thickBot="1">
      <c r="A445" s="2677" t="str">
        <f>"Sub Total pekerjaan dinding "&amp;B440&amp;"="</f>
        <v>Sub Total pekerjaan dinding Lantai 2=</v>
      </c>
      <c r="B445" s="2678"/>
      <c r="C445" s="2678"/>
      <c r="D445" s="2678"/>
      <c r="E445" s="2678"/>
      <c r="F445" s="2678"/>
      <c r="G445" s="2678"/>
      <c r="H445" s="1771"/>
      <c r="I445" s="1771"/>
      <c r="J445" s="1772">
        <f>SUM(J441:J444)</f>
        <v>0</v>
      </c>
      <c r="K445" s="1772">
        <f>SUM(K441:K444)</f>
        <v>0</v>
      </c>
      <c r="L445" s="1773">
        <f>SUM(L441:L444)</f>
        <v>0</v>
      </c>
      <c r="M445" s="1760">
        <v>1</v>
      </c>
      <c r="N445" s="1760">
        <v>22</v>
      </c>
      <c r="P445" s="1300"/>
      <c r="Q445" s="1300"/>
      <c r="R445" s="1300"/>
      <c r="S445" s="1300"/>
      <c r="T445" s="1300"/>
      <c r="U445" s="1300"/>
      <c r="V445" s="1300"/>
      <c r="W445" s="1300"/>
      <c r="X445" s="1300"/>
      <c r="Y445" s="1300"/>
      <c r="Z445" s="1300"/>
      <c r="AA445" s="1300"/>
      <c r="AB445" s="1300"/>
      <c r="AC445" s="1300"/>
      <c r="AD445" s="1300"/>
      <c r="AE445" s="1300"/>
      <c r="AF445" s="1300"/>
      <c r="AG445" s="1300"/>
      <c r="AH445" s="1300"/>
      <c r="AI445" s="1300"/>
      <c r="AJ445" s="1300"/>
      <c r="AK445" s="1300"/>
      <c r="AL445" s="1300"/>
      <c r="AM445" s="1300"/>
      <c r="AN445" s="1300"/>
    </row>
    <row r="446" spans="1:40" s="1760" customFormat="1" ht="18" hidden="1" customHeight="1" thickTop="1">
      <c r="A446" s="1753" t="s">
        <v>71</v>
      </c>
      <c r="B446" s="1754" t="s">
        <v>72</v>
      </c>
      <c r="C446" s="1755"/>
      <c r="D446" s="1758"/>
      <c r="E446" s="1758"/>
      <c r="F446" s="1756"/>
      <c r="G446" s="1757"/>
      <c r="H446" s="1758"/>
      <c r="I446" s="1758"/>
      <c r="J446" s="1758"/>
      <c r="K446" s="1758"/>
      <c r="L446" s="1759"/>
      <c r="N446" s="1760">
        <v>23</v>
      </c>
      <c r="P446" s="1711"/>
      <c r="Q446" s="1300"/>
      <c r="R446" s="1300"/>
      <c r="S446" s="1300"/>
      <c r="T446" s="1300"/>
      <c r="U446" s="1300"/>
      <c r="V446" s="1300"/>
      <c r="W446" s="1300"/>
      <c r="X446" s="1300"/>
      <c r="Y446" s="1300"/>
      <c r="Z446" s="1300"/>
      <c r="AA446" s="1300"/>
      <c r="AB446" s="1300"/>
      <c r="AC446" s="1300"/>
      <c r="AD446" s="1300"/>
      <c r="AE446" s="1300"/>
      <c r="AF446" s="1300"/>
      <c r="AG446" s="1300"/>
      <c r="AH446" s="1300"/>
      <c r="AI446" s="1300"/>
      <c r="AJ446" s="1300"/>
      <c r="AK446" s="1300"/>
      <c r="AL446" s="1300"/>
      <c r="AM446" s="1300"/>
      <c r="AN446" s="1300"/>
    </row>
    <row r="447" spans="1:40" s="1760" customFormat="1" ht="18" hidden="1" customHeight="1">
      <c r="A447" s="1761">
        <v>1</v>
      </c>
      <c r="B447" s="2016" t="s">
        <v>2473</v>
      </c>
      <c r="C447" s="2017"/>
      <c r="D447" s="2016" t="s">
        <v>2525</v>
      </c>
      <c r="E447" s="1764">
        <f>'DINDING BATA'!$D$2</f>
        <v>0</v>
      </c>
      <c r="F447" s="1765" t="s">
        <v>19</v>
      </c>
      <c r="G447" s="1872">
        <f>E!$I$39</f>
        <v>102590</v>
      </c>
      <c r="H447" s="1872">
        <f>E!$I$43</f>
        <v>63920</v>
      </c>
      <c r="I447" s="1764">
        <f>G447+H447</f>
        <v>166510</v>
      </c>
      <c r="J447" s="1764">
        <f>E447*G447</f>
        <v>0</v>
      </c>
      <c r="K447" s="1764">
        <f>E447*H447</f>
        <v>0</v>
      </c>
      <c r="L447" s="1766">
        <f>J447+K447</f>
        <v>0</v>
      </c>
      <c r="P447" s="1300"/>
      <c r="Q447" s="1300"/>
      <c r="R447" s="1300"/>
      <c r="S447" s="1300"/>
      <c r="T447" s="1300"/>
      <c r="U447" s="1300"/>
      <c r="V447" s="1300"/>
      <c r="W447" s="1300"/>
      <c r="X447" s="1300"/>
      <c r="Y447" s="1300"/>
      <c r="Z447" s="1300"/>
      <c r="AA447" s="1300"/>
      <c r="AB447" s="1300"/>
      <c r="AC447" s="1300"/>
      <c r="AD447" s="1300"/>
      <c r="AE447" s="1300"/>
      <c r="AF447" s="1300"/>
      <c r="AG447" s="1300"/>
      <c r="AH447" s="1300"/>
      <c r="AI447" s="1300"/>
      <c r="AJ447" s="1711"/>
      <c r="AK447" s="1300"/>
      <c r="AL447" s="1300"/>
      <c r="AM447" s="1300"/>
      <c r="AN447" s="1300"/>
    </row>
    <row r="448" spans="1:40" s="1760" customFormat="1" ht="18" hidden="1" customHeight="1">
      <c r="A448" s="1761"/>
      <c r="B448" s="1762" t="s">
        <v>1619</v>
      </c>
      <c r="C448" s="1763"/>
      <c r="D448" s="1762" t="s">
        <v>2111</v>
      </c>
      <c r="E448" s="1764">
        <v>0</v>
      </c>
      <c r="F448" s="1767" t="s">
        <v>22</v>
      </c>
      <c r="G448" s="1872">
        <v>0</v>
      </c>
      <c r="H448" s="1872">
        <v>0</v>
      </c>
      <c r="I448" s="1764">
        <f>G448+H448</f>
        <v>0</v>
      </c>
      <c r="J448" s="1764">
        <f>E448*G448</f>
        <v>0</v>
      </c>
      <c r="K448" s="1764">
        <f>E448*H448</f>
        <v>0</v>
      </c>
      <c r="L448" s="1766">
        <f>J448+K448</f>
        <v>0</v>
      </c>
      <c r="P448" s="1300"/>
      <c r="Q448" s="1300"/>
      <c r="R448" s="1300"/>
      <c r="S448" s="1300"/>
      <c r="T448" s="1300"/>
      <c r="U448" s="1300"/>
      <c r="V448" s="1300"/>
      <c r="W448" s="1300"/>
      <c r="X448" s="1300"/>
      <c r="Y448" s="1300"/>
      <c r="Z448" s="1300"/>
      <c r="AA448" s="1300"/>
      <c r="AB448" s="1300"/>
      <c r="AC448" s="1300"/>
      <c r="AD448" s="1300"/>
      <c r="AE448" s="1300"/>
      <c r="AF448" s="1300"/>
      <c r="AG448" s="1300"/>
      <c r="AH448" s="1300"/>
      <c r="AI448" s="1300"/>
      <c r="AJ448" s="2423"/>
      <c r="AK448" s="2423"/>
      <c r="AL448" s="2423"/>
      <c r="AM448" s="2423"/>
      <c r="AN448" s="1300"/>
    </row>
    <row r="449" spans="1:40" s="1760" customFormat="1" ht="18" hidden="1" customHeight="1">
      <c r="A449" s="1761">
        <v>2</v>
      </c>
      <c r="B449" s="1762" t="s">
        <v>2462</v>
      </c>
      <c r="C449" s="1763"/>
      <c r="D449" s="2386" t="str">
        <f>BAHAN!$F$30</f>
        <v>Semen Tiga Roda /50 kg</v>
      </c>
      <c r="E449" s="1764">
        <f>2*$E$447</f>
        <v>0</v>
      </c>
      <c r="F449" s="1765" t="s">
        <v>19</v>
      </c>
      <c r="G449" s="1872">
        <f>F!$I$8</f>
        <v>14394</v>
      </c>
      <c r="H449" s="1872">
        <f>F!$I$12</f>
        <v>70000</v>
      </c>
      <c r="I449" s="1764">
        <f>G449+H449</f>
        <v>84394</v>
      </c>
      <c r="J449" s="1764">
        <f>E449*G449</f>
        <v>0</v>
      </c>
      <c r="K449" s="1764">
        <f>E449*H449</f>
        <v>0</v>
      </c>
      <c r="L449" s="1766">
        <f>J449+K449</f>
        <v>0</v>
      </c>
      <c r="P449" s="1300"/>
      <c r="Q449" s="1300"/>
      <c r="R449" s="1300"/>
      <c r="S449" s="1300"/>
      <c r="T449" s="1300"/>
      <c r="U449" s="1300"/>
      <c r="V449" s="1300"/>
      <c r="W449" s="1300"/>
      <c r="X449" s="1300"/>
      <c r="Y449" s="1300"/>
      <c r="Z449" s="1300"/>
      <c r="AA449" s="1300"/>
      <c r="AB449" s="1300"/>
      <c r="AC449" s="1300"/>
      <c r="AD449" s="1300"/>
      <c r="AE449" s="1300"/>
      <c r="AF449" s="1300"/>
      <c r="AG449" s="1300"/>
      <c r="AH449" s="1300"/>
      <c r="AI449" s="1300"/>
      <c r="AJ449" s="1300"/>
      <c r="AK449" s="1300"/>
      <c r="AL449" s="1300"/>
      <c r="AM449" s="1300"/>
      <c r="AN449" s="1300"/>
    </row>
    <row r="450" spans="1:40" s="1760" customFormat="1" ht="18" hidden="1" customHeight="1" thickBot="1">
      <c r="A450" s="1761">
        <f>A449+1</f>
        <v>3</v>
      </c>
      <c r="B450" s="1768" t="s">
        <v>2112</v>
      </c>
      <c r="C450" s="1769"/>
      <c r="D450" s="2386" t="str">
        <f>BAHAN!$F$30</f>
        <v>Semen Tiga Roda /50 kg</v>
      </c>
      <c r="E450" s="1764">
        <f>2*$E$447</f>
        <v>0</v>
      </c>
      <c r="F450" s="1765" t="s">
        <v>19</v>
      </c>
      <c r="G450" s="1872">
        <f>F!$I$16</f>
        <v>6000</v>
      </c>
      <c r="H450" s="1770">
        <f>F!$I$20</f>
        <v>40243</v>
      </c>
      <c r="I450" s="1764">
        <f>G450+H450</f>
        <v>46243</v>
      </c>
      <c r="J450" s="1764">
        <f>E450*G450</f>
        <v>0</v>
      </c>
      <c r="K450" s="1764">
        <f>E450*H450</f>
        <v>0</v>
      </c>
      <c r="L450" s="1766">
        <f>J450+K450</f>
        <v>0</v>
      </c>
      <c r="P450" s="1300"/>
      <c r="Q450" s="1300"/>
      <c r="R450" s="1300"/>
      <c r="S450" s="1300"/>
      <c r="T450" s="1300"/>
      <c r="U450" s="1300"/>
      <c r="V450" s="1300"/>
      <c r="W450" s="1300"/>
      <c r="X450" s="1300"/>
      <c r="Y450" s="1300"/>
      <c r="Z450" s="1300"/>
      <c r="AA450" s="1300"/>
      <c r="AB450" s="1300"/>
      <c r="AC450" s="1300"/>
      <c r="AD450" s="1300"/>
      <c r="AE450" s="1300"/>
      <c r="AF450" s="1300"/>
      <c r="AG450" s="1300"/>
      <c r="AH450" s="1300"/>
      <c r="AI450" s="1300"/>
      <c r="AJ450" s="1300"/>
      <c r="AK450" s="1300"/>
      <c r="AL450" s="1300"/>
      <c r="AM450" s="1300"/>
      <c r="AN450" s="1300"/>
    </row>
    <row r="451" spans="1:40" s="1760" customFormat="1" ht="18" hidden="1" customHeight="1" thickTop="1" thickBot="1">
      <c r="A451" s="2677" t="str">
        <f>"Sub Total pekerjaan dinding "&amp;B446&amp;"="</f>
        <v>Sub Total pekerjaan dinding Lantai Atap=</v>
      </c>
      <c r="B451" s="2678"/>
      <c r="C451" s="2678"/>
      <c r="D451" s="2678"/>
      <c r="E451" s="2678"/>
      <c r="F451" s="2678"/>
      <c r="G451" s="2678"/>
      <c r="H451" s="1771"/>
      <c r="I451" s="1771"/>
      <c r="J451" s="1772">
        <f>SUM(J447:J450)</f>
        <v>0</v>
      </c>
      <c r="K451" s="1772">
        <f>SUM(K447:K450)</f>
        <v>0</v>
      </c>
      <c r="L451" s="1773">
        <f>SUM(L447:L450)</f>
        <v>0</v>
      </c>
      <c r="M451" s="1760">
        <v>1</v>
      </c>
      <c r="N451" s="1760">
        <v>24</v>
      </c>
      <c r="P451" s="1300"/>
      <c r="Q451" s="1300"/>
      <c r="R451" s="1300"/>
      <c r="S451" s="1300"/>
      <c r="T451" s="1300"/>
      <c r="U451" s="1300"/>
      <c r="V451" s="1300"/>
      <c r="W451" s="1300"/>
      <c r="X451" s="1300"/>
      <c r="Y451" s="1300"/>
      <c r="Z451" s="1300"/>
      <c r="AA451" s="1300"/>
      <c r="AB451" s="1300"/>
      <c r="AC451" s="1300"/>
      <c r="AD451" s="1300"/>
      <c r="AE451" s="1300"/>
      <c r="AF451" s="1300"/>
      <c r="AG451" s="1300"/>
      <c r="AH451" s="1300"/>
      <c r="AI451" s="1300"/>
      <c r="AJ451" s="1300"/>
      <c r="AK451" s="1300"/>
      <c r="AL451" s="1300"/>
      <c r="AM451" s="1300"/>
      <c r="AN451" s="1300"/>
    </row>
    <row r="452" spans="1:40" ht="18" hidden="1" customHeight="1" thickTop="1">
      <c r="A452" s="2310" t="s">
        <v>1413</v>
      </c>
      <c r="B452" s="2311" t="s">
        <v>72</v>
      </c>
      <c r="C452" s="1803"/>
      <c r="D452" s="2058"/>
      <c r="E452" s="2058"/>
      <c r="F452" s="2308"/>
      <c r="G452" s="2309"/>
      <c r="H452" s="2309"/>
      <c r="I452" s="2309"/>
      <c r="J452" s="2309"/>
      <c r="K452" s="2309"/>
      <c r="L452" s="1562"/>
      <c r="N452" s="1300">
        <v>25</v>
      </c>
      <c r="P452" s="1711"/>
      <c r="AB452" s="1300"/>
      <c r="AD452" s="1711"/>
    </row>
    <row r="453" spans="1:40" s="1760" customFormat="1" ht="18" hidden="1" customHeight="1">
      <c r="A453" s="1761">
        <v>1</v>
      </c>
      <c r="B453" s="2016" t="s">
        <v>2473</v>
      </c>
      <c r="C453" s="2017"/>
      <c r="D453" s="2016" t="s">
        <v>2525</v>
      </c>
      <c r="E453" s="1764">
        <f>'DINDING BATA'!$E$2</f>
        <v>0</v>
      </c>
      <c r="F453" s="1765" t="s">
        <v>19</v>
      </c>
      <c r="G453" s="1872">
        <f>E!$I$39</f>
        <v>102590</v>
      </c>
      <c r="H453" s="1872">
        <f>E!$I$43</f>
        <v>63920</v>
      </c>
      <c r="I453" s="1764">
        <f>G453+H453</f>
        <v>166510</v>
      </c>
      <c r="J453" s="1764">
        <f>E453*G453</f>
        <v>0</v>
      </c>
      <c r="K453" s="1764">
        <f>E453*H453</f>
        <v>0</v>
      </c>
      <c r="L453" s="1766">
        <f>J453+K453</f>
        <v>0</v>
      </c>
      <c r="P453" s="1300"/>
      <c r="Q453" s="1300"/>
      <c r="R453" s="1300"/>
      <c r="S453" s="1300"/>
      <c r="T453" s="1300"/>
      <c r="U453" s="1300"/>
      <c r="V453" s="1300"/>
      <c r="W453" s="1300"/>
      <c r="X453" s="1300"/>
      <c r="Y453" s="1300"/>
      <c r="Z453" s="1300"/>
      <c r="AA453" s="1300"/>
      <c r="AB453" s="1300"/>
      <c r="AC453" s="1300"/>
      <c r="AD453" s="1300"/>
      <c r="AE453" s="1300"/>
      <c r="AF453" s="1300"/>
      <c r="AG453" s="1300"/>
      <c r="AH453" s="1300"/>
      <c r="AI453" s="1300"/>
      <c r="AJ453" s="1711"/>
      <c r="AK453" s="1300"/>
      <c r="AL453" s="1300"/>
      <c r="AM453" s="1300"/>
      <c r="AN453" s="1300"/>
    </row>
    <row r="454" spans="1:40" s="1760" customFormat="1" ht="18" hidden="1" customHeight="1">
      <c r="A454" s="1761"/>
      <c r="B454" s="1762" t="s">
        <v>1619</v>
      </c>
      <c r="C454" s="1763"/>
      <c r="D454" s="1762" t="s">
        <v>2111</v>
      </c>
      <c r="E454" s="1764">
        <v>0</v>
      </c>
      <c r="F454" s="1765" t="s">
        <v>19</v>
      </c>
      <c r="G454" s="1872">
        <v>0</v>
      </c>
      <c r="H454" s="1872">
        <v>0</v>
      </c>
      <c r="I454" s="1764">
        <f>G454+H454</f>
        <v>0</v>
      </c>
      <c r="J454" s="1764">
        <f>E454*G454</f>
        <v>0</v>
      </c>
      <c r="K454" s="1764">
        <f>E454*H454</f>
        <v>0</v>
      </c>
      <c r="L454" s="1766">
        <f>J454+K454</f>
        <v>0</v>
      </c>
      <c r="P454" s="1300"/>
      <c r="Q454" s="1300"/>
      <c r="R454" s="1300"/>
      <c r="S454" s="1300"/>
      <c r="T454" s="1300"/>
      <c r="U454" s="1300"/>
      <c r="V454" s="1300"/>
      <c r="W454" s="1300"/>
      <c r="X454" s="1300"/>
      <c r="Y454" s="1300"/>
      <c r="Z454" s="1300"/>
      <c r="AA454" s="1300"/>
      <c r="AB454" s="1300"/>
      <c r="AC454" s="1300"/>
      <c r="AD454" s="1300"/>
      <c r="AE454" s="1300"/>
      <c r="AF454" s="1300"/>
      <c r="AG454" s="1300"/>
      <c r="AH454" s="1300"/>
      <c r="AI454" s="1300"/>
      <c r="AJ454" s="2423"/>
      <c r="AK454" s="2423"/>
      <c r="AL454" s="2423"/>
      <c r="AM454" s="2423"/>
      <c r="AN454" s="1300"/>
    </row>
    <row r="455" spans="1:40" s="1760" customFormat="1" ht="18" hidden="1" customHeight="1">
      <c r="A455" s="1761">
        <v>2</v>
      </c>
      <c r="B455" s="1762" t="s">
        <v>2460</v>
      </c>
      <c r="C455" s="1763"/>
      <c r="D455" s="2386" t="str">
        <f>BAHAN!$F$30</f>
        <v>Semen Tiga Roda /50 kg</v>
      </c>
      <c r="E455" s="1764">
        <f>2*E453</f>
        <v>0</v>
      </c>
      <c r="F455" s="1765" t="s">
        <v>19</v>
      </c>
      <c r="G455" s="1872">
        <f>F!$I$8</f>
        <v>14394</v>
      </c>
      <c r="H455" s="1872">
        <f>F!$I$12</f>
        <v>70000</v>
      </c>
      <c r="I455" s="1764">
        <f>G455+H455</f>
        <v>84394</v>
      </c>
      <c r="J455" s="1764">
        <f>E455*G455</f>
        <v>0</v>
      </c>
      <c r="K455" s="1764">
        <f>E455*H455</f>
        <v>0</v>
      </c>
      <c r="L455" s="1766">
        <f>J455+K455</f>
        <v>0</v>
      </c>
      <c r="P455" s="1300"/>
      <c r="Q455" s="1300"/>
      <c r="R455" s="1300"/>
      <c r="S455" s="1300"/>
      <c r="T455" s="1300"/>
      <c r="U455" s="1300"/>
      <c r="V455" s="1300"/>
      <c r="W455" s="1300"/>
      <c r="X455" s="1300"/>
      <c r="Y455" s="1300"/>
      <c r="Z455" s="1300"/>
      <c r="AA455" s="1300"/>
      <c r="AB455" s="1300"/>
      <c r="AC455" s="1300"/>
      <c r="AD455" s="1300"/>
      <c r="AE455" s="1300"/>
      <c r="AF455" s="1300"/>
      <c r="AG455" s="1300"/>
      <c r="AH455" s="1300"/>
      <c r="AI455" s="1300"/>
      <c r="AJ455" s="1300"/>
      <c r="AK455" s="1300"/>
      <c r="AL455" s="1300"/>
      <c r="AM455" s="1300"/>
      <c r="AN455" s="1300"/>
    </row>
    <row r="456" spans="1:40" s="1760" customFormat="1" ht="18" hidden="1" customHeight="1" thickBot="1">
      <c r="A456" s="1761">
        <v>3</v>
      </c>
      <c r="B456" s="1768" t="s">
        <v>2112</v>
      </c>
      <c r="C456" s="1769"/>
      <c r="D456" s="2386" t="str">
        <f>BAHAN!$F$30</f>
        <v>Semen Tiga Roda /50 kg</v>
      </c>
      <c r="E456" s="1764">
        <f>2*E453</f>
        <v>0</v>
      </c>
      <c r="F456" s="1765" t="s">
        <v>19</v>
      </c>
      <c r="G456" s="1872">
        <f>F!$I$16</f>
        <v>6000</v>
      </c>
      <c r="H456" s="1770">
        <f>F!$I$20</f>
        <v>40243</v>
      </c>
      <c r="I456" s="1764">
        <f>G456+H456</f>
        <v>46243</v>
      </c>
      <c r="J456" s="1764">
        <f>E456*G456</f>
        <v>0</v>
      </c>
      <c r="K456" s="1764">
        <f>E456*H456</f>
        <v>0</v>
      </c>
      <c r="L456" s="1766">
        <f>J456+K456</f>
        <v>0</v>
      </c>
      <c r="P456" s="1300"/>
      <c r="Q456" s="1300"/>
      <c r="R456" s="1300"/>
      <c r="S456" s="1300"/>
      <c r="T456" s="1300"/>
      <c r="U456" s="1300"/>
      <c r="V456" s="1300"/>
      <c r="W456" s="1300"/>
      <c r="X456" s="1300"/>
      <c r="Y456" s="1300"/>
      <c r="Z456" s="1300"/>
      <c r="AA456" s="1300"/>
      <c r="AB456" s="1300"/>
      <c r="AC456" s="1300"/>
      <c r="AD456" s="1300"/>
      <c r="AE456" s="1300"/>
      <c r="AF456" s="1300"/>
      <c r="AG456" s="1300"/>
      <c r="AH456" s="1300"/>
      <c r="AI456" s="1300"/>
      <c r="AJ456" s="1300"/>
      <c r="AK456" s="1300"/>
      <c r="AL456" s="1300"/>
      <c r="AM456" s="1300"/>
      <c r="AN456" s="1300"/>
    </row>
    <row r="457" spans="1:40" s="1760" customFormat="1" ht="18" hidden="1" customHeight="1" thickTop="1" thickBot="1">
      <c r="A457" s="2677" t="str">
        <f>"Sub Total pekerjaan dinding "&amp;B452&amp;"="</f>
        <v>Sub Total pekerjaan dinding Lantai Atap=</v>
      </c>
      <c r="B457" s="2678"/>
      <c r="C457" s="2678"/>
      <c r="D457" s="2678"/>
      <c r="E457" s="2678"/>
      <c r="F457" s="2678"/>
      <c r="G457" s="2678"/>
      <c r="H457" s="2357"/>
      <c r="I457" s="2357"/>
      <c r="J457" s="1772">
        <f>SUM(J453:J456)</f>
        <v>0</v>
      </c>
      <c r="K457" s="1772">
        <f>SUM(K453:K456)</f>
        <v>0</v>
      </c>
      <c r="L457" s="1773">
        <f>SUM(L453:L456)</f>
        <v>0</v>
      </c>
      <c r="M457" s="1760">
        <v>1</v>
      </c>
      <c r="N457" s="1760">
        <v>26</v>
      </c>
      <c r="P457" s="1711"/>
      <c r="Q457" s="1300"/>
      <c r="R457" s="1300"/>
      <c r="S457" s="1300"/>
      <c r="T457" s="1300"/>
      <c r="U457" s="1300"/>
      <c r="V457" s="1300"/>
      <c r="W457" s="1300"/>
      <c r="X457" s="1300"/>
      <c r="Y457" s="1300"/>
      <c r="Z457" s="1300"/>
      <c r="AA457" s="1300"/>
      <c r="AB457" s="1300"/>
      <c r="AC457" s="1300"/>
      <c r="AD457" s="1300"/>
      <c r="AE457" s="1300"/>
      <c r="AF457" s="1300"/>
      <c r="AG457" s="1300"/>
      <c r="AH457" s="1300"/>
      <c r="AI457" s="1300"/>
      <c r="AJ457" s="1300"/>
      <c r="AK457" s="1300"/>
      <c r="AL457" s="1300"/>
      <c r="AM457" s="1300"/>
      <c r="AN457" s="1300"/>
    </row>
    <row r="458" spans="1:40" s="1760" customFormat="1" ht="18" hidden="1" customHeight="1" thickTop="1">
      <c r="A458" s="1753" t="s">
        <v>1010</v>
      </c>
      <c r="B458" s="1754" t="s">
        <v>2617</v>
      </c>
      <c r="C458" s="1755"/>
      <c r="D458" s="1758"/>
      <c r="E458" s="1758"/>
      <c r="F458" s="1756"/>
      <c r="G458" s="1757"/>
      <c r="H458" s="1758"/>
      <c r="I458" s="1758"/>
      <c r="J458" s="1758"/>
      <c r="K458" s="1758"/>
      <c r="L458" s="1759"/>
      <c r="N458" s="1760">
        <v>27</v>
      </c>
      <c r="P458" s="1300"/>
      <c r="Q458" s="1300"/>
      <c r="R458" s="1300"/>
      <c r="S458" s="1300"/>
      <c r="T458" s="1300"/>
      <c r="U458" s="1300"/>
      <c r="V458" s="1300"/>
      <c r="W458" s="1300"/>
      <c r="X458" s="1300"/>
      <c r="Y458" s="1300"/>
      <c r="Z458" s="1300"/>
      <c r="AA458" s="1300"/>
      <c r="AB458" s="1300"/>
      <c r="AC458" s="1300"/>
      <c r="AD458" s="1300"/>
      <c r="AE458" s="1300"/>
      <c r="AF458" s="1300"/>
      <c r="AG458" s="1300"/>
      <c r="AH458" s="1300"/>
      <c r="AI458" s="1300"/>
      <c r="AJ458" s="1300"/>
      <c r="AK458" s="1300"/>
      <c r="AL458" s="1300"/>
      <c r="AM458" s="1300"/>
      <c r="AN458" s="1300"/>
    </row>
    <row r="459" spans="1:40" s="1760" customFormat="1" ht="18" hidden="1" customHeight="1">
      <c r="A459" s="1761">
        <v>1</v>
      </c>
      <c r="B459" s="2016" t="s">
        <v>2473</v>
      </c>
      <c r="C459" s="2017"/>
      <c r="D459" s="2016" t="s">
        <v>2525</v>
      </c>
      <c r="E459" s="1764">
        <f>'DINDING BATA'!$F$2</f>
        <v>0</v>
      </c>
      <c r="F459" s="1765" t="s">
        <v>19</v>
      </c>
      <c r="G459" s="1872">
        <f>E!$I$39</f>
        <v>102590</v>
      </c>
      <c r="H459" s="1872">
        <f>E!$I$43</f>
        <v>63920</v>
      </c>
      <c r="I459" s="1764">
        <f>G459+H459</f>
        <v>166510</v>
      </c>
      <c r="J459" s="1764">
        <f>E459*G459</f>
        <v>0</v>
      </c>
      <c r="K459" s="1764">
        <f>E459*H459</f>
        <v>0</v>
      </c>
      <c r="L459" s="1766">
        <f>J459+K459</f>
        <v>0</v>
      </c>
      <c r="P459" s="1300"/>
      <c r="Q459" s="1300"/>
      <c r="R459" s="1300"/>
      <c r="S459" s="1300"/>
      <c r="T459" s="1300"/>
      <c r="U459" s="1300"/>
      <c r="V459" s="1300"/>
      <c r="W459" s="1300"/>
      <c r="X459" s="1300"/>
      <c r="Y459" s="1300"/>
      <c r="Z459" s="1300"/>
      <c r="AA459" s="1300"/>
      <c r="AB459" s="1300"/>
      <c r="AC459" s="1300"/>
      <c r="AD459" s="1300"/>
      <c r="AE459" s="1300"/>
      <c r="AF459" s="1300"/>
      <c r="AG459" s="1300"/>
      <c r="AH459" s="1300"/>
      <c r="AI459" s="1300"/>
      <c r="AJ459" s="1711"/>
      <c r="AK459" s="1300"/>
      <c r="AL459" s="1300"/>
      <c r="AM459" s="1300"/>
      <c r="AN459" s="1300"/>
    </row>
    <row r="460" spans="1:40" s="1760" customFormat="1" ht="18" hidden="1" customHeight="1">
      <c r="A460" s="1761">
        <v>2</v>
      </c>
      <c r="B460" s="1762" t="s">
        <v>1619</v>
      </c>
      <c r="C460" s="1763"/>
      <c r="D460" s="1762" t="s">
        <v>2111</v>
      </c>
      <c r="E460" s="1764">
        <v>0</v>
      </c>
      <c r="F460" s="1767" t="s">
        <v>22</v>
      </c>
      <c r="G460" s="1872">
        <v>0</v>
      </c>
      <c r="H460" s="1872">
        <v>0</v>
      </c>
      <c r="I460" s="1764">
        <f>G460+H460</f>
        <v>0</v>
      </c>
      <c r="J460" s="1764">
        <f>E460*G460</f>
        <v>0</v>
      </c>
      <c r="K460" s="1764">
        <f>E460*H460</f>
        <v>0</v>
      </c>
      <c r="L460" s="1766">
        <f>J460+K460</f>
        <v>0</v>
      </c>
      <c r="P460" s="1300"/>
      <c r="Q460" s="1300"/>
      <c r="R460" s="1300"/>
      <c r="S460" s="1300"/>
      <c r="T460" s="1300"/>
      <c r="U460" s="1300"/>
      <c r="V460" s="1300"/>
      <c r="W460" s="1300"/>
      <c r="X460" s="1300"/>
      <c r="Y460" s="1300"/>
      <c r="Z460" s="1300"/>
      <c r="AA460" s="1300"/>
      <c r="AB460" s="1300"/>
      <c r="AC460" s="1300"/>
      <c r="AD460" s="1300"/>
      <c r="AE460" s="1300"/>
      <c r="AF460" s="1300"/>
      <c r="AG460" s="1300"/>
      <c r="AH460" s="1300"/>
      <c r="AI460" s="1300"/>
      <c r="AJ460" s="2424"/>
      <c r="AK460" s="2424"/>
      <c r="AL460" s="2424"/>
      <c r="AM460" s="2424"/>
      <c r="AN460" s="1300"/>
    </row>
    <row r="461" spans="1:40" s="1760" customFormat="1" ht="18" hidden="1" customHeight="1">
      <c r="A461" s="1761">
        <v>2</v>
      </c>
      <c r="B461" s="1762" t="s">
        <v>2461</v>
      </c>
      <c r="C461" s="1763"/>
      <c r="D461" s="2386" t="str">
        <f>BAHAN!$F$30</f>
        <v>Semen Tiga Roda /50 kg</v>
      </c>
      <c r="E461" s="1764">
        <f>$E$459*2</f>
        <v>0</v>
      </c>
      <c r="F461" s="1765" t="s">
        <v>19</v>
      </c>
      <c r="G461" s="1872">
        <f>F!$I$8</f>
        <v>14394</v>
      </c>
      <c r="H461" s="1872">
        <f>F!$I$12</f>
        <v>70000</v>
      </c>
      <c r="I461" s="1764">
        <f>G461+H461</f>
        <v>84394</v>
      </c>
      <c r="J461" s="1764">
        <f>E461*G461</f>
        <v>0</v>
      </c>
      <c r="K461" s="1764">
        <f>E461*H461</f>
        <v>0</v>
      </c>
      <c r="L461" s="1766">
        <f>J461+K461</f>
        <v>0</v>
      </c>
      <c r="P461" s="1300"/>
      <c r="Q461" s="1300"/>
      <c r="R461" s="1300"/>
      <c r="S461" s="1300"/>
      <c r="T461" s="1300"/>
      <c r="U461" s="1300"/>
      <c r="V461" s="1300"/>
      <c r="W461" s="1300"/>
      <c r="X461" s="1300"/>
      <c r="Y461" s="1300"/>
      <c r="Z461" s="1300"/>
      <c r="AA461" s="1300"/>
      <c r="AB461" s="1300"/>
      <c r="AC461" s="1300"/>
      <c r="AD461" s="1300"/>
      <c r="AE461" s="1300"/>
      <c r="AF461" s="1300"/>
      <c r="AG461" s="1300"/>
      <c r="AH461" s="1300"/>
      <c r="AI461" s="1300"/>
      <c r="AJ461" s="1300"/>
      <c r="AK461" s="1300"/>
      <c r="AL461" s="1300"/>
      <c r="AM461" s="1300"/>
      <c r="AN461" s="1300"/>
    </row>
    <row r="462" spans="1:40" s="1760" customFormat="1" ht="18" hidden="1" customHeight="1" thickBot="1">
      <c r="A462" s="1761">
        <v>3</v>
      </c>
      <c r="B462" s="1768" t="s">
        <v>2112</v>
      </c>
      <c r="C462" s="1769"/>
      <c r="D462" s="2386" t="str">
        <f>BAHAN!$F$30</f>
        <v>Semen Tiga Roda /50 kg</v>
      </c>
      <c r="E462" s="1764">
        <f>$E$459*2</f>
        <v>0</v>
      </c>
      <c r="F462" s="1765" t="s">
        <v>19</v>
      </c>
      <c r="G462" s="1872">
        <f>F!$I$16</f>
        <v>6000</v>
      </c>
      <c r="H462" s="1770">
        <f>F!$I$20</f>
        <v>40243</v>
      </c>
      <c r="I462" s="1764">
        <f>G462+H462</f>
        <v>46243</v>
      </c>
      <c r="J462" s="1764">
        <f>E462*G462</f>
        <v>0</v>
      </c>
      <c r="K462" s="1764">
        <f>E462*H462</f>
        <v>0</v>
      </c>
      <c r="L462" s="1766">
        <f>J462+K462</f>
        <v>0</v>
      </c>
      <c r="P462" s="1300"/>
      <c r="Q462" s="1300"/>
      <c r="R462" s="1300"/>
      <c r="S462" s="1300"/>
      <c r="T462" s="1300"/>
      <c r="U462" s="1300"/>
      <c r="V462" s="1300"/>
      <c r="W462" s="1300"/>
      <c r="X462" s="1300"/>
      <c r="Y462" s="1300"/>
      <c r="Z462" s="1300"/>
      <c r="AA462" s="1300"/>
      <c r="AB462" s="1300"/>
      <c r="AC462" s="1300"/>
      <c r="AD462" s="1300"/>
      <c r="AE462" s="1300"/>
      <c r="AF462" s="1300"/>
      <c r="AG462" s="1300"/>
      <c r="AH462" s="1300"/>
      <c r="AI462" s="1300"/>
      <c r="AJ462" s="1300"/>
      <c r="AK462" s="1300"/>
      <c r="AL462" s="1300"/>
      <c r="AM462" s="1300"/>
      <c r="AN462" s="1300"/>
    </row>
    <row r="463" spans="1:40" s="1760" customFormat="1" ht="18" hidden="1" customHeight="1" thickTop="1" thickBot="1">
      <c r="A463" s="2677" t="str">
        <f>"Sub Total pekerjaan dinding "&amp;B458&amp;"="</f>
        <v>Sub Total pekerjaan dinding Lantai 4=</v>
      </c>
      <c r="B463" s="2678"/>
      <c r="C463" s="2678"/>
      <c r="D463" s="2678"/>
      <c r="E463" s="2678"/>
      <c r="F463" s="2678"/>
      <c r="G463" s="2678"/>
      <c r="H463" s="1955"/>
      <c r="I463" s="1955"/>
      <c r="J463" s="1772">
        <f>SUM(J459:J462)</f>
        <v>0</v>
      </c>
      <c r="K463" s="1772">
        <f>SUM(K459:K462)</f>
        <v>0</v>
      </c>
      <c r="L463" s="1773">
        <f>SUM(L459:L462)</f>
        <v>0</v>
      </c>
      <c r="M463" s="1760">
        <v>1</v>
      </c>
      <c r="N463" s="1760">
        <v>28</v>
      </c>
      <c r="P463" s="1300"/>
      <c r="Q463" s="1300"/>
      <c r="R463" s="1300"/>
      <c r="S463" s="1300"/>
      <c r="T463" s="1300"/>
      <c r="U463" s="1300"/>
      <c r="V463" s="1300"/>
      <c r="W463" s="1300"/>
      <c r="X463" s="1300"/>
      <c r="Y463" s="1300"/>
      <c r="Z463" s="1300"/>
      <c r="AA463" s="1300"/>
      <c r="AB463" s="1300"/>
      <c r="AC463" s="1300"/>
      <c r="AD463" s="1300"/>
      <c r="AE463" s="1300"/>
      <c r="AF463" s="1300"/>
      <c r="AG463" s="1300"/>
      <c r="AH463" s="1300"/>
      <c r="AI463" s="1300"/>
      <c r="AJ463" s="1300"/>
      <c r="AK463" s="1300"/>
      <c r="AL463" s="1300"/>
      <c r="AM463" s="1300"/>
      <c r="AN463" s="1300"/>
    </row>
    <row r="464" spans="1:40" s="1760" customFormat="1" ht="18" hidden="1" customHeight="1" thickTop="1">
      <c r="A464" s="1753" t="s">
        <v>1022</v>
      </c>
      <c r="B464" s="1754" t="s">
        <v>72</v>
      </c>
      <c r="C464" s="1755"/>
      <c r="D464" s="1758"/>
      <c r="E464" s="1758"/>
      <c r="F464" s="1756"/>
      <c r="G464" s="1757"/>
      <c r="H464" s="1758"/>
      <c r="I464" s="1758"/>
      <c r="J464" s="1758"/>
      <c r="K464" s="1758"/>
      <c r="L464" s="1759"/>
      <c r="N464" s="1760">
        <v>29</v>
      </c>
      <c r="P464" s="1300"/>
      <c r="Q464" s="1300"/>
      <c r="R464" s="1300"/>
      <c r="S464" s="1300"/>
      <c r="T464" s="1300"/>
      <c r="U464" s="1300"/>
      <c r="V464" s="1300"/>
      <c r="W464" s="1300"/>
      <c r="X464" s="1300"/>
      <c r="Y464" s="1300"/>
      <c r="Z464" s="1300"/>
      <c r="AA464" s="1300"/>
      <c r="AB464" s="1300"/>
      <c r="AC464" s="1300"/>
      <c r="AD464" s="1300"/>
      <c r="AE464" s="1300"/>
      <c r="AF464" s="1300"/>
      <c r="AG464" s="1300"/>
      <c r="AH464" s="1300"/>
      <c r="AI464" s="1300"/>
      <c r="AJ464" s="1300"/>
      <c r="AK464" s="1300"/>
      <c r="AL464" s="1300"/>
      <c r="AM464" s="1300"/>
      <c r="AN464" s="1300"/>
    </row>
    <row r="465" spans="1:40" s="1760" customFormat="1" ht="18" hidden="1" customHeight="1">
      <c r="A465" s="1761">
        <v>1</v>
      </c>
      <c r="B465" s="2016" t="s">
        <v>2473</v>
      </c>
      <c r="C465" s="2017"/>
      <c r="D465" s="2016" t="s">
        <v>2525</v>
      </c>
      <c r="E465" s="1764">
        <f>'DINDING BATA'!$G$2</f>
        <v>0</v>
      </c>
      <c r="F465" s="1765" t="s">
        <v>19</v>
      </c>
      <c r="G465" s="1872">
        <f>E!$I$39</f>
        <v>102590</v>
      </c>
      <c r="H465" s="1872">
        <f>E!$I$43</f>
        <v>63920</v>
      </c>
      <c r="I465" s="1764">
        <f>G465+H465</f>
        <v>166510</v>
      </c>
      <c r="J465" s="1764">
        <f>E465*G465</f>
        <v>0</v>
      </c>
      <c r="K465" s="1764">
        <f>E465*H465</f>
        <v>0</v>
      </c>
      <c r="L465" s="1766">
        <f>J465+K465</f>
        <v>0</v>
      </c>
      <c r="P465" s="1300"/>
      <c r="Q465" s="1300"/>
      <c r="R465" s="1300"/>
      <c r="S465" s="1300"/>
      <c r="T465" s="1300"/>
      <c r="U465" s="1300"/>
      <c r="V465" s="1300"/>
      <c r="W465" s="1300"/>
      <c r="X465" s="1300"/>
      <c r="Y465" s="1300"/>
      <c r="Z465" s="1300"/>
      <c r="AA465" s="1300"/>
      <c r="AB465" s="1300"/>
      <c r="AC465" s="1300"/>
      <c r="AD465" s="1300"/>
      <c r="AE465" s="1300"/>
      <c r="AF465" s="1300"/>
      <c r="AG465" s="1300"/>
      <c r="AH465" s="1300"/>
      <c r="AI465" s="1300"/>
      <c r="AJ465" s="1711"/>
      <c r="AK465" s="1300"/>
      <c r="AL465" s="1300"/>
      <c r="AM465" s="1300"/>
      <c r="AN465" s="1300"/>
    </row>
    <row r="466" spans="1:40" s="1760" customFormat="1" ht="18" hidden="1" customHeight="1">
      <c r="A466" s="1761">
        <v>2</v>
      </c>
      <c r="B466" s="1762" t="s">
        <v>1619</v>
      </c>
      <c r="C466" s="1763"/>
      <c r="D466" s="1762" t="s">
        <v>2111</v>
      </c>
      <c r="E466" s="1764">
        <v>0</v>
      </c>
      <c r="F466" s="1767" t="s">
        <v>22</v>
      </c>
      <c r="G466" s="1872">
        <v>0</v>
      </c>
      <c r="H466" s="1872">
        <v>0</v>
      </c>
      <c r="I466" s="1764">
        <f>G466+H466</f>
        <v>0</v>
      </c>
      <c r="J466" s="1764">
        <f>E466*G466</f>
        <v>0</v>
      </c>
      <c r="K466" s="1764">
        <f>E466*H466</f>
        <v>0</v>
      </c>
      <c r="L466" s="1766">
        <f>J466+K466</f>
        <v>0</v>
      </c>
      <c r="P466" s="1300"/>
      <c r="Q466" s="1300"/>
      <c r="R466" s="1300"/>
      <c r="S466" s="1300"/>
      <c r="T466" s="1300"/>
      <c r="U466" s="1300"/>
      <c r="V466" s="1300"/>
      <c r="W466" s="1300"/>
      <c r="X466" s="1300"/>
      <c r="Y466" s="1300"/>
      <c r="Z466" s="1300"/>
      <c r="AA466" s="1300"/>
      <c r="AB466" s="1300"/>
      <c r="AC466" s="1300"/>
      <c r="AD466" s="1300"/>
      <c r="AE466" s="1300"/>
      <c r="AF466" s="1300"/>
      <c r="AG466" s="1300"/>
      <c r="AH466" s="1300"/>
      <c r="AI466" s="1300"/>
      <c r="AJ466" s="2424"/>
      <c r="AK466" s="2424"/>
      <c r="AL466" s="2424"/>
      <c r="AM466" s="2424"/>
      <c r="AN466" s="1300"/>
    </row>
    <row r="467" spans="1:40" s="1760" customFormat="1" ht="18" hidden="1" customHeight="1">
      <c r="A467" s="1761">
        <v>2</v>
      </c>
      <c r="B467" s="1762" t="s">
        <v>2461</v>
      </c>
      <c r="C467" s="1763"/>
      <c r="D467" s="2386" t="str">
        <f>BAHAN!$F$30</f>
        <v>Semen Tiga Roda /50 kg</v>
      </c>
      <c r="E467" s="1764">
        <f>$E$465*2</f>
        <v>0</v>
      </c>
      <c r="F467" s="1765" t="s">
        <v>19</v>
      </c>
      <c r="G467" s="1872">
        <f>F!$I$8</f>
        <v>14394</v>
      </c>
      <c r="H467" s="1872">
        <f>F!$I$12</f>
        <v>70000</v>
      </c>
      <c r="I467" s="1764">
        <f>G467+H467</f>
        <v>84394</v>
      </c>
      <c r="J467" s="1764">
        <f>E467*G467</f>
        <v>0</v>
      </c>
      <c r="K467" s="1764">
        <f>E467*H467</f>
        <v>0</v>
      </c>
      <c r="L467" s="1766">
        <f>J467+K467</f>
        <v>0</v>
      </c>
      <c r="P467" s="1300"/>
      <c r="Q467" s="1300"/>
      <c r="R467" s="1300"/>
      <c r="S467" s="1300"/>
      <c r="T467" s="1300"/>
      <c r="U467" s="1300"/>
      <c r="V467" s="1300"/>
      <c r="W467" s="1300"/>
      <c r="X467" s="1300"/>
      <c r="Y467" s="1300"/>
      <c r="Z467" s="1300"/>
      <c r="AA467" s="1300"/>
      <c r="AB467" s="1300"/>
      <c r="AC467" s="1300"/>
      <c r="AD467" s="1300"/>
      <c r="AE467" s="1300"/>
      <c r="AF467" s="1300"/>
      <c r="AG467" s="1300"/>
      <c r="AH467" s="1300"/>
      <c r="AI467" s="1300"/>
      <c r="AJ467" s="1300"/>
      <c r="AK467" s="1300"/>
      <c r="AL467" s="1300"/>
      <c r="AM467" s="1300"/>
      <c r="AN467" s="1300"/>
    </row>
    <row r="468" spans="1:40" s="1760" customFormat="1" ht="18" hidden="1" customHeight="1" thickBot="1">
      <c r="A468" s="1761">
        <v>3</v>
      </c>
      <c r="B468" s="1768" t="s">
        <v>2112</v>
      </c>
      <c r="C468" s="1769"/>
      <c r="D468" s="2386" t="str">
        <f>BAHAN!$F$30</f>
        <v>Semen Tiga Roda /50 kg</v>
      </c>
      <c r="E468" s="1764">
        <f>$E$465*2</f>
        <v>0</v>
      </c>
      <c r="F468" s="1765" t="s">
        <v>19</v>
      </c>
      <c r="G468" s="1872">
        <f>F!$I$16</f>
        <v>6000</v>
      </c>
      <c r="H468" s="1770">
        <f>F!$I$20</f>
        <v>40243</v>
      </c>
      <c r="I468" s="1764">
        <f>G468+H468</f>
        <v>46243</v>
      </c>
      <c r="J468" s="1764">
        <f>E468*G468</f>
        <v>0</v>
      </c>
      <c r="K468" s="1764">
        <f>E468*H468</f>
        <v>0</v>
      </c>
      <c r="L468" s="1766">
        <f>J468+K468</f>
        <v>0</v>
      </c>
      <c r="P468" s="1300"/>
      <c r="Q468" s="1300"/>
      <c r="R468" s="1300"/>
      <c r="S468" s="1300"/>
      <c r="T468" s="1300"/>
      <c r="U468" s="1300"/>
      <c r="V468" s="1300"/>
      <c r="W468" s="1300"/>
      <c r="X468" s="1300"/>
      <c r="Y468" s="1300"/>
      <c r="Z468" s="1300"/>
      <c r="AA468" s="1300"/>
      <c r="AB468" s="1300"/>
      <c r="AC468" s="1300"/>
      <c r="AD468" s="1300"/>
      <c r="AE468" s="1300"/>
      <c r="AF468" s="1300"/>
      <c r="AG468" s="1300"/>
      <c r="AH468" s="1300"/>
      <c r="AI468" s="1300"/>
      <c r="AJ468" s="1300"/>
      <c r="AK468" s="1300"/>
      <c r="AL468" s="1300"/>
      <c r="AM468" s="1300"/>
      <c r="AN468" s="1300"/>
    </row>
    <row r="469" spans="1:40" s="1760" customFormat="1" ht="18" hidden="1" customHeight="1" thickTop="1" thickBot="1">
      <c r="A469" s="2677" t="str">
        <f>"Sub Total pekerjaan dinding "&amp;B464&amp;"="</f>
        <v>Sub Total pekerjaan dinding Lantai Atap=</v>
      </c>
      <c r="B469" s="2678"/>
      <c r="C469" s="2678"/>
      <c r="D469" s="2678"/>
      <c r="E469" s="2678"/>
      <c r="F469" s="2678"/>
      <c r="G469" s="2678"/>
      <c r="H469" s="2390"/>
      <c r="I469" s="2390"/>
      <c r="J469" s="1772">
        <f>SUM(J465:J468)</f>
        <v>0</v>
      </c>
      <c r="K469" s="1772">
        <f>SUM(K465:K468)</f>
        <v>0</v>
      </c>
      <c r="L469" s="1773">
        <f>SUM(L465:L468)</f>
        <v>0</v>
      </c>
      <c r="M469" s="1760">
        <v>1</v>
      </c>
      <c r="N469" s="1760">
        <v>30</v>
      </c>
      <c r="P469" s="1300"/>
      <c r="Q469" s="1300"/>
      <c r="R469" s="1300"/>
      <c r="S469" s="1300"/>
      <c r="T469" s="1300"/>
      <c r="U469" s="1300"/>
      <c r="V469" s="1300"/>
      <c r="W469" s="1300"/>
      <c r="X469" s="1300"/>
      <c r="Y469" s="1300"/>
      <c r="Z469" s="1300"/>
      <c r="AA469" s="1300"/>
      <c r="AB469" s="1300"/>
      <c r="AC469" s="1300"/>
      <c r="AD469" s="1300"/>
      <c r="AE469" s="1300"/>
      <c r="AF469" s="1300"/>
      <c r="AG469" s="1300"/>
      <c r="AH469" s="1300"/>
      <c r="AI469" s="1300"/>
      <c r="AJ469" s="1300"/>
      <c r="AK469" s="1300"/>
      <c r="AL469" s="1300"/>
      <c r="AM469" s="1300"/>
      <c r="AN469" s="1300"/>
    </row>
    <row r="470" spans="1:40" ht="18" customHeight="1" thickTop="1">
      <c r="A470" s="2528" t="s">
        <v>75</v>
      </c>
      <c r="B470" s="1370" t="s">
        <v>76</v>
      </c>
      <c r="C470" s="2529"/>
      <c r="D470" s="1330"/>
      <c r="E470" s="1330"/>
      <c r="F470" s="1537"/>
      <c r="G470" s="1330"/>
      <c r="H470" s="1330"/>
      <c r="I470" s="1330"/>
      <c r="J470" s="1330"/>
      <c r="K470" s="1330"/>
      <c r="L470" s="1331"/>
      <c r="N470" s="1300">
        <v>31</v>
      </c>
      <c r="AB470" s="1300"/>
      <c r="AC470" s="1300">
        <f>SUM(P470:AA470)</f>
        <v>0</v>
      </c>
    </row>
    <row r="471" spans="1:40" ht="18" customHeight="1">
      <c r="A471" s="1534">
        <v>1</v>
      </c>
      <c r="B471" s="1818" t="s">
        <v>2119</v>
      </c>
      <c r="C471" s="2321"/>
      <c r="D471" s="1818" t="s">
        <v>2120</v>
      </c>
      <c r="E471" s="1764">
        <v>243</v>
      </c>
      <c r="F471" s="1873" t="s">
        <v>19</v>
      </c>
      <c r="G471" s="1872">
        <v>0</v>
      </c>
      <c r="H471" s="1872">
        <v>0</v>
      </c>
      <c r="I471" s="1764">
        <f t="shared" ref="I471:I476" si="83">G471+H471</f>
        <v>0</v>
      </c>
      <c r="J471" s="1764">
        <f t="shared" ref="J471:J476" si="84">E471*G471</f>
        <v>0</v>
      </c>
      <c r="K471" s="1764">
        <f t="shared" ref="K471:K476" si="85">E471*H471</f>
        <v>0</v>
      </c>
      <c r="L471" s="1530">
        <f t="shared" ref="L471:L476" si="86">J471+K471</f>
        <v>0</v>
      </c>
      <c r="AB471" s="1300"/>
      <c r="AG471" s="1760"/>
      <c r="AH471" s="1760"/>
      <c r="AI471" s="1760"/>
      <c r="AJ471" s="1760"/>
      <c r="AK471" s="1760"/>
      <c r="AL471" s="1760"/>
      <c r="AM471" s="1760"/>
    </row>
    <row r="472" spans="1:40" ht="18" hidden="1" customHeight="1">
      <c r="A472" s="1371"/>
      <c r="B472" s="1318" t="s">
        <v>2927</v>
      </c>
      <c r="C472" s="1378"/>
      <c r="D472" s="1373" t="s">
        <v>2805</v>
      </c>
      <c r="E472" s="1338"/>
      <c r="F472" s="1336" t="s">
        <v>19</v>
      </c>
      <c r="G472" s="1872">
        <v>0</v>
      </c>
      <c r="H472" s="1872">
        <v>0</v>
      </c>
      <c r="I472" s="1338">
        <f t="shared" si="83"/>
        <v>0</v>
      </c>
      <c r="J472" s="1338">
        <f t="shared" si="84"/>
        <v>0</v>
      </c>
      <c r="K472" s="1338">
        <f t="shared" si="85"/>
        <v>0</v>
      </c>
      <c r="L472" s="1530">
        <f t="shared" si="86"/>
        <v>0</v>
      </c>
      <c r="AB472" s="1221"/>
    </row>
    <row r="473" spans="1:40" s="1760" customFormat="1" ht="18" hidden="1" customHeight="1">
      <c r="A473" s="1761"/>
      <c r="B473" s="1902" t="s">
        <v>2474</v>
      </c>
      <c r="C473" s="1763"/>
      <c r="D473" s="1902" t="str">
        <f>BAHAN!$C$147</f>
        <v>Baja WF 300x150x6,5x9 mm</v>
      </c>
      <c r="E473" s="1764"/>
      <c r="F473" s="1922" t="s">
        <v>129</v>
      </c>
      <c r="G473" s="1872">
        <v>0</v>
      </c>
      <c r="H473" s="1872">
        <v>0</v>
      </c>
      <c r="I473" s="1764">
        <f t="shared" si="83"/>
        <v>0</v>
      </c>
      <c r="J473" s="1764">
        <f t="shared" si="84"/>
        <v>0</v>
      </c>
      <c r="K473" s="1764">
        <f t="shared" si="85"/>
        <v>0</v>
      </c>
      <c r="L473" s="1766">
        <f t="shared" si="86"/>
        <v>0</v>
      </c>
      <c r="P473" s="1300"/>
    </row>
    <row r="474" spans="1:40" s="1760" customFormat="1" ht="18" hidden="1" customHeight="1">
      <c r="A474" s="1761"/>
      <c r="B474" s="1902" t="s">
        <v>2474</v>
      </c>
      <c r="C474" s="1763"/>
      <c r="D474" s="1902" t="s">
        <v>2528</v>
      </c>
      <c r="E474" s="1764"/>
      <c r="F474" s="1922" t="s">
        <v>129</v>
      </c>
      <c r="G474" s="1872">
        <v>0</v>
      </c>
      <c r="H474" s="1872">
        <v>0</v>
      </c>
      <c r="I474" s="1764">
        <f t="shared" si="83"/>
        <v>0</v>
      </c>
      <c r="J474" s="1764">
        <f t="shared" si="84"/>
        <v>0</v>
      </c>
      <c r="K474" s="1764">
        <f t="shared" si="85"/>
        <v>0</v>
      </c>
      <c r="L474" s="1766">
        <f t="shared" si="86"/>
        <v>0</v>
      </c>
      <c r="P474" s="1300"/>
    </row>
    <row r="475" spans="1:40" s="1760" customFormat="1" ht="18" hidden="1" customHeight="1">
      <c r="A475" s="1761"/>
      <c r="B475" s="1902" t="s">
        <v>2474</v>
      </c>
      <c r="C475" s="1763"/>
      <c r="D475" s="1902" t="s">
        <v>2475</v>
      </c>
      <c r="E475" s="1764"/>
      <c r="F475" s="1922" t="s">
        <v>129</v>
      </c>
      <c r="G475" s="1872">
        <v>0</v>
      </c>
      <c r="H475" s="1872">
        <v>0</v>
      </c>
      <c r="I475" s="1764">
        <f t="shared" si="83"/>
        <v>0</v>
      </c>
      <c r="J475" s="1764">
        <f t="shared" si="84"/>
        <v>0</v>
      </c>
      <c r="K475" s="1764">
        <f t="shared" si="85"/>
        <v>0</v>
      </c>
      <c r="L475" s="1766">
        <f t="shared" si="86"/>
        <v>0</v>
      </c>
      <c r="P475" s="1300"/>
    </row>
    <row r="476" spans="1:40" s="1760" customFormat="1" ht="18" hidden="1" customHeight="1">
      <c r="A476" s="1761"/>
      <c r="B476" s="1902" t="s">
        <v>2474</v>
      </c>
      <c r="C476" s="1763"/>
      <c r="D476" s="1902" t="s">
        <v>2531</v>
      </c>
      <c r="E476" s="1764"/>
      <c r="F476" s="1922" t="s">
        <v>129</v>
      </c>
      <c r="G476" s="1872">
        <v>0</v>
      </c>
      <c r="H476" s="1872">
        <v>0</v>
      </c>
      <c r="I476" s="1764">
        <f t="shared" si="83"/>
        <v>0</v>
      </c>
      <c r="J476" s="1764">
        <f t="shared" si="84"/>
        <v>0</v>
      </c>
      <c r="K476" s="1764">
        <f t="shared" si="85"/>
        <v>0</v>
      </c>
      <c r="L476" s="1766">
        <f t="shared" si="86"/>
        <v>0</v>
      </c>
      <c r="P476" s="1300"/>
    </row>
    <row r="477" spans="1:40" s="1760" customFormat="1" ht="18" hidden="1" customHeight="1">
      <c r="A477" s="1794"/>
      <c r="B477" s="1768" t="s">
        <v>2121</v>
      </c>
      <c r="C477" s="1795"/>
      <c r="D477" s="1768" t="s">
        <v>2122</v>
      </c>
      <c r="E477" s="1764"/>
      <c r="F477" s="1922" t="s">
        <v>19</v>
      </c>
      <c r="G477" s="1872">
        <v>0</v>
      </c>
      <c r="H477" s="1872">
        <v>0</v>
      </c>
      <c r="I477" s="1764">
        <f t="shared" ref="I477:I488" si="87">G477+H477</f>
        <v>0</v>
      </c>
      <c r="J477" s="1764">
        <f t="shared" ref="J477:J488" si="88">E477*G477</f>
        <v>0</v>
      </c>
      <c r="K477" s="1764">
        <f t="shared" ref="K477:K488" si="89">E477*H477</f>
        <v>0</v>
      </c>
      <c r="L477" s="1766">
        <f t="shared" ref="L477:L488" si="90">J477+K477</f>
        <v>0</v>
      </c>
    </row>
    <row r="478" spans="1:40" s="1760" customFormat="1" ht="18" hidden="1" customHeight="1">
      <c r="A478" s="1761">
        <v>2</v>
      </c>
      <c r="B478" s="1768" t="s">
        <v>2123</v>
      </c>
      <c r="C478" s="1795"/>
      <c r="D478" s="1921" t="s">
        <v>2687</v>
      </c>
      <c r="E478" s="1764"/>
      <c r="F478" s="1922" t="s">
        <v>19</v>
      </c>
      <c r="G478" s="1872">
        <v>0</v>
      </c>
      <c r="H478" s="1872">
        <v>0</v>
      </c>
      <c r="I478" s="1764">
        <f>G478+H478</f>
        <v>0</v>
      </c>
      <c r="J478" s="1764">
        <f>E478*G478</f>
        <v>0</v>
      </c>
      <c r="K478" s="1764">
        <f>E478*H478</f>
        <v>0</v>
      </c>
      <c r="L478" s="1766">
        <f>J478+K478</f>
        <v>0</v>
      </c>
    </row>
    <row r="479" spans="1:40" s="1760" customFormat="1" ht="18" hidden="1" customHeight="1">
      <c r="A479" s="1761"/>
      <c r="B479" s="1768" t="s">
        <v>2123</v>
      </c>
      <c r="C479" s="1795"/>
      <c r="D479" s="1921" t="s">
        <v>2592</v>
      </c>
      <c r="E479" s="1764"/>
      <c r="F479" s="1922" t="s">
        <v>19</v>
      </c>
      <c r="G479" s="1872">
        <v>0</v>
      </c>
      <c r="H479" s="1872">
        <v>0</v>
      </c>
      <c r="I479" s="1764">
        <f t="shared" si="87"/>
        <v>0</v>
      </c>
      <c r="J479" s="1764">
        <f t="shared" si="88"/>
        <v>0</v>
      </c>
      <c r="K479" s="1764">
        <f t="shared" si="89"/>
        <v>0</v>
      </c>
      <c r="L479" s="1766">
        <f t="shared" si="90"/>
        <v>0</v>
      </c>
    </row>
    <row r="480" spans="1:40" s="1760" customFormat="1" ht="18" hidden="1" customHeight="1">
      <c r="A480" s="1794"/>
      <c r="B480" s="1768" t="s">
        <v>2123</v>
      </c>
      <c r="C480" s="1763"/>
      <c r="D480" s="1768" t="s">
        <v>2561</v>
      </c>
      <c r="E480" s="1764"/>
      <c r="F480" s="1922" t="s">
        <v>19</v>
      </c>
      <c r="G480" s="1872">
        <v>0</v>
      </c>
      <c r="H480" s="1872">
        <v>0</v>
      </c>
      <c r="I480" s="1764">
        <f t="shared" si="87"/>
        <v>0</v>
      </c>
      <c r="J480" s="1764">
        <f t="shared" si="88"/>
        <v>0</v>
      </c>
      <c r="K480" s="1764">
        <f t="shared" si="89"/>
        <v>0</v>
      </c>
      <c r="L480" s="1766">
        <f t="shared" si="90"/>
        <v>0</v>
      </c>
    </row>
    <row r="481" spans="1:28" s="1760" customFormat="1" ht="18" hidden="1" customHeight="1">
      <c r="A481" s="1794"/>
      <c r="B481" s="1768" t="s">
        <v>2123</v>
      </c>
      <c r="C481" s="1763"/>
      <c r="D481" s="1768" t="s">
        <v>2574</v>
      </c>
      <c r="E481" s="1764"/>
      <c r="F481" s="1922" t="s">
        <v>19</v>
      </c>
      <c r="G481" s="1872">
        <v>0</v>
      </c>
      <c r="H481" s="1872">
        <v>0</v>
      </c>
      <c r="I481" s="1764">
        <f>G481+H481</f>
        <v>0</v>
      </c>
      <c r="J481" s="1764">
        <f>E481*G481</f>
        <v>0</v>
      </c>
      <c r="K481" s="1764">
        <f>E481*H481</f>
        <v>0</v>
      </c>
      <c r="L481" s="1766">
        <f>J481+K481</f>
        <v>0</v>
      </c>
    </row>
    <row r="482" spans="1:28" s="1760" customFormat="1" ht="18" hidden="1" customHeight="1">
      <c r="A482" s="1794"/>
      <c r="B482" s="1768" t="s">
        <v>2123</v>
      </c>
      <c r="C482" s="1763"/>
      <c r="D482" s="1768" t="s">
        <v>2235</v>
      </c>
      <c r="E482" s="1764"/>
      <c r="F482" s="1922" t="s">
        <v>19</v>
      </c>
      <c r="G482" s="1872">
        <v>0</v>
      </c>
      <c r="H482" s="1872">
        <v>0</v>
      </c>
      <c r="I482" s="1764">
        <f t="shared" si="87"/>
        <v>0</v>
      </c>
      <c r="J482" s="1764">
        <f t="shared" si="88"/>
        <v>0</v>
      </c>
      <c r="K482" s="1764">
        <f t="shared" si="89"/>
        <v>0</v>
      </c>
      <c r="L482" s="1766">
        <f t="shared" si="90"/>
        <v>0</v>
      </c>
    </row>
    <row r="483" spans="1:28" s="1760" customFormat="1" ht="18" hidden="1" customHeight="1">
      <c r="A483" s="1794">
        <v>3</v>
      </c>
      <c r="B483" s="1768" t="s">
        <v>2123</v>
      </c>
      <c r="C483" s="1763"/>
      <c r="D483" s="1768" t="s">
        <v>2529</v>
      </c>
      <c r="E483" s="1764"/>
      <c r="F483" s="1922" t="s">
        <v>19</v>
      </c>
      <c r="G483" s="1872">
        <v>0</v>
      </c>
      <c r="H483" s="1872">
        <v>0</v>
      </c>
      <c r="I483" s="1764">
        <f>G483+H483</f>
        <v>0</v>
      </c>
      <c r="J483" s="1764">
        <f>E483*G483</f>
        <v>0</v>
      </c>
      <c r="K483" s="1764">
        <f>E483*H483</f>
        <v>0</v>
      </c>
      <c r="L483" s="1766">
        <f>J483+K483</f>
        <v>0</v>
      </c>
    </row>
    <row r="484" spans="1:28" s="1760" customFormat="1" ht="18" customHeight="1">
      <c r="A484" s="1761"/>
      <c r="B484" s="1921" t="s">
        <v>2124</v>
      </c>
      <c r="C484" s="1763"/>
      <c r="D484" s="1921" t="s">
        <v>2243</v>
      </c>
      <c r="E484" s="1764">
        <v>71</v>
      </c>
      <c r="F484" s="1767" t="s">
        <v>22</v>
      </c>
      <c r="G484" s="1872">
        <v>0</v>
      </c>
      <c r="H484" s="1872">
        <v>0</v>
      </c>
      <c r="I484" s="1764">
        <f t="shared" si="87"/>
        <v>0</v>
      </c>
      <c r="J484" s="1764">
        <f t="shared" si="88"/>
        <v>0</v>
      </c>
      <c r="K484" s="1764">
        <f t="shared" si="89"/>
        <v>0</v>
      </c>
      <c r="L484" s="1766">
        <f t="shared" si="90"/>
        <v>0</v>
      </c>
    </row>
    <row r="485" spans="1:28" s="1760" customFormat="1" ht="18" hidden="1" customHeight="1">
      <c r="A485" s="1794"/>
      <c r="B485" s="1921" t="s">
        <v>2363</v>
      </c>
      <c r="C485" s="1763"/>
      <c r="D485" s="1921" t="s">
        <v>2364</v>
      </c>
      <c r="E485" s="1764"/>
      <c r="F485" s="1767" t="s">
        <v>22</v>
      </c>
      <c r="G485" s="1872">
        <v>0</v>
      </c>
      <c r="H485" s="1872">
        <v>0</v>
      </c>
      <c r="I485" s="1764">
        <f>G485+H485</f>
        <v>0</v>
      </c>
      <c r="J485" s="1764">
        <f>E485*G485</f>
        <v>0</v>
      </c>
      <c r="K485" s="1764">
        <f>E485*H485</f>
        <v>0</v>
      </c>
      <c r="L485" s="1766">
        <f>J485+K485</f>
        <v>0</v>
      </c>
    </row>
    <row r="486" spans="1:28" s="1760" customFormat="1" ht="18" hidden="1" customHeight="1">
      <c r="A486" s="1761"/>
      <c r="B486" s="1921" t="s">
        <v>2125</v>
      </c>
      <c r="C486" s="1763"/>
      <c r="D486" s="1921" t="s">
        <v>1527</v>
      </c>
      <c r="E486" s="1764"/>
      <c r="F486" s="1922" t="s">
        <v>88</v>
      </c>
      <c r="G486" s="1872">
        <v>0</v>
      </c>
      <c r="H486" s="1872">
        <v>0</v>
      </c>
      <c r="I486" s="1764">
        <f>G486+H486</f>
        <v>0</v>
      </c>
      <c r="J486" s="1764">
        <f>E486*G486</f>
        <v>0</v>
      </c>
      <c r="K486" s="1764">
        <f>E486*H486</f>
        <v>0</v>
      </c>
      <c r="L486" s="1766">
        <f>J486+K486</f>
        <v>0</v>
      </c>
    </row>
    <row r="487" spans="1:28" s="1760" customFormat="1" ht="18.75" hidden="1" customHeight="1">
      <c r="A487" s="1794"/>
      <c r="B487" s="1921" t="s">
        <v>2232</v>
      </c>
      <c r="C487" s="1763"/>
      <c r="D487" s="1921" t="s">
        <v>2236</v>
      </c>
      <c r="E487" s="1764"/>
      <c r="F487" s="1922" t="s">
        <v>88</v>
      </c>
      <c r="G487" s="1872">
        <v>0</v>
      </c>
      <c r="H487" s="1872">
        <v>0</v>
      </c>
      <c r="I487" s="1764">
        <f t="shared" si="87"/>
        <v>0</v>
      </c>
      <c r="J487" s="1764">
        <f t="shared" si="88"/>
        <v>0</v>
      </c>
      <c r="K487" s="1764">
        <f t="shared" si="89"/>
        <v>0</v>
      </c>
      <c r="L487" s="1766">
        <f t="shared" si="90"/>
        <v>0</v>
      </c>
    </row>
    <row r="488" spans="1:28" s="1760" customFormat="1" ht="18" hidden="1" customHeight="1">
      <c r="A488" s="1761"/>
      <c r="B488" s="1921" t="s">
        <v>2126</v>
      </c>
      <c r="C488" s="1763"/>
      <c r="D488" s="1921" t="s">
        <v>1527</v>
      </c>
      <c r="E488" s="1764"/>
      <c r="F488" s="1922" t="s">
        <v>88</v>
      </c>
      <c r="G488" s="1872">
        <v>0</v>
      </c>
      <c r="H488" s="1872">
        <v>0</v>
      </c>
      <c r="I488" s="1764">
        <f t="shared" si="87"/>
        <v>0</v>
      </c>
      <c r="J488" s="1764">
        <f t="shared" si="88"/>
        <v>0</v>
      </c>
      <c r="K488" s="1764">
        <f t="shared" si="89"/>
        <v>0</v>
      </c>
      <c r="L488" s="1766">
        <f t="shared" si="90"/>
        <v>0</v>
      </c>
    </row>
    <row r="489" spans="1:28" s="1760" customFormat="1" ht="18" hidden="1" customHeight="1">
      <c r="A489" s="1794"/>
      <c r="B489" s="1921" t="s">
        <v>2233</v>
      </c>
      <c r="C489" s="1763"/>
      <c r="D489" s="1902" t="s">
        <v>2236</v>
      </c>
      <c r="E489" s="1764"/>
      <c r="F489" s="1922" t="s">
        <v>88</v>
      </c>
      <c r="G489" s="1872">
        <v>0</v>
      </c>
      <c r="H489" s="1872">
        <v>0</v>
      </c>
      <c r="I489" s="1764">
        <f t="shared" ref="I489:I494" si="91">G489+H489</f>
        <v>0</v>
      </c>
      <c r="J489" s="1764">
        <f t="shared" ref="J489:J494" si="92">E489*G489</f>
        <v>0</v>
      </c>
      <c r="K489" s="1764">
        <f t="shared" ref="K489:K494" si="93">E489*H489</f>
        <v>0</v>
      </c>
      <c r="L489" s="1766">
        <f t="shared" ref="L489:L494" si="94">J489+K489</f>
        <v>0</v>
      </c>
    </row>
    <row r="490" spans="1:28" s="1760" customFormat="1" ht="18" hidden="1" customHeight="1">
      <c r="A490" s="1761">
        <v>1</v>
      </c>
      <c r="B490" s="1921" t="s">
        <v>2127</v>
      </c>
      <c r="C490" s="1763"/>
      <c r="D490" s="1902" t="s">
        <v>2594</v>
      </c>
      <c r="E490" s="1764"/>
      <c r="F490" s="1922" t="s">
        <v>19</v>
      </c>
      <c r="G490" s="1872">
        <v>0</v>
      </c>
      <c r="H490" s="1872">
        <v>0</v>
      </c>
      <c r="I490" s="1764">
        <f t="shared" si="91"/>
        <v>0</v>
      </c>
      <c r="J490" s="1764">
        <f t="shared" si="92"/>
        <v>0</v>
      </c>
      <c r="K490" s="1764">
        <f t="shared" si="93"/>
        <v>0</v>
      </c>
      <c r="L490" s="1766">
        <f t="shared" si="94"/>
        <v>0</v>
      </c>
    </row>
    <row r="491" spans="1:28" s="1760" customFormat="1" ht="18" customHeight="1">
      <c r="A491" s="1761">
        <v>1</v>
      </c>
      <c r="B491" s="1921" t="s">
        <v>2127</v>
      </c>
      <c r="C491" s="1763"/>
      <c r="D491" s="1902" t="s">
        <v>2599</v>
      </c>
      <c r="E491" s="1764">
        <v>10.65</v>
      </c>
      <c r="F491" s="1922" t="s">
        <v>19</v>
      </c>
      <c r="G491" s="1872">
        <v>0</v>
      </c>
      <c r="H491" s="1872">
        <v>0</v>
      </c>
      <c r="I491" s="1764">
        <f t="shared" si="91"/>
        <v>0</v>
      </c>
      <c r="J491" s="1764">
        <f t="shared" si="92"/>
        <v>0</v>
      </c>
      <c r="K491" s="1764">
        <f t="shared" si="93"/>
        <v>0</v>
      </c>
      <c r="L491" s="1766">
        <f t="shared" si="94"/>
        <v>0</v>
      </c>
    </row>
    <row r="492" spans="1:28" s="1760" customFormat="1" ht="18" hidden="1" customHeight="1">
      <c r="A492" s="1794"/>
      <c r="B492" s="1921" t="s">
        <v>2234</v>
      </c>
      <c r="C492" s="1763"/>
      <c r="D492" s="1768" t="s">
        <v>2237</v>
      </c>
      <c r="E492" s="1764"/>
      <c r="F492" s="1922" t="s">
        <v>19</v>
      </c>
      <c r="G492" s="1872">
        <v>0</v>
      </c>
      <c r="H492" s="1872">
        <v>0</v>
      </c>
      <c r="I492" s="1764">
        <f t="shared" si="91"/>
        <v>0</v>
      </c>
      <c r="J492" s="1764">
        <f t="shared" si="92"/>
        <v>0</v>
      </c>
      <c r="K492" s="1764">
        <f t="shared" si="93"/>
        <v>0</v>
      </c>
      <c r="L492" s="1766">
        <f t="shared" si="94"/>
        <v>0</v>
      </c>
    </row>
    <row r="493" spans="1:28" s="1760" customFormat="1" ht="18" hidden="1" customHeight="1">
      <c r="A493" s="1794"/>
      <c r="B493" s="1921" t="s">
        <v>2551</v>
      </c>
      <c r="C493" s="1763"/>
      <c r="D493" s="1768" t="s">
        <v>2552</v>
      </c>
      <c r="E493" s="1764"/>
      <c r="F493" s="1922" t="s">
        <v>19</v>
      </c>
      <c r="G493" s="1872">
        <v>0</v>
      </c>
      <c r="H493" s="1872">
        <v>0</v>
      </c>
      <c r="I493" s="1764">
        <f t="shared" si="91"/>
        <v>0</v>
      </c>
      <c r="J493" s="1764">
        <f t="shared" si="92"/>
        <v>0</v>
      </c>
      <c r="K493" s="1764">
        <f t="shared" si="93"/>
        <v>0</v>
      </c>
      <c r="L493" s="1766">
        <f t="shared" si="94"/>
        <v>0</v>
      </c>
    </row>
    <row r="494" spans="1:28" ht="18" customHeight="1" thickBot="1">
      <c r="A494" s="1761">
        <v>5</v>
      </c>
      <c r="B494" s="1796" t="s">
        <v>2128</v>
      </c>
      <c r="C494" s="1797"/>
      <c r="D494" s="1796" t="s">
        <v>2129</v>
      </c>
      <c r="E494" s="1770">
        <v>88</v>
      </c>
      <c r="F494" s="1798" t="s">
        <v>22</v>
      </c>
      <c r="G494" s="1872">
        <v>0</v>
      </c>
      <c r="H494" s="1872">
        <v>0</v>
      </c>
      <c r="I494" s="1770">
        <f t="shared" si="91"/>
        <v>0</v>
      </c>
      <c r="J494" s="1770">
        <f t="shared" si="92"/>
        <v>0</v>
      </c>
      <c r="K494" s="1770">
        <f t="shared" si="93"/>
        <v>0</v>
      </c>
      <c r="L494" s="1799">
        <f t="shared" si="94"/>
        <v>0</v>
      </c>
    </row>
    <row r="495" spans="1:28" ht="18" customHeight="1" thickTop="1" thickBot="1">
      <c r="A495" s="2677" t="s">
        <v>77</v>
      </c>
      <c r="B495" s="2678"/>
      <c r="C495" s="2678"/>
      <c r="D495" s="2678"/>
      <c r="E495" s="2678"/>
      <c r="F495" s="2678"/>
      <c r="G495" s="2678"/>
      <c r="H495" s="1771"/>
      <c r="I495" s="1771"/>
      <c r="J495" s="1772">
        <f>SUM(J471:J494)</f>
        <v>0</v>
      </c>
      <c r="K495" s="1772">
        <f>SUM(K471:K494)</f>
        <v>0</v>
      </c>
      <c r="L495" s="1773">
        <f>SUM(L471:L494)</f>
        <v>0</v>
      </c>
      <c r="M495" s="1300">
        <v>1</v>
      </c>
      <c r="N495" s="1300">
        <v>32</v>
      </c>
    </row>
    <row r="496" spans="1:28" ht="18" customHeight="1" thickTop="1">
      <c r="A496" s="1341" t="s">
        <v>78</v>
      </c>
      <c r="B496" s="2638" t="s">
        <v>79</v>
      </c>
      <c r="C496" s="1343"/>
      <c r="D496" s="1330"/>
      <c r="E496" s="1330"/>
      <c r="F496" s="1330"/>
      <c r="G496" s="1330"/>
      <c r="H496" s="1330"/>
      <c r="I496" s="1330"/>
      <c r="J496" s="1330"/>
      <c r="K496" s="1330"/>
      <c r="L496" s="2572"/>
      <c r="N496" s="1300">
        <v>33</v>
      </c>
      <c r="AB496" s="1583"/>
    </row>
    <row r="497" spans="1:28" ht="18" customHeight="1">
      <c r="A497" s="2322" t="s">
        <v>42</v>
      </c>
      <c r="B497" s="1374" t="s">
        <v>74</v>
      </c>
      <c r="C497" s="1375"/>
      <c r="D497" s="2323"/>
      <c r="E497" s="2058"/>
      <c r="F497" s="2323"/>
      <c r="G497" s="2058"/>
      <c r="H497" s="2323"/>
      <c r="I497" s="2058"/>
      <c r="J497" s="2323"/>
      <c r="K497" s="2058"/>
      <c r="L497" s="2324"/>
      <c r="M497" s="1530"/>
      <c r="N497" s="2489">
        <v>34</v>
      </c>
      <c r="O497" s="2489"/>
      <c r="P497" s="1300" t="s">
        <v>1568</v>
      </c>
      <c r="AB497" s="1583"/>
    </row>
    <row r="498" spans="1:28" ht="18" customHeight="1">
      <c r="A498" s="1534">
        <v>1</v>
      </c>
      <c r="B498" s="1316" t="str">
        <f>'KUSEN PINTU'!B62</f>
        <v>Pemasangan P1 (Full Aksesoris)</v>
      </c>
      <c r="C498" s="1823"/>
      <c r="D498" s="1707" t="str">
        <f>'KUSEN PINTU'!BH29</f>
        <v>, Pintu Kayu Kamper Samarinda, Pintu Kayu Kamper Samarinda dan Jendela Kayu Kamper Samarinda, Kaca Tempered 8 mm</v>
      </c>
      <c r="E498" s="1708">
        <f>'KUSEN PINTU'!D62</f>
        <v>1</v>
      </c>
      <c r="F498" s="1336" t="s">
        <v>80</v>
      </c>
      <c r="G498" s="1338">
        <v>0</v>
      </c>
      <c r="H498" s="1338">
        <v>0</v>
      </c>
      <c r="I498" s="1338">
        <f t="shared" ref="I498:I520" si="95">G498+H498</f>
        <v>0</v>
      </c>
      <c r="J498" s="1338">
        <f>E498*G498</f>
        <v>0</v>
      </c>
      <c r="K498" s="1338">
        <f>E498*H498</f>
        <v>0</v>
      </c>
      <c r="L498" s="1530">
        <f>J498+K498</f>
        <v>0</v>
      </c>
      <c r="P498" s="1554">
        <f t="shared" ref="P498:P507" si="96">E498+E529</f>
        <v>1</v>
      </c>
      <c r="AB498" s="1583"/>
    </row>
    <row r="499" spans="1:28" ht="18" customHeight="1">
      <c r="A499" s="1534">
        <v>2</v>
      </c>
      <c r="B499" s="1316" t="str">
        <f>'KUSEN PINTU'!B63</f>
        <v>Pemasangan P2 (Full Aksesoris)</v>
      </c>
      <c r="C499" s="1823"/>
      <c r="D499" s="1707" t="str">
        <f>'KUSEN PINTU'!BH30</f>
        <v>Kusen UPVC, Pintu UPVC, Jendela UPVC, Kaca Tempered 8 mm</v>
      </c>
      <c r="E499" s="1708">
        <f>'KUSEN PINTU'!D63</f>
        <v>2</v>
      </c>
      <c r="F499" s="1336" t="s">
        <v>80</v>
      </c>
      <c r="G499" s="1338">
        <v>0</v>
      </c>
      <c r="H499" s="1338">
        <v>0</v>
      </c>
      <c r="I499" s="1338">
        <f t="shared" si="95"/>
        <v>0</v>
      </c>
      <c r="J499" s="1338">
        <f>E499*G499</f>
        <v>0</v>
      </c>
      <c r="K499" s="1338">
        <f>E499*H499</f>
        <v>0</v>
      </c>
      <c r="L499" s="1530">
        <f>J499+K499</f>
        <v>0</v>
      </c>
      <c r="P499" s="1939">
        <f t="shared" si="96"/>
        <v>2</v>
      </c>
    </row>
    <row r="500" spans="1:28" ht="18" customHeight="1">
      <c r="A500" s="1534">
        <v>3</v>
      </c>
      <c r="B500" s="1316" t="str">
        <f>'KUSEN PINTU'!B64</f>
        <v>Pemasangan P3 (Full Aksesoris)</v>
      </c>
      <c r="C500" s="1803"/>
      <c r="D500" s="1707" t="str">
        <f>'KUSEN PINTU'!BH31</f>
        <v>Kusen UPVC, Pintu UPVC, Jendela UPVC, Kaca Tempered 8 mm</v>
      </c>
      <c r="E500" s="1708">
        <f>'KUSEN PINTU'!D64</f>
        <v>1</v>
      </c>
      <c r="F500" s="1336" t="s">
        <v>80</v>
      </c>
      <c r="G500" s="1338">
        <v>0</v>
      </c>
      <c r="H500" s="1338">
        <v>0</v>
      </c>
      <c r="I500" s="1338">
        <f t="shared" si="95"/>
        <v>0</v>
      </c>
      <c r="J500" s="1338">
        <f>E500*G500</f>
        <v>0</v>
      </c>
      <c r="K500" s="1338">
        <f>E500*H500</f>
        <v>0</v>
      </c>
      <c r="L500" s="1530">
        <f>J500+K500</f>
        <v>0</v>
      </c>
      <c r="M500" s="1530"/>
      <c r="N500" s="2489"/>
      <c r="O500" s="2489"/>
      <c r="P500" s="1300">
        <f t="shared" si="96"/>
        <v>1</v>
      </c>
    </row>
    <row r="501" spans="1:28" ht="18" customHeight="1">
      <c r="A501" s="1534">
        <v>4</v>
      </c>
      <c r="B501" s="1316" t="str">
        <f>'KUSEN PINTU'!B65</f>
        <v>Pemasangan P4 (Full Aksesoris)</v>
      </c>
      <c r="C501" s="1803"/>
      <c r="D501" s="1707" t="str">
        <f>'KUSEN PINTU'!BH32</f>
        <v>Kusen UPVC, Pintu UPVC, Jendela UPVC, Kaca Tempered 8 mm</v>
      </c>
      <c r="E501" s="1708">
        <f>'KUSEN PINTU'!D65</f>
        <v>1</v>
      </c>
      <c r="F501" s="1336" t="s">
        <v>80</v>
      </c>
      <c r="G501" s="1338">
        <v>0</v>
      </c>
      <c r="H501" s="1338">
        <v>0</v>
      </c>
      <c r="I501" s="1338">
        <f t="shared" si="95"/>
        <v>0</v>
      </c>
      <c r="J501" s="1338">
        <f>E501*G501</f>
        <v>0</v>
      </c>
      <c r="K501" s="1338">
        <f>E501*H501</f>
        <v>0</v>
      </c>
      <c r="L501" s="1530">
        <f>J501+K501</f>
        <v>0</v>
      </c>
      <c r="P501" s="1939">
        <f t="shared" si="96"/>
        <v>1</v>
      </c>
    </row>
    <row r="502" spans="1:28" ht="18" customHeight="1">
      <c r="A502" s="1534">
        <v>5</v>
      </c>
      <c r="B502" s="1316" t="str">
        <f>'KUSEN PINTU'!B66</f>
        <v>Pemasangan P5 (Full Aksesoris)</v>
      </c>
      <c r="C502" s="1803"/>
      <c r="D502" s="1707" t="str">
        <f>'KUSEN PINTU'!BH33</f>
        <v>Kusen Aluminium 4"</v>
      </c>
      <c r="E502" s="1708">
        <f>'KUSEN PINTU'!D66</f>
        <v>1</v>
      </c>
      <c r="F502" s="1336" t="s">
        <v>80</v>
      </c>
      <c r="G502" s="1338">
        <v>0</v>
      </c>
      <c r="H502" s="1338">
        <v>0</v>
      </c>
      <c r="I502" s="1338">
        <f t="shared" si="95"/>
        <v>0</v>
      </c>
      <c r="J502" s="1338">
        <f>E502*G502</f>
        <v>0</v>
      </c>
      <c r="K502" s="1338">
        <f>E502*H502</f>
        <v>0</v>
      </c>
      <c r="L502" s="1530">
        <f>J502+K502</f>
        <v>0</v>
      </c>
      <c r="P502" s="1939">
        <f t="shared" si="96"/>
        <v>1</v>
      </c>
    </row>
    <row r="503" spans="1:28" ht="18" customHeight="1">
      <c r="A503" s="1534">
        <v>6</v>
      </c>
      <c r="B503" s="1316" t="str">
        <f>'KUSEN PINTU'!B67</f>
        <v>Pemasangan P6 (Full Aksesoris)</v>
      </c>
      <c r="C503" s="1823"/>
      <c r="D503" s="1707" t="str">
        <f>'KUSEN PINTU'!BH34</f>
        <v>Kusen UPVC, Pintu Panel Teakwood</v>
      </c>
      <c r="E503" s="1708">
        <f>'KUSEN PINTU'!D67</f>
        <v>1</v>
      </c>
      <c r="F503" s="1336" t="s">
        <v>80</v>
      </c>
      <c r="G503" s="1338">
        <v>0</v>
      </c>
      <c r="H503" s="1338">
        <v>0</v>
      </c>
      <c r="I503" s="1338">
        <f t="shared" si="95"/>
        <v>0</v>
      </c>
      <c r="J503" s="1338">
        <f t="shared" ref="J503:J508" si="97">E503*G503</f>
        <v>0</v>
      </c>
      <c r="K503" s="1338">
        <f t="shared" ref="K503:K508" si="98">E503*H503</f>
        <v>0</v>
      </c>
      <c r="L503" s="1530">
        <f t="shared" ref="L503:L508" si="99">J503+K503</f>
        <v>0</v>
      </c>
      <c r="M503" s="1530"/>
      <c r="N503" s="2489"/>
      <c r="O503" s="2489"/>
      <c r="P503" s="1300">
        <f t="shared" si="96"/>
        <v>1</v>
      </c>
    </row>
    <row r="504" spans="1:28" ht="18" customHeight="1">
      <c r="A504" s="1534">
        <v>7</v>
      </c>
      <c r="B504" s="1316" t="str">
        <f>'KUSEN PINTU'!B68</f>
        <v>Pemasangan P7 (Full Aksesoris)</v>
      </c>
      <c r="C504" s="1823"/>
      <c r="D504" s="1707" t="str">
        <f>'KUSEN PINTU'!BH35</f>
        <v>Kusen Aluminium 4", Pintu Panel Teakwood</v>
      </c>
      <c r="E504" s="1708">
        <f>'KUSEN PINTU'!D68</f>
        <v>6</v>
      </c>
      <c r="F504" s="1336" t="s">
        <v>80</v>
      </c>
      <c r="G504" s="1338">
        <v>0</v>
      </c>
      <c r="H504" s="1338">
        <v>0</v>
      </c>
      <c r="I504" s="1338">
        <f t="shared" si="95"/>
        <v>0</v>
      </c>
      <c r="J504" s="1338">
        <f t="shared" si="97"/>
        <v>0</v>
      </c>
      <c r="K504" s="1338">
        <f t="shared" si="98"/>
        <v>0</v>
      </c>
      <c r="L504" s="1530">
        <f t="shared" si="99"/>
        <v>0</v>
      </c>
      <c r="P504" s="1939">
        <f t="shared" si="96"/>
        <v>6</v>
      </c>
    </row>
    <row r="505" spans="1:28" ht="18" customHeight="1">
      <c r="A505" s="1534">
        <v>8</v>
      </c>
      <c r="B505" s="1316" t="str">
        <f>'KUSEN PINTU'!B69</f>
        <v>Pemasangan P8 (Full Aksesoris)</v>
      </c>
      <c r="C505" s="1803"/>
      <c r="D505" s="1707" t="str">
        <f>'KUSEN PINTU'!BH36</f>
        <v>Kusen Aluminium 4", Pintu Panel Teakwood</v>
      </c>
      <c r="E505" s="1708">
        <f>'KUSEN PINTU'!D69</f>
        <v>3</v>
      </c>
      <c r="F505" s="1336" t="s">
        <v>80</v>
      </c>
      <c r="G505" s="1338">
        <v>0</v>
      </c>
      <c r="H505" s="1338">
        <v>0</v>
      </c>
      <c r="I505" s="1338">
        <f t="shared" si="95"/>
        <v>0</v>
      </c>
      <c r="J505" s="1338">
        <f t="shared" si="97"/>
        <v>0</v>
      </c>
      <c r="K505" s="1338">
        <f t="shared" si="98"/>
        <v>0</v>
      </c>
      <c r="L505" s="1530">
        <f t="shared" si="99"/>
        <v>0</v>
      </c>
      <c r="P505" s="1939">
        <f t="shared" si="96"/>
        <v>3</v>
      </c>
    </row>
    <row r="506" spans="1:28" ht="18" customHeight="1">
      <c r="A506" s="1534">
        <v>9</v>
      </c>
      <c r="B506" s="1316" t="str">
        <f>'KUSEN PINTU'!B70</f>
        <v>Pemasangan P9 (Full Aksesoris)</v>
      </c>
      <c r="C506" s="1803"/>
      <c r="D506" s="1707" t="str">
        <f>'KUSEN PINTU'!BH37</f>
        <v>Kusen UPVC, Pintu UPVC</v>
      </c>
      <c r="E506" s="1708">
        <f>'KUSEN PINTU'!D70</f>
        <v>9</v>
      </c>
      <c r="F506" s="1336" t="s">
        <v>80</v>
      </c>
      <c r="G506" s="1338">
        <v>0</v>
      </c>
      <c r="H506" s="1338">
        <v>0</v>
      </c>
      <c r="I506" s="1338">
        <f t="shared" si="95"/>
        <v>0</v>
      </c>
      <c r="J506" s="1338">
        <f t="shared" si="97"/>
        <v>0</v>
      </c>
      <c r="K506" s="1338">
        <f t="shared" si="98"/>
        <v>0</v>
      </c>
      <c r="L506" s="1530">
        <f t="shared" si="99"/>
        <v>0</v>
      </c>
      <c r="P506" s="1939">
        <f t="shared" si="96"/>
        <v>9</v>
      </c>
    </row>
    <row r="507" spans="1:28" ht="18" hidden="1" customHeight="1">
      <c r="A507" s="1534">
        <v>8</v>
      </c>
      <c r="B507" s="1316" t="str">
        <f>'KUSEN PINTU'!B71</f>
        <v>Pemasangan P10 (Full Aksesoris)</v>
      </c>
      <c r="C507" s="1803"/>
      <c r="D507" s="1707" t="str">
        <f>'KUSEN PINTU'!BH38</f>
        <v/>
      </c>
      <c r="E507" s="1708">
        <f>'KUSEN PINTU'!D71</f>
        <v>0</v>
      </c>
      <c r="F507" s="1336" t="s">
        <v>80</v>
      </c>
      <c r="G507" s="1338">
        <v>0</v>
      </c>
      <c r="H507" s="1338">
        <v>0</v>
      </c>
      <c r="I507" s="1338">
        <f t="shared" si="95"/>
        <v>0</v>
      </c>
      <c r="J507" s="1338">
        <f t="shared" si="97"/>
        <v>0</v>
      </c>
      <c r="K507" s="1338">
        <f t="shared" si="98"/>
        <v>0</v>
      </c>
      <c r="L507" s="1530">
        <f t="shared" si="99"/>
        <v>0</v>
      </c>
      <c r="P507" s="1939">
        <f t="shared" si="96"/>
        <v>0</v>
      </c>
    </row>
    <row r="508" spans="1:28" ht="18" hidden="1" customHeight="1">
      <c r="A508" s="1534">
        <v>9</v>
      </c>
      <c r="B508" s="1316" t="str">
        <f>'KUSEN PINTU'!B72</f>
        <v>Pemasangan P11 (Full Aksesoris)</v>
      </c>
      <c r="C508" s="1803"/>
      <c r="D508" s="1707" t="str">
        <f>'KUSEN PINTU'!BH39</f>
        <v/>
      </c>
      <c r="E508" s="1708">
        <f>'KUSEN PINTU'!D72</f>
        <v>0</v>
      </c>
      <c r="F508" s="1336" t="s">
        <v>80</v>
      </c>
      <c r="G508" s="1338">
        <v>0</v>
      </c>
      <c r="H508" s="1338">
        <v>0</v>
      </c>
      <c r="I508" s="1338">
        <f t="shared" si="95"/>
        <v>0</v>
      </c>
      <c r="J508" s="1338">
        <f t="shared" si="97"/>
        <v>0</v>
      </c>
      <c r="K508" s="1338">
        <f t="shared" si="98"/>
        <v>0</v>
      </c>
      <c r="L508" s="1530">
        <f t="shared" si="99"/>
        <v>0</v>
      </c>
      <c r="P508" s="1939">
        <f>E508+E558</f>
        <v>0</v>
      </c>
    </row>
    <row r="509" spans="1:28" ht="18" customHeight="1">
      <c r="A509" s="1534">
        <v>10</v>
      </c>
      <c r="B509" s="1316" t="str">
        <f>'KUSEN PINTU'!B73</f>
        <v>Pemasangan J1 (Full Aksesoris)</v>
      </c>
      <c r="C509" s="1823"/>
      <c r="D509" s="1707" t="str">
        <f>'KUSEN PINTU'!BH40</f>
        <v>Kusen UPVC, Jendela UPVC, Kaca Tempered 8 mm</v>
      </c>
      <c r="E509" s="1708">
        <f>'KUSEN PINTU'!D73</f>
        <v>2</v>
      </c>
      <c r="F509" s="1336" t="s">
        <v>80</v>
      </c>
      <c r="G509" s="1338">
        <v>0</v>
      </c>
      <c r="H509" s="1338">
        <v>0</v>
      </c>
      <c r="I509" s="1338">
        <f t="shared" si="95"/>
        <v>0</v>
      </c>
      <c r="J509" s="1338">
        <f t="shared" ref="J509:J520" si="100">E509*G509</f>
        <v>0</v>
      </c>
      <c r="K509" s="1338">
        <f t="shared" ref="K509:K520" si="101">E509*H509</f>
        <v>0</v>
      </c>
      <c r="L509" s="1530">
        <f t="shared" ref="L509:L520" si="102">J509+K509</f>
        <v>0</v>
      </c>
      <c r="M509" s="1530"/>
      <c r="N509" s="2489"/>
      <c r="O509" s="2489"/>
      <c r="P509" s="1300">
        <f t="shared" ref="P509:P526" si="103">E509+E621</f>
        <v>2</v>
      </c>
    </row>
    <row r="510" spans="1:28" ht="18" customHeight="1">
      <c r="A510" s="1534">
        <v>11</v>
      </c>
      <c r="B510" s="1316" t="str">
        <f>'KUSEN PINTU'!B74</f>
        <v>Pemasangan J2 (Full Aksesoris)</v>
      </c>
      <c r="C510" s="1823"/>
      <c r="D510" s="1707" t="str">
        <f>'KUSEN PINTU'!BH41</f>
        <v>Kusen UPVC, Jendela UPVC, Kaca Tempered 8 mm</v>
      </c>
      <c r="E510" s="1708">
        <f>'KUSEN PINTU'!D74</f>
        <v>4</v>
      </c>
      <c r="F510" s="1336" t="s">
        <v>80</v>
      </c>
      <c r="G510" s="1338">
        <v>0</v>
      </c>
      <c r="H510" s="1338">
        <v>0</v>
      </c>
      <c r="I510" s="1338">
        <f t="shared" si="95"/>
        <v>0</v>
      </c>
      <c r="J510" s="1338">
        <f t="shared" si="100"/>
        <v>0</v>
      </c>
      <c r="K510" s="1338">
        <f t="shared" si="101"/>
        <v>0</v>
      </c>
      <c r="L510" s="1530">
        <f t="shared" si="102"/>
        <v>0</v>
      </c>
      <c r="P510" s="1939">
        <f t="shared" si="103"/>
        <v>29</v>
      </c>
    </row>
    <row r="511" spans="1:28" ht="18" customHeight="1">
      <c r="A511" s="1534">
        <v>12</v>
      </c>
      <c r="B511" s="1316" t="str">
        <f>'KUSEN PINTU'!B75</f>
        <v>Pemasangan J3 (Full Aksesoris)</v>
      </c>
      <c r="C511" s="1803"/>
      <c r="D511" s="1707" t="str">
        <f>'KUSEN PINTU'!BH42</f>
        <v>Kusen UPVC, Jendela UPVC, Kaca Tempered 8 mm</v>
      </c>
      <c r="E511" s="1708">
        <f>'KUSEN PINTU'!D75</f>
        <v>1</v>
      </c>
      <c r="F511" s="1336" t="s">
        <v>80</v>
      </c>
      <c r="G511" s="1338">
        <v>0</v>
      </c>
      <c r="H511" s="1338">
        <v>0</v>
      </c>
      <c r="I511" s="1338">
        <f t="shared" si="95"/>
        <v>0</v>
      </c>
      <c r="J511" s="1338">
        <f t="shared" si="100"/>
        <v>0</v>
      </c>
      <c r="K511" s="1338">
        <f t="shared" si="101"/>
        <v>0</v>
      </c>
      <c r="L511" s="1530">
        <f t="shared" si="102"/>
        <v>0</v>
      </c>
      <c r="P511" s="1939">
        <f t="shared" si="103"/>
        <v>1</v>
      </c>
    </row>
    <row r="512" spans="1:28" ht="18" customHeight="1">
      <c r="A512" s="1534">
        <v>13</v>
      </c>
      <c r="B512" s="1316" t="str">
        <f>'KUSEN PINTU'!B76</f>
        <v>Pemasangan J4 (Full Aksesoris)</v>
      </c>
      <c r="C512" s="1803"/>
      <c r="D512" s="1707" t="str">
        <f>'KUSEN PINTU'!BH43</f>
        <v>Kusen UPVC, Jendela UPVC, Kaca Tempered 8 mm</v>
      </c>
      <c r="E512" s="1708">
        <f>'KUSEN PINTU'!D76</f>
        <v>3</v>
      </c>
      <c r="F512" s="1336" t="s">
        <v>80</v>
      </c>
      <c r="G512" s="1338">
        <v>0</v>
      </c>
      <c r="H512" s="1338">
        <v>0</v>
      </c>
      <c r="I512" s="1338">
        <f t="shared" si="95"/>
        <v>0</v>
      </c>
      <c r="J512" s="1338">
        <f t="shared" si="100"/>
        <v>0</v>
      </c>
      <c r="K512" s="1338">
        <f t="shared" si="101"/>
        <v>0</v>
      </c>
      <c r="L512" s="1530">
        <f t="shared" si="102"/>
        <v>0</v>
      </c>
      <c r="P512" s="1939">
        <f t="shared" si="103"/>
        <v>65</v>
      </c>
    </row>
    <row r="513" spans="1:28" ht="18" hidden="1" customHeight="1">
      <c r="A513" s="1534">
        <v>15</v>
      </c>
      <c r="B513" s="1316" t="str">
        <f>'KUSEN PINTU'!B77</f>
        <v>Pemasangan J5 (Full Aksesoris)</v>
      </c>
      <c r="C513" s="1803"/>
      <c r="D513" s="1707" t="str">
        <f>'KUSEN PINTU'!BH44</f>
        <v>Kusen Aluminium 4", Jendela UPVC</v>
      </c>
      <c r="E513" s="1708">
        <f>'KUSEN PINTU'!D77</f>
        <v>0</v>
      </c>
      <c r="F513" s="1336" t="s">
        <v>80</v>
      </c>
      <c r="G513" s="1338">
        <v>0</v>
      </c>
      <c r="H513" s="1338">
        <v>0</v>
      </c>
      <c r="I513" s="1338">
        <f t="shared" si="95"/>
        <v>0</v>
      </c>
      <c r="J513" s="1338">
        <f t="shared" si="100"/>
        <v>0</v>
      </c>
      <c r="K513" s="1338">
        <f t="shared" si="101"/>
        <v>0</v>
      </c>
      <c r="L513" s="1530">
        <f t="shared" si="102"/>
        <v>0</v>
      </c>
      <c r="P513" s="1939">
        <f t="shared" si="103"/>
        <v>0</v>
      </c>
    </row>
    <row r="514" spans="1:28" ht="18" hidden="1" customHeight="1">
      <c r="A514" s="1534">
        <v>11</v>
      </c>
      <c r="B514" s="1316" t="str">
        <f>'KUSEN PINTU'!B78</f>
        <v>Pemasangan J6 (Full Aksesoris)</v>
      </c>
      <c r="C514" s="1803"/>
      <c r="D514" s="1707" t="str">
        <f>'KUSEN PINTU'!BH45</f>
        <v xml:space="preserve">Kusen Aluminium 4", Jendela Aluminium 3" </v>
      </c>
      <c r="E514" s="1708">
        <f>'KUSEN PINTU'!D78</f>
        <v>0</v>
      </c>
      <c r="F514" s="1336" t="s">
        <v>80</v>
      </c>
      <c r="G514" s="1338">
        <v>0</v>
      </c>
      <c r="H514" s="1338">
        <v>0</v>
      </c>
      <c r="I514" s="1338">
        <f t="shared" si="95"/>
        <v>0</v>
      </c>
      <c r="J514" s="1338">
        <f t="shared" si="100"/>
        <v>0</v>
      </c>
      <c r="K514" s="1338">
        <f t="shared" si="101"/>
        <v>0</v>
      </c>
      <c r="L514" s="1530">
        <f t="shared" si="102"/>
        <v>0</v>
      </c>
      <c r="P514" s="1939">
        <f t="shared" si="103"/>
        <v>102</v>
      </c>
    </row>
    <row r="515" spans="1:28" ht="18" hidden="1" customHeight="1">
      <c r="A515" s="1534"/>
      <c r="B515" s="1316" t="str">
        <f>'KUSEN PINTU'!B79</f>
        <v>Pemasangan J7 (Full Aksesoris)</v>
      </c>
      <c r="C515" s="1803"/>
      <c r="D515" s="1707" t="str">
        <f>'KUSEN PINTU'!BH46</f>
        <v xml:space="preserve">Kusen Aluminium 4", Jendela Aluminium 3" </v>
      </c>
      <c r="E515" s="1708">
        <f>'KUSEN PINTU'!D79</f>
        <v>0</v>
      </c>
      <c r="F515" s="1336" t="s">
        <v>80</v>
      </c>
      <c r="G515" s="1338">
        <v>0</v>
      </c>
      <c r="H515" s="1338">
        <v>0</v>
      </c>
      <c r="I515" s="1338">
        <f t="shared" si="95"/>
        <v>0</v>
      </c>
      <c r="J515" s="1338">
        <f t="shared" si="100"/>
        <v>0</v>
      </c>
      <c r="K515" s="1338">
        <f t="shared" si="101"/>
        <v>0</v>
      </c>
      <c r="L515" s="1530">
        <f t="shared" si="102"/>
        <v>0</v>
      </c>
      <c r="P515" s="1939">
        <f t="shared" si="103"/>
        <v>0</v>
      </c>
    </row>
    <row r="516" spans="1:28" ht="18" hidden="1" customHeight="1">
      <c r="A516" s="1534"/>
      <c r="B516" s="1316" t="str">
        <f>'KUSEN PINTU'!B80</f>
        <v>Pemasangan J8 (Full Aksesoris)</v>
      </c>
      <c r="C516" s="1803"/>
      <c r="D516" s="1707" t="str">
        <f>'KUSEN PINTU'!BH47</f>
        <v xml:space="preserve">Kusen Aluminium 4", Jendela Aluminium 3" </v>
      </c>
      <c r="E516" s="1708">
        <f>'KUSEN PINTU'!D80</f>
        <v>0</v>
      </c>
      <c r="F516" s="1336" t="s">
        <v>80</v>
      </c>
      <c r="G516" s="1338">
        <v>0</v>
      </c>
      <c r="H516" s="1338">
        <v>0</v>
      </c>
      <c r="I516" s="1338">
        <f t="shared" si="95"/>
        <v>0</v>
      </c>
      <c r="J516" s="1338">
        <f t="shared" si="100"/>
        <v>0</v>
      </c>
      <c r="K516" s="1338">
        <f t="shared" si="101"/>
        <v>0</v>
      </c>
      <c r="L516" s="1530">
        <f t="shared" si="102"/>
        <v>0</v>
      </c>
      <c r="P516" s="1939">
        <f t="shared" si="103"/>
        <v>56</v>
      </c>
    </row>
    <row r="517" spans="1:28" ht="18" customHeight="1">
      <c r="A517" s="1534">
        <v>14</v>
      </c>
      <c r="B517" s="1316" t="str">
        <f>'KUSEN PINTU'!B81</f>
        <v>Pemasangan BV1 (Full Aksesoris)</v>
      </c>
      <c r="C517" s="1803"/>
      <c r="D517" s="1707" t="str">
        <f>'KUSEN PINTU'!BH48</f>
        <v>Kusen Aluminium 4", Jendela Aluminium 3" , Kaca Tempered 8 mm</v>
      </c>
      <c r="E517" s="1708">
        <f>'KUSEN PINTU'!D81</f>
        <v>4</v>
      </c>
      <c r="F517" s="1336" t="s">
        <v>80</v>
      </c>
      <c r="G517" s="1338">
        <v>0</v>
      </c>
      <c r="H517" s="1338">
        <v>0</v>
      </c>
      <c r="I517" s="1338">
        <f t="shared" si="95"/>
        <v>0</v>
      </c>
      <c r="J517" s="1338">
        <f t="shared" si="100"/>
        <v>0</v>
      </c>
      <c r="K517" s="1338">
        <f t="shared" si="101"/>
        <v>0</v>
      </c>
      <c r="L517" s="1530">
        <f t="shared" si="102"/>
        <v>0</v>
      </c>
      <c r="P517" s="1939">
        <f t="shared" si="103"/>
        <v>4</v>
      </c>
    </row>
    <row r="518" spans="1:28" ht="18" customHeight="1" thickBot="1">
      <c r="A518" s="1534">
        <v>15</v>
      </c>
      <c r="B518" s="1316" t="str">
        <f>'KUSEN PINTU'!B82</f>
        <v>Pemasangan BV2 (Full Aksesoris)</v>
      </c>
      <c r="C518" s="1803"/>
      <c r="D518" s="1707" t="str">
        <f>'KUSEN PINTU'!BH49</f>
        <v>Kusen Aluminium 4", Jendela Aluminium 3" , Kaca Tempered 8 mm</v>
      </c>
      <c r="E518" s="1708">
        <f>'KUSEN PINTU'!D82</f>
        <v>2</v>
      </c>
      <c r="F518" s="1336" t="s">
        <v>80</v>
      </c>
      <c r="G518" s="1338">
        <v>0</v>
      </c>
      <c r="H518" s="1338">
        <v>0</v>
      </c>
      <c r="I518" s="1338">
        <f t="shared" si="95"/>
        <v>0</v>
      </c>
      <c r="J518" s="1338">
        <f t="shared" si="100"/>
        <v>0</v>
      </c>
      <c r="K518" s="1338">
        <f t="shared" si="101"/>
        <v>0</v>
      </c>
      <c r="L518" s="1530">
        <f t="shared" si="102"/>
        <v>0</v>
      </c>
      <c r="P518" s="1939">
        <f t="shared" si="103"/>
        <v>2</v>
      </c>
    </row>
    <row r="519" spans="1:28" ht="18" hidden="1" customHeight="1">
      <c r="A519" s="1534"/>
      <c r="B519" s="1316" t="str">
        <f>'KUSEN PINTU'!B83</f>
        <v>Pemasangan  (Full Aksesoris)</v>
      </c>
      <c r="C519" s="1803"/>
      <c r="D519" s="1707" t="e">
        <f>'KUSEN PINTU'!BH50</f>
        <v>#N/A</v>
      </c>
      <c r="E519" s="1708">
        <f>'KUSEN PINTU'!D83</f>
        <v>0</v>
      </c>
      <c r="F519" s="1336" t="s">
        <v>80</v>
      </c>
      <c r="G519" s="1338">
        <f>'KUSEN PINTU'!BE50</f>
        <v>0</v>
      </c>
      <c r="H519" s="1338">
        <f>'KUSEN PINTU'!$AP$22</f>
        <v>250000</v>
      </c>
      <c r="I519" s="1338">
        <f t="shared" si="95"/>
        <v>250000</v>
      </c>
      <c r="J519" s="1338">
        <f t="shared" si="100"/>
        <v>0</v>
      </c>
      <c r="K519" s="1338">
        <f t="shared" si="101"/>
        <v>0</v>
      </c>
      <c r="L519" s="1530">
        <f t="shared" si="102"/>
        <v>0</v>
      </c>
      <c r="P519" s="1939">
        <f t="shared" si="103"/>
        <v>0</v>
      </c>
      <c r="AB519" s="1221"/>
    </row>
    <row r="520" spans="1:28" ht="18" hidden="1" customHeight="1">
      <c r="A520" s="1534"/>
      <c r="B520" s="1316" t="str">
        <f>'KUSEN PINTU'!B84</f>
        <v>Pemasangan  (Full Aksesoris)</v>
      </c>
      <c r="C520" s="1803"/>
      <c r="D520" s="1707" t="e">
        <f>'KUSEN PINTU'!BH51</f>
        <v>#N/A</v>
      </c>
      <c r="E520" s="1708">
        <f>'KUSEN PINTU'!D84</f>
        <v>0</v>
      </c>
      <c r="F520" s="1336" t="s">
        <v>80</v>
      </c>
      <c r="G520" s="1338">
        <f>'KUSEN PINTU'!BE51</f>
        <v>0</v>
      </c>
      <c r="H520" s="1338">
        <f>'KUSEN PINTU'!$AP$22</f>
        <v>250000</v>
      </c>
      <c r="I520" s="1338">
        <f t="shared" si="95"/>
        <v>250000</v>
      </c>
      <c r="J520" s="1338">
        <f t="shared" si="100"/>
        <v>0</v>
      </c>
      <c r="K520" s="1338">
        <f t="shared" si="101"/>
        <v>0</v>
      </c>
      <c r="L520" s="1530">
        <f t="shared" si="102"/>
        <v>0</v>
      </c>
      <c r="P520" s="1939">
        <f t="shared" si="103"/>
        <v>0</v>
      </c>
      <c r="AB520" s="1221"/>
    </row>
    <row r="521" spans="1:28" ht="18" hidden="1" customHeight="1">
      <c r="A521" s="1534"/>
      <c r="B521" s="1316" t="str">
        <f>'KUSEN PINTU'!B85</f>
        <v>Pemasangan  (Full Aksesoris)</v>
      </c>
      <c r="C521" s="1803"/>
      <c r="D521" s="1707" t="e">
        <f>'KUSEN PINTU'!BH52</f>
        <v>#N/A</v>
      </c>
      <c r="E521" s="1708">
        <f>'KUSEN PINTU'!D85</f>
        <v>0</v>
      </c>
      <c r="F521" s="1336" t="s">
        <v>80</v>
      </c>
      <c r="G521" s="1338">
        <f>'KUSEN PINTU'!BE52</f>
        <v>0</v>
      </c>
      <c r="H521" s="1338">
        <f>'KUSEN PINTU'!$AP$22</f>
        <v>250000</v>
      </c>
      <c r="I521" s="1338">
        <f t="shared" ref="I521:I526" si="104">G521+H521</f>
        <v>250000</v>
      </c>
      <c r="J521" s="1338">
        <f t="shared" ref="J521:J526" si="105">E521*G521</f>
        <v>0</v>
      </c>
      <c r="K521" s="1338">
        <f t="shared" ref="K521:K526" si="106">E521*H521</f>
        <v>0</v>
      </c>
      <c r="L521" s="1530">
        <f t="shared" ref="L521:L526" si="107">J521+K521</f>
        <v>0</v>
      </c>
      <c r="P521" s="1939">
        <f t="shared" si="103"/>
        <v>19</v>
      </c>
      <c r="AB521" s="1221"/>
    </row>
    <row r="522" spans="1:28" ht="18" hidden="1" customHeight="1">
      <c r="A522" s="1534">
        <v>8</v>
      </c>
      <c r="B522" s="1316" t="str">
        <f>'KUSEN PINTU'!B86</f>
        <v>Pemasangan  (Full Aksesoris)</v>
      </c>
      <c r="C522" s="1803"/>
      <c r="D522" s="1707" t="e">
        <f>'KUSEN PINTU'!BH53</f>
        <v>#N/A</v>
      </c>
      <c r="E522" s="1708">
        <f>'KUSEN PINTU'!D86</f>
        <v>0</v>
      </c>
      <c r="F522" s="1336" t="s">
        <v>80</v>
      </c>
      <c r="G522" s="1338">
        <f>'KUSEN PINTU'!BE53</f>
        <v>0</v>
      </c>
      <c r="H522" s="1338">
        <f>'KUSEN PINTU'!$AP$22</f>
        <v>250000</v>
      </c>
      <c r="I522" s="1338">
        <f t="shared" si="104"/>
        <v>250000</v>
      </c>
      <c r="J522" s="1338">
        <f t="shared" si="105"/>
        <v>0</v>
      </c>
      <c r="K522" s="1338">
        <f t="shared" si="106"/>
        <v>0</v>
      </c>
      <c r="L522" s="1530">
        <f t="shared" si="107"/>
        <v>0</v>
      </c>
      <c r="P522" s="1939">
        <f t="shared" si="103"/>
        <v>12</v>
      </c>
      <c r="AB522" s="1221"/>
    </row>
    <row r="523" spans="1:28" ht="18" hidden="1" customHeight="1">
      <c r="A523" s="1534"/>
      <c r="B523" s="1316" t="str">
        <f>'KUSEN PINTU'!B87</f>
        <v>Pemasangan  (Full Aksesoris)</v>
      </c>
      <c r="C523" s="1803"/>
      <c r="D523" s="1707" t="e">
        <f>'KUSEN PINTU'!BH54</f>
        <v>#N/A</v>
      </c>
      <c r="E523" s="1708">
        <f>'KUSEN PINTU'!D87</f>
        <v>0</v>
      </c>
      <c r="F523" s="1336" t="s">
        <v>80</v>
      </c>
      <c r="G523" s="1338">
        <f>'KUSEN PINTU'!BE54</f>
        <v>0</v>
      </c>
      <c r="H523" s="1338">
        <f>'KUSEN PINTU'!$AP$22</f>
        <v>250000</v>
      </c>
      <c r="I523" s="1338">
        <f t="shared" si="104"/>
        <v>250000</v>
      </c>
      <c r="J523" s="1338">
        <f t="shared" si="105"/>
        <v>0</v>
      </c>
      <c r="K523" s="1338">
        <f t="shared" si="106"/>
        <v>0</v>
      </c>
      <c r="L523" s="1530">
        <f t="shared" si="107"/>
        <v>0</v>
      </c>
      <c r="P523" s="1939">
        <f t="shared" si="103"/>
        <v>0</v>
      </c>
      <c r="AB523" s="1221"/>
    </row>
    <row r="524" spans="1:28" ht="18" hidden="1" customHeight="1">
      <c r="A524" s="1534"/>
      <c r="B524" s="1316" t="str">
        <f>'KUSEN PINTU'!B88</f>
        <v>Pemasangan  (Full Aksesoris)</v>
      </c>
      <c r="C524" s="1803"/>
      <c r="D524" s="1707" t="e">
        <f>'KUSEN PINTU'!BH55</f>
        <v>#N/A</v>
      </c>
      <c r="E524" s="1708">
        <f>'KUSEN PINTU'!D88</f>
        <v>0</v>
      </c>
      <c r="F524" s="1336" t="s">
        <v>80</v>
      </c>
      <c r="G524" s="1338">
        <f>'KUSEN PINTU'!BE55</f>
        <v>0</v>
      </c>
      <c r="H524" s="1338">
        <f>'KUSEN PINTU'!$AP$22</f>
        <v>250000</v>
      </c>
      <c r="I524" s="1338">
        <f t="shared" si="104"/>
        <v>250000</v>
      </c>
      <c r="J524" s="1338">
        <f t="shared" si="105"/>
        <v>0</v>
      </c>
      <c r="K524" s="1338">
        <f t="shared" si="106"/>
        <v>0</v>
      </c>
      <c r="L524" s="1530">
        <f t="shared" si="107"/>
        <v>0</v>
      </c>
      <c r="P524" s="1939">
        <f t="shared" si="103"/>
        <v>0</v>
      </c>
      <c r="AB524" s="1221"/>
    </row>
    <row r="525" spans="1:28" ht="18" hidden="1" customHeight="1">
      <c r="A525" s="1534"/>
      <c r="B525" s="1316" t="str">
        <f>'KUSEN PINTU'!B89</f>
        <v>Pemasangan  (Full Aksesoris)</v>
      </c>
      <c r="C525" s="1803"/>
      <c r="D525" s="1707" t="e">
        <f>'KUSEN PINTU'!BH56</f>
        <v>#N/A</v>
      </c>
      <c r="E525" s="1708">
        <f>'KUSEN PINTU'!D89</f>
        <v>0</v>
      </c>
      <c r="F525" s="1336" t="s">
        <v>80</v>
      </c>
      <c r="G525" s="1338">
        <f>'KUSEN PINTU'!BE56</f>
        <v>0</v>
      </c>
      <c r="H525" s="1338">
        <f>'KUSEN PINTU'!$AP$22</f>
        <v>250000</v>
      </c>
      <c r="I525" s="1338">
        <f t="shared" si="104"/>
        <v>250000</v>
      </c>
      <c r="J525" s="1338">
        <f t="shared" si="105"/>
        <v>0</v>
      </c>
      <c r="K525" s="1338">
        <f t="shared" si="106"/>
        <v>0</v>
      </c>
      <c r="L525" s="1530">
        <f t="shared" si="107"/>
        <v>0</v>
      </c>
      <c r="P525" s="1939">
        <f t="shared" si="103"/>
        <v>0</v>
      </c>
      <c r="AB525" s="1221"/>
    </row>
    <row r="526" spans="1:28" ht="18" hidden="1" customHeight="1" thickBot="1">
      <c r="A526" s="1534"/>
      <c r="B526" s="1316" t="str">
        <f>'KUSEN PINTU'!B90</f>
        <v>Pemasangan  (Full Aksesoris)</v>
      </c>
      <c r="C526" s="1803"/>
      <c r="D526" s="1707" t="e">
        <f>'KUSEN PINTU'!BH57</f>
        <v>#N/A</v>
      </c>
      <c r="E526" s="1708">
        <f>'KUSEN PINTU'!D90</f>
        <v>0</v>
      </c>
      <c r="F526" s="1336" t="s">
        <v>80</v>
      </c>
      <c r="G526" s="1338">
        <f>'KUSEN PINTU'!BE57</f>
        <v>0</v>
      </c>
      <c r="H526" s="1338">
        <f>'KUSEN PINTU'!$AP$22</f>
        <v>250000</v>
      </c>
      <c r="I526" s="1338">
        <f t="shared" si="104"/>
        <v>250000</v>
      </c>
      <c r="J526" s="1338">
        <f t="shared" si="105"/>
        <v>0</v>
      </c>
      <c r="K526" s="1338">
        <f t="shared" si="106"/>
        <v>0</v>
      </c>
      <c r="L526" s="1530">
        <f t="shared" si="107"/>
        <v>0</v>
      </c>
      <c r="P526" s="1939">
        <f t="shared" si="103"/>
        <v>99.000000000000014</v>
      </c>
      <c r="AB526" s="1221"/>
    </row>
    <row r="527" spans="1:28" ht="18" customHeight="1" thickTop="1" thickBot="1">
      <c r="A527" s="2675" t="s">
        <v>81</v>
      </c>
      <c r="B527" s="2676"/>
      <c r="C527" s="2676"/>
      <c r="D527" s="2676"/>
      <c r="E527" s="2676"/>
      <c r="F527" s="2676"/>
      <c r="G527" s="2676"/>
      <c r="H527" s="1705"/>
      <c r="I527" s="1705"/>
      <c r="J527" s="1542">
        <f>SUM(J498:J526)</f>
        <v>0</v>
      </c>
      <c r="K527" s="1542">
        <f>SUM(K498:K526)</f>
        <v>0</v>
      </c>
      <c r="L527" s="2069">
        <f>SUM(L498:L526)</f>
        <v>0</v>
      </c>
      <c r="M527" s="1300">
        <v>1</v>
      </c>
      <c r="N527" s="1300">
        <v>35</v>
      </c>
    </row>
    <row r="528" spans="1:28" ht="18" hidden="1" customHeight="1" thickTop="1">
      <c r="A528" s="1341" t="s">
        <v>60</v>
      </c>
      <c r="B528" s="1342" t="s">
        <v>2993</v>
      </c>
      <c r="C528" s="1343"/>
      <c r="D528" s="2061"/>
      <c r="E528" s="1330"/>
      <c r="F528" s="1346"/>
      <c r="G528" s="1377"/>
      <c r="H528" s="1351"/>
      <c r="I528" s="1330"/>
      <c r="J528" s="1330"/>
      <c r="K528" s="1330"/>
      <c r="L528" s="1331"/>
      <c r="N528" s="1300">
        <v>36</v>
      </c>
    </row>
    <row r="529" spans="1:12" ht="18" hidden="1" customHeight="1">
      <c r="A529" s="1534"/>
      <c r="B529" s="1316" t="str">
        <f>B498</f>
        <v>Pemasangan P1 (Full Aksesoris)</v>
      </c>
      <c r="C529" s="1823"/>
      <c r="D529" s="1707" t="str">
        <f>D498</f>
        <v>, Pintu Kayu Kamper Samarinda, Pintu Kayu Kamper Samarinda dan Jendela Kayu Kamper Samarinda, Kaca Tempered 8 mm</v>
      </c>
      <c r="E529" s="1708">
        <f>'KUSEN PINTU'!E62</f>
        <v>0</v>
      </c>
      <c r="F529" s="1336" t="s">
        <v>80</v>
      </c>
      <c r="G529" s="1338">
        <f t="shared" ref="G529:H551" si="108">G498</f>
        <v>0</v>
      </c>
      <c r="H529" s="1338">
        <f>H498</f>
        <v>0</v>
      </c>
      <c r="I529" s="1338">
        <f t="shared" ref="I529:I551" si="109">G529+H529</f>
        <v>0</v>
      </c>
      <c r="J529" s="1338">
        <f t="shared" ref="J529:J538" si="110">E529*G529</f>
        <v>0</v>
      </c>
      <c r="K529" s="1338">
        <f t="shared" ref="K529:K538" si="111">E529*H529</f>
        <v>0</v>
      </c>
      <c r="L529" s="1530">
        <f t="shared" ref="L529:L538" si="112">J529+K529</f>
        <v>0</v>
      </c>
    </row>
    <row r="530" spans="1:12" ht="18" hidden="1" customHeight="1">
      <c r="A530" s="1534">
        <v>1</v>
      </c>
      <c r="B530" s="1316" t="str">
        <f t="shared" ref="B530:B557" si="113">B499</f>
        <v>Pemasangan P2 (Full Aksesoris)</v>
      </c>
      <c r="C530" s="1823"/>
      <c r="D530" s="1707" t="str">
        <f t="shared" ref="D530:D557" si="114">D499</f>
        <v>Kusen UPVC, Pintu UPVC, Jendela UPVC, Kaca Tempered 8 mm</v>
      </c>
      <c r="E530" s="1708">
        <f>'KUSEN PINTU'!E63</f>
        <v>0</v>
      </c>
      <c r="F530" s="1336" t="s">
        <v>80</v>
      </c>
      <c r="G530" s="1338">
        <f t="shared" si="108"/>
        <v>0</v>
      </c>
      <c r="H530" s="1338">
        <f t="shared" si="108"/>
        <v>0</v>
      </c>
      <c r="I530" s="1338">
        <f t="shared" si="109"/>
        <v>0</v>
      </c>
      <c r="J530" s="1338">
        <f t="shared" si="110"/>
        <v>0</v>
      </c>
      <c r="K530" s="1338">
        <f t="shared" si="111"/>
        <v>0</v>
      </c>
      <c r="L530" s="1530">
        <f t="shared" si="112"/>
        <v>0</v>
      </c>
    </row>
    <row r="531" spans="1:12" ht="18" hidden="1" customHeight="1">
      <c r="A531" s="1534">
        <v>1</v>
      </c>
      <c r="B531" s="1316" t="str">
        <f t="shared" si="113"/>
        <v>Pemasangan P3 (Full Aksesoris)</v>
      </c>
      <c r="C531" s="1803"/>
      <c r="D531" s="1707" t="str">
        <f t="shared" si="114"/>
        <v>Kusen UPVC, Pintu UPVC, Jendela UPVC, Kaca Tempered 8 mm</v>
      </c>
      <c r="E531" s="1708">
        <f>'KUSEN PINTU'!E64</f>
        <v>0</v>
      </c>
      <c r="F531" s="1336" t="s">
        <v>80</v>
      </c>
      <c r="G531" s="1338">
        <f t="shared" si="108"/>
        <v>0</v>
      </c>
      <c r="H531" s="1338">
        <f t="shared" si="108"/>
        <v>0</v>
      </c>
      <c r="I531" s="1338">
        <f t="shared" si="109"/>
        <v>0</v>
      </c>
      <c r="J531" s="1338">
        <f t="shared" si="110"/>
        <v>0</v>
      </c>
      <c r="K531" s="1338">
        <f t="shared" si="111"/>
        <v>0</v>
      </c>
      <c r="L531" s="1530">
        <f t="shared" si="112"/>
        <v>0</v>
      </c>
    </row>
    <row r="532" spans="1:12" ht="18" hidden="1" customHeight="1">
      <c r="A532" s="1534"/>
      <c r="B532" s="1316" t="str">
        <f t="shared" si="113"/>
        <v>Pemasangan P4 (Full Aksesoris)</v>
      </c>
      <c r="C532" s="1803"/>
      <c r="D532" s="1707" t="str">
        <f t="shared" si="114"/>
        <v>Kusen UPVC, Pintu UPVC, Jendela UPVC, Kaca Tempered 8 mm</v>
      </c>
      <c r="E532" s="1708">
        <f>'KUSEN PINTU'!E65</f>
        <v>0</v>
      </c>
      <c r="F532" s="1336" t="s">
        <v>80</v>
      </c>
      <c r="G532" s="1338">
        <f t="shared" si="108"/>
        <v>0</v>
      </c>
      <c r="H532" s="1338">
        <f t="shared" si="108"/>
        <v>0</v>
      </c>
      <c r="I532" s="1338">
        <f t="shared" si="109"/>
        <v>0</v>
      </c>
      <c r="J532" s="1338">
        <f t="shared" si="110"/>
        <v>0</v>
      </c>
      <c r="K532" s="1338">
        <f t="shared" si="111"/>
        <v>0</v>
      </c>
      <c r="L532" s="1530">
        <f t="shared" si="112"/>
        <v>0</v>
      </c>
    </row>
    <row r="533" spans="1:12" ht="18" hidden="1" customHeight="1">
      <c r="A533" s="1534">
        <v>2</v>
      </c>
      <c r="B533" s="1316" t="str">
        <f t="shared" si="113"/>
        <v>Pemasangan P5 (Full Aksesoris)</v>
      </c>
      <c r="C533" s="1803"/>
      <c r="D533" s="1707" t="str">
        <f t="shared" si="114"/>
        <v>Kusen Aluminium 4"</v>
      </c>
      <c r="E533" s="1708">
        <f>'KUSEN PINTU'!E66</f>
        <v>0</v>
      </c>
      <c r="F533" s="1336" t="s">
        <v>80</v>
      </c>
      <c r="G533" s="1338">
        <f t="shared" si="108"/>
        <v>0</v>
      </c>
      <c r="H533" s="1338">
        <f t="shared" si="108"/>
        <v>0</v>
      </c>
      <c r="I533" s="1338">
        <f t="shared" si="109"/>
        <v>0</v>
      </c>
      <c r="J533" s="1338">
        <f t="shared" si="110"/>
        <v>0</v>
      </c>
      <c r="K533" s="1338">
        <f t="shared" si="111"/>
        <v>0</v>
      </c>
      <c r="L533" s="1530">
        <f t="shared" si="112"/>
        <v>0</v>
      </c>
    </row>
    <row r="534" spans="1:12" ht="18" hidden="1" customHeight="1">
      <c r="A534" s="1534">
        <v>1</v>
      </c>
      <c r="B534" s="1316" t="str">
        <f t="shared" si="113"/>
        <v>Pemasangan P6 (Full Aksesoris)</v>
      </c>
      <c r="C534" s="1823"/>
      <c r="D534" s="1707" t="str">
        <f t="shared" si="114"/>
        <v>Kusen UPVC, Pintu Panel Teakwood</v>
      </c>
      <c r="E534" s="1708">
        <v>0</v>
      </c>
      <c r="F534" s="1336" t="s">
        <v>80</v>
      </c>
      <c r="G534" s="1338">
        <f t="shared" si="108"/>
        <v>0</v>
      </c>
      <c r="H534" s="1338">
        <f t="shared" si="108"/>
        <v>0</v>
      </c>
      <c r="I534" s="1338">
        <f t="shared" si="109"/>
        <v>0</v>
      </c>
      <c r="J534" s="1338">
        <f t="shared" si="110"/>
        <v>0</v>
      </c>
      <c r="K534" s="1338">
        <f t="shared" si="111"/>
        <v>0</v>
      </c>
      <c r="L534" s="1530">
        <f t="shared" si="112"/>
        <v>0</v>
      </c>
    </row>
    <row r="535" spans="1:12" ht="18" hidden="1" customHeight="1">
      <c r="A535" s="1534">
        <v>2</v>
      </c>
      <c r="B535" s="1316" t="str">
        <f t="shared" si="113"/>
        <v>Pemasangan P7 (Full Aksesoris)</v>
      </c>
      <c r="C535" s="1823"/>
      <c r="D535" s="1707" t="str">
        <f t="shared" si="114"/>
        <v>Kusen Aluminium 4", Pintu Panel Teakwood</v>
      </c>
      <c r="E535" s="1708">
        <v>0</v>
      </c>
      <c r="F535" s="1336" t="s">
        <v>80</v>
      </c>
      <c r="G535" s="1338">
        <f t="shared" si="108"/>
        <v>0</v>
      </c>
      <c r="H535" s="1338">
        <f t="shared" si="108"/>
        <v>0</v>
      </c>
      <c r="I535" s="1338">
        <f t="shared" si="109"/>
        <v>0</v>
      </c>
      <c r="J535" s="1338">
        <f t="shared" si="110"/>
        <v>0</v>
      </c>
      <c r="K535" s="1338">
        <f t="shared" si="111"/>
        <v>0</v>
      </c>
      <c r="L535" s="1530">
        <f t="shared" si="112"/>
        <v>0</v>
      </c>
    </row>
    <row r="536" spans="1:12" ht="18" hidden="1" customHeight="1">
      <c r="A536" s="1534">
        <v>3</v>
      </c>
      <c r="B536" s="1316" t="str">
        <f t="shared" si="113"/>
        <v>Pemasangan P8 (Full Aksesoris)</v>
      </c>
      <c r="C536" s="1803"/>
      <c r="D536" s="1707" t="str">
        <f t="shared" si="114"/>
        <v>Kusen Aluminium 4", Pintu Panel Teakwood</v>
      </c>
      <c r="E536" s="1708">
        <f>'KUSEN PINTU'!E69</f>
        <v>0</v>
      </c>
      <c r="F536" s="1336" t="s">
        <v>80</v>
      </c>
      <c r="G536" s="1338">
        <f t="shared" si="108"/>
        <v>0</v>
      </c>
      <c r="H536" s="1338">
        <f t="shared" si="108"/>
        <v>0</v>
      </c>
      <c r="I536" s="1338">
        <f t="shared" si="109"/>
        <v>0</v>
      </c>
      <c r="J536" s="1338">
        <f t="shared" si="110"/>
        <v>0</v>
      </c>
      <c r="K536" s="1338">
        <f t="shared" si="111"/>
        <v>0</v>
      </c>
      <c r="L536" s="1530">
        <f t="shared" si="112"/>
        <v>0</v>
      </c>
    </row>
    <row r="537" spans="1:12" ht="18" hidden="1" customHeight="1">
      <c r="A537" s="1534">
        <v>4</v>
      </c>
      <c r="B537" s="1316" t="str">
        <f t="shared" si="113"/>
        <v>Pemasangan P9 (Full Aksesoris)</v>
      </c>
      <c r="C537" s="1803"/>
      <c r="D537" s="1707" t="str">
        <f t="shared" si="114"/>
        <v>Kusen UPVC, Pintu UPVC</v>
      </c>
      <c r="E537" s="1708">
        <f>'KUSEN PINTU'!E70</f>
        <v>0</v>
      </c>
      <c r="F537" s="1336" t="s">
        <v>80</v>
      </c>
      <c r="G537" s="1338">
        <f t="shared" si="108"/>
        <v>0</v>
      </c>
      <c r="H537" s="1338">
        <f t="shared" si="108"/>
        <v>0</v>
      </c>
      <c r="I537" s="1338">
        <f t="shared" si="109"/>
        <v>0</v>
      </c>
      <c r="J537" s="1338">
        <f t="shared" si="110"/>
        <v>0</v>
      </c>
      <c r="K537" s="1338">
        <f t="shared" si="111"/>
        <v>0</v>
      </c>
      <c r="L537" s="1530">
        <f t="shared" si="112"/>
        <v>0</v>
      </c>
    </row>
    <row r="538" spans="1:12" ht="18" hidden="1" customHeight="1">
      <c r="A538" s="1534">
        <v>3</v>
      </c>
      <c r="B538" s="1316" t="str">
        <f t="shared" si="113"/>
        <v>Pemasangan P10 (Full Aksesoris)</v>
      </c>
      <c r="C538" s="1803"/>
      <c r="D538" s="1707" t="str">
        <f t="shared" si="114"/>
        <v/>
      </c>
      <c r="E538" s="1708">
        <v>0</v>
      </c>
      <c r="F538" s="1336" t="s">
        <v>80</v>
      </c>
      <c r="G538" s="1338">
        <f t="shared" si="108"/>
        <v>0</v>
      </c>
      <c r="H538" s="1338">
        <f t="shared" si="108"/>
        <v>0</v>
      </c>
      <c r="I538" s="1338">
        <f t="shared" si="109"/>
        <v>0</v>
      </c>
      <c r="J538" s="1338">
        <f t="shared" si="110"/>
        <v>0</v>
      </c>
      <c r="K538" s="1338">
        <f t="shared" si="111"/>
        <v>0</v>
      </c>
      <c r="L538" s="1530">
        <f t="shared" si="112"/>
        <v>0</v>
      </c>
    </row>
    <row r="539" spans="1:12" ht="18" hidden="1" customHeight="1">
      <c r="A539" s="1534"/>
      <c r="B539" s="1316" t="str">
        <f t="shared" si="113"/>
        <v>Pemasangan P11 (Full Aksesoris)</v>
      </c>
      <c r="C539" s="1803"/>
      <c r="D539" s="1707" t="str">
        <f t="shared" si="114"/>
        <v/>
      </c>
      <c r="E539" s="1708">
        <f>'KUSEN PINTU'!E72</f>
        <v>0</v>
      </c>
      <c r="F539" s="1336" t="s">
        <v>80</v>
      </c>
      <c r="G539" s="1338">
        <f t="shared" si="108"/>
        <v>0</v>
      </c>
      <c r="H539" s="1338">
        <f t="shared" si="108"/>
        <v>0</v>
      </c>
      <c r="I539" s="1338">
        <f t="shared" si="109"/>
        <v>0</v>
      </c>
      <c r="J539" s="1338">
        <f t="shared" ref="J539:J544" si="115">E539*G539</f>
        <v>0</v>
      </c>
      <c r="K539" s="1338">
        <f t="shared" ref="K539:K544" si="116">E539*H539</f>
        <v>0</v>
      </c>
      <c r="L539" s="1530">
        <f t="shared" ref="L539:L544" si="117">J539+K539</f>
        <v>0</v>
      </c>
    </row>
    <row r="540" spans="1:12" ht="18" hidden="1" customHeight="1">
      <c r="A540" s="1534">
        <v>4</v>
      </c>
      <c r="B540" s="1316" t="str">
        <f t="shared" si="113"/>
        <v>Pemasangan J1 (Full Aksesoris)</v>
      </c>
      <c r="C540" s="1823"/>
      <c r="D540" s="1707" t="str">
        <f t="shared" si="114"/>
        <v>Kusen UPVC, Jendela UPVC, Kaca Tempered 8 mm</v>
      </c>
      <c r="E540" s="1708">
        <v>0</v>
      </c>
      <c r="F540" s="1336" t="s">
        <v>80</v>
      </c>
      <c r="G540" s="1338">
        <f t="shared" si="108"/>
        <v>0</v>
      </c>
      <c r="H540" s="1338">
        <f t="shared" si="108"/>
        <v>0</v>
      </c>
      <c r="I540" s="1338">
        <f t="shared" si="109"/>
        <v>0</v>
      </c>
      <c r="J540" s="1338">
        <f t="shared" si="115"/>
        <v>0</v>
      </c>
      <c r="K540" s="1338">
        <f t="shared" si="116"/>
        <v>0</v>
      </c>
      <c r="L540" s="1530">
        <f t="shared" si="117"/>
        <v>0</v>
      </c>
    </row>
    <row r="541" spans="1:12" ht="18" hidden="1" customHeight="1">
      <c r="A541" s="1534">
        <v>5</v>
      </c>
      <c r="B541" s="1316" t="str">
        <f t="shared" si="113"/>
        <v>Pemasangan J2 (Full Aksesoris)</v>
      </c>
      <c r="C541" s="1823"/>
      <c r="D541" s="1707" t="str">
        <f t="shared" si="114"/>
        <v>Kusen UPVC, Jendela UPVC, Kaca Tempered 8 mm</v>
      </c>
      <c r="E541" s="1708">
        <v>0</v>
      </c>
      <c r="F541" s="1336" t="s">
        <v>80</v>
      </c>
      <c r="G541" s="1338">
        <f t="shared" si="108"/>
        <v>0</v>
      </c>
      <c r="H541" s="1338">
        <f t="shared" si="108"/>
        <v>0</v>
      </c>
      <c r="I541" s="1338">
        <f t="shared" si="109"/>
        <v>0</v>
      </c>
      <c r="J541" s="1338">
        <f t="shared" si="115"/>
        <v>0</v>
      </c>
      <c r="K541" s="1338">
        <f t="shared" si="116"/>
        <v>0</v>
      </c>
      <c r="L541" s="1530">
        <f t="shared" si="117"/>
        <v>0</v>
      </c>
    </row>
    <row r="542" spans="1:12" ht="18" hidden="1" customHeight="1">
      <c r="A542" s="1534">
        <v>7</v>
      </c>
      <c r="B542" s="1316" t="str">
        <f t="shared" si="113"/>
        <v>Pemasangan J3 (Full Aksesoris)</v>
      </c>
      <c r="C542" s="1803"/>
      <c r="D542" s="1707" t="str">
        <f t="shared" si="114"/>
        <v>Kusen UPVC, Jendela UPVC, Kaca Tempered 8 mm</v>
      </c>
      <c r="E542" s="1708">
        <f>'KUSEN PINTU'!E75</f>
        <v>0</v>
      </c>
      <c r="F542" s="1336" t="s">
        <v>80</v>
      </c>
      <c r="G542" s="1338">
        <f t="shared" si="108"/>
        <v>0</v>
      </c>
      <c r="H542" s="1338">
        <f t="shared" si="108"/>
        <v>0</v>
      </c>
      <c r="I542" s="1338">
        <f t="shared" si="109"/>
        <v>0</v>
      </c>
      <c r="J542" s="1338">
        <f t="shared" si="115"/>
        <v>0</v>
      </c>
      <c r="K542" s="1338">
        <f t="shared" si="116"/>
        <v>0</v>
      </c>
      <c r="L542" s="1530">
        <f t="shared" si="117"/>
        <v>0</v>
      </c>
    </row>
    <row r="543" spans="1:12" ht="18" hidden="1" customHeight="1">
      <c r="A543" s="1534">
        <v>5</v>
      </c>
      <c r="B543" s="1316" t="str">
        <f t="shared" si="113"/>
        <v>Pemasangan J4 (Full Aksesoris)</v>
      </c>
      <c r="C543" s="1803"/>
      <c r="D543" s="1707" t="str">
        <f t="shared" si="114"/>
        <v>Kusen UPVC, Jendela UPVC, Kaca Tempered 8 mm</v>
      </c>
      <c r="E543" s="1708">
        <f>'KUSEN PINTU'!E76</f>
        <v>0</v>
      </c>
      <c r="F543" s="1336" t="s">
        <v>80</v>
      </c>
      <c r="G543" s="1338">
        <f t="shared" si="108"/>
        <v>0</v>
      </c>
      <c r="H543" s="1338">
        <f t="shared" si="108"/>
        <v>0</v>
      </c>
      <c r="I543" s="1338">
        <f t="shared" si="109"/>
        <v>0</v>
      </c>
      <c r="J543" s="1338">
        <f t="shared" si="115"/>
        <v>0</v>
      </c>
      <c r="K543" s="1338">
        <f t="shared" si="116"/>
        <v>0</v>
      </c>
      <c r="L543" s="1530">
        <f t="shared" si="117"/>
        <v>0</v>
      </c>
    </row>
    <row r="544" spans="1:12" ht="18" hidden="1" customHeight="1">
      <c r="A544" s="1534">
        <v>6</v>
      </c>
      <c r="B544" s="1316" t="str">
        <f t="shared" si="113"/>
        <v>Pemasangan J5 (Full Aksesoris)</v>
      </c>
      <c r="C544" s="1803"/>
      <c r="D544" s="1707" t="str">
        <f t="shared" si="114"/>
        <v>Kusen Aluminium 4", Jendela UPVC</v>
      </c>
      <c r="E544" s="1708">
        <v>0</v>
      </c>
      <c r="F544" s="1336" t="s">
        <v>80</v>
      </c>
      <c r="G544" s="1338">
        <f t="shared" si="108"/>
        <v>0</v>
      </c>
      <c r="H544" s="1338">
        <f t="shared" si="108"/>
        <v>0</v>
      </c>
      <c r="I544" s="1338">
        <f t="shared" si="109"/>
        <v>0</v>
      </c>
      <c r="J544" s="1338">
        <f t="shared" si="115"/>
        <v>0</v>
      </c>
      <c r="K544" s="1338">
        <f t="shared" si="116"/>
        <v>0</v>
      </c>
      <c r="L544" s="1530">
        <f t="shared" si="117"/>
        <v>0</v>
      </c>
    </row>
    <row r="545" spans="1:28" ht="18" hidden="1" customHeight="1">
      <c r="A545" s="1534">
        <v>7</v>
      </c>
      <c r="B545" s="1316" t="str">
        <f t="shared" si="113"/>
        <v>Pemasangan J6 (Full Aksesoris)</v>
      </c>
      <c r="C545" s="1803"/>
      <c r="D545" s="1707" t="str">
        <f t="shared" si="114"/>
        <v xml:space="preserve">Kusen Aluminium 4", Jendela Aluminium 3" </v>
      </c>
      <c r="E545" s="1708">
        <f>'KUSEN PINTU'!E78</f>
        <v>0</v>
      </c>
      <c r="F545" s="1336" t="s">
        <v>80</v>
      </c>
      <c r="G545" s="1338">
        <f t="shared" si="108"/>
        <v>0</v>
      </c>
      <c r="H545" s="1338">
        <f t="shared" ref="H545:H551" si="118">H514</f>
        <v>0</v>
      </c>
      <c r="I545" s="1338">
        <f t="shared" si="109"/>
        <v>0</v>
      </c>
      <c r="J545" s="1338">
        <f t="shared" ref="J545:J551" si="119">E545*G545</f>
        <v>0</v>
      </c>
      <c r="K545" s="1338">
        <f t="shared" ref="K545:K551" si="120">E545*H545</f>
        <v>0</v>
      </c>
      <c r="L545" s="1530">
        <f t="shared" ref="L545:L551" si="121">J545+K545</f>
        <v>0</v>
      </c>
    </row>
    <row r="546" spans="1:28" ht="18" hidden="1" customHeight="1">
      <c r="A546" s="1534">
        <v>7</v>
      </c>
      <c r="B546" s="1316" t="str">
        <f t="shared" si="113"/>
        <v>Pemasangan J7 (Full Aksesoris)</v>
      </c>
      <c r="C546" s="1803"/>
      <c r="D546" s="1707" t="str">
        <f t="shared" si="114"/>
        <v xml:space="preserve">Kusen Aluminium 4", Jendela Aluminium 3" </v>
      </c>
      <c r="E546" s="1708">
        <v>0</v>
      </c>
      <c r="F546" s="1336" t="s">
        <v>80</v>
      </c>
      <c r="G546" s="1338">
        <f t="shared" si="108"/>
        <v>0</v>
      </c>
      <c r="H546" s="1338">
        <f t="shared" si="118"/>
        <v>0</v>
      </c>
      <c r="I546" s="1338">
        <f t="shared" si="109"/>
        <v>0</v>
      </c>
      <c r="J546" s="1338">
        <f t="shared" si="119"/>
        <v>0</v>
      </c>
      <c r="K546" s="1338">
        <f t="shared" si="120"/>
        <v>0</v>
      </c>
      <c r="L546" s="1530">
        <f t="shared" si="121"/>
        <v>0</v>
      </c>
    </row>
    <row r="547" spans="1:28" ht="18" hidden="1" customHeight="1">
      <c r="A547" s="1534">
        <v>8</v>
      </c>
      <c r="B547" s="1316" t="str">
        <f t="shared" si="113"/>
        <v>Pemasangan J8 (Full Aksesoris)</v>
      </c>
      <c r="C547" s="1803"/>
      <c r="D547" s="1707" t="str">
        <f t="shared" si="114"/>
        <v xml:space="preserve">Kusen Aluminium 4", Jendela Aluminium 3" </v>
      </c>
      <c r="E547" s="1708">
        <v>0</v>
      </c>
      <c r="F547" s="1336" t="s">
        <v>80</v>
      </c>
      <c r="G547" s="1338">
        <f t="shared" si="108"/>
        <v>0</v>
      </c>
      <c r="H547" s="1338">
        <f t="shared" si="118"/>
        <v>0</v>
      </c>
      <c r="I547" s="1338">
        <f t="shared" si="109"/>
        <v>0</v>
      </c>
      <c r="J547" s="1338">
        <f t="shared" si="119"/>
        <v>0</v>
      </c>
      <c r="K547" s="1338">
        <f t="shared" si="120"/>
        <v>0</v>
      </c>
      <c r="L547" s="1530">
        <f t="shared" si="121"/>
        <v>0</v>
      </c>
    </row>
    <row r="548" spans="1:28" ht="18" hidden="1" customHeight="1">
      <c r="A548" s="1534">
        <v>9</v>
      </c>
      <c r="B548" s="1316" t="str">
        <f t="shared" si="113"/>
        <v>Pemasangan BV1 (Full Aksesoris)</v>
      </c>
      <c r="C548" s="1803"/>
      <c r="D548" s="1707" t="str">
        <f>D517</f>
        <v>Kusen Aluminium 4", Jendela Aluminium 3" , Kaca Tempered 8 mm</v>
      </c>
      <c r="E548" s="1708">
        <f>'KUSEN PINTU'!E81</f>
        <v>0</v>
      </c>
      <c r="F548" s="1336" t="s">
        <v>80</v>
      </c>
      <c r="G548" s="1338">
        <f t="shared" si="108"/>
        <v>0</v>
      </c>
      <c r="H548" s="1338">
        <f t="shared" si="118"/>
        <v>0</v>
      </c>
      <c r="I548" s="1338">
        <f t="shared" si="109"/>
        <v>0</v>
      </c>
      <c r="J548" s="1338">
        <f t="shared" si="119"/>
        <v>0</v>
      </c>
      <c r="K548" s="1338">
        <f t="shared" si="120"/>
        <v>0</v>
      </c>
      <c r="L548" s="1530">
        <f t="shared" si="121"/>
        <v>0</v>
      </c>
    </row>
    <row r="549" spans="1:28" ht="18" hidden="1" customHeight="1">
      <c r="A549" s="1534">
        <v>10</v>
      </c>
      <c r="B549" s="1316" t="str">
        <f t="shared" si="113"/>
        <v>Pemasangan BV2 (Full Aksesoris)</v>
      </c>
      <c r="C549" s="1803"/>
      <c r="D549" s="1707" t="str">
        <f t="shared" si="114"/>
        <v>Kusen Aluminium 4", Jendela Aluminium 3" , Kaca Tempered 8 mm</v>
      </c>
      <c r="E549" s="1708">
        <f>'KUSEN PINTU'!E82</f>
        <v>0</v>
      </c>
      <c r="F549" s="1336" t="s">
        <v>80</v>
      </c>
      <c r="G549" s="1338">
        <f t="shared" si="108"/>
        <v>0</v>
      </c>
      <c r="H549" s="1338">
        <f t="shared" si="118"/>
        <v>0</v>
      </c>
      <c r="I549" s="1338">
        <f t="shared" si="109"/>
        <v>0</v>
      </c>
      <c r="J549" s="1338">
        <f t="shared" si="119"/>
        <v>0</v>
      </c>
      <c r="K549" s="1338">
        <f t="shared" si="120"/>
        <v>0</v>
      </c>
      <c r="L549" s="1530">
        <f t="shared" si="121"/>
        <v>0</v>
      </c>
    </row>
    <row r="550" spans="1:28" ht="18" hidden="1" customHeight="1">
      <c r="A550" s="1534"/>
      <c r="B550" s="1316" t="str">
        <f>B519</f>
        <v>Pemasangan  (Full Aksesoris)</v>
      </c>
      <c r="C550" s="1803"/>
      <c r="D550" s="1707" t="e">
        <f t="shared" si="114"/>
        <v>#N/A</v>
      </c>
      <c r="E550" s="1708">
        <f>'KUSEN PINTU'!E83</f>
        <v>0</v>
      </c>
      <c r="F550" s="1336" t="s">
        <v>80</v>
      </c>
      <c r="G550" s="1338">
        <f t="shared" si="108"/>
        <v>0</v>
      </c>
      <c r="H550" s="1338">
        <f t="shared" si="118"/>
        <v>250000</v>
      </c>
      <c r="I550" s="1338">
        <f t="shared" si="109"/>
        <v>250000</v>
      </c>
      <c r="J550" s="1338">
        <f t="shared" si="119"/>
        <v>0</v>
      </c>
      <c r="K550" s="1338">
        <f t="shared" si="120"/>
        <v>0</v>
      </c>
      <c r="L550" s="1530">
        <f t="shared" si="121"/>
        <v>0</v>
      </c>
      <c r="AB550" s="1221"/>
    </row>
    <row r="551" spans="1:28" ht="18" hidden="1" customHeight="1">
      <c r="A551" s="1534">
        <v>11</v>
      </c>
      <c r="B551" s="1316" t="str">
        <f t="shared" si="113"/>
        <v>Pemasangan  (Full Aksesoris)</v>
      </c>
      <c r="C551" s="1803"/>
      <c r="D551" s="1707" t="e">
        <f t="shared" si="114"/>
        <v>#N/A</v>
      </c>
      <c r="E551" s="1708">
        <f>'KUSEN PINTU'!E84</f>
        <v>0</v>
      </c>
      <c r="F551" s="1336" t="s">
        <v>80</v>
      </c>
      <c r="G551" s="1338">
        <f t="shared" si="108"/>
        <v>0</v>
      </c>
      <c r="H551" s="1338">
        <f t="shared" si="118"/>
        <v>250000</v>
      </c>
      <c r="I551" s="1338">
        <f t="shared" si="109"/>
        <v>250000</v>
      </c>
      <c r="J551" s="1338">
        <f t="shared" si="119"/>
        <v>0</v>
      </c>
      <c r="K551" s="1338">
        <f t="shared" si="120"/>
        <v>0</v>
      </c>
      <c r="L551" s="1530">
        <f t="shared" si="121"/>
        <v>0</v>
      </c>
      <c r="AB551" s="1221"/>
    </row>
    <row r="552" spans="1:28" ht="18" hidden="1" customHeight="1">
      <c r="A552" s="1534">
        <v>12</v>
      </c>
      <c r="B552" s="1316" t="str">
        <f t="shared" si="113"/>
        <v>Pemasangan  (Full Aksesoris)</v>
      </c>
      <c r="C552" s="1803"/>
      <c r="D552" s="1707" t="e">
        <f t="shared" si="114"/>
        <v>#N/A</v>
      </c>
      <c r="E552" s="1708">
        <f>'KUSEN PINTU'!E85</f>
        <v>0</v>
      </c>
      <c r="F552" s="1336" t="s">
        <v>80</v>
      </c>
      <c r="G552" s="1338">
        <f t="shared" ref="G552:H557" si="122">G521</f>
        <v>0</v>
      </c>
      <c r="H552" s="1338">
        <f t="shared" si="122"/>
        <v>250000</v>
      </c>
      <c r="I552" s="1338">
        <f t="shared" ref="I552:I557" si="123">G552+H552</f>
        <v>250000</v>
      </c>
      <c r="J552" s="1338">
        <f t="shared" ref="J552:J557" si="124">E552*G552</f>
        <v>0</v>
      </c>
      <c r="K552" s="1338">
        <f t="shared" ref="K552:K557" si="125">E552*H552</f>
        <v>0</v>
      </c>
      <c r="L552" s="1530">
        <f t="shared" ref="L552:L557" si="126">J552+K552</f>
        <v>0</v>
      </c>
      <c r="AB552" s="1221"/>
    </row>
    <row r="553" spans="1:28" ht="18" hidden="1" customHeight="1">
      <c r="A553" s="1534"/>
      <c r="B553" s="1316" t="str">
        <f t="shared" si="113"/>
        <v>Pemasangan  (Full Aksesoris)</v>
      </c>
      <c r="C553" s="1803"/>
      <c r="D553" s="1707" t="e">
        <f t="shared" si="114"/>
        <v>#N/A</v>
      </c>
      <c r="E553" s="1708">
        <f>'KUSEN PINTU'!E86</f>
        <v>0</v>
      </c>
      <c r="F553" s="1336" t="s">
        <v>80</v>
      </c>
      <c r="G553" s="1338">
        <f t="shared" si="122"/>
        <v>0</v>
      </c>
      <c r="H553" s="1338">
        <f t="shared" si="122"/>
        <v>250000</v>
      </c>
      <c r="I553" s="1338">
        <f t="shared" si="123"/>
        <v>250000</v>
      </c>
      <c r="J553" s="1338">
        <f t="shared" si="124"/>
        <v>0</v>
      </c>
      <c r="K553" s="1338">
        <f t="shared" si="125"/>
        <v>0</v>
      </c>
      <c r="L553" s="1530">
        <f t="shared" si="126"/>
        <v>0</v>
      </c>
      <c r="AB553" s="1221"/>
    </row>
    <row r="554" spans="1:28" ht="18" hidden="1" customHeight="1">
      <c r="A554" s="1534"/>
      <c r="B554" s="1316" t="str">
        <f t="shared" si="113"/>
        <v>Pemasangan  (Full Aksesoris)</v>
      </c>
      <c r="C554" s="1803"/>
      <c r="D554" s="1707" t="e">
        <f t="shared" si="114"/>
        <v>#N/A</v>
      </c>
      <c r="E554" s="1708">
        <f>'KUSEN PINTU'!E87</f>
        <v>0</v>
      </c>
      <c r="F554" s="1336" t="s">
        <v>80</v>
      </c>
      <c r="G554" s="1338">
        <f t="shared" si="122"/>
        <v>0</v>
      </c>
      <c r="H554" s="1338">
        <f t="shared" si="122"/>
        <v>250000</v>
      </c>
      <c r="I554" s="1338">
        <f t="shared" si="123"/>
        <v>250000</v>
      </c>
      <c r="J554" s="1338">
        <f t="shared" si="124"/>
        <v>0</v>
      </c>
      <c r="K554" s="1338">
        <f t="shared" si="125"/>
        <v>0</v>
      </c>
      <c r="L554" s="1530">
        <f t="shared" si="126"/>
        <v>0</v>
      </c>
      <c r="AB554" s="1221"/>
    </row>
    <row r="555" spans="1:28" ht="18" hidden="1" customHeight="1">
      <c r="A555" s="1534"/>
      <c r="B555" s="1316" t="str">
        <f t="shared" si="113"/>
        <v>Pemasangan  (Full Aksesoris)</v>
      </c>
      <c r="C555" s="1803"/>
      <c r="D555" s="1707" t="e">
        <f t="shared" si="114"/>
        <v>#N/A</v>
      </c>
      <c r="E555" s="1708">
        <f>'KUSEN PINTU'!E88</f>
        <v>0</v>
      </c>
      <c r="F555" s="1336" t="s">
        <v>80</v>
      </c>
      <c r="G555" s="1338">
        <f t="shared" si="122"/>
        <v>0</v>
      </c>
      <c r="H555" s="1338">
        <f t="shared" si="122"/>
        <v>250000</v>
      </c>
      <c r="I555" s="1338">
        <f t="shared" si="123"/>
        <v>250000</v>
      </c>
      <c r="J555" s="1338">
        <f t="shared" si="124"/>
        <v>0</v>
      </c>
      <c r="K555" s="1338">
        <f t="shared" si="125"/>
        <v>0</v>
      </c>
      <c r="L555" s="1530">
        <f t="shared" si="126"/>
        <v>0</v>
      </c>
      <c r="AB555" s="1221"/>
    </row>
    <row r="556" spans="1:28" ht="18" hidden="1" customHeight="1">
      <c r="A556" s="1534">
        <v>13</v>
      </c>
      <c r="B556" s="1316" t="str">
        <f t="shared" si="113"/>
        <v>Pemasangan  (Full Aksesoris)</v>
      </c>
      <c r="C556" s="1803"/>
      <c r="D556" s="1707" t="e">
        <f t="shared" si="114"/>
        <v>#N/A</v>
      </c>
      <c r="E556" s="1708">
        <f>'KUSEN PINTU'!E89</f>
        <v>0</v>
      </c>
      <c r="F556" s="1336" t="s">
        <v>80</v>
      </c>
      <c r="G556" s="1338">
        <f t="shared" si="122"/>
        <v>0</v>
      </c>
      <c r="H556" s="1338">
        <f t="shared" si="122"/>
        <v>250000</v>
      </c>
      <c r="I556" s="1338">
        <f t="shared" si="123"/>
        <v>250000</v>
      </c>
      <c r="J556" s="1338">
        <f t="shared" si="124"/>
        <v>0</v>
      </c>
      <c r="K556" s="1338">
        <f t="shared" si="125"/>
        <v>0</v>
      </c>
      <c r="L556" s="1530">
        <f t="shared" si="126"/>
        <v>0</v>
      </c>
      <c r="AB556" s="1221"/>
    </row>
    <row r="557" spans="1:28" ht="18" hidden="1" customHeight="1" thickBot="1">
      <c r="A557" s="1534">
        <v>14</v>
      </c>
      <c r="B557" s="1316" t="str">
        <f t="shared" si="113"/>
        <v>Pemasangan  (Full Aksesoris)</v>
      </c>
      <c r="C557" s="1803"/>
      <c r="D557" s="1707" t="e">
        <f t="shared" si="114"/>
        <v>#N/A</v>
      </c>
      <c r="E557" s="1708">
        <f>'KUSEN PINTU'!E90</f>
        <v>0</v>
      </c>
      <c r="F557" s="1336" t="s">
        <v>80</v>
      </c>
      <c r="G557" s="1338">
        <f t="shared" si="122"/>
        <v>0</v>
      </c>
      <c r="H557" s="1338">
        <f t="shared" si="122"/>
        <v>250000</v>
      </c>
      <c r="I557" s="1338">
        <f t="shared" si="123"/>
        <v>250000</v>
      </c>
      <c r="J557" s="1338">
        <f t="shared" si="124"/>
        <v>0</v>
      </c>
      <c r="K557" s="1338">
        <f t="shared" si="125"/>
        <v>0</v>
      </c>
      <c r="L557" s="1530">
        <f t="shared" si="126"/>
        <v>0</v>
      </c>
      <c r="AB557" s="1221"/>
    </row>
    <row r="558" spans="1:28" ht="18" hidden="1" customHeight="1" thickTop="1" thickBot="1">
      <c r="A558" s="2675" t="s">
        <v>81</v>
      </c>
      <c r="B558" s="2676"/>
      <c r="C558" s="2676"/>
      <c r="D558" s="2676"/>
      <c r="E558" s="2676"/>
      <c r="F558" s="2676"/>
      <c r="G558" s="2676"/>
      <c r="H558" s="1705"/>
      <c r="I558" s="1705"/>
      <c r="J558" s="1542">
        <f>SUM(J529:J557)</f>
        <v>0</v>
      </c>
      <c r="K558" s="1542">
        <f>SUM(K529:K557)</f>
        <v>0</v>
      </c>
      <c r="L558" s="1340">
        <f>SUM(L529:L557)</f>
        <v>0</v>
      </c>
      <c r="M558" s="1300">
        <v>1</v>
      </c>
      <c r="N558" s="1300">
        <v>37</v>
      </c>
    </row>
    <row r="559" spans="1:28" ht="18" hidden="1" customHeight="1" thickTop="1">
      <c r="A559" s="1341" t="s">
        <v>71</v>
      </c>
      <c r="B559" s="1342" t="s">
        <v>72</v>
      </c>
      <c r="C559" s="1343"/>
      <c r="D559" s="2061"/>
      <c r="E559" s="1330"/>
      <c r="F559" s="1346"/>
      <c r="G559" s="1377"/>
      <c r="H559" s="1351"/>
      <c r="I559" s="1330"/>
      <c r="J559" s="1330"/>
      <c r="K559" s="1330"/>
      <c r="L559" s="1331"/>
      <c r="N559" s="1300">
        <v>38</v>
      </c>
    </row>
    <row r="560" spans="1:28" ht="18" hidden="1" customHeight="1">
      <c r="A560" s="1534"/>
      <c r="B560" s="1316" t="str">
        <f>B529</f>
        <v>Pemasangan P1 (Full Aksesoris)</v>
      </c>
      <c r="C560" s="1823"/>
      <c r="D560" s="1707" t="str">
        <f t="shared" ref="D560:D577" si="127">D498</f>
        <v>, Pintu Kayu Kamper Samarinda, Pintu Kayu Kamper Samarinda dan Jendela Kayu Kamper Samarinda, Kaca Tempered 8 mm</v>
      </c>
      <c r="E560" s="1708">
        <f>'KUSEN PINTU'!F62</f>
        <v>0</v>
      </c>
      <c r="F560" s="1336" t="s">
        <v>80</v>
      </c>
      <c r="G560" s="1338">
        <f>G498</f>
        <v>0</v>
      </c>
      <c r="H560" s="1338">
        <f t="shared" ref="H560:H576" si="128">H529</f>
        <v>0</v>
      </c>
      <c r="I560" s="1338">
        <f t="shared" ref="I560:I588" si="129">G560+H560</f>
        <v>0</v>
      </c>
      <c r="J560" s="1338">
        <f t="shared" ref="J560:J575" si="130">E560*G560</f>
        <v>0</v>
      </c>
      <c r="K560" s="1338">
        <f t="shared" ref="K560:K575" si="131">E560*H560</f>
        <v>0</v>
      </c>
      <c r="L560" s="1530">
        <f t="shared" ref="L560:L575" si="132">J560+K560</f>
        <v>0</v>
      </c>
    </row>
    <row r="561" spans="1:12" ht="18" hidden="1" customHeight="1">
      <c r="A561" s="1534"/>
      <c r="B561" s="1316" t="str">
        <f t="shared" ref="B561:B588" si="133">B530</f>
        <v>Pemasangan P2 (Full Aksesoris)</v>
      </c>
      <c r="C561" s="1823"/>
      <c r="D561" s="1707" t="str">
        <f t="shared" si="127"/>
        <v>Kusen UPVC, Pintu UPVC, Jendela UPVC, Kaca Tempered 8 mm</v>
      </c>
      <c r="E561" s="1708">
        <f>'KUSEN PINTU'!F63</f>
        <v>0</v>
      </c>
      <c r="F561" s="1336" t="s">
        <v>80</v>
      </c>
      <c r="G561" s="1338">
        <f t="shared" ref="G561:G588" si="134">G499</f>
        <v>0</v>
      </c>
      <c r="H561" s="1338">
        <f t="shared" si="128"/>
        <v>0</v>
      </c>
      <c r="I561" s="1338">
        <f t="shared" si="129"/>
        <v>0</v>
      </c>
      <c r="J561" s="1338">
        <f t="shared" si="130"/>
        <v>0</v>
      </c>
      <c r="K561" s="1338">
        <f t="shared" si="131"/>
        <v>0</v>
      </c>
      <c r="L561" s="1530">
        <f t="shared" si="132"/>
        <v>0</v>
      </c>
    </row>
    <row r="562" spans="1:12" ht="18" hidden="1" customHeight="1">
      <c r="A562" s="1534">
        <v>1</v>
      </c>
      <c r="B562" s="1316" t="str">
        <f t="shared" si="133"/>
        <v>Pemasangan P3 (Full Aksesoris)</v>
      </c>
      <c r="C562" s="1803"/>
      <c r="D562" s="1707" t="str">
        <f t="shared" si="127"/>
        <v>Kusen UPVC, Pintu UPVC, Jendela UPVC, Kaca Tempered 8 mm</v>
      </c>
      <c r="E562" s="1708">
        <v>0</v>
      </c>
      <c r="F562" s="1336" t="s">
        <v>80</v>
      </c>
      <c r="G562" s="1338">
        <f t="shared" si="134"/>
        <v>0</v>
      </c>
      <c r="H562" s="1338">
        <f t="shared" si="128"/>
        <v>0</v>
      </c>
      <c r="I562" s="1338">
        <f t="shared" si="129"/>
        <v>0</v>
      </c>
      <c r="J562" s="1338">
        <f t="shared" si="130"/>
        <v>0</v>
      </c>
      <c r="K562" s="1338">
        <f t="shared" si="131"/>
        <v>0</v>
      </c>
      <c r="L562" s="1530">
        <f t="shared" si="132"/>
        <v>0</v>
      </c>
    </row>
    <row r="563" spans="1:12" ht="18" hidden="1" customHeight="1">
      <c r="A563" s="1534"/>
      <c r="B563" s="1316" t="str">
        <f t="shared" si="133"/>
        <v>Pemasangan P4 (Full Aksesoris)</v>
      </c>
      <c r="C563" s="1803"/>
      <c r="D563" s="1707" t="str">
        <f t="shared" si="127"/>
        <v>Kusen UPVC, Pintu UPVC, Jendela UPVC, Kaca Tempered 8 mm</v>
      </c>
      <c r="E563" s="1708">
        <f>'KUSEN PINTU'!F65</f>
        <v>0</v>
      </c>
      <c r="F563" s="1336" t="s">
        <v>80</v>
      </c>
      <c r="G563" s="1338">
        <f t="shared" si="134"/>
        <v>0</v>
      </c>
      <c r="H563" s="1338">
        <f t="shared" si="128"/>
        <v>0</v>
      </c>
      <c r="I563" s="1338">
        <f t="shared" si="129"/>
        <v>0</v>
      </c>
      <c r="J563" s="1338">
        <f t="shared" si="130"/>
        <v>0</v>
      </c>
      <c r="K563" s="1338">
        <f t="shared" si="131"/>
        <v>0</v>
      </c>
      <c r="L563" s="1530">
        <f t="shared" si="132"/>
        <v>0</v>
      </c>
    </row>
    <row r="564" spans="1:12" ht="18" hidden="1" customHeight="1">
      <c r="A564" s="1534">
        <v>1</v>
      </c>
      <c r="B564" s="1316" t="str">
        <f t="shared" si="133"/>
        <v>Pemasangan P5 (Full Aksesoris)</v>
      </c>
      <c r="C564" s="1803"/>
      <c r="D564" s="1707" t="str">
        <f t="shared" si="127"/>
        <v>Kusen Aluminium 4"</v>
      </c>
      <c r="E564" s="1708">
        <f>'KUSEN PINTU'!F66</f>
        <v>0</v>
      </c>
      <c r="F564" s="1336" t="s">
        <v>80</v>
      </c>
      <c r="G564" s="1338">
        <f t="shared" si="134"/>
        <v>0</v>
      </c>
      <c r="H564" s="1338">
        <f t="shared" si="128"/>
        <v>0</v>
      </c>
      <c r="I564" s="1338">
        <f t="shared" si="129"/>
        <v>0</v>
      </c>
      <c r="J564" s="1338">
        <f t="shared" si="130"/>
        <v>0</v>
      </c>
      <c r="K564" s="1338">
        <f t="shared" si="131"/>
        <v>0</v>
      </c>
      <c r="L564" s="1530">
        <f t="shared" si="132"/>
        <v>0</v>
      </c>
    </row>
    <row r="565" spans="1:12" ht="18" hidden="1" customHeight="1">
      <c r="A565" s="1534"/>
      <c r="B565" s="1316" t="str">
        <f t="shared" si="133"/>
        <v>Pemasangan P6 (Full Aksesoris)</v>
      </c>
      <c r="C565" s="1823"/>
      <c r="D565" s="1707" t="str">
        <f t="shared" si="127"/>
        <v>Kusen UPVC, Pintu Panel Teakwood</v>
      </c>
      <c r="E565" s="1708">
        <f>'KUSEN PINTU'!F67</f>
        <v>0</v>
      </c>
      <c r="F565" s="1336" t="s">
        <v>80</v>
      </c>
      <c r="G565" s="1338">
        <f t="shared" si="134"/>
        <v>0</v>
      </c>
      <c r="H565" s="1338">
        <f t="shared" si="128"/>
        <v>0</v>
      </c>
      <c r="I565" s="1338">
        <f t="shared" si="129"/>
        <v>0</v>
      </c>
      <c r="J565" s="1338">
        <f t="shared" si="130"/>
        <v>0</v>
      </c>
      <c r="K565" s="1338">
        <f t="shared" si="131"/>
        <v>0</v>
      </c>
      <c r="L565" s="1530">
        <f t="shared" si="132"/>
        <v>0</v>
      </c>
    </row>
    <row r="566" spans="1:12" ht="18" hidden="1" customHeight="1">
      <c r="A566" s="1534"/>
      <c r="B566" s="1316" t="str">
        <f t="shared" si="133"/>
        <v>Pemasangan P7 (Full Aksesoris)</v>
      </c>
      <c r="C566" s="1823"/>
      <c r="D566" s="1707" t="str">
        <f t="shared" si="127"/>
        <v>Kusen Aluminium 4", Pintu Panel Teakwood</v>
      </c>
      <c r="E566" s="1708">
        <f>'KUSEN PINTU'!F68</f>
        <v>0</v>
      </c>
      <c r="F566" s="1336" t="s">
        <v>80</v>
      </c>
      <c r="G566" s="1338">
        <f t="shared" si="134"/>
        <v>0</v>
      </c>
      <c r="H566" s="1338">
        <f t="shared" si="128"/>
        <v>0</v>
      </c>
      <c r="I566" s="1338">
        <f t="shared" si="129"/>
        <v>0</v>
      </c>
      <c r="J566" s="1338">
        <f t="shared" si="130"/>
        <v>0</v>
      </c>
      <c r="K566" s="1338">
        <f t="shared" si="131"/>
        <v>0</v>
      </c>
      <c r="L566" s="1530">
        <f t="shared" si="132"/>
        <v>0</v>
      </c>
    </row>
    <row r="567" spans="1:12" ht="18" hidden="1" customHeight="1">
      <c r="A567" s="1534"/>
      <c r="B567" s="1316" t="str">
        <f t="shared" si="133"/>
        <v>Pemasangan P8 (Full Aksesoris)</v>
      </c>
      <c r="C567" s="1803"/>
      <c r="D567" s="1707" t="str">
        <f t="shared" si="127"/>
        <v>Kusen Aluminium 4", Pintu Panel Teakwood</v>
      </c>
      <c r="E567" s="1708">
        <f>'KUSEN PINTU'!F69</f>
        <v>0</v>
      </c>
      <c r="F567" s="1336" t="s">
        <v>80</v>
      </c>
      <c r="G567" s="1338">
        <f t="shared" si="134"/>
        <v>0</v>
      </c>
      <c r="H567" s="1338">
        <f t="shared" si="128"/>
        <v>0</v>
      </c>
      <c r="I567" s="1338">
        <f t="shared" si="129"/>
        <v>0</v>
      </c>
      <c r="J567" s="1338">
        <f t="shared" si="130"/>
        <v>0</v>
      </c>
      <c r="K567" s="1338">
        <f t="shared" si="131"/>
        <v>0</v>
      </c>
      <c r="L567" s="1530">
        <f t="shared" si="132"/>
        <v>0</v>
      </c>
    </row>
    <row r="568" spans="1:12" ht="18" hidden="1" customHeight="1">
      <c r="A568" s="1534"/>
      <c r="B568" s="1316" t="str">
        <f t="shared" si="133"/>
        <v>Pemasangan P9 (Full Aksesoris)</v>
      </c>
      <c r="C568" s="1803"/>
      <c r="D568" s="1707" t="str">
        <f t="shared" si="127"/>
        <v>Kusen UPVC, Pintu UPVC</v>
      </c>
      <c r="E568" s="1708">
        <f>'KUSEN PINTU'!F70</f>
        <v>0</v>
      </c>
      <c r="F568" s="1336" t="s">
        <v>80</v>
      </c>
      <c r="G568" s="1338">
        <f t="shared" si="134"/>
        <v>0</v>
      </c>
      <c r="H568" s="1338">
        <f t="shared" si="128"/>
        <v>0</v>
      </c>
      <c r="I568" s="1338">
        <f t="shared" si="129"/>
        <v>0</v>
      </c>
      <c r="J568" s="1338">
        <f t="shared" si="130"/>
        <v>0</v>
      </c>
      <c r="K568" s="1338">
        <f t="shared" si="131"/>
        <v>0</v>
      </c>
      <c r="L568" s="1530">
        <f t="shared" si="132"/>
        <v>0</v>
      </c>
    </row>
    <row r="569" spans="1:12" ht="18" hidden="1" customHeight="1">
      <c r="A569" s="1534">
        <v>2</v>
      </c>
      <c r="B569" s="1316" t="str">
        <f t="shared" si="133"/>
        <v>Pemasangan P10 (Full Aksesoris)</v>
      </c>
      <c r="C569" s="1803"/>
      <c r="D569" s="1707" t="str">
        <f t="shared" si="127"/>
        <v/>
      </c>
      <c r="E569" s="1708">
        <f>'KUSEN PINTU'!F71</f>
        <v>0</v>
      </c>
      <c r="F569" s="1336" t="s">
        <v>80</v>
      </c>
      <c r="G569" s="1338">
        <f t="shared" si="134"/>
        <v>0</v>
      </c>
      <c r="H569" s="1338">
        <f t="shared" si="128"/>
        <v>0</v>
      </c>
      <c r="I569" s="1338">
        <f t="shared" si="129"/>
        <v>0</v>
      </c>
      <c r="J569" s="1338">
        <f t="shared" si="130"/>
        <v>0</v>
      </c>
      <c r="K569" s="1338">
        <f t="shared" si="131"/>
        <v>0</v>
      </c>
      <c r="L569" s="1530">
        <f t="shared" si="132"/>
        <v>0</v>
      </c>
    </row>
    <row r="570" spans="1:12" ht="18" hidden="1" customHeight="1">
      <c r="A570" s="1534">
        <v>2</v>
      </c>
      <c r="B570" s="1316" t="str">
        <f t="shared" si="133"/>
        <v>Pemasangan P11 (Full Aksesoris)</v>
      </c>
      <c r="C570" s="1803"/>
      <c r="D570" s="1707" t="str">
        <f t="shared" si="127"/>
        <v/>
      </c>
      <c r="E570" s="1708">
        <f>'KUSEN PINTU'!F72</f>
        <v>0</v>
      </c>
      <c r="F570" s="1336" t="s">
        <v>80</v>
      </c>
      <c r="G570" s="1338">
        <f t="shared" si="134"/>
        <v>0</v>
      </c>
      <c r="H570" s="1338">
        <f t="shared" si="128"/>
        <v>0</v>
      </c>
      <c r="I570" s="1338">
        <f t="shared" si="129"/>
        <v>0</v>
      </c>
      <c r="J570" s="1338">
        <f t="shared" si="130"/>
        <v>0</v>
      </c>
      <c r="K570" s="1338">
        <f t="shared" si="131"/>
        <v>0</v>
      </c>
      <c r="L570" s="1530">
        <f t="shared" si="132"/>
        <v>0</v>
      </c>
    </row>
    <row r="571" spans="1:12" ht="18" hidden="1" customHeight="1">
      <c r="A571" s="1534">
        <v>3</v>
      </c>
      <c r="B571" s="1316" t="str">
        <f t="shared" si="133"/>
        <v>Pemasangan J1 (Full Aksesoris)</v>
      </c>
      <c r="C571" s="1823"/>
      <c r="D571" s="1707" t="str">
        <f t="shared" si="127"/>
        <v>Kusen UPVC, Jendela UPVC, Kaca Tempered 8 mm</v>
      </c>
      <c r="E571" s="1708">
        <f>'KUSEN PINTU'!F73</f>
        <v>0</v>
      </c>
      <c r="F571" s="1336" t="s">
        <v>80</v>
      </c>
      <c r="G571" s="1338">
        <f t="shared" si="134"/>
        <v>0</v>
      </c>
      <c r="H571" s="1338">
        <f t="shared" si="128"/>
        <v>0</v>
      </c>
      <c r="I571" s="1338">
        <f t="shared" si="129"/>
        <v>0</v>
      </c>
      <c r="J571" s="1338">
        <f t="shared" si="130"/>
        <v>0</v>
      </c>
      <c r="K571" s="1338">
        <f t="shared" si="131"/>
        <v>0</v>
      </c>
      <c r="L571" s="1530">
        <f t="shared" si="132"/>
        <v>0</v>
      </c>
    </row>
    <row r="572" spans="1:12" ht="18" hidden="1" customHeight="1">
      <c r="A572" s="1534">
        <v>3</v>
      </c>
      <c r="B572" s="1316" t="str">
        <f t="shared" si="133"/>
        <v>Pemasangan J2 (Full Aksesoris)</v>
      </c>
      <c r="C572" s="1823"/>
      <c r="D572" s="1707" t="str">
        <f t="shared" si="127"/>
        <v>Kusen UPVC, Jendela UPVC, Kaca Tempered 8 mm</v>
      </c>
      <c r="E572" s="1708">
        <f>'KUSEN PINTU'!F74</f>
        <v>0</v>
      </c>
      <c r="F572" s="1336" t="s">
        <v>80</v>
      </c>
      <c r="G572" s="1338">
        <f t="shared" si="134"/>
        <v>0</v>
      </c>
      <c r="H572" s="1338">
        <f t="shared" si="128"/>
        <v>0</v>
      </c>
      <c r="I572" s="1338">
        <f t="shared" si="129"/>
        <v>0</v>
      </c>
      <c r="J572" s="1338">
        <f t="shared" si="130"/>
        <v>0</v>
      </c>
      <c r="K572" s="1338">
        <f t="shared" si="131"/>
        <v>0</v>
      </c>
      <c r="L572" s="1530">
        <f t="shared" si="132"/>
        <v>0</v>
      </c>
    </row>
    <row r="573" spans="1:12" ht="18" hidden="1" customHeight="1">
      <c r="A573" s="1534">
        <v>2</v>
      </c>
      <c r="B573" s="1316" t="str">
        <f t="shared" si="133"/>
        <v>Pemasangan J3 (Full Aksesoris)</v>
      </c>
      <c r="C573" s="1803"/>
      <c r="D573" s="1707" t="str">
        <f t="shared" si="127"/>
        <v>Kusen UPVC, Jendela UPVC, Kaca Tempered 8 mm</v>
      </c>
      <c r="E573" s="1708">
        <v>0</v>
      </c>
      <c r="F573" s="1336" t="s">
        <v>80</v>
      </c>
      <c r="G573" s="1338">
        <f t="shared" si="134"/>
        <v>0</v>
      </c>
      <c r="H573" s="1338">
        <f t="shared" si="128"/>
        <v>0</v>
      </c>
      <c r="I573" s="1338">
        <f t="shared" si="129"/>
        <v>0</v>
      </c>
      <c r="J573" s="1338">
        <f t="shared" si="130"/>
        <v>0</v>
      </c>
      <c r="K573" s="1338">
        <f t="shared" si="131"/>
        <v>0</v>
      </c>
      <c r="L573" s="1530">
        <f t="shared" si="132"/>
        <v>0</v>
      </c>
    </row>
    <row r="574" spans="1:12" ht="18" hidden="1" customHeight="1">
      <c r="A574" s="1534">
        <v>3</v>
      </c>
      <c r="B574" s="1316" t="str">
        <f t="shared" si="133"/>
        <v>Pemasangan J4 (Full Aksesoris)</v>
      </c>
      <c r="C574" s="1803"/>
      <c r="D574" s="1707" t="str">
        <f t="shared" si="127"/>
        <v>Kusen UPVC, Jendela UPVC, Kaca Tempered 8 mm</v>
      </c>
      <c r="E574" s="1708">
        <v>0</v>
      </c>
      <c r="F574" s="1336" t="s">
        <v>80</v>
      </c>
      <c r="G574" s="1338">
        <f t="shared" si="134"/>
        <v>0</v>
      </c>
      <c r="H574" s="1338">
        <f t="shared" si="128"/>
        <v>0</v>
      </c>
      <c r="I574" s="1338">
        <f t="shared" si="129"/>
        <v>0</v>
      </c>
      <c r="J574" s="1338">
        <f t="shared" si="130"/>
        <v>0</v>
      </c>
      <c r="K574" s="1338">
        <f t="shared" si="131"/>
        <v>0</v>
      </c>
      <c r="L574" s="1530">
        <f t="shared" si="132"/>
        <v>0</v>
      </c>
    </row>
    <row r="575" spans="1:12" ht="18" hidden="1" customHeight="1">
      <c r="A575" s="1534">
        <v>5</v>
      </c>
      <c r="B575" s="1316" t="str">
        <f t="shared" si="133"/>
        <v>Pemasangan J5 (Full Aksesoris)</v>
      </c>
      <c r="C575" s="1803"/>
      <c r="D575" s="1707" t="str">
        <f t="shared" si="127"/>
        <v>Kusen Aluminium 4", Jendela UPVC</v>
      </c>
      <c r="E575" s="1708">
        <f>'KUSEN PINTU'!F77</f>
        <v>0</v>
      </c>
      <c r="F575" s="1336" t="s">
        <v>80</v>
      </c>
      <c r="G575" s="1338">
        <f t="shared" si="134"/>
        <v>0</v>
      </c>
      <c r="H575" s="1338">
        <f t="shared" si="128"/>
        <v>0</v>
      </c>
      <c r="I575" s="1338">
        <f t="shared" si="129"/>
        <v>0</v>
      </c>
      <c r="J575" s="1338">
        <f t="shared" si="130"/>
        <v>0</v>
      </c>
      <c r="K575" s="1338">
        <f t="shared" si="131"/>
        <v>0</v>
      </c>
      <c r="L575" s="1530">
        <f t="shared" si="132"/>
        <v>0</v>
      </c>
    </row>
    <row r="576" spans="1:12" ht="18" hidden="1" customHeight="1">
      <c r="A576" s="1534">
        <v>6</v>
      </c>
      <c r="B576" s="1316" t="str">
        <f t="shared" si="133"/>
        <v>Pemasangan J6 (Full Aksesoris)</v>
      </c>
      <c r="C576" s="1803"/>
      <c r="D576" s="1707" t="str">
        <f t="shared" si="127"/>
        <v xml:space="preserve">Kusen Aluminium 4", Jendela Aluminium 3" </v>
      </c>
      <c r="E576" s="1708">
        <f>'KUSEN PINTU'!F78</f>
        <v>0</v>
      </c>
      <c r="F576" s="1336" t="s">
        <v>80</v>
      </c>
      <c r="G576" s="1338">
        <f t="shared" si="134"/>
        <v>0</v>
      </c>
      <c r="H576" s="1338">
        <f t="shared" si="128"/>
        <v>0</v>
      </c>
      <c r="I576" s="1338">
        <f t="shared" si="129"/>
        <v>0</v>
      </c>
      <c r="J576" s="1338">
        <f t="shared" ref="J576:J588" si="135">E576*G576</f>
        <v>0</v>
      </c>
      <c r="K576" s="1338">
        <f t="shared" ref="K576:K588" si="136">E576*H576</f>
        <v>0</v>
      </c>
      <c r="L576" s="1530">
        <f t="shared" ref="L576:L588" si="137">J576+K576</f>
        <v>0</v>
      </c>
    </row>
    <row r="577" spans="1:28" ht="18" hidden="1" customHeight="1">
      <c r="A577" s="1534">
        <v>5</v>
      </c>
      <c r="B577" s="1316" t="str">
        <f t="shared" si="133"/>
        <v>Pemasangan J7 (Full Aksesoris)</v>
      </c>
      <c r="C577" s="1803"/>
      <c r="D577" s="1707" t="str">
        <f t="shared" si="127"/>
        <v xml:space="preserve">Kusen Aluminium 4", Jendela Aluminium 3" </v>
      </c>
      <c r="E577" s="1708">
        <f>'KUSEN PINTU'!F79</f>
        <v>0</v>
      </c>
      <c r="F577" s="1336" t="s">
        <v>80</v>
      </c>
      <c r="G577" s="1338">
        <f>G515</f>
        <v>0</v>
      </c>
      <c r="H577" s="1338">
        <f t="shared" ref="H577:H582" si="138">H546</f>
        <v>0</v>
      </c>
      <c r="I577" s="1338">
        <f t="shared" si="129"/>
        <v>0</v>
      </c>
      <c r="J577" s="1338">
        <f t="shared" si="135"/>
        <v>0</v>
      </c>
      <c r="K577" s="1338">
        <f t="shared" si="136"/>
        <v>0</v>
      </c>
      <c r="L577" s="1530">
        <f t="shared" si="137"/>
        <v>0</v>
      </c>
    </row>
    <row r="578" spans="1:28" ht="18" hidden="1" customHeight="1">
      <c r="A578" s="1534">
        <v>7</v>
      </c>
      <c r="B578" s="1316" t="str">
        <f t="shared" si="133"/>
        <v>Pemasangan J8 (Full Aksesoris)</v>
      </c>
      <c r="C578" s="1803"/>
      <c r="D578" s="1707" t="str">
        <f t="shared" ref="D578:D588" si="139">D516</f>
        <v xml:space="preserve">Kusen Aluminium 4", Jendela Aluminium 3" </v>
      </c>
      <c r="E578" s="1708">
        <f>'KUSEN PINTU'!F80</f>
        <v>0</v>
      </c>
      <c r="F578" s="1336" t="s">
        <v>80</v>
      </c>
      <c r="G578" s="1338">
        <f t="shared" si="134"/>
        <v>0</v>
      </c>
      <c r="H578" s="1338">
        <f t="shared" si="138"/>
        <v>0</v>
      </c>
      <c r="I578" s="1338">
        <f t="shared" si="129"/>
        <v>0</v>
      </c>
      <c r="J578" s="1338">
        <f t="shared" si="135"/>
        <v>0</v>
      </c>
      <c r="K578" s="1338">
        <f t="shared" si="136"/>
        <v>0</v>
      </c>
      <c r="L578" s="1530">
        <f t="shared" si="137"/>
        <v>0</v>
      </c>
      <c r="AB578" s="1221"/>
    </row>
    <row r="579" spans="1:28" ht="18" hidden="1" customHeight="1">
      <c r="A579" s="1534">
        <v>8</v>
      </c>
      <c r="B579" s="1316" t="str">
        <f t="shared" si="133"/>
        <v>Pemasangan BV1 (Full Aksesoris)</v>
      </c>
      <c r="C579" s="1803"/>
      <c r="D579" s="1707" t="str">
        <f t="shared" si="139"/>
        <v>Kusen Aluminium 4", Jendela Aluminium 3" , Kaca Tempered 8 mm</v>
      </c>
      <c r="E579" s="1708">
        <f>'KUSEN PINTU'!F81</f>
        <v>0</v>
      </c>
      <c r="F579" s="1336" t="s">
        <v>80</v>
      </c>
      <c r="G579" s="1338">
        <f t="shared" si="134"/>
        <v>0</v>
      </c>
      <c r="H579" s="1338">
        <f t="shared" si="138"/>
        <v>0</v>
      </c>
      <c r="I579" s="1338">
        <f t="shared" si="129"/>
        <v>0</v>
      </c>
      <c r="J579" s="1338">
        <f t="shared" si="135"/>
        <v>0</v>
      </c>
      <c r="K579" s="1338">
        <f t="shared" si="136"/>
        <v>0</v>
      </c>
      <c r="L579" s="1530">
        <f t="shared" si="137"/>
        <v>0</v>
      </c>
      <c r="AB579" s="1221"/>
    </row>
    <row r="580" spans="1:28" ht="18" hidden="1" customHeight="1">
      <c r="A580" s="1534"/>
      <c r="B580" s="1316" t="str">
        <f t="shared" si="133"/>
        <v>Pemasangan BV2 (Full Aksesoris)</v>
      </c>
      <c r="C580" s="1803"/>
      <c r="D580" s="1707" t="str">
        <f t="shared" si="139"/>
        <v>Kusen Aluminium 4", Jendela Aluminium 3" , Kaca Tempered 8 mm</v>
      </c>
      <c r="E580" s="1708">
        <f>'KUSEN PINTU'!F82</f>
        <v>0</v>
      </c>
      <c r="F580" s="1336" t="s">
        <v>80</v>
      </c>
      <c r="G580" s="1338">
        <f t="shared" si="134"/>
        <v>0</v>
      </c>
      <c r="H580" s="1338">
        <f t="shared" si="138"/>
        <v>0</v>
      </c>
      <c r="I580" s="1338">
        <f t="shared" si="129"/>
        <v>0</v>
      </c>
      <c r="J580" s="1338">
        <f t="shared" si="135"/>
        <v>0</v>
      </c>
      <c r="K580" s="1338">
        <f t="shared" si="136"/>
        <v>0</v>
      </c>
      <c r="L580" s="1530">
        <f t="shared" si="137"/>
        <v>0</v>
      </c>
      <c r="AB580" s="1221"/>
    </row>
    <row r="581" spans="1:28" ht="18" hidden="1" customHeight="1">
      <c r="A581" s="1534">
        <v>9</v>
      </c>
      <c r="B581" s="1316" t="str">
        <f>B550</f>
        <v>Pemasangan  (Full Aksesoris)</v>
      </c>
      <c r="C581" s="1803"/>
      <c r="D581" s="1707" t="e">
        <f t="shared" si="139"/>
        <v>#N/A</v>
      </c>
      <c r="E581" s="1708">
        <f>'KUSEN PINTU'!F83</f>
        <v>0</v>
      </c>
      <c r="F581" s="1336" t="s">
        <v>80</v>
      </c>
      <c r="G581" s="1338">
        <f t="shared" si="134"/>
        <v>0</v>
      </c>
      <c r="H581" s="1338">
        <f t="shared" si="138"/>
        <v>250000</v>
      </c>
      <c r="I581" s="1338">
        <f t="shared" si="129"/>
        <v>250000</v>
      </c>
      <c r="J581" s="1338">
        <f t="shared" si="135"/>
        <v>0</v>
      </c>
      <c r="K581" s="1338">
        <f t="shared" si="136"/>
        <v>0</v>
      </c>
      <c r="L581" s="1530">
        <f t="shared" si="137"/>
        <v>0</v>
      </c>
      <c r="AB581" s="1221"/>
    </row>
    <row r="582" spans="1:28" ht="18" hidden="1" customHeight="1">
      <c r="A582" s="1534">
        <v>10</v>
      </c>
      <c r="B582" s="1316" t="str">
        <f t="shared" si="133"/>
        <v>Pemasangan  (Full Aksesoris)</v>
      </c>
      <c r="C582" s="1803"/>
      <c r="D582" s="1707" t="e">
        <f t="shared" si="139"/>
        <v>#N/A</v>
      </c>
      <c r="E582" s="1708">
        <f>'KUSEN PINTU'!F84</f>
        <v>0</v>
      </c>
      <c r="F582" s="1336" t="s">
        <v>80</v>
      </c>
      <c r="G582" s="1338">
        <f t="shared" si="134"/>
        <v>0</v>
      </c>
      <c r="H582" s="1338">
        <f t="shared" si="138"/>
        <v>250000</v>
      </c>
      <c r="I582" s="1338">
        <f t="shared" si="129"/>
        <v>250000</v>
      </c>
      <c r="J582" s="1338">
        <f t="shared" si="135"/>
        <v>0</v>
      </c>
      <c r="K582" s="1338">
        <f t="shared" si="136"/>
        <v>0</v>
      </c>
      <c r="L582" s="1530">
        <f t="shared" si="137"/>
        <v>0</v>
      </c>
      <c r="AB582" s="1221"/>
    </row>
    <row r="583" spans="1:28" ht="18" hidden="1" customHeight="1">
      <c r="A583" s="1534">
        <v>11</v>
      </c>
      <c r="B583" s="1316" t="str">
        <f t="shared" si="133"/>
        <v>Pemasangan  (Full Aksesoris)</v>
      </c>
      <c r="C583" s="1803"/>
      <c r="D583" s="1707" t="e">
        <f t="shared" si="139"/>
        <v>#N/A</v>
      </c>
      <c r="E583" s="1708">
        <f>'KUSEN PINTU'!F85</f>
        <v>0</v>
      </c>
      <c r="F583" s="1336" t="s">
        <v>80</v>
      </c>
      <c r="G583" s="1338">
        <f t="shared" si="134"/>
        <v>0</v>
      </c>
      <c r="H583" s="1338">
        <f t="shared" ref="H583:H588" si="140">H552</f>
        <v>250000</v>
      </c>
      <c r="I583" s="1338">
        <f t="shared" si="129"/>
        <v>250000</v>
      </c>
      <c r="J583" s="1338">
        <f t="shared" si="135"/>
        <v>0</v>
      </c>
      <c r="K583" s="1338">
        <f t="shared" si="136"/>
        <v>0</v>
      </c>
      <c r="L583" s="1530">
        <f t="shared" si="137"/>
        <v>0</v>
      </c>
      <c r="AB583" s="1221"/>
    </row>
    <row r="584" spans="1:28" ht="18" hidden="1" customHeight="1">
      <c r="A584" s="1534"/>
      <c r="B584" s="1316" t="str">
        <f t="shared" si="133"/>
        <v>Pemasangan  (Full Aksesoris)</v>
      </c>
      <c r="C584" s="1803"/>
      <c r="D584" s="1707" t="e">
        <f t="shared" si="139"/>
        <v>#N/A</v>
      </c>
      <c r="E584" s="1708">
        <f>'KUSEN PINTU'!F86</f>
        <v>0</v>
      </c>
      <c r="F584" s="1336" t="s">
        <v>80</v>
      </c>
      <c r="G584" s="1338">
        <f t="shared" si="134"/>
        <v>0</v>
      </c>
      <c r="H584" s="1338">
        <f t="shared" si="140"/>
        <v>250000</v>
      </c>
      <c r="I584" s="1338">
        <f t="shared" si="129"/>
        <v>250000</v>
      </c>
      <c r="J584" s="1338">
        <f t="shared" si="135"/>
        <v>0</v>
      </c>
      <c r="K584" s="1338">
        <f t="shared" si="136"/>
        <v>0</v>
      </c>
      <c r="L584" s="1530">
        <f t="shared" si="137"/>
        <v>0</v>
      </c>
      <c r="AB584" s="1221"/>
    </row>
    <row r="585" spans="1:28" ht="18" hidden="1" customHeight="1">
      <c r="A585" s="1534"/>
      <c r="B585" s="1316" t="str">
        <f t="shared" si="133"/>
        <v>Pemasangan  (Full Aksesoris)</v>
      </c>
      <c r="C585" s="1803"/>
      <c r="D585" s="1707" t="e">
        <f t="shared" si="139"/>
        <v>#N/A</v>
      </c>
      <c r="E585" s="1708">
        <f>'KUSEN PINTU'!F87</f>
        <v>0</v>
      </c>
      <c r="F585" s="1336" t="s">
        <v>80</v>
      </c>
      <c r="G585" s="1338">
        <f t="shared" si="134"/>
        <v>0</v>
      </c>
      <c r="H585" s="1338">
        <f t="shared" si="140"/>
        <v>250000</v>
      </c>
      <c r="I585" s="1338">
        <f t="shared" si="129"/>
        <v>250000</v>
      </c>
      <c r="J585" s="1338">
        <f t="shared" si="135"/>
        <v>0</v>
      </c>
      <c r="K585" s="1338">
        <f t="shared" si="136"/>
        <v>0</v>
      </c>
      <c r="L585" s="1530">
        <f t="shared" si="137"/>
        <v>0</v>
      </c>
      <c r="AB585" s="1221"/>
    </row>
    <row r="586" spans="1:28" ht="18" hidden="1" customHeight="1">
      <c r="A586" s="1534">
        <v>12</v>
      </c>
      <c r="B586" s="1316" t="str">
        <f t="shared" si="133"/>
        <v>Pemasangan  (Full Aksesoris)</v>
      </c>
      <c r="C586" s="1803"/>
      <c r="D586" s="1707" t="e">
        <f t="shared" si="139"/>
        <v>#N/A</v>
      </c>
      <c r="E586" s="1708">
        <f>'KUSEN PINTU'!F88</f>
        <v>0</v>
      </c>
      <c r="F586" s="1336" t="s">
        <v>80</v>
      </c>
      <c r="G586" s="1338">
        <f t="shared" si="134"/>
        <v>0</v>
      </c>
      <c r="H586" s="1338">
        <f t="shared" si="140"/>
        <v>250000</v>
      </c>
      <c r="I586" s="1338">
        <f t="shared" si="129"/>
        <v>250000</v>
      </c>
      <c r="J586" s="1338">
        <f t="shared" si="135"/>
        <v>0</v>
      </c>
      <c r="K586" s="1338">
        <f t="shared" si="136"/>
        <v>0</v>
      </c>
      <c r="L586" s="1530">
        <f t="shared" si="137"/>
        <v>0</v>
      </c>
      <c r="AB586" s="1221"/>
    </row>
    <row r="587" spans="1:28" ht="18" hidden="1" customHeight="1">
      <c r="A587" s="1534"/>
      <c r="B587" s="1316" t="str">
        <f t="shared" si="133"/>
        <v>Pemasangan  (Full Aksesoris)</v>
      </c>
      <c r="C587" s="1803"/>
      <c r="D587" s="1707" t="e">
        <f t="shared" si="139"/>
        <v>#N/A</v>
      </c>
      <c r="E587" s="1708">
        <f>'KUSEN PINTU'!F89</f>
        <v>0</v>
      </c>
      <c r="F587" s="1336" t="s">
        <v>80</v>
      </c>
      <c r="G587" s="1338">
        <f t="shared" si="134"/>
        <v>0</v>
      </c>
      <c r="H587" s="1338">
        <f t="shared" si="140"/>
        <v>250000</v>
      </c>
      <c r="I587" s="1338">
        <f t="shared" si="129"/>
        <v>250000</v>
      </c>
      <c r="J587" s="1338">
        <f t="shared" si="135"/>
        <v>0</v>
      </c>
      <c r="K587" s="1338">
        <f t="shared" si="136"/>
        <v>0</v>
      </c>
      <c r="L587" s="1530">
        <f t="shared" si="137"/>
        <v>0</v>
      </c>
      <c r="AB587" s="1221"/>
    </row>
    <row r="588" spans="1:28" ht="18" hidden="1" customHeight="1" thickBot="1">
      <c r="A588" s="1534"/>
      <c r="B588" s="1316" t="str">
        <f t="shared" si="133"/>
        <v>Pemasangan  (Full Aksesoris)</v>
      </c>
      <c r="C588" s="1803"/>
      <c r="D588" s="1707" t="e">
        <f t="shared" si="139"/>
        <v>#N/A</v>
      </c>
      <c r="E588" s="1708">
        <f>'KUSEN PINTU'!F90</f>
        <v>0</v>
      </c>
      <c r="F588" s="1336" t="s">
        <v>80</v>
      </c>
      <c r="G588" s="1338">
        <f t="shared" si="134"/>
        <v>0</v>
      </c>
      <c r="H588" s="1338">
        <f t="shared" si="140"/>
        <v>250000</v>
      </c>
      <c r="I588" s="1338">
        <f t="shared" si="129"/>
        <v>250000</v>
      </c>
      <c r="J588" s="1338">
        <f t="shared" si="135"/>
        <v>0</v>
      </c>
      <c r="K588" s="1338">
        <f t="shared" si="136"/>
        <v>0</v>
      </c>
      <c r="L588" s="1530">
        <f t="shared" si="137"/>
        <v>0</v>
      </c>
      <c r="AB588" s="1221"/>
    </row>
    <row r="589" spans="1:28" ht="18" hidden="1" customHeight="1" thickTop="1" thickBot="1">
      <c r="A589" s="2675" t="s">
        <v>81</v>
      </c>
      <c r="B589" s="2676"/>
      <c r="C589" s="2676"/>
      <c r="D589" s="2676"/>
      <c r="E589" s="2676"/>
      <c r="F589" s="2676"/>
      <c r="G589" s="2676"/>
      <c r="H589" s="1954"/>
      <c r="I589" s="1954"/>
      <c r="J589" s="1542">
        <f>SUM(J560:J588)</f>
        <v>0</v>
      </c>
      <c r="K589" s="1542">
        <f>SUM(K560:K588)</f>
        <v>0</v>
      </c>
      <c r="L589" s="1340">
        <f>SUM(L560:L588)</f>
        <v>0</v>
      </c>
      <c r="M589" s="1300">
        <v>1</v>
      </c>
      <c r="N589" s="1300">
        <v>39</v>
      </c>
    </row>
    <row r="590" spans="1:28" ht="18" hidden="1" customHeight="1" thickTop="1">
      <c r="A590" s="1341" t="s">
        <v>1413</v>
      </c>
      <c r="B590" s="1342" t="s">
        <v>2617</v>
      </c>
      <c r="C590" s="1343"/>
      <c r="D590" s="2061"/>
      <c r="E590" s="1330"/>
      <c r="F590" s="1346"/>
      <c r="G590" s="1377"/>
      <c r="H590" s="1351"/>
      <c r="I590" s="1330"/>
      <c r="J590" s="1330"/>
      <c r="K590" s="1330"/>
      <c r="L590" s="1331"/>
      <c r="N590" s="1300">
        <v>40</v>
      </c>
      <c r="AB590" s="1221"/>
    </row>
    <row r="591" spans="1:28" ht="18" hidden="1" customHeight="1">
      <c r="A591" s="1534">
        <v>1</v>
      </c>
      <c r="B591" s="1316" t="str">
        <f>B560</f>
        <v>Pemasangan P1 (Full Aksesoris)</v>
      </c>
      <c r="C591" s="1823"/>
      <c r="D591" s="1707" t="str">
        <f t="shared" ref="D591:D619" si="141">D529</f>
        <v>, Pintu Kayu Kamper Samarinda, Pintu Kayu Kamper Samarinda dan Jendela Kayu Kamper Samarinda, Kaca Tempered 8 mm</v>
      </c>
      <c r="E591" s="1708">
        <f>'KUSEN PINTU'!G62</f>
        <v>0</v>
      </c>
      <c r="F591" s="1336" t="s">
        <v>80</v>
      </c>
      <c r="G591" s="1338">
        <f>G529</f>
        <v>0</v>
      </c>
      <c r="H591" s="1338">
        <f t="shared" ref="H591:H607" si="142">H560</f>
        <v>0</v>
      </c>
      <c r="I591" s="1338">
        <f t="shared" ref="I591:I604" si="143">G591+H591</f>
        <v>0</v>
      </c>
      <c r="J591" s="1338">
        <f t="shared" ref="J591:J619" si="144">E591*G591</f>
        <v>0</v>
      </c>
      <c r="K591" s="1338">
        <f t="shared" ref="K591:K619" si="145">E591*H591</f>
        <v>0</v>
      </c>
      <c r="L591" s="1530">
        <f t="shared" ref="L591:L619" si="146">J591+K591</f>
        <v>0</v>
      </c>
      <c r="AB591" s="1221"/>
    </row>
    <row r="592" spans="1:28" ht="18" hidden="1" customHeight="1">
      <c r="A592" s="1534">
        <v>1</v>
      </c>
      <c r="B592" s="1316" t="str">
        <f t="shared" ref="B592:B619" si="147">B561</f>
        <v>Pemasangan P2 (Full Aksesoris)</v>
      </c>
      <c r="C592" s="1823"/>
      <c r="D592" s="1707" t="str">
        <f t="shared" si="141"/>
        <v>Kusen UPVC, Pintu UPVC, Jendela UPVC, Kaca Tempered 8 mm</v>
      </c>
      <c r="E592" s="1708">
        <f>'KUSEN PINTU'!G63</f>
        <v>0</v>
      </c>
      <c r="F592" s="1336" t="s">
        <v>80</v>
      </c>
      <c r="G592" s="1338">
        <f t="shared" ref="G592:G619" si="148">G530</f>
        <v>0</v>
      </c>
      <c r="H592" s="1338">
        <f t="shared" si="142"/>
        <v>0</v>
      </c>
      <c r="I592" s="1338">
        <f t="shared" si="143"/>
        <v>0</v>
      </c>
      <c r="J592" s="1338">
        <f t="shared" si="144"/>
        <v>0</v>
      </c>
      <c r="K592" s="1338">
        <f t="shared" si="145"/>
        <v>0</v>
      </c>
      <c r="L592" s="1530">
        <f t="shared" si="146"/>
        <v>0</v>
      </c>
      <c r="AB592" s="1221"/>
    </row>
    <row r="593" spans="1:28" ht="18" hidden="1" customHeight="1">
      <c r="A593" s="1534">
        <v>1</v>
      </c>
      <c r="B593" s="1316" t="str">
        <f t="shared" si="147"/>
        <v>Pemasangan P3 (Full Aksesoris)</v>
      </c>
      <c r="C593" s="1803"/>
      <c r="D593" s="1707" t="str">
        <f t="shared" si="141"/>
        <v>Kusen UPVC, Pintu UPVC, Jendela UPVC, Kaca Tempered 8 mm</v>
      </c>
      <c r="E593" s="1708">
        <f>'KUSEN PINTU'!G64</f>
        <v>0</v>
      </c>
      <c r="F593" s="1336" t="s">
        <v>80</v>
      </c>
      <c r="G593" s="1338">
        <f t="shared" si="148"/>
        <v>0</v>
      </c>
      <c r="H593" s="1338">
        <f t="shared" si="142"/>
        <v>0</v>
      </c>
      <c r="I593" s="1338">
        <f t="shared" si="143"/>
        <v>0</v>
      </c>
      <c r="J593" s="1338">
        <f t="shared" si="144"/>
        <v>0</v>
      </c>
      <c r="K593" s="1338">
        <f t="shared" si="145"/>
        <v>0</v>
      </c>
      <c r="L593" s="1530">
        <f t="shared" si="146"/>
        <v>0</v>
      </c>
      <c r="AB593" s="1221"/>
    </row>
    <row r="594" spans="1:28" ht="18" hidden="1" customHeight="1">
      <c r="A594" s="1534"/>
      <c r="B594" s="1316" t="str">
        <f t="shared" si="147"/>
        <v>Pemasangan P4 (Full Aksesoris)</v>
      </c>
      <c r="C594" s="1803"/>
      <c r="D594" s="1707" t="str">
        <f t="shared" si="141"/>
        <v>Kusen UPVC, Pintu UPVC, Jendela UPVC, Kaca Tempered 8 mm</v>
      </c>
      <c r="E594" s="1708">
        <f>'KUSEN PINTU'!G65</f>
        <v>0</v>
      </c>
      <c r="F594" s="1336" t="s">
        <v>80</v>
      </c>
      <c r="G594" s="1338">
        <f t="shared" si="148"/>
        <v>0</v>
      </c>
      <c r="H594" s="1338">
        <f t="shared" si="142"/>
        <v>0</v>
      </c>
      <c r="I594" s="1338">
        <f t="shared" si="143"/>
        <v>0</v>
      </c>
      <c r="J594" s="1338">
        <f t="shared" si="144"/>
        <v>0</v>
      </c>
      <c r="K594" s="1338">
        <f t="shared" si="145"/>
        <v>0</v>
      </c>
      <c r="L594" s="1530">
        <f t="shared" si="146"/>
        <v>0</v>
      </c>
      <c r="AB594" s="1221"/>
    </row>
    <row r="595" spans="1:28" ht="18" hidden="1" customHeight="1">
      <c r="A595" s="1534">
        <v>2</v>
      </c>
      <c r="B595" s="1316" t="str">
        <f t="shared" si="147"/>
        <v>Pemasangan P5 (Full Aksesoris)</v>
      </c>
      <c r="C595" s="1803"/>
      <c r="D595" s="1707" t="str">
        <f t="shared" si="141"/>
        <v>Kusen Aluminium 4"</v>
      </c>
      <c r="E595" s="1708">
        <f>'KUSEN PINTU'!G66</f>
        <v>0</v>
      </c>
      <c r="F595" s="1336" t="s">
        <v>80</v>
      </c>
      <c r="G595" s="1338">
        <f t="shared" si="148"/>
        <v>0</v>
      </c>
      <c r="H595" s="1338">
        <f t="shared" si="142"/>
        <v>0</v>
      </c>
      <c r="I595" s="1338">
        <f t="shared" si="143"/>
        <v>0</v>
      </c>
      <c r="J595" s="1338">
        <f t="shared" si="144"/>
        <v>0</v>
      </c>
      <c r="K595" s="1338">
        <f t="shared" si="145"/>
        <v>0</v>
      </c>
      <c r="L595" s="1530">
        <f t="shared" si="146"/>
        <v>0</v>
      </c>
      <c r="AB595" s="1221"/>
    </row>
    <row r="596" spans="1:28" ht="18" hidden="1" customHeight="1">
      <c r="A596" s="1534">
        <v>2</v>
      </c>
      <c r="B596" s="1316" t="str">
        <f t="shared" si="147"/>
        <v>Pemasangan P6 (Full Aksesoris)</v>
      </c>
      <c r="C596" s="1823"/>
      <c r="D596" s="1707" t="str">
        <f t="shared" si="141"/>
        <v>Kusen UPVC, Pintu Panel Teakwood</v>
      </c>
      <c r="E596" s="1708">
        <f>'KUSEN PINTU'!G67</f>
        <v>0</v>
      </c>
      <c r="F596" s="1336" t="s">
        <v>80</v>
      </c>
      <c r="G596" s="1338">
        <f t="shared" si="148"/>
        <v>0</v>
      </c>
      <c r="H596" s="1338">
        <f t="shared" si="142"/>
        <v>0</v>
      </c>
      <c r="I596" s="1338">
        <f t="shared" si="143"/>
        <v>0</v>
      </c>
      <c r="J596" s="1338">
        <f t="shared" si="144"/>
        <v>0</v>
      </c>
      <c r="K596" s="1338">
        <f t="shared" si="145"/>
        <v>0</v>
      </c>
      <c r="L596" s="1530">
        <f t="shared" si="146"/>
        <v>0</v>
      </c>
      <c r="AB596" s="1221"/>
    </row>
    <row r="597" spans="1:28" ht="18" hidden="1" customHeight="1">
      <c r="A597" s="1534"/>
      <c r="B597" s="1316" t="str">
        <f t="shared" si="147"/>
        <v>Pemasangan P7 (Full Aksesoris)</v>
      </c>
      <c r="C597" s="1823"/>
      <c r="D597" s="1707" t="str">
        <f t="shared" si="141"/>
        <v>Kusen Aluminium 4", Pintu Panel Teakwood</v>
      </c>
      <c r="E597" s="1708">
        <f>'KUSEN PINTU'!G68</f>
        <v>0</v>
      </c>
      <c r="F597" s="1336" t="s">
        <v>80</v>
      </c>
      <c r="G597" s="1338">
        <f t="shared" si="148"/>
        <v>0</v>
      </c>
      <c r="H597" s="1338">
        <f t="shared" si="142"/>
        <v>0</v>
      </c>
      <c r="I597" s="1338">
        <f t="shared" si="143"/>
        <v>0</v>
      </c>
      <c r="J597" s="1338">
        <f t="shared" si="144"/>
        <v>0</v>
      </c>
      <c r="K597" s="1338">
        <f t="shared" si="145"/>
        <v>0</v>
      </c>
      <c r="L597" s="1530">
        <f t="shared" si="146"/>
        <v>0</v>
      </c>
      <c r="AB597" s="1221"/>
    </row>
    <row r="598" spans="1:28" ht="18" hidden="1" customHeight="1">
      <c r="A598" s="1534">
        <v>2</v>
      </c>
      <c r="B598" s="1316" t="str">
        <f t="shared" si="147"/>
        <v>Pemasangan P8 (Full Aksesoris)</v>
      </c>
      <c r="C598" s="1803"/>
      <c r="D598" s="1707" t="str">
        <f t="shared" si="141"/>
        <v>Kusen Aluminium 4", Pintu Panel Teakwood</v>
      </c>
      <c r="E598" s="1708">
        <f>'KUSEN PINTU'!G69</f>
        <v>0</v>
      </c>
      <c r="F598" s="1336" t="s">
        <v>80</v>
      </c>
      <c r="G598" s="1338">
        <f t="shared" si="148"/>
        <v>0</v>
      </c>
      <c r="H598" s="1338">
        <f t="shared" si="142"/>
        <v>0</v>
      </c>
      <c r="I598" s="1338">
        <f t="shared" si="143"/>
        <v>0</v>
      </c>
      <c r="J598" s="1338">
        <f t="shared" si="144"/>
        <v>0</v>
      </c>
      <c r="K598" s="1338">
        <f t="shared" si="145"/>
        <v>0</v>
      </c>
      <c r="L598" s="1530">
        <f t="shared" si="146"/>
        <v>0</v>
      </c>
      <c r="AB598" s="1221"/>
    </row>
    <row r="599" spans="1:28" ht="18" hidden="1" customHeight="1">
      <c r="A599" s="1534">
        <v>3</v>
      </c>
      <c r="B599" s="1316" t="str">
        <f t="shared" si="147"/>
        <v>Pemasangan P9 (Full Aksesoris)</v>
      </c>
      <c r="C599" s="1803"/>
      <c r="D599" s="1707" t="str">
        <f t="shared" si="141"/>
        <v>Kusen UPVC, Pintu UPVC</v>
      </c>
      <c r="E599" s="1708">
        <f>'KUSEN PINTU'!G70</f>
        <v>0</v>
      </c>
      <c r="F599" s="1336" t="s">
        <v>80</v>
      </c>
      <c r="G599" s="1338">
        <f t="shared" si="148"/>
        <v>0</v>
      </c>
      <c r="H599" s="1338">
        <f t="shared" si="142"/>
        <v>0</v>
      </c>
      <c r="I599" s="1338">
        <f t="shared" si="143"/>
        <v>0</v>
      </c>
      <c r="J599" s="1338">
        <f t="shared" si="144"/>
        <v>0</v>
      </c>
      <c r="K599" s="1338">
        <f t="shared" si="145"/>
        <v>0</v>
      </c>
      <c r="L599" s="1530">
        <f t="shared" si="146"/>
        <v>0</v>
      </c>
      <c r="AB599" s="1221"/>
    </row>
    <row r="600" spans="1:28" ht="18" hidden="1" customHeight="1">
      <c r="A600" s="1534"/>
      <c r="B600" s="1316" t="str">
        <f t="shared" si="147"/>
        <v>Pemasangan P10 (Full Aksesoris)</v>
      </c>
      <c r="C600" s="1803"/>
      <c r="D600" s="1707" t="str">
        <f t="shared" si="141"/>
        <v/>
      </c>
      <c r="E600" s="1708">
        <f>'KUSEN PINTU'!G71</f>
        <v>0</v>
      </c>
      <c r="F600" s="1336" t="s">
        <v>80</v>
      </c>
      <c r="G600" s="1338">
        <f t="shared" si="148"/>
        <v>0</v>
      </c>
      <c r="H600" s="1338">
        <f t="shared" si="142"/>
        <v>0</v>
      </c>
      <c r="I600" s="1338">
        <f t="shared" si="143"/>
        <v>0</v>
      </c>
      <c r="J600" s="1338">
        <f t="shared" si="144"/>
        <v>0</v>
      </c>
      <c r="K600" s="1338">
        <f t="shared" si="145"/>
        <v>0</v>
      </c>
      <c r="L600" s="1530">
        <f t="shared" si="146"/>
        <v>0</v>
      </c>
      <c r="AB600" s="1221"/>
    </row>
    <row r="601" spans="1:28" ht="18" hidden="1" customHeight="1">
      <c r="A601" s="1534"/>
      <c r="B601" s="1316" t="str">
        <f t="shared" si="147"/>
        <v>Pemasangan P11 (Full Aksesoris)</v>
      </c>
      <c r="C601" s="1803"/>
      <c r="D601" s="1707" t="str">
        <f t="shared" si="141"/>
        <v/>
      </c>
      <c r="E601" s="1708">
        <f>'KUSEN PINTU'!G72</f>
        <v>0</v>
      </c>
      <c r="F601" s="1336" t="s">
        <v>80</v>
      </c>
      <c r="G601" s="1338">
        <f t="shared" si="148"/>
        <v>0</v>
      </c>
      <c r="H601" s="1338">
        <f t="shared" si="142"/>
        <v>0</v>
      </c>
      <c r="I601" s="1338">
        <f t="shared" si="143"/>
        <v>0</v>
      </c>
      <c r="J601" s="1338">
        <f t="shared" si="144"/>
        <v>0</v>
      </c>
      <c r="K601" s="1338">
        <f t="shared" si="145"/>
        <v>0</v>
      </c>
      <c r="L601" s="1530">
        <f t="shared" si="146"/>
        <v>0</v>
      </c>
      <c r="AB601" s="1221"/>
    </row>
    <row r="602" spans="1:28" ht="18" hidden="1" customHeight="1">
      <c r="A602" s="1534"/>
      <c r="B602" s="1316" t="str">
        <f t="shared" si="147"/>
        <v>Pemasangan J1 (Full Aksesoris)</v>
      </c>
      <c r="C602" s="1823"/>
      <c r="D602" s="1707" t="str">
        <f t="shared" si="141"/>
        <v>Kusen UPVC, Jendela UPVC, Kaca Tempered 8 mm</v>
      </c>
      <c r="E602" s="1708">
        <f>'KUSEN PINTU'!G73</f>
        <v>0</v>
      </c>
      <c r="F602" s="1336" t="s">
        <v>80</v>
      </c>
      <c r="G602" s="1338">
        <f t="shared" si="148"/>
        <v>0</v>
      </c>
      <c r="H602" s="1338">
        <f t="shared" si="142"/>
        <v>0</v>
      </c>
      <c r="I602" s="1338">
        <f t="shared" si="143"/>
        <v>0</v>
      </c>
      <c r="J602" s="1338">
        <f t="shared" si="144"/>
        <v>0</v>
      </c>
      <c r="K602" s="1338">
        <f t="shared" si="145"/>
        <v>0</v>
      </c>
      <c r="L602" s="1530">
        <f t="shared" si="146"/>
        <v>0</v>
      </c>
      <c r="AB602" s="1221"/>
    </row>
    <row r="603" spans="1:28" ht="18" hidden="1" customHeight="1">
      <c r="A603" s="1534"/>
      <c r="B603" s="1316" t="str">
        <f t="shared" si="147"/>
        <v>Pemasangan J2 (Full Aksesoris)</v>
      </c>
      <c r="C603" s="1823"/>
      <c r="D603" s="1707" t="str">
        <f t="shared" si="141"/>
        <v>Kusen UPVC, Jendela UPVC, Kaca Tempered 8 mm</v>
      </c>
      <c r="E603" s="1708">
        <f>'KUSEN PINTU'!G74</f>
        <v>0</v>
      </c>
      <c r="F603" s="1336" t="s">
        <v>80</v>
      </c>
      <c r="G603" s="1338">
        <f t="shared" si="148"/>
        <v>0</v>
      </c>
      <c r="H603" s="1338">
        <f t="shared" si="142"/>
        <v>0</v>
      </c>
      <c r="I603" s="1338">
        <f t="shared" si="143"/>
        <v>0</v>
      </c>
      <c r="J603" s="1338">
        <f t="shared" si="144"/>
        <v>0</v>
      </c>
      <c r="K603" s="1338">
        <f t="shared" si="145"/>
        <v>0</v>
      </c>
      <c r="L603" s="1530">
        <f t="shared" si="146"/>
        <v>0</v>
      </c>
      <c r="AB603" s="1221"/>
    </row>
    <row r="604" spans="1:28" ht="18" hidden="1" customHeight="1">
      <c r="A604" s="1534"/>
      <c r="B604" s="1316" t="str">
        <f t="shared" si="147"/>
        <v>Pemasangan J3 (Full Aksesoris)</v>
      </c>
      <c r="C604" s="1803"/>
      <c r="D604" s="1707" t="str">
        <f t="shared" si="141"/>
        <v>Kusen UPVC, Jendela UPVC, Kaca Tempered 8 mm</v>
      </c>
      <c r="E604" s="1708">
        <f>'KUSEN PINTU'!G75</f>
        <v>0</v>
      </c>
      <c r="F604" s="1336" t="s">
        <v>80</v>
      </c>
      <c r="G604" s="1338">
        <f t="shared" si="148"/>
        <v>0</v>
      </c>
      <c r="H604" s="1338">
        <f t="shared" si="142"/>
        <v>0</v>
      </c>
      <c r="I604" s="1338">
        <f t="shared" si="143"/>
        <v>0</v>
      </c>
      <c r="J604" s="1338">
        <f t="shared" si="144"/>
        <v>0</v>
      </c>
      <c r="K604" s="1338">
        <f t="shared" si="145"/>
        <v>0</v>
      </c>
      <c r="L604" s="1530">
        <f t="shared" si="146"/>
        <v>0</v>
      </c>
      <c r="AB604" s="1221"/>
    </row>
    <row r="605" spans="1:28" ht="18" hidden="1" customHeight="1">
      <c r="A605" s="1534"/>
      <c r="B605" s="1316" t="str">
        <f t="shared" si="147"/>
        <v>Pemasangan J4 (Full Aksesoris)</v>
      </c>
      <c r="C605" s="1803"/>
      <c r="D605" s="1707" t="str">
        <f t="shared" si="141"/>
        <v>Kusen UPVC, Jendela UPVC, Kaca Tempered 8 mm</v>
      </c>
      <c r="E605" s="1708">
        <f>'KUSEN PINTU'!G76</f>
        <v>0</v>
      </c>
      <c r="F605" s="1336" t="s">
        <v>80</v>
      </c>
      <c r="G605" s="1338">
        <f t="shared" si="148"/>
        <v>0</v>
      </c>
      <c r="H605" s="1338">
        <f t="shared" si="142"/>
        <v>0</v>
      </c>
      <c r="I605" s="1338">
        <f t="shared" ref="I605:I619" si="149">G605+H605</f>
        <v>0</v>
      </c>
      <c r="J605" s="1338">
        <f t="shared" si="144"/>
        <v>0</v>
      </c>
      <c r="K605" s="1338">
        <f t="shared" si="145"/>
        <v>0</v>
      </c>
      <c r="L605" s="1530">
        <f t="shared" si="146"/>
        <v>0</v>
      </c>
      <c r="AB605" s="1221"/>
    </row>
    <row r="606" spans="1:28" ht="18" hidden="1" customHeight="1">
      <c r="A606" s="1534">
        <v>4</v>
      </c>
      <c r="B606" s="1316" t="str">
        <f t="shared" si="147"/>
        <v>Pemasangan J5 (Full Aksesoris)</v>
      </c>
      <c r="C606" s="1803"/>
      <c r="D606" s="1707" t="str">
        <f t="shared" si="141"/>
        <v>Kusen Aluminium 4", Jendela UPVC</v>
      </c>
      <c r="E606" s="1708">
        <f>'KUSEN PINTU'!G77</f>
        <v>0</v>
      </c>
      <c r="F606" s="1336" t="s">
        <v>80</v>
      </c>
      <c r="G606" s="1338">
        <f t="shared" si="148"/>
        <v>0</v>
      </c>
      <c r="H606" s="1338">
        <f t="shared" si="142"/>
        <v>0</v>
      </c>
      <c r="I606" s="1338">
        <f t="shared" si="149"/>
        <v>0</v>
      </c>
      <c r="J606" s="1338">
        <f t="shared" si="144"/>
        <v>0</v>
      </c>
      <c r="K606" s="1338">
        <f t="shared" si="145"/>
        <v>0</v>
      </c>
      <c r="L606" s="1530">
        <f t="shared" si="146"/>
        <v>0</v>
      </c>
      <c r="AB606" s="1221"/>
    </row>
    <row r="607" spans="1:28" ht="18" hidden="1" customHeight="1">
      <c r="A607" s="1534">
        <v>5</v>
      </c>
      <c r="B607" s="1316" t="str">
        <f t="shared" si="147"/>
        <v>Pemasangan J6 (Full Aksesoris)</v>
      </c>
      <c r="C607" s="1803"/>
      <c r="D607" s="1707" t="str">
        <f t="shared" si="141"/>
        <v xml:space="preserve">Kusen Aluminium 4", Jendela Aluminium 3" </v>
      </c>
      <c r="E607" s="1708">
        <f>'KUSEN PINTU'!G78</f>
        <v>0</v>
      </c>
      <c r="F607" s="1336" t="s">
        <v>80</v>
      </c>
      <c r="G607" s="1338">
        <f t="shared" si="148"/>
        <v>0</v>
      </c>
      <c r="H607" s="1338">
        <f t="shared" si="142"/>
        <v>0</v>
      </c>
      <c r="I607" s="1338">
        <f t="shared" si="149"/>
        <v>0</v>
      </c>
      <c r="J607" s="1338">
        <f t="shared" si="144"/>
        <v>0</v>
      </c>
      <c r="K607" s="1338">
        <f t="shared" si="145"/>
        <v>0</v>
      </c>
      <c r="L607" s="1530">
        <f t="shared" si="146"/>
        <v>0</v>
      </c>
      <c r="AB607" s="1221"/>
    </row>
    <row r="608" spans="1:28" ht="18" hidden="1" customHeight="1">
      <c r="A608" s="1534"/>
      <c r="B608" s="1316" t="str">
        <f t="shared" si="147"/>
        <v>Pemasangan J7 (Full Aksesoris)</v>
      </c>
      <c r="C608" s="1803"/>
      <c r="D608" s="1707" t="str">
        <f t="shared" si="141"/>
        <v xml:space="preserve">Kusen Aluminium 4", Jendela Aluminium 3" </v>
      </c>
      <c r="E608" s="1708">
        <f>'KUSEN PINTU'!G79</f>
        <v>0</v>
      </c>
      <c r="F608" s="1336" t="s">
        <v>80</v>
      </c>
      <c r="G608" s="1338">
        <f>G546</f>
        <v>0</v>
      </c>
      <c r="H608" s="1338">
        <f t="shared" ref="H608:H613" si="150">H577</f>
        <v>0</v>
      </c>
      <c r="I608" s="1338">
        <f t="shared" si="149"/>
        <v>0</v>
      </c>
      <c r="J608" s="1338">
        <f t="shared" si="144"/>
        <v>0</v>
      </c>
      <c r="K608" s="1338">
        <f t="shared" si="145"/>
        <v>0</v>
      </c>
      <c r="L608" s="1530">
        <f t="shared" si="146"/>
        <v>0</v>
      </c>
      <c r="AB608" s="1221"/>
    </row>
    <row r="609" spans="1:28" ht="18" hidden="1" customHeight="1">
      <c r="A609" s="1534"/>
      <c r="B609" s="1316" t="str">
        <f t="shared" si="147"/>
        <v>Pemasangan J8 (Full Aksesoris)</v>
      </c>
      <c r="C609" s="1803"/>
      <c r="D609" s="1707" t="str">
        <f t="shared" si="141"/>
        <v xml:space="preserve">Kusen Aluminium 4", Jendela Aluminium 3" </v>
      </c>
      <c r="E609" s="1708">
        <f>'KUSEN PINTU'!G80</f>
        <v>0</v>
      </c>
      <c r="F609" s="1336" t="s">
        <v>80</v>
      </c>
      <c r="G609" s="1338">
        <f t="shared" si="148"/>
        <v>0</v>
      </c>
      <c r="H609" s="1338">
        <f t="shared" si="150"/>
        <v>0</v>
      </c>
      <c r="I609" s="1338">
        <f t="shared" si="149"/>
        <v>0</v>
      </c>
      <c r="J609" s="1338">
        <f t="shared" si="144"/>
        <v>0</v>
      </c>
      <c r="K609" s="1338">
        <f t="shared" si="145"/>
        <v>0</v>
      </c>
      <c r="L609" s="1530">
        <f t="shared" si="146"/>
        <v>0</v>
      </c>
      <c r="AB609" s="1221"/>
    </row>
    <row r="610" spans="1:28" ht="18" hidden="1" customHeight="1">
      <c r="A610" s="1534">
        <v>6</v>
      </c>
      <c r="B610" s="1316" t="str">
        <f t="shared" si="147"/>
        <v>Pemasangan BV1 (Full Aksesoris)</v>
      </c>
      <c r="C610" s="1803"/>
      <c r="D610" s="1707" t="str">
        <f t="shared" si="141"/>
        <v>Kusen Aluminium 4", Jendela Aluminium 3" , Kaca Tempered 8 mm</v>
      </c>
      <c r="E610" s="1708">
        <f>'KUSEN PINTU'!G81</f>
        <v>0</v>
      </c>
      <c r="F610" s="1336" t="s">
        <v>80</v>
      </c>
      <c r="G610" s="1338">
        <f t="shared" si="148"/>
        <v>0</v>
      </c>
      <c r="H610" s="1338">
        <f t="shared" si="150"/>
        <v>0</v>
      </c>
      <c r="I610" s="1338">
        <f t="shared" si="149"/>
        <v>0</v>
      </c>
      <c r="J610" s="1338">
        <f t="shared" si="144"/>
        <v>0</v>
      </c>
      <c r="K610" s="1338">
        <f t="shared" si="145"/>
        <v>0</v>
      </c>
      <c r="L610" s="1530">
        <f t="shared" si="146"/>
        <v>0</v>
      </c>
      <c r="AB610" s="1221"/>
    </row>
    <row r="611" spans="1:28" ht="18" hidden="1" customHeight="1">
      <c r="A611" s="1534">
        <v>7</v>
      </c>
      <c r="B611" s="1316" t="str">
        <f t="shared" si="147"/>
        <v>Pemasangan BV2 (Full Aksesoris)</v>
      </c>
      <c r="C611" s="1803"/>
      <c r="D611" s="1707" t="str">
        <f t="shared" si="141"/>
        <v>Kusen Aluminium 4", Jendela Aluminium 3" , Kaca Tempered 8 mm</v>
      </c>
      <c r="E611" s="1708">
        <f>'KUSEN PINTU'!G82</f>
        <v>0</v>
      </c>
      <c r="F611" s="1336" t="s">
        <v>80</v>
      </c>
      <c r="G611" s="1338">
        <f t="shared" si="148"/>
        <v>0</v>
      </c>
      <c r="H611" s="1338">
        <f t="shared" si="150"/>
        <v>0</v>
      </c>
      <c r="I611" s="1338">
        <f t="shared" si="149"/>
        <v>0</v>
      </c>
      <c r="J611" s="1338">
        <f t="shared" si="144"/>
        <v>0</v>
      </c>
      <c r="K611" s="1338">
        <f t="shared" si="145"/>
        <v>0</v>
      </c>
      <c r="L611" s="1530">
        <f t="shared" si="146"/>
        <v>0</v>
      </c>
      <c r="AB611" s="1221"/>
    </row>
    <row r="612" spans="1:28" ht="18" hidden="1" customHeight="1">
      <c r="A612" s="1534"/>
      <c r="B612" s="1316" t="str">
        <f>B581</f>
        <v>Pemasangan  (Full Aksesoris)</v>
      </c>
      <c r="C612" s="1803"/>
      <c r="D612" s="1707" t="e">
        <f t="shared" si="141"/>
        <v>#N/A</v>
      </c>
      <c r="E612" s="1708">
        <f>'KUSEN PINTU'!G83</f>
        <v>0</v>
      </c>
      <c r="F612" s="1336" t="s">
        <v>80</v>
      </c>
      <c r="G612" s="1338">
        <f t="shared" si="148"/>
        <v>0</v>
      </c>
      <c r="H612" s="1338">
        <f t="shared" si="150"/>
        <v>250000</v>
      </c>
      <c r="I612" s="1338">
        <f t="shared" si="149"/>
        <v>250000</v>
      </c>
      <c r="J612" s="1338">
        <f t="shared" si="144"/>
        <v>0</v>
      </c>
      <c r="K612" s="1338">
        <f t="shared" si="145"/>
        <v>0</v>
      </c>
      <c r="L612" s="1530">
        <f t="shared" si="146"/>
        <v>0</v>
      </c>
      <c r="AB612" s="1221"/>
    </row>
    <row r="613" spans="1:28" ht="18" hidden="1" customHeight="1">
      <c r="A613" s="1534"/>
      <c r="B613" s="1316" t="str">
        <f t="shared" si="147"/>
        <v>Pemasangan  (Full Aksesoris)</v>
      </c>
      <c r="C613" s="1803"/>
      <c r="D613" s="1707" t="e">
        <f t="shared" si="141"/>
        <v>#N/A</v>
      </c>
      <c r="E613" s="1708">
        <f>'KUSEN PINTU'!G84</f>
        <v>0</v>
      </c>
      <c r="F613" s="1336" t="s">
        <v>80</v>
      </c>
      <c r="G613" s="1338">
        <f t="shared" si="148"/>
        <v>0</v>
      </c>
      <c r="H613" s="1338">
        <f t="shared" si="150"/>
        <v>250000</v>
      </c>
      <c r="I613" s="1338">
        <f t="shared" si="149"/>
        <v>250000</v>
      </c>
      <c r="J613" s="1338">
        <f t="shared" si="144"/>
        <v>0</v>
      </c>
      <c r="K613" s="1338">
        <f t="shared" si="145"/>
        <v>0</v>
      </c>
      <c r="L613" s="1530">
        <f t="shared" si="146"/>
        <v>0</v>
      </c>
      <c r="AB613" s="1221"/>
    </row>
    <row r="614" spans="1:28" ht="18" hidden="1" customHeight="1">
      <c r="A614" s="1534"/>
      <c r="B614" s="1316" t="str">
        <f t="shared" si="147"/>
        <v>Pemasangan  (Full Aksesoris)</v>
      </c>
      <c r="C614" s="1803"/>
      <c r="D614" s="1707" t="e">
        <f t="shared" si="141"/>
        <v>#N/A</v>
      </c>
      <c r="E614" s="1708">
        <f>'KUSEN PINTU'!G85</f>
        <v>0</v>
      </c>
      <c r="F614" s="1336" t="s">
        <v>80</v>
      </c>
      <c r="G614" s="1338">
        <f t="shared" si="148"/>
        <v>0</v>
      </c>
      <c r="H614" s="1338">
        <f t="shared" ref="H614:H619" si="151">H583</f>
        <v>250000</v>
      </c>
      <c r="I614" s="1338">
        <f t="shared" si="149"/>
        <v>250000</v>
      </c>
      <c r="J614" s="1338">
        <f t="shared" si="144"/>
        <v>0</v>
      </c>
      <c r="K614" s="1338">
        <f t="shared" si="145"/>
        <v>0</v>
      </c>
      <c r="L614" s="1530">
        <f t="shared" si="146"/>
        <v>0</v>
      </c>
      <c r="AB614" s="1221"/>
    </row>
    <row r="615" spans="1:28" ht="18" hidden="1" customHeight="1">
      <c r="A615" s="1534"/>
      <c r="B615" s="1316" t="str">
        <f t="shared" si="147"/>
        <v>Pemasangan  (Full Aksesoris)</v>
      </c>
      <c r="C615" s="1803"/>
      <c r="D615" s="1707" t="e">
        <f t="shared" si="141"/>
        <v>#N/A</v>
      </c>
      <c r="E615" s="1708">
        <f>'KUSEN PINTU'!G86</f>
        <v>0</v>
      </c>
      <c r="F615" s="1336" t="s">
        <v>80</v>
      </c>
      <c r="G615" s="1338">
        <f t="shared" si="148"/>
        <v>0</v>
      </c>
      <c r="H615" s="1338">
        <f t="shared" si="151"/>
        <v>250000</v>
      </c>
      <c r="I615" s="1338">
        <f t="shared" si="149"/>
        <v>250000</v>
      </c>
      <c r="J615" s="1338">
        <f t="shared" si="144"/>
        <v>0</v>
      </c>
      <c r="K615" s="1338">
        <f t="shared" si="145"/>
        <v>0</v>
      </c>
      <c r="L615" s="1530">
        <f t="shared" si="146"/>
        <v>0</v>
      </c>
      <c r="AB615" s="1221"/>
    </row>
    <row r="616" spans="1:28" ht="18" hidden="1" customHeight="1">
      <c r="A616" s="1534">
        <v>2</v>
      </c>
      <c r="B616" s="1316" t="str">
        <f t="shared" si="147"/>
        <v>Pemasangan  (Full Aksesoris)</v>
      </c>
      <c r="C616" s="1803"/>
      <c r="D616" s="1707" t="e">
        <f t="shared" si="141"/>
        <v>#N/A</v>
      </c>
      <c r="E616" s="1708">
        <f>'KUSEN PINTU'!G87</f>
        <v>0</v>
      </c>
      <c r="F616" s="1336" t="s">
        <v>80</v>
      </c>
      <c r="G616" s="1338">
        <f t="shared" si="148"/>
        <v>0</v>
      </c>
      <c r="H616" s="1338">
        <f t="shared" si="151"/>
        <v>250000</v>
      </c>
      <c r="I616" s="1338">
        <f t="shared" si="149"/>
        <v>250000</v>
      </c>
      <c r="J616" s="1338">
        <f t="shared" si="144"/>
        <v>0</v>
      </c>
      <c r="K616" s="1338">
        <f t="shared" si="145"/>
        <v>0</v>
      </c>
      <c r="L616" s="1530">
        <f t="shared" si="146"/>
        <v>0</v>
      </c>
      <c r="AB616" s="1221"/>
    </row>
    <row r="617" spans="1:28" ht="18" hidden="1" customHeight="1">
      <c r="A617" s="1534"/>
      <c r="B617" s="1316" t="str">
        <f t="shared" si="147"/>
        <v>Pemasangan  (Full Aksesoris)</v>
      </c>
      <c r="C617" s="1803"/>
      <c r="D617" s="1707" t="e">
        <f t="shared" si="141"/>
        <v>#N/A</v>
      </c>
      <c r="E617" s="1708">
        <f>'KUSEN PINTU'!G88</f>
        <v>0</v>
      </c>
      <c r="F617" s="1336" t="s">
        <v>80</v>
      </c>
      <c r="G617" s="1338">
        <f t="shared" si="148"/>
        <v>0</v>
      </c>
      <c r="H617" s="1338">
        <f t="shared" si="151"/>
        <v>250000</v>
      </c>
      <c r="I617" s="1338">
        <f t="shared" si="149"/>
        <v>250000</v>
      </c>
      <c r="J617" s="1338">
        <f t="shared" si="144"/>
        <v>0</v>
      </c>
      <c r="K617" s="1338">
        <f t="shared" si="145"/>
        <v>0</v>
      </c>
      <c r="L617" s="1530">
        <f t="shared" si="146"/>
        <v>0</v>
      </c>
      <c r="AB617" s="1221"/>
    </row>
    <row r="618" spans="1:28" ht="18" hidden="1" customHeight="1">
      <c r="A618" s="1534"/>
      <c r="B618" s="1316" t="str">
        <f t="shared" si="147"/>
        <v>Pemasangan  (Full Aksesoris)</v>
      </c>
      <c r="C618" s="1803"/>
      <c r="D618" s="1707" t="e">
        <f t="shared" si="141"/>
        <v>#N/A</v>
      </c>
      <c r="E618" s="1708">
        <f>'KUSEN PINTU'!G89</f>
        <v>0</v>
      </c>
      <c r="F618" s="1336" t="s">
        <v>80</v>
      </c>
      <c r="G618" s="1338">
        <f t="shared" si="148"/>
        <v>0</v>
      </c>
      <c r="H618" s="1338">
        <f t="shared" si="151"/>
        <v>250000</v>
      </c>
      <c r="I618" s="1338">
        <f t="shared" si="149"/>
        <v>250000</v>
      </c>
      <c r="J618" s="1338">
        <f t="shared" si="144"/>
        <v>0</v>
      </c>
      <c r="K618" s="1338">
        <f t="shared" si="145"/>
        <v>0</v>
      </c>
      <c r="L618" s="1530">
        <f t="shared" si="146"/>
        <v>0</v>
      </c>
      <c r="AB618" s="1221"/>
    </row>
    <row r="619" spans="1:28" ht="18" hidden="1" customHeight="1" thickBot="1">
      <c r="A619" s="1534"/>
      <c r="B619" s="1316" t="str">
        <f t="shared" si="147"/>
        <v>Pemasangan  (Full Aksesoris)</v>
      </c>
      <c r="C619" s="1803"/>
      <c r="D619" s="1707" t="e">
        <f t="shared" si="141"/>
        <v>#N/A</v>
      </c>
      <c r="E619" s="1708">
        <f>'KUSEN PINTU'!G90</f>
        <v>0</v>
      </c>
      <c r="F619" s="1336" t="s">
        <v>80</v>
      </c>
      <c r="G619" s="1338">
        <f t="shared" si="148"/>
        <v>0</v>
      </c>
      <c r="H619" s="1338">
        <f t="shared" si="151"/>
        <v>250000</v>
      </c>
      <c r="I619" s="1338">
        <f t="shared" si="149"/>
        <v>250000</v>
      </c>
      <c r="J619" s="1338">
        <f t="shared" si="144"/>
        <v>0</v>
      </c>
      <c r="K619" s="1338">
        <f t="shared" si="145"/>
        <v>0</v>
      </c>
      <c r="L619" s="1530">
        <f t="shared" si="146"/>
        <v>0</v>
      </c>
      <c r="AB619" s="1221"/>
    </row>
    <row r="620" spans="1:28" ht="18" hidden="1" customHeight="1" thickTop="1" thickBot="1">
      <c r="A620" s="2675" t="s">
        <v>81</v>
      </c>
      <c r="B620" s="2676"/>
      <c r="C620" s="2676"/>
      <c r="D620" s="2676"/>
      <c r="E620" s="2676"/>
      <c r="F620" s="2676"/>
      <c r="G620" s="2676"/>
      <c r="H620" s="2356"/>
      <c r="I620" s="2356"/>
      <c r="J620" s="1542">
        <f>SUM(J591:J619)</f>
        <v>0</v>
      </c>
      <c r="K620" s="1542">
        <f>SUM(K591:K619)</f>
        <v>0</v>
      </c>
      <c r="L620" s="1340">
        <f>SUM(L591:L619)</f>
        <v>0</v>
      </c>
      <c r="M620" s="1300">
        <v>1</v>
      </c>
      <c r="N620" s="1300">
        <v>41</v>
      </c>
      <c r="AB620" s="1221"/>
    </row>
    <row r="621" spans="1:28" ht="18" customHeight="1" thickTop="1">
      <c r="A621" s="1379" t="s">
        <v>82</v>
      </c>
      <c r="B621" s="2639" t="s">
        <v>1634</v>
      </c>
      <c r="C621" s="2550"/>
      <c r="D621" s="2551"/>
      <c r="E621" s="1569"/>
      <c r="F621" s="1569"/>
      <c r="G621" s="1569"/>
      <c r="H621" s="2551"/>
      <c r="I621" s="2551"/>
      <c r="J621" s="2551"/>
      <c r="K621" s="2551"/>
      <c r="L621" s="1570"/>
      <c r="N621" s="1300">
        <v>42</v>
      </c>
      <c r="AB621" s="1583"/>
    </row>
    <row r="622" spans="1:28" ht="18" customHeight="1">
      <c r="A622" s="1367">
        <v>1</v>
      </c>
      <c r="B622" s="1905" t="s">
        <v>1528</v>
      </c>
      <c r="C622" s="1710"/>
      <c r="D622" s="1709" t="s">
        <v>1641</v>
      </c>
      <c r="E622" s="1526">
        <f>'KUSEN PINTU'!C95</f>
        <v>25</v>
      </c>
      <c r="F622" s="1873" t="s">
        <v>88</v>
      </c>
      <c r="G622" s="1910">
        <v>0</v>
      </c>
      <c r="H622" s="1911">
        <v>0</v>
      </c>
      <c r="I622" s="1338">
        <f>G622+H622</f>
        <v>0</v>
      </c>
      <c r="J622" s="1338">
        <f>E622*G622</f>
        <v>0</v>
      </c>
      <c r="K622" s="1338">
        <f>E622*H622</f>
        <v>0</v>
      </c>
      <c r="L622" s="1530">
        <f>J622+K622</f>
        <v>0</v>
      </c>
      <c r="AB622" s="1583"/>
    </row>
    <row r="623" spans="1:28" ht="18" hidden="1" customHeight="1">
      <c r="A623" s="1367">
        <v>2</v>
      </c>
      <c r="B623" s="1905" t="s">
        <v>1529</v>
      </c>
      <c r="C623" s="1710"/>
      <c r="D623" s="1709" t="s">
        <v>1641</v>
      </c>
      <c r="E623" s="1526">
        <f>'KUSEN PINTU'!C96</f>
        <v>0</v>
      </c>
      <c r="F623" s="1873" t="s">
        <v>88</v>
      </c>
      <c r="G623" s="1910">
        <v>0</v>
      </c>
      <c r="H623" s="1911">
        <v>0</v>
      </c>
      <c r="I623" s="1338">
        <f t="shared" ref="I623:I630" si="152">G623+H623</f>
        <v>0</v>
      </c>
      <c r="J623" s="1338">
        <f t="shared" ref="J623:J630" si="153">E623*G623</f>
        <v>0</v>
      </c>
      <c r="K623" s="1338">
        <f t="shared" ref="K623:K630" si="154">E623*H623</f>
        <v>0</v>
      </c>
      <c r="L623" s="1530">
        <f t="shared" ref="L623:L630" si="155">J623+K623</f>
        <v>0</v>
      </c>
    </row>
    <row r="624" spans="1:28" ht="18" customHeight="1">
      <c r="A624" s="1367">
        <v>2</v>
      </c>
      <c r="B624" s="1905" t="s">
        <v>611</v>
      </c>
      <c r="C624" s="1710"/>
      <c r="D624" s="1709" t="s">
        <v>1641</v>
      </c>
      <c r="E624" s="1526">
        <f>'KUSEN PINTU'!C97</f>
        <v>62</v>
      </c>
      <c r="F624" s="1873" t="s">
        <v>88</v>
      </c>
      <c r="G624" s="1910">
        <v>0</v>
      </c>
      <c r="H624" s="1911">
        <v>0</v>
      </c>
      <c r="I624" s="1338">
        <f t="shared" si="152"/>
        <v>0</v>
      </c>
      <c r="J624" s="1338">
        <f t="shared" si="153"/>
        <v>0</v>
      </c>
      <c r="K624" s="1338">
        <f t="shared" si="154"/>
        <v>0</v>
      </c>
      <c r="L624" s="1530">
        <f t="shared" si="155"/>
        <v>0</v>
      </c>
    </row>
    <row r="625" spans="1:28" ht="18" hidden="1" customHeight="1">
      <c r="A625" s="1367"/>
      <c r="B625" s="1905" t="s">
        <v>2222</v>
      </c>
      <c r="C625" s="1710"/>
      <c r="D625" s="1709" t="s">
        <v>1641</v>
      </c>
      <c r="E625" s="1526">
        <f>'KUSEN PINTU'!C98</f>
        <v>0</v>
      </c>
      <c r="F625" s="1873" t="s">
        <v>152</v>
      </c>
      <c r="G625" s="1910">
        <v>0</v>
      </c>
      <c r="H625" s="1911">
        <v>0</v>
      </c>
      <c r="I625" s="1338">
        <f t="shared" si="152"/>
        <v>0</v>
      </c>
      <c r="J625" s="1338">
        <f t="shared" si="153"/>
        <v>0</v>
      </c>
      <c r="K625" s="1338">
        <f t="shared" si="154"/>
        <v>0</v>
      </c>
      <c r="L625" s="1530">
        <f t="shared" si="155"/>
        <v>0</v>
      </c>
    </row>
    <row r="626" spans="1:28" ht="18" customHeight="1">
      <c r="A626" s="1367">
        <v>3</v>
      </c>
      <c r="B626" s="1905" t="s">
        <v>1642</v>
      </c>
      <c r="C626" s="1710"/>
      <c r="D626" s="1709" t="s">
        <v>1641</v>
      </c>
      <c r="E626" s="1526">
        <f>'KUSEN PINTU'!C99</f>
        <v>102</v>
      </c>
      <c r="F626" s="1873" t="s">
        <v>152</v>
      </c>
      <c r="G626" s="1910">
        <v>0</v>
      </c>
      <c r="H626" s="1911">
        <v>0</v>
      </c>
      <c r="I626" s="1338">
        <f t="shared" si="152"/>
        <v>0</v>
      </c>
      <c r="J626" s="1338">
        <f t="shared" si="153"/>
        <v>0</v>
      </c>
      <c r="K626" s="1338">
        <f t="shared" si="154"/>
        <v>0</v>
      </c>
      <c r="L626" s="1530">
        <f t="shared" si="155"/>
        <v>0</v>
      </c>
    </row>
    <row r="627" spans="1:28" ht="18" hidden="1" customHeight="1">
      <c r="A627" s="1367">
        <v>4</v>
      </c>
      <c r="B627" s="1905" t="s">
        <v>2223</v>
      </c>
      <c r="C627" s="1710"/>
      <c r="D627" s="1709" t="s">
        <v>1641</v>
      </c>
      <c r="E627" s="1526">
        <f>'KUSEN PINTU'!C100</f>
        <v>0</v>
      </c>
      <c r="F627" s="1873" t="s">
        <v>152</v>
      </c>
      <c r="G627" s="1910">
        <v>0</v>
      </c>
      <c r="H627" s="1911">
        <v>0</v>
      </c>
      <c r="I627" s="1338">
        <f t="shared" si="152"/>
        <v>0</v>
      </c>
      <c r="J627" s="1338">
        <f t="shared" si="153"/>
        <v>0</v>
      </c>
      <c r="K627" s="1338">
        <f t="shared" si="154"/>
        <v>0</v>
      </c>
      <c r="L627" s="1530">
        <f t="shared" si="155"/>
        <v>0</v>
      </c>
      <c r="AB627" s="1221"/>
    </row>
    <row r="628" spans="1:28" ht="18" customHeight="1">
      <c r="A628" s="1367">
        <v>4</v>
      </c>
      <c r="B628" s="1905" t="s">
        <v>1643</v>
      </c>
      <c r="C628" s="1710"/>
      <c r="D628" s="1709" t="s">
        <v>1641</v>
      </c>
      <c r="E628" s="1526">
        <f>'KUSEN PINTU'!C101</f>
        <v>56</v>
      </c>
      <c r="F628" s="1873" t="s">
        <v>152</v>
      </c>
      <c r="G628" s="1910">
        <v>0</v>
      </c>
      <c r="H628" s="1911">
        <v>0</v>
      </c>
      <c r="I628" s="1338">
        <f t="shared" si="152"/>
        <v>0</v>
      </c>
      <c r="J628" s="1338">
        <f t="shared" si="153"/>
        <v>0</v>
      </c>
      <c r="K628" s="1338">
        <f t="shared" si="154"/>
        <v>0</v>
      </c>
      <c r="L628" s="1530">
        <f t="shared" si="155"/>
        <v>0</v>
      </c>
      <c r="AB628" s="1221"/>
    </row>
    <row r="629" spans="1:28" ht="18" hidden="1" customHeight="1">
      <c r="A629" s="1367"/>
      <c r="B629" s="1905" t="s">
        <v>1530</v>
      </c>
      <c r="C629" s="1710"/>
      <c r="D629" s="1709" t="s">
        <v>1641</v>
      </c>
      <c r="E629" s="1526">
        <f>'KUSEN PINTU'!C102</f>
        <v>0</v>
      </c>
      <c r="F629" s="1873" t="s">
        <v>152</v>
      </c>
      <c r="G629" s="1910">
        <v>0</v>
      </c>
      <c r="H629" s="1911">
        <v>0</v>
      </c>
      <c r="I629" s="1338">
        <f t="shared" si="152"/>
        <v>0</v>
      </c>
      <c r="J629" s="1338">
        <f t="shared" si="153"/>
        <v>0</v>
      </c>
      <c r="K629" s="1338">
        <f t="shared" si="154"/>
        <v>0</v>
      </c>
      <c r="L629" s="1530">
        <f t="shared" si="155"/>
        <v>0</v>
      </c>
      <c r="AB629" s="1221"/>
    </row>
    <row r="630" spans="1:28" ht="18" hidden="1" customHeight="1">
      <c r="A630" s="1367"/>
      <c r="B630" s="1905" t="s">
        <v>2224</v>
      </c>
      <c r="C630" s="1710"/>
      <c r="D630" s="1709" t="s">
        <v>1641</v>
      </c>
      <c r="E630" s="1526">
        <f>'KUSEN PINTU'!C103</f>
        <v>0</v>
      </c>
      <c r="F630" s="1873" t="s">
        <v>88</v>
      </c>
      <c r="G630" s="1910">
        <v>0</v>
      </c>
      <c r="H630" s="1911">
        <v>0</v>
      </c>
      <c r="I630" s="1338">
        <f t="shared" si="152"/>
        <v>0</v>
      </c>
      <c r="J630" s="1338">
        <f t="shared" si="153"/>
        <v>0</v>
      </c>
      <c r="K630" s="1338">
        <f t="shared" si="154"/>
        <v>0</v>
      </c>
      <c r="L630" s="1530">
        <f t="shared" si="155"/>
        <v>0</v>
      </c>
      <c r="AB630" s="1221"/>
    </row>
    <row r="631" spans="1:28" ht="18" hidden="1" customHeight="1">
      <c r="A631" s="1367"/>
      <c r="B631" s="1905" t="s">
        <v>2225</v>
      </c>
      <c r="C631" s="1710"/>
      <c r="D631" s="1709" t="s">
        <v>1641</v>
      </c>
      <c r="E631" s="1526">
        <f>'KUSEN PINTU'!C104</f>
        <v>0</v>
      </c>
      <c r="F631" s="1873" t="s">
        <v>88</v>
      </c>
      <c r="G631" s="1910">
        <v>0</v>
      </c>
      <c r="H631" s="1911">
        <v>0</v>
      </c>
      <c r="I631" s="1338">
        <f>G631+H631</f>
        <v>0</v>
      </c>
      <c r="J631" s="1338">
        <f>E631*G631</f>
        <v>0</v>
      </c>
      <c r="K631" s="1338">
        <f>E631*H631</f>
        <v>0</v>
      </c>
      <c r="L631" s="1530">
        <f>J631+K631</f>
        <v>0</v>
      </c>
      <c r="AB631" s="1221"/>
    </row>
    <row r="632" spans="1:28" ht="18" hidden="1" customHeight="1">
      <c r="A632" s="1367">
        <v>6</v>
      </c>
      <c r="B632" s="1905" t="s">
        <v>1700</v>
      </c>
      <c r="C632" s="1710"/>
      <c r="D632" s="1709" t="s">
        <v>1641</v>
      </c>
      <c r="E632" s="1526">
        <f>'KUSEN PINTU'!C105</f>
        <v>0</v>
      </c>
      <c r="F632" s="1873" t="s">
        <v>88</v>
      </c>
      <c r="G632" s="1910">
        <v>0</v>
      </c>
      <c r="H632" s="1911">
        <v>0</v>
      </c>
      <c r="I632" s="1338">
        <f>G632+H632</f>
        <v>0</v>
      </c>
      <c r="J632" s="1338">
        <f>E632*G632</f>
        <v>0</v>
      </c>
      <c r="K632" s="1338">
        <f>E632*H632</f>
        <v>0</v>
      </c>
      <c r="L632" s="1530">
        <f>J632+K632</f>
        <v>0</v>
      </c>
      <c r="AB632" s="1221"/>
    </row>
    <row r="633" spans="1:28" ht="18" customHeight="1">
      <c r="A633" s="1367">
        <v>5</v>
      </c>
      <c r="B633" s="1905" t="s">
        <v>1644</v>
      </c>
      <c r="C633" s="1713"/>
      <c r="D633" s="1712" t="s">
        <v>1641</v>
      </c>
      <c r="E633" s="1526">
        <f>'KUSEN PINTU'!C106</f>
        <v>19</v>
      </c>
      <c r="F633" s="1873" t="s">
        <v>152</v>
      </c>
      <c r="G633" s="1910">
        <v>0</v>
      </c>
      <c r="H633" s="1911">
        <v>0</v>
      </c>
      <c r="I633" s="1526">
        <f>G633+H633</f>
        <v>0</v>
      </c>
      <c r="J633" s="1526">
        <f>E633*G633</f>
        <v>0</v>
      </c>
      <c r="K633" s="1526">
        <f>E633*H633</f>
        <v>0</v>
      </c>
      <c r="L633" s="1530">
        <f>J633+K633</f>
        <v>0</v>
      </c>
    </row>
    <row r="634" spans="1:28" ht="18" customHeight="1" thickBot="1">
      <c r="A634" s="1367">
        <v>6</v>
      </c>
      <c r="B634" s="1714" t="s">
        <v>1467</v>
      </c>
      <c r="C634" s="1715"/>
      <c r="D634" s="1714" t="s">
        <v>1641</v>
      </c>
      <c r="E634" s="1526">
        <f>'KUSEN PINTU'!C107</f>
        <v>12</v>
      </c>
      <c r="F634" s="1906" t="s">
        <v>152</v>
      </c>
      <c r="G634" s="1910">
        <v>0</v>
      </c>
      <c r="H634" s="1911">
        <v>0</v>
      </c>
      <c r="I634" s="1350">
        <f>G634+H634</f>
        <v>0</v>
      </c>
      <c r="J634" s="1350">
        <f>E634*G634</f>
        <v>0</v>
      </c>
      <c r="K634" s="1350">
        <f>E634*H634</f>
        <v>0</v>
      </c>
      <c r="L634" s="1538">
        <f>J634+K634</f>
        <v>0</v>
      </c>
    </row>
    <row r="635" spans="1:28" ht="18" customHeight="1" thickTop="1" thickBot="1">
      <c r="A635" s="2675" t="s">
        <v>1638</v>
      </c>
      <c r="B635" s="2676"/>
      <c r="C635" s="2676"/>
      <c r="D635" s="2676"/>
      <c r="E635" s="2676"/>
      <c r="F635" s="2676"/>
      <c r="G635" s="2676"/>
      <c r="H635" s="1705"/>
      <c r="I635" s="1705"/>
      <c r="J635" s="1542">
        <f>SUM(J622:J634)</f>
        <v>0</v>
      </c>
      <c r="K635" s="1542">
        <f>SUM(K622:K634)</f>
        <v>0</v>
      </c>
      <c r="L635" s="1340">
        <f>SUM(L622:L634)</f>
        <v>0</v>
      </c>
      <c r="M635" s="1300">
        <v>1</v>
      </c>
      <c r="N635" s="1300">
        <v>43</v>
      </c>
    </row>
    <row r="636" spans="1:28" ht="18" customHeight="1" thickTop="1">
      <c r="A636" s="1379" t="s">
        <v>95</v>
      </c>
      <c r="B636" s="2640" t="s">
        <v>83</v>
      </c>
      <c r="C636" s="1343"/>
      <c r="D636" s="1330"/>
      <c r="E636" s="1330"/>
      <c r="F636" s="1346"/>
      <c r="G636" s="1345"/>
      <c r="H636" s="1330"/>
      <c r="I636" s="1330"/>
      <c r="J636" s="1330"/>
      <c r="K636" s="1330"/>
      <c r="L636" s="1331"/>
      <c r="N636" s="1300">
        <v>44</v>
      </c>
      <c r="AB636" s="1583"/>
    </row>
    <row r="637" spans="1:28" ht="18" customHeight="1">
      <c r="A637" s="2322" t="s">
        <v>42</v>
      </c>
      <c r="B637" s="1374" t="s">
        <v>74</v>
      </c>
      <c r="C637" s="1375"/>
      <c r="D637" s="2058"/>
      <c r="E637" s="2058"/>
      <c r="F637" s="1376"/>
      <c r="G637" s="1377"/>
      <c r="H637" s="1351"/>
      <c r="I637" s="1351"/>
      <c r="J637" s="1351"/>
      <c r="K637" s="1351"/>
      <c r="L637" s="1562"/>
      <c r="N637" s="1300">
        <v>45</v>
      </c>
      <c r="P637" s="1300" t="s">
        <v>1568</v>
      </c>
      <c r="AB637" s="1583"/>
    </row>
    <row r="638" spans="1:28" ht="18" customHeight="1">
      <c r="A638" s="1371">
        <v>1</v>
      </c>
      <c r="B638" s="1316" t="s">
        <v>2183</v>
      </c>
      <c r="C638" s="1334"/>
      <c r="D638" s="1316" t="s">
        <v>1622</v>
      </c>
      <c r="E638" s="2057">
        <f>SUM(E654:E656,E658:E660)*'INSTALASI AIR'!$B$5*1.1</f>
        <v>99.000000000000014</v>
      </c>
      <c r="F638" s="1336" t="s">
        <v>22</v>
      </c>
      <c r="G638" s="1872">
        <v>0</v>
      </c>
      <c r="H638" s="1872">
        <v>0</v>
      </c>
      <c r="I638" s="1338">
        <f>G638+H638</f>
        <v>0</v>
      </c>
      <c r="J638" s="1338">
        <f>E638*G638</f>
        <v>0</v>
      </c>
      <c r="K638" s="1338">
        <f>E638*H638</f>
        <v>0</v>
      </c>
      <c r="L638" s="1530">
        <f>J638+K638</f>
        <v>0</v>
      </c>
      <c r="P638" s="1939">
        <f t="shared" ref="P638:P652" si="156">E638+E681+E719+E797</f>
        <v>99.000000000000014</v>
      </c>
    </row>
    <row r="639" spans="1:28" ht="18" customHeight="1">
      <c r="A639" s="1371">
        <v>2</v>
      </c>
      <c r="B639" s="1316" t="s">
        <v>2184</v>
      </c>
      <c r="C639" s="1334"/>
      <c r="D639" s="1316" t="s">
        <v>1622</v>
      </c>
      <c r="E639" s="1526">
        <f>32.16*1.1</f>
        <v>35.375999999999998</v>
      </c>
      <c r="F639" s="1336" t="s">
        <v>22</v>
      </c>
      <c r="G639" s="1872">
        <v>0</v>
      </c>
      <c r="H639" s="1872">
        <v>0</v>
      </c>
      <c r="I639" s="1338">
        <f t="shared" ref="I639:I677" si="157">G639+H639</f>
        <v>0</v>
      </c>
      <c r="J639" s="1338">
        <f>E639*G639</f>
        <v>0</v>
      </c>
      <c r="K639" s="1338">
        <f>E639*H639</f>
        <v>0</v>
      </c>
      <c r="L639" s="1530">
        <f>J639+K639</f>
        <v>0</v>
      </c>
      <c r="P639" s="1939">
        <f t="shared" si="156"/>
        <v>35.375999999999998</v>
      </c>
    </row>
    <row r="640" spans="1:28" ht="18" customHeight="1">
      <c r="A640" s="1371">
        <v>3</v>
      </c>
      <c r="B640" s="1316" t="s">
        <v>2185</v>
      </c>
      <c r="C640" s="1334"/>
      <c r="D640" s="1316" t="s">
        <v>1622</v>
      </c>
      <c r="E640" s="1526">
        <v>135</v>
      </c>
      <c r="F640" s="1336" t="s">
        <v>22</v>
      </c>
      <c r="G640" s="1872">
        <v>0</v>
      </c>
      <c r="H640" s="1872">
        <v>0</v>
      </c>
      <c r="I640" s="1338">
        <f t="shared" si="157"/>
        <v>0</v>
      </c>
      <c r="J640" s="1338">
        <f>E639*G640</f>
        <v>0</v>
      </c>
      <c r="K640" s="1338">
        <f>E639*H640</f>
        <v>0</v>
      </c>
      <c r="L640" s="1530">
        <f t="shared" ref="L640:L672" si="158">J640+K640</f>
        <v>0</v>
      </c>
      <c r="P640" s="1939">
        <f t="shared" si="156"/>
        <v>135</v>
      </c>
    </row>
    <row r="641" spans="1:28" ht="18" hidden="1" customHeight="1">
      <c r="A641" s="1371"/>
      <c r="B641" s="1316" t="s">
        <v>2304</v>
      </c>
      <c r="C641" s="1334"/>
      <c r="D641" s="1316" t="s">
        <v>1622</v>
      </c>
      <c r="E641" s="1526"/>
      <c r="F641" s="1336" t="s">
        <v>22</v>
      </c>
      <c r="G641" s="1872">
        <v>0</v>
      </c>
      <c r="H641" s="1872">
        <v>0</v>
      </c>
      <c r="I641" s="1338">
        <f>G641+H641</f>
        <v>0</v>
      </c>
      <c r="J641" s="1338">
        <f>E640*G641</f>
        <v>0</v>
      </c>
      <c r="K641" s="1338">
        <f>E640*H641</f>
        <v>0</v>
      </c>
      <c r="L641" s="1530">
        <f>J641+K641</f>
        <v>0</v>
      </c>
      <c r="P641" s="1939">
        <f t="shared" si="156"/>
        <v>0</v>
      </c>
    </row>
    <row r="642" spans="1:28" ht="18" customHeight="1">
      <c r="A642" s="1371">
        <v>4</v>
      </c>
      <c r="B642" s="1316" t="s">
        <v>2186</v>
      </c>
      <c r="C642" s="1334"/>
      <c r="D642" s="1316" t="s">
        <v>1622</v>
      </c>
      <c r="E642" s="1526">
        <v>17</v>
      </c>
      <c r="F642" s="1336" t="s">
        <v>22</v>
      </c>
      <c r="G642" s="1872">
        <v>0</v>
      </c>
      <c r="H642" s="1872">
        <v>0</v>
      </c>
      <c r="I642" s="1338">
        <f t="shared" si="157"/>
        <v>0</v>
      </c>
      <c r="J642" s="1338">
        <f t="shared" ref="J642:J672" si="159">E642*G642</f>
        <v>0</v>
      </c>
      <c r="K642" s="1338">
        <f t="shared" ref="K642:K672" si="160">E642*H642</f>
        <v>0</v>
      </c>
      <c r="L642" s="1530">
        <f t="shared" si="158"/>
        <v>0</v>
      </c>
      <c r="P642" s="1554">
        <f t="shared" si="156"/>
        <v>17</v>
      </c>
      <c r="AB642" s="1583"/>
    </row>
    <row r="643" spans="1:28" ht="18" hidden="1" customHeight="1">
      <c r="A643" s="1371"/>
      <c r="B643" s="1316" t="s">
        <v>1720</v>
      </c>
      <c r="C643" s="1369"/>
      <c r="D643" s="1316" t="s">
        <v>1622</v>
      </c>
      <c r="E643" s="1526"/>
      <c r="F643" s="1336" t="s">
        <v>22</v>
      </c>
      <c r="G643" s="1872">
        <v>0</v>
      </c>
      <c r="H643" s="1872">
        <v>0</v>
      </c>
      <c r="I643" s="1338">
        <f t="shared" si="157"/>
        <v>0</v>
      </c>
      <c r="J643" s="1338">
        <f t="shared" si="159"/>
        <v>0</v>
      </c>
      <c r="K643" s="1338">
        <f t="shared" si="160"/>
        <v>0</v>
      </c>
      <c r="L643" s="1530">
        <f t="shared" si="158"/>
        <v>0</v>
      </c>
      <c r="P643" s="1939">
        <f t="shared" si="156"/>
        <v>0</v>
      </c>
    </row>
    <row r="644" spans="1:28" ht="18" customHeight="1">
      <c r="A644" s="1371">
        <v>5</v>
      </c>
      <c r="B644" s="1316" t="s">
        <v>2182</v>
      </c>
      <c r="C644" s="1334"/>
      <c r="D644" s="1316" t="s">
        <v>1622</v>
      </c>
      <c r="E644" s="1526">
        <v>64</v>
      </c>
      <c r="F644" s="1336" t="s">
        <v>22</v>
      </c>
      <c r="G644" s="1872">
        <v>0</v>
      </c>
      <c r="H644" s="1872">
        <v>0</v>
      </c>
      <c r="I644" s="1338">
        <f t="shared" si="157"/>
        <v>0</v>
      </c>
      <c r="J644" s="1338">
        <f t="shared" si="159"/>
        <v>0</v>
      </c>
      <c r="K644" s="1338">
        <f t="shared" si="160"/>
        <v>0</v>
      </c>
      <c r="L644" s="1530">
        <f t="shared" si="158"/>
        <v>0</v>
      </c>
      <c r="P644" s="1939">
        <f t="shared" si="156"/>
        <v>64</v>
      </c>
    </row>
    <row r="645" spans="1:28" ht="18" customHeight="1">
      <c r="A645" s="1371">
        <v>6</v>
      </c>
      <c r="B645" s="1372" t="s">
        <v>2181</v>
      </c>
      <c r="C645" s="1525"/>
      <c r="D645" s="1316" t="s">
        <v>2644</v>
      </c>
      <c r="E645" s="1526">
        <v>307</v>
      </c>
      <c r="F645" s="1527" t="s">
        <v>22</v>
      </c>
      <c r="G645" s="1872">
        <v>0</v>
      </c>
      <c r="H645" s="1872">
        <v>0</v>
      </c>
      <c r="I645" s="1526">
        <f t="shared" si="157"/>
        <v>0</v>
      </c>
      <c r="J645" s="1526">
        <f t="shared" si="159"/>
        <v>0</v>
      </c>
      <c r="K645" s="1526">
        <f t="shared" si="160"/>
        <v>0</v>
      </c>
      <c r="L645" s="1530">
        <f t="shared" si="158"/>
        <v>0</v>
      </c>
      <c r="P645" s="1939">
        <f t="shared" si="156"/>
        <v>307</v>
      </c>
    </row>
    <row r="646" spans="1:28" ht="18" customHeight="1">
      <c r="A646" s="1371">
        <v>7</v>
      </c>
      <c r="B646" s="1372" t="s">
        <v>2180</v>
      </c>
      <c r="C646" s="1525"/>
      <c r="D646" s="1316" t="s">
        <v>2644</v>
      </c>
      <c r="E646" s="1526">
        <v>9.1</v>
      </c>
      <c r="F646" s="1527" t="s">
        <v>22</v>
      </c>
      <c r="G646" s="1872">
        <v>0</v>
      </c>
      <c r="H646" s="1872">
        <v>0</v>
      </c>
      <c r="I646" s="1526">
        <f t="shared" si="157"/>
        <v>0</v>
      </c>
      <c r="J646" s="1526">
        <f t="shared" si="159"/>
        <v>0</v>
      </c>
      <c r="K646" s="1526">
        <f t="shared" si="160"/>
        <v>0</v>
      </c>
      <c r="L646" s="1530">
        <f t="shared" si="158"/>
        <v>0</v>
      </c>
      <c r="P646" s="1939">
        <f t="shared" si="156"/>
        <v>9.1</v>
      </c>
    </row>
    <row r="647" spans="1:28" ht="18" hidden="1" customHeight="1">
      <c r="A647" s="1371"/>
      <c r="B647" s="1316" t="s">
        <v>2179</v>
      </c>
      <c r="C647" s="1334"/>
      <c r="D647" s="1316" t="s">
        <v>1623</v>
      </c>
      <c r="E647" s="1526"/>
      <c r="F647" s="1336" t="s">
        <v>22</v>
      </c>
      <c r="G647" s="1872">
        <v>0</v>
      </c>
      <c r="H647" s="1872">
        <v>0</v>
      </c>
      <c r="I647" s="1338">
        <f>G647+H647</f>
        <v>0</v>
      </c>
      <c r="J647" s="1338">
        <f>E647*G647</f>
        <v>0</v>
      </c>
      <c r="K647" s="1338">
        <f>E647*H647</f>
        <v>0</v>
      </c>
      <c r="L647" s="1530">
        <f>J647+K647</f>
        <v>0</v>
      </c>
      <c r="P647" s="1939">
        <f t="shared" si="156"/>
        <v>0</v>
      </c>
    </row>
    <row r="648" spans="1:28" ht="18" hidden="1" customHeight="1">
      <c r="A648" s="1371"/>
      <c r="B648" s="1316" t="s">
        <v>2178</v>
      </c>
      <c r="C648" s="1334"/>
      <c r="D648" s="1316" t="s">
        <v>1623</v>
      </c>
      <c r="E648" s="1526"/>
      <c r="F648" s="1336" t="s">
        <v>22</v>
      </c>
      <c r="G648" s="1872">
        <v>0</v>
      </c>
      <c r="H648" s="1872">
        <v>0</v>
      </c>
      <c r="I648" s="1338">
        <f>G648+H648</f>
        <v>0</v>
      </c>
      <c r="J648" s="1338">
        <f>E648*G648</f>
        <v>0</v>
      </c>
      <c r="K648" s="1338">
        <f>E648*H648</f>
        <v>0</v>
      </c>
      <c r="L648" s="1530">
        <f>J648+K648</f>
        <v>0</v>
      </c>
      <c r="P648" s="1939">
        <f t="shared" si="156"/>
        <v>0</v>
      </c>
    </row>
    <row r="649" spans="1:28" ht="18" hidden="1" customHeight="1">
      <c r="A649" s="1371"/>
      <c r="B649" s="1316" t="s">
        <v>2312</v>
      </c>
      <c r="C649" s="1334"/>
      <c r="D649" s="1316" t="s">
        <v>1623</v>
      </c>
      <c r="E649" s="1526">
        <f>0*'INSTALASI AIR'!$B$4*1.1</f>
        <v>0</v>
      </c>
      <c r="F649" s="1336" t="s">
        <v>22</v>
      </c>
      <c r="G649" s="1872">
        <v>0</v>
      </c>
      <c r="H649" s="1872">
        <v>0</v>
      </c>
      <c r="I649" s="1338">
        <f>G649+H649</f>
        <v>0</v>
      </c>
      <c r="J649" s="1338">
        <f>E649*G649</f>
        <v>0</v>
      </c>
      <c r="K649" s="1338">
        <f>E649*H649</f>
        <v>0</v>
      </c>
      <c r="L649" s="1530">
        <f>J649+K649</f>
        <v>0</v>
      </c>
      <c r="P649" s="1939">
        <f t="shared" si="156"/>
        <v>0</v>
      </c>
    </row>
    <row r="650" spans="1:28" ht="18" customHeight="1">
      <c r="A650" s="1371">
        <v>8</v>
      </c>
      <c r="B650" s="1316" t="s">
        <v>85</v>
      </c>
      <c r="C650" s="1334"/>
      <c r="D650" s="1316"/>
      <c r="E650" s="1526">
        <v>1</v>
      </c>
      <c r="F650" s="1336" t="s">
        <v>21</v>
      </c>
      <c r="G650" s="1872">
        <v>0</v>
      </c>
      <c r="H650" s="1872">
        <v>0</v>
      </c>
      <c r="I650" s="1338">
        <f t="shared" si="157"/>
        <v>0</v>
      </c>
      <c r="J650" s="1338">
        <f t="shared" si="159"/>
        <v>0</v>
      </c>
      <c r="K650" s="1338">
        <f t="shared" si="160"/>
        <v>0</v>
      </c>
      <c r="L650" s="1530">
        <f t="shared" si="158"/>
        <v>0</v>
      </c>
      <c r="P650" s="1939">
        <f t="shared" si="156"/>
        <v>1</v>
      </c>
    </row>
    <row r="651" spans="1:28" ht="18" hidden="1" customHeight="1">
      <c r="A651" s="1371"/>
      <c r="B651" s="1316" t="s">
        <v>86</v>
      </c>
      <c r="C651" s="1334"/>
      <c r="D651" s="1316" t="s">
        <v>87</v>
      </c>
      <c r="E651" s="1526"/>
      <c r="F651" s="1336" t="s">
        <v>80</v>
      </c>
      <c r="G651" s="1872">
        <v>0</v>
      </c>
      <c r="H651" s="1872">
        <v>0</v>
      </c>
      <c r="I651" s="1338">
        <f t="shared" si="157"/>
        <v>0</v>
      </c>
      <c r="J651" s="1338">
        <f t="shared" si="159"/>
        <v>0</v>
      </c>
      <c r="K651" s="1338">
        <f t="shared" si="160"/>
        <v>0</v>
      </c>
      <c r="L651" s="1530">
        <f t="shared" si="158"/>
        <v>0</v>
      </c>
      <c r="P651" s="1939">
        <f t="shared" si="156"/>
        <v>0</v>
      </c>
    </row>
    <row r="652" spans="1:28" ht="18" customHeight="1">
      <c r="A652" s="1371">
        <v>9</v>
      </c>
      <c r="B652" s="1316" t="s">
        <v>1719</v>
      </c>
      <c r="C652" s="1334"/>
      <c r="D652" s="1316" t="s">
        <v>87</v>
      </c>
      <c r="E652" s="1526">
        <v>1</v>
      </c>
      <c r="F652" s="1336" t="s">
        <v>80</v>
      </c>
      <c r="G652" s="1872">
        <v>0</v>
      </c>
      <c r="H652" s="1872">
        <v>0</v>
      </c>
      <c r="I652" s="1338">
        <f t="shared" si="157"/>
        <v>0</v>
      </c>
      <c r="J652" s="1338">
        <f t="shared" si="159"/>
        <v>0</v>
      </c>
      <c r="K652" s="1338">
        <f t="shared" si="160"/>
        <v>0</v>
      </c>
      <c r="L652" s="1530">
        <f t="shared" si="158"/>
        <v>0</v>
      </c>
      <c r="P652" s="1939">
        <f t="shared" si="156"/>
        <v>1</v>
      </c>
    </row>
    <row r="653" spans="1:28" ht="18" customHeight="1">
      <c r="A653" s="1371">
        <v>10</v>
      </c>
      <c r="B653" s="1316" t="s">
        <v>2374</v>
      </c>
      <c r="C653" s="1334"/>
      <c r="D653" s="1316" t="str">
        <f>BAHAN!$F$249</f>
        <v>Ex. Induro Biofil BF 03 AT. 1000 Liter</v>
      </c>
      <c r="E653" s="1526">
        <v>1</v>
      </c>
      <c r="F653" s="1336" t="s">
        <v>80</v>
      </c>
      <c r="G653" s="1872">
        <v>0</v>
      </c>
      <c r="H653" s="1872">
        <v>0</v>
      </c>
      <c r="I653" s="1338">
        <f>G653+H653</f>
        <v>0</v>
      </c>
      <c r="J653" s="1338">
        <f>E653*G653</f>
        <v>0</v>
      </c>
      <c r="K653" s="1338">
        <f>E653*H653</f>
        <v>0</v>
      </c>
      <c r="L653" s="1530">
        <f>J653+K653</f>
        <v>0</v>
      </c>
      <c r="P653" s="1939"/>
    </row>
    <row r="654" spans="1:28" ht="18" customHeight="1">
      <c r="A654" s="1371">
        <v>11</v>
      </c>
      <c r="B654" s="1316" t="s">
        <v>1383</v>
      </c>
      <c r="C654" s="1334"/>
      <c r="D654" s="1316" t="str">
        <f>BAHAN!$F$238</f>
        <v xml:space="preserve">Setara OULU KW1 W 288 </v>
      </c>
      <c r="E654" s="1526">
        <v>7</v>
      </c>
      <c r="F654" s="1336" t="s">
        <v>88</v>
      </c>
      <c r="G654" s="1872">
        <v>0</v>
      </c>
      <c r="H654" s="1872">
        <v>0</v>
      </c>
      <c r="I654" s="1338">
        <f t="shared" si="157"/>
        <v>0</v>
      </c>
      <c r="J654" s="1338">
        <f t="shared" si="159"/>
        <v>0</v>
      </c>
      <c r="K654" s="1338">
        <f t="shared" si="160"/>
        <v>0</v>
      </c>
      <c r="L654" s="1530">
        <f t="shared" si="158"/>
        <v>0</v>
      </c>
      <c r="P654" s="1939">
        <f t="shared" ref="P654:P667" si="161">E654+E696+E734+E812</f>
        <v>7</v>
      </c>
    </row>
    <row r="655" spans="1:28" ht="18" hidden="1" customHeight="1">
      <c r="A655" s="1371"/>
      <c r="B655" s="1316" t="s">
        <v>1384</v>
      </c>
      <c r="C655" s="1334"/>
      <c r="D655" s="1316" t="s">
        <v>2357</v>
      </c>
      <c r="E655" s="1526"/>
      <c r="F655" s="1336" t="s">
        <v>88</v>
      </c>
      <c r="G655" s="1872">
        <v>0</v>
      </c>
      <c r="H655" s="1872">
        <v>0</v>
      </c>
      <c r="I655" s="1338">
        <f t="shared" si="157"/>
        <v>0</v>
      </c>
      <c r="J655" s="1338">
        <f t="shared" si="159"/>
        <v>0</v>
      </c>
      <c r="K655" s="1338">
        <f t="shared" si="160"/>
        <v>0</v>
      </c>
      <c r="L655" s="1530">
        <f t="shared" si="158"/>
        <v>0</v>
      </c>
      <c r="P655" s="1939">
        <f t="shared" si="161"/>
        <v>0</v>
      </c>
    </row>
    <row r="656" spans="1:28" ht="18" customHeight="1">
      <c r="A656" s="1371">
        <v>12</v>
      </c>
      <c r="B656" s="1316" t="s">
        <v>89</v>
      </c>
      <c r="C656" s="1334"/>
      <c r="D656" s="1300" t="str">
        <f>BAHAN!$F$241</f>
        <v>Setara AMERICAN STANDARD MY WINSTON CCST</v>
      </c>
      <c r="E656" s="1526">
        <v>8</v>
      </c>
      <c r="F656" s="1336" t="s">
        <v>88</v>
      </c>
      <c r="G656" s="1872">
        <v>0</v>
      </c>
      <c r="H656" s="1872">
        <v>0</v>
      </c>
      <c r="I656" s="1338">
        <f t="shared" si="157"/>
        <v>0</v>
      </c>
      <c r="J656" s="1338">
        <f t="shared" si="159"/>
        <v>0</v>
      </c>
      <c r="K656" s="1338">
        <f t="shared" si="160"/>
        <v>0</v>
      </c>
      <c r="L656" s="1530">
        <f t="shared" si="158"/>
        <v>0</v>
      </c>
      <c r="P656" s="1939">
        <f t="shared" si="161"/>
        <v>8</v>
      </c>
    </row>
    <row r="657" spans="1:28" ht="18" hidden="1" customHeight="1">
      <c r="A657" s="1371"/>
      <c r="B657" s="1316" t="s">
        <v>201</v>
      </c>
      <c r="C657" s="1334"/>
      <c r="D657" s="1316" t="s">
        <v>200</v>
      </c>
      <c r="E657" s="1526"/>
      <c r="F657" s="1336" t="s">
        <v>88</v>
      </c>
      <c r="G657" s="1872">
        <v>0</v>
      </c>
      <c r="H657" s="1872">
        <v>0</v>
      </c>
      <c r="I657" s="1338">
        <f t="shared" si="157"/>
        <v>0</v>
      </c>
      <c r="J657" s="1338">
        <f t="shared" si="159"/>
        <v>0</v>
      </c>
      <c r="K657" s="1338">
        <f t="shared" si="160"/>
        <v>0</v>
      </c>
      <c r="L657" s="1530">
        <f t="shared" si="158"/>
        <v>0</v>
      </c>
      <c r="P657" s="1939">
        <f t="shared" si="161"/>
        <v>0</v>
      </c>
    </row>
    <row r="658" spans="1:28" ht="18" customHeight="1">
      <c r="A658" s="1371">
        <v>13</v>
      </c>
      <c r="B658" s="1316" t="s">
        <v>90</v>
      </c>
      <c r="C658" s="1334"/>
      <c r="D658" s="1316" t="str">
        <f>BAHAN!$F$236</f>
        <v xml:space="preserve">Setara American Standard Kran Bath and Shower type ART 2132 Mixer (panas - dingin) &amp;
Hand Shower </v>
      </c>
      <c r="E658" s="1526">
        <v>3</v>
      </c>
      <c r="F658" s="1336" t="s">
        <v>88</v>
      </c>
      <c r="G658" s="1872">
        <v>0</v>
      </c>
      <c r="H658" s="1872">
        <v>0</v>
      </c>
      <c r="I658" s="1338">
        <f t="shared" si="157"/>
        <v>0</v>
      </c>
      <c r="J658" s="1338">
        <f t="shared" si="159"/>
        <v>0</v>
      </c>
      <c r="K658" s="1338">
        <f t="shared" si="160"/>
        <v>0</v>
      </c>
      <c r="L658" s="1530">
        <f t="shared" si="158"/>
        <v>0</v>
      </c>
      <c r="P658" s="1939">
        <f t="shared" si="161"/>
        <v>3</v>
      </c>
    </row>
    <row r="659" spans="1:28" ht="18" customHeight="1">
      <c r="A659" s="1371">
        <v>14</v>
      </c>
      <c r="B659" s="1316" t="s">
        <v>91</v>
      </c>
      <c r="C659" s="1334"/>
      <c r="D659" s="1316" t="s">
        <v>1399</v>
      </c>
      <c r="E659" s="1526">
        <v>1</v>
      </c>
      <c r="F659" s="1336" t="s">
        <v>88</v>
      </c>
      <c r="G659" s="1872">
        <v>0</v>
      </c>
      <c r="H659" s="1872">
        <v>0</v>
      </c>
      <c r="I659" s="1338">
        <f t="shared" si="157"/>
        <v>0</v>
      </c>
      <c r="J659" s="1338">
        <f t="shared" si="159"/>
        <v>0</v>
      </c>
      <c r="K659" s="1338">
        <f t="shared" si="160"/>
        <v>0</v>
      </c>
      <c r="L659" s="1530">
        <f t="shared" si="158"/>
        <v>0</v>
      </c>
      <c r="P659" s="1939">
        <f t="shared" si="161"/>
        <v>1</v>
      </c>
    </row>
    <row r="660" spans="1:28" ht="18" customHeight="1">
      <c r="A660" s="1371">
        <v>15</v>
      </c>
      <c r="B660" s="1316" t="s">
        <v>2177</v>
      </c>
      <c r="C660" s="1334"/>
      <c r="D660" s="1316" t="str">
        <f>BAHAN!$F$234</f>
        <v>Setara  kran bak mdel toto</v>
      </c>
      <c r="E660" s="1526">
        <v>11</v>
      </c>
      <c r="F660" s="1336" t="s">
        <v>88</v>
      </c>
      <c r="G660" s="1872">
        <v>0</v>
      </c>
      <c r="H660" s="1872">
        <v>0</v>
      </c>
      <c r="I660" s="1338">
        <f t="shared" si="157"/>
        <v>0</v>
      </c>
      <c r="J660" s="1338">
        <f t="shared" si="159"/>
        <v>0</v>
      </c>
      <c r="K660" s="1338">
        <f t="shared" si="160"/>
        <v>0</v>
      </c>
      <c r="L660" s="1530">
        <f t="shared" si="158"/>
        <v>0</v>
      </c>
      <c r="P660" s="1939">
        <f t="shared" si="161"/>
        <v>11</v>
      </c>
    </row>
    <row r="661" spans="1:28" ht="18" hidden="1" customHeight="1">
      <c r="A661" s="1371">
        <v>15</v>
      </c>
      <c r="B661" s="1316" t="s">
        <v>1525</v>
      </c>
      <c r="C661" s="1334"/>
      <c r="D661" s="1316" t="s">
        <v>2541</v>
      </c>
      <c r="E661" s="1526">
        <v>0</v>
      </c>
      <c r="F661" s="1336" t="s">
        <v>88</v>
      </c>
      <c r="G661" s="1872">
        <v>0</v>
      </c>
      <c r="H661" s="1872">
        <v>0</v>
      </c>
      <c r="I661" s="1338">
        <f t="shared" si="157"/>
        <v>0</v>
      </c>
      <c r="J661" s="1338">
        <f t="shared" si="159"/>
        <v>0</v>
      </c>
      <c r="K661" s="1338">
        <f t="shared" si="160"/>
        <v>0</v>
      </c>
      <c r="L661" s="1530">
        <f t="shared" si="158"/>
        <v>0</v>
      </c>
      <c r="P661" s="1939">
        <f t="shared" si="161"/>
        <v>0</v>
      </c>
    </row>
    <row r="662" spans="1:28" ht="18" customHeight="1">
      <c r="A662" s="1371">
        <v>16</v>
      </c>
      <c r="B662" s="1316" t="s">
        <v>180</v>
      </c>
      <c r="C662" s="1334"/>
      <c r="D662" s="1316" t="s">
        <v>204</v>
      </c>
      <c r="E662" s="1526">
        <v>1</v>
      </c>
      <c r="F662" s="1336" t="s">
        <v>88</v>
      </c>
      <c r="G662" s="1872">
        <v>0</v>
      </c>
      <c r="H662" s="1872">
        <v>0</v>
      </c>
      <c r="I662" s="1338">
        <f t="shared" si="157"/>
        <v>0</v>
      </c>
      <c r="J662" s="1338">
        <f t="shared" si="159"/>
        <v>0</v>
      </c>
      <c r="K662" s="1338">
        <f t="shared" si="160"/>
        <v>0</v>
      </c>
      <c r="L662" s="1530">
        <f t="shared" si="158"/>
        <v>0</v>
      </c>
      <c r="P662" s="1939">
        <f t="shared" si="161"/>
        <v>1</v>
      </c>
    </row>
    <row r="663" spans="1:28" ht="18" customHeight="1">
      <c r="A663" s="1371">
        <v>17</v>
      </c>
      <c r="B663" s="1316" t="s">
        <v>2199</v>
      </c>
      <c r="C663" s="1334"/>
      <c r="D663" s="1316" t="str">
        <f>BAHAN!$F$248</f>
        <v>Setara Jet Shower Wasser WS 88TS</v>
      </c>
      <c r="E663" s="1526">
        <v>3</v>
      </c>
      <c r="F663" s="1336" t="s">
        <v>88</v>
      </c>
      <c r="G663" s="1872">
        <v>0</v>
      </c>
      <c r="H663" s="1872">
        <v>0</v>
      </c>
      <c r="I663" s="1338">
        <f t="shared" si="157"/>
        <v>0</v>
      </c>
      <c r="J663" s="1338">
        <f t="shared" si="159"/>
        <v>0</v>
      </c>
      <c r="K663" s="1338">
        <f t="shared" si="160"/>
        <v>0</v>
      </c>
      <c r="L663" s="1530">
        <f t="shared" si="158"/>
        <v>0</v>
      </c>
      <c r="P663" s="1939">
        <f t="shared" si="161"/>
        <v>3</v>
      </c>
    </row>
    <row r="664" spans="1:28" ht="18" customHeight="1">
      <c r="A664" s="1371">
        <v>18</v>
      </c>
      <c r="B664" s="1316" t="s">
        <v>92</v>
      </c>
      <c r="C664" s="1334"/>
      <c r="D664" s="1316" t="str">
        <f>BAHAN!$F$243</f>
        <v xml:space="preserve">Stainless Kitchen Sink </v>
      </c>
      <c r="E664" s="1526">
        <v>1</v>
      </c>
      <c r="F664" s="1336" t="s">
        <v>88</v>
      </c>
      <c r="G664" s="1872">
        <v>0</v>
      </c>
      <c r="H664" s="1872">
        <v>0</v>
      </c>
      <c r="I664" s="1338">
        <f t="shared" si="157"/>
        <v>0</v>
      </c>
      <c r="J664" s="1338">
        <f t="shared" si="159"/>
        <v>0</v>
      </c>
      <c r="K664" s="1338">
        <f t="shared" si="160"/>
        <v>0</v>
      </c>
      <c r="L664" s="1530">
        <f t="shared" si="158"/>
        <v>0</v>
      </c>
      <c r="P664" s="1939">
        <f t="shared" si="161"/>
        <v>1</v>
      </c>
    </row>
    <row r="665" spans="1:28" ht="18" customHeight="1">
      <c r="A665" s="1371">
        <v>19</v>
      </c>
      <c r="B665" s="1316" t="s">
        <v>93</v>
      </c>
      <c r="C665" s="1334"/>
      <c r="D665" s="1372" t="s">
        <v>182</v>
      </c>
      <c r="E665" s="1526">
        <v>14</v>
      </c>
      <c r="F665" s="1336" t="s">
        <v>88</v>
      </c>
      <c r="G665" s="1872">
        <v>0</v>
      </c>
      <c r="H665" s="1872">
        <v>0</v>
      </c>
      <c r="I665" s="1338">
        <f t="shared" si="157"/>
        <v>0</v>
      </c>
      <c r="J665" s="1338">
        <f t="shared" si="159"/>
        <v>0</v>
      </c>
      <c r="K665" s="1338">
        <f t="shared" si="160"/>
        <v>0</v>
      </c>
      <c r="L665" s="1530">
        <f t="shared" si="158"/>
        <v>0</v>
      </c>
      <c r="P665" s="1939">
        <f t="shared" si="161"/>
        <v>14</v>
      </c>
    </row>
    <row r="666" spans="1:28" ht="18" customHeight="1">
      <c r="A666" s="1371">
        <v>20</v>
      </c>
      <c r="B666" s="1316" t="s">
        <v>179</v>
      </c>
      <c r="C666" s="1334"/>
      <c r="D666" s="1372" t="s">
        <v>1762</v>
      </c>
      <c r="E666" s="1526">
        <v>29</v>
      </c>
      <c r="F666" s="1336" t="s">
        <v>88</v>
      </c>
      <c r="G666" s="1872">
        <v>0</v>
      </c>
      <c r="H666" s="1872">
        <v>0</v>
      </c>
      <c r="I666" s="1338">
        <f t="shared" si="157"/>
        <v>0</v>
      </c>
      <c r="J666" s="1338">
        <f t="shared" si="159"/>
        <v>0</v>
      </c>
      <c r="K666" s="1338">
        <f t="shared" si="160"/>
        <v>0</v>
      </c>
      <c r="L666" s="1530">
        <f t="shared" si="158"/>
        <v>0</v>
      </c>
      <c r="P666" s="1939">
        <f t="shared" si="161"/>
        <v>29</v>
      </c>
    </row>
    <row r="667" spans="1:28" ht="18" customHeight="1">
      <c r="A667" s="1371">
        <v>21</v>
      </c>
      <c r="B667" s="1339" t="s">
        <v>1520</v>
      </c>
      <c r="C667" s="1368"/>
      <c r="D667" s="1339" t="s">
        <v>203</v>
      </c>
      <c r="E667" s="1526">
        <v>1</v>
      </c>
      <c r="F667" s="1336" t="s">
        <v>88</v>
      </c>
      <c r="G667" s="1872">
        <v>0</v>
      </c>
      <c r="H667" s="1872">
        <v>0</v>
      </c>
      <c r="I667" s="1338">
        <f t="shared" si="157"/>
        <v>0</v>
      </c>
      <c r="J667" s="1338">
        <f t="shared" si="159"/>
        <v>0</v>
      </c>
      <c r="K667" s="1338">
        <f t="shared" si="160"/>
        <v>0</v>
      </c>
      <c r="L667" s="1530">
        <f t="shared" si="158"/>
        <v>0</v>
      </c>
      <c r="P667" s="1939">
        <f t="shared" si="161"/>
        <v>1</v>
      </c>
    </row>
    <row r="668" spans="1:28" ht="18" hidden="1" customHeight="1">
      <c r="A668" s="1371"/>
      <c r="B668" s="1339" t="s">
        <v>1386</v>
      </c>
      <c r="C668" s="1368"/>
      <c r="D668" s="1339" t="s">
        <v>1387</v>
      </c>
      <c r="E668" s="1547"/>
      <c r="F668" s="1380" t="s">
        <v>88</v>
      </c>
      <c r="G668" s="1872">
        <v>0</v>
      </c>
      <c r="H668" s="1872">
        <v>0</v>
      </c>
      <c r="I668" s="1338">
        <f t="shared" si="157"/>
        <v>0</v>
      </c>
      <c r="J668" s="1338">
        <f t="shared" si="159"/>
        <v>0</v>
      </c>
      <c r="K668" s="1338">
        <f t="shared" si="160"/>
        <v>0</v>
      </c>
      <c r="L668" s="1530">
        <f t="shared" si="158"/>
        <v>0</v>
      </c>
      <c r="P668" s="1939">
        <f>E668+E710+E749+E826</f>
        <v>0</v>
      </c>
    </row>
    <row r="669" spans="1:28" ht="18" customHeight="1">
      <c r="A669" s="1371">
        <v>22</v>
      </c>
      <c r="B669" s="1339" t="s">
        <v>1388</v>
      </c>
      <c r="C669" s="1368"/>
      <c r="D669" s="1339" t="s">
        <v>1389</v>
      </c>
      <c r="E669" s="1547">
        <v>3</v>
      </c>
      <c r="F669" s="1380" t="s">
        <v>88</v>
      </c>
      <c r="G669" s="1872">
        <v>0</v>
      </c>
      <c r="H669" s="1872">
        <v>0</v>
      </c>
      <c r="I669" s="1338">
        <f t="shared" si="157"/>
        <v>0</v>
      </c>
      <c r="J669" s="1338">
        <f t="shared" si="159"/>
        <v>0</v>
      </c>
      <c r="K669" s="1338">
        <f t="shared" si="160"/>
        <v>0</v>
      </c>
      <c r="L669" s="1530">
        <f t="shared" si="158"/>
        <v>0</v>
      </c>
      <c r="P669" s="1554">
        <f>E669+E711+E750+E827</f>
        <v>3</v>
      </c>
      <c r="AB669" s="1583"/>
    </row>
    <row r="670" spans="1:28" ht="18" hidden="1" customHeight="1">
      <c r="A670" s="1371"/>
      <c r="B670" s="1339" t="s">
        <v>2604</v>
      </c>
      <c r="C670" s="1368"/>
      <c r="D670" s="1339" t="str">
        <f>BAHAN!$F$375</f>
        <v>Ex. PENGUIN TP-55 (500 Liter)</v>
      </c>
      <c r="E670" s="1547"/>
      <c r="F670" s="1380" t="s">
        <v>88</v>
      </c>
      <c r="G670" s="1872">
        <v>0</v>
      </c>
      <c r="H670" s="1872">
        <v>0</v>
      </c>
      <c r="I670" s="1338">
        <f t="shared" si="157"/>
        <v>0</v>
      </c>
      <c r="J670" s="1338">
        <f t="shared" si="159"/>
        <v>0</v>
      </c>
      <c r="K670" s="1338">
        <f t="shared" si="160"/>
        <v>0</v>
      </c>
      <c r="L670" s="1530">
        <f t="shared" si="158"/>
        <v>0</v>
      </c>
      <c r="P670" s="1939">
        <f>E670+E712+E751+E828</f>
        <v>0</v>
      </c>
    </row>
    <row r="671" spans="1:28" ht="18.75" customHeight="1">
      <c r="A671" s="1371">
        <v>23</v>
      </c>
      <c r="B671" s="1339" t="s">
        <v>1392</v>
      </c>
      <c r="C671" s="1368"/>
      <c r="D671" s="1339" t="str">
        <f>BAHAN!F237</f>
        <v>Shower Box Europe Enchanting E5007</v>
      </c>
      <c r="E671" s="1547">
        <v>6</v>
      </c>
      <c r="F671" s="1380" t="s">
        <v>88</v>
      </c>
      <c r="G671" s="1872">
        <v>0</v>
      </c>
      <c r="H671" s="1872">
        <v>0</v>
      </c>
      <c r="I671" s="1338">
        <f t="shared" si="157"/>
        <v>0</v>
      </c>
      <c r="J671" s="1338">
        <f t="shared" si="159"/>
        <v>0</v>
      </c>
      <c r="K671" s="1338">
        <f t="shared" si="160"/>
        <v>0</v>
      </c>
      <c r="L671" s="1530">
        <f t="shared" si="158"/>
        <v>0</v>
      </c>
      <c r="P671" s="1939">
        <f>E671+E713+E752+E829</f>
        <v>6</v>
      </c>
    </row>
    <row r="672" spans="1:28" ht="18" hidden="1" customHeight="1">
      <c r="A672" s="1371">
        <v>20</v>
      </c>
      <c r="B672" s="1359" t="s">
        <v>1393</v>
      </c>
      <c r="C672" s="1360"/>
      <c r="D672" s="1339" t="str">
        <f>BAHAN!$F$365</f>
        <v>Ex. Grundfos JD Basic 7 jet pump 60m</v>
      </c>
      <c r="E672" s="1547"/>
      <c r="F672" s="1380" t="s">
        <v>88</v>
      </c>
      <c r="G672" s="1872">
        <v>0</v>
      </c>
      <c r="H672" s="1872">
        <v>0</v>
      </c>
      <c r="I672" s="1338">
        <f t="shared" si="157"/>
        <v>0</v>
      </c>
      <c r="J672" s="1338">
        <f t="shared" si="159"/>
        <v>0</v>
      </c>
      <c r="K672" s="1338">
        <f t="shared" si="160"/>
        <v>0</v>
      </c>
      <c r="L672" s="1530">
        <f t="shared" si="158"/>
        <v>0</v>
      </c>
      <c r="P672" s="1939" t="e">
        <f>E672+E714+#REF!+E830</f>
        <v>#REF!</v>
      </c>
    </row>
    <row r="673" spans="1:28" ht="18" customHeight="1">
      <c r="A673" s="1371">
        <v>24</v>
      </c>
      <c r="B673" s="1359" t="s">
        <v>1393</v>
      </c>
      <c r="C673" s="1360"/>
      <c r="D673" s="1339" t="str">
        <f>BAHAN!F369</f>
        <v>Ex. Grundfos Wave SB 20. 16,5 m</v>
      </c>
      <c r="E673" s="1547">
        <v>1</v>
      </c>
      <c r="F673" s="1380" t="s">
        <v>88</v>
      </c>
      <c r="G673" s="1872">
        <v>0</v>
      </c>
      <c r="H673" s="1872">
        <v>0</v>
      </c>
      <c r="I673" s="1338">
        <f>G673+H673</f>
        <v>0</v>
      </c>
      <c r="J673" s="1338">
        <f t="shared" ref="J673:J678" si="162">E673*G673</f>
        <v>0</v>
      </c>
      <c r="K673" s="1338">
        <f t="shared" ref="K673:K678" si="163">E673*H673</f>
        <v>0</v>
      </c>
      <c r="L673" s="1530">
        <f t="shared" ref="L673:L678" si="164">J673+K673</f>
        <v>0</v>
      </c>
      <c r="P673" s="1939" t="e">
        <f>E673+E715+#REF!+E831</f>
        <v>#REF!</v>
      </c>
      <c r="AB673" s="1221"/>
    </row>
    <row r="674" spans="1:28" ht="18" customHeight="1">
      <c r="A674" s="1371">
        <v>25</v>
      </c>
      <c r="B674" s="1359" t="s">
        <v>2916</v>
      </c>
      <c r="C674" s="1360"/>
      <c r="D674" s="1339" t="str">
        <f>BAHAN!F370</f>
        <v>Ex. Jakmax 16 inch</v>
      </c>
      <c r="E674" s="1547">
        <v>1</v>
      </c>
      <c r="F674" s="1380" t="s">
        <v>88</v>
      </c>
      <c r="G674" s="1872">
        <v>0</v>
      </c>
      <c r="H674" s="1872">
        <v>0</v>
      </c>
      <c r="I674" s="1338">
        <f>G674+H674</f>
        <v>0</v>
      </c>
      <c r="J674" s="1338">
        <f t="shared" si="162"/>
        <v>0</v>
      </c>
      <c r="K674" s="1338">
        <f t="shared" si="163"/>
        <v>0</v>
      </c>
      <c r="L674" s="1530">
        <f t="shared" si="164"/>
        <v>0</v>
      </c>
      <c r="P674" s="1939" t="e">
        <f>E674+E716+#REF!+E832</f>
        <v>#REF!</v>
      </c>
      <c r="AB674" s="1221"/>
    </row>
    <row r="675" spans="1:28" ht="18" customHeight="1">
      <c r="A675" s="1371">
        <v>26</v>
      </c>
      <c r="B675" s="1359" t="s">
        <v>2928</v>
      </c>
      <c r="C675" s="1360"/>
      <c r="D675" s="1339" t="str">
        <f>BAHAN!F251</f>
        <v>Setara Aquastar 2 Inch</v>
      </c>
      <c r="E675" s="1547">
        <v>4</v>
      </c>
      <c r="F675" s="1380" t="s">
        <v>88</v>
      </c>
      <c r="G675" s="1872">
        <v>0</v>
      </c>
      <c r="H675" s="1872">
        <v>0</v>
      </c>
      <c r="I675" s="1338">
        <f>G675+H675</f>
        <v>0</v>
      </c>
      <c r="J675" s="1338">
        <f t="shared" si="162"/>
        <v>0</v>
      </c>
      <c r="K675" s="1338">
        <f t="shared" si="163"/>
        <v>0</v>
      </c>
      <c r="L675" s="1530">
        <f t="shared" si="164"/>
        <v>0</v>
      </c>
      <c r="P675" s="1939" t="e">
        <f>E675+E717+#REF!+E833</f>
        <v>#REF!</v>
      </c>
      <c r="AB675" s="1221"/>
    </row>
    <row r="676" spans="1:28" ht="18" customHeight="1">
      <c r="A676" s="1371">
        <v>27</v>
      </c>
      <c r="B676" s="1359" t="s">
        <v>2917</v>
      </c>
      <c r="C676" s="1360"/>
      <c r="D676" s="1339" t="str">
        <f>BAHAN!F252</f>
        <v xml:space="preserve"> Ex. Austria 9Inch</v>
      </c>
      <c r="E676" s="1547">
        <v>1</v>
      </c>
      <c r="F676" s="1380" t="s">
        <v>88</v>
      </c>
      <c r="G676" s="1872">
        <v>0</v>
      </c>
      <c r="H676" s="1872">
        <v>0</v>
      </c>
      <c r="I676" s="1338">
        <f>G676+H676</f>
        <v>0</v>
      </c>
      <c r="J676" s="1338">
        <f t="shared" si="162"/>
        <v>0</v>
      </c>
      <c r="K676" s="1338">
        <f t="shared" si="163"/>
        <v>0</v>
      </c>
      <c r="L676" s="1530">
        <f t="shared" si="164"/>
        <v>0</v>
      </c>
      <c r="P676" s="1939" t="e">
        <f>E676+E718+#REF!+E834</f>
        <v>#REF!</v>
      </c>
      <c r="AB676" s="1221"/>
    </row>
    <row r="677" spans="1:28" ht="18" hidden="1" customHeight="1">
      <c r="A677" s="1371"/>
      <c r="B677" s="1359" t="s">
        <v>1620</v>
      </c>
      <c r="C677" s="1360"/>
      <c r="D677" s="1359"/>
      <c r="E677" s="1358">
        <v>0</v>
      </c>
      <c r="F677" s="1362" t="s">
        <v>1334</v>
      </c>
      <c r="G677" s="1872">
        <v>0</v>
      </c>
      <c r="H677" s="1872">
        <v>0</v>
      </c>
      <c r="I677" s="1338">
        <f t="shared" si="157"/>
        <v>0</v>
      </c>
      <c r="J677" s="1338">
        <f t="shared" si="162"/>
        <v>0</v>
      </c>
      <c r="K677" s="1338">
        <f t="shared" si="163"/>
        <v>0</v>
      </c>
      <c r="L677" s="1530">
        <f t="shared" si="164"/>
        <v>0</v>
      </c>
      <c r="P677" s="1939">
        <f>E677+E715+E754+E832</f>
        <v>0</v>
      </c>
    </row>
    <row r="678" spans="1:28" ht="18" customHeight="1" thickBot="1">
      <c r="A678" s="1371">
        <v>28</v>
      </c>
      <c r="B678" s="1658" t="s">
        <v>1621</v>
      </c>
      <c r="C678" s="1659"/>
      <c r="D678" s="1658" t="s">
        <v>1627</v>
      </c>
      <c r="E678" s="1660">
        <v>5</v>
      </c>
      <c r="F678" s="1661" t="s">
        <v>21</v>
      </c>
      <c r="G678" s="1770">
        <v>0</v>
      </c>
      <c r="H678" s="1872">
        <v>0</v>
      </c>
      <c r="I678" s="1338">
        <f>G678+H678</f>
        <v>0</v>
      </c>
      <c r="J678" s="1338">
        <f t="shared" si="162"/>
        <v>0</v>
      </c>
      <c r="K678" s="1338">
        <f t="shared" si="163"/>
        <v>0</v>
      </c>
      <c r="L678" s="1530">
        <f t="shared" si="164"/>
        <v>0</v>
      </c>
      <c r="P678" s="1939">
        <f>E678+E716+E755+E833</f>
        <v>5</v>
      </c>
    </row>
    <row r="679" spans="1:28" ht="18" customHeight="1" thickTop="1" thickBot="1">
      <c r="A679" s="2675" t="s">
        <v>94</v>
      </c>
      <c r="B679" s="2676"/>
      <c r="C679" s="2676"/>
      <c r="D679" s="2676"/>
      <c r="E679" s="2676"/>
      <c r="F679" s="2676"/>
      <c r="G679" s="2676"/>
      <c r="H679" s="1653"/>
      <c r="I679" s="1653"/>
      <c r="J679" s="1542">
        <f>SUM(J638:J678)</f>
        <v>0</v>
      </c>
      <c r="K679" s="1542">
        <f>SUM(K638:K678)</f>
        <v>0</v>
      </c>
      <c r="L679" s="1340">
        <f>SUM(L638:L678)</f>
        <v>0</v>
      </c>
      <c r="M679" s="1300">
        <v>1</v>
      </c>
      <c r="N679" s="1300">
        <v>46</v>
      </c>
    </row>
    <row r="680" spans="1:28" ht="18" hidden="1" customHeight="1" thickTop="1">
      <c r="A680" s="1379" t="s">
        <v>60</v>
      </c>
      <c r="B680" s="1374" t="s">
        <v>61</v>
      </c>
      <c r="C680" s="1375"/>
      <c r="D680" s="1330"/>
      <c r="E680" s="1330"/>
      <c r="F680" s="1376"/>
      <c r="G680" s="1377"/>
      <c r="H680" s="1330"/>
      <c r="I680" s="1330"/>
      <c r="J680" s="1330"/>
      <c r="K680" s="1330"/>
      <c r="L680" s="1331"/>
      <c r="N680" s="1300">
        <v>47</v>
      </c>
    </row>
    <row r="681" spans="1:28" ht="18" hidden="1" customHeight="1">
      <c r="A681" s="1371">
        <v>1</v>
      </c>
      <c r="B681" s="1316" t="s">
        <v>2183</v>
      </c>
      <c r="C681" s="1334"/>
      <c r="D681" s="1316" t="s">
        <v>1622</v>
      </c>
      <c r="E681" s="2057">
        <v>0</v>
      </c>
      <c r="F681" s="1336" t="s">
        <v>22</v>
      </c>
      <c r="G681" s="1872">
        <f>M!$I$107</f>
        <v>9456.75</v>
      </c>
      <c r="H681" s="1872">
        <f>M!$I$112</f>
        <v>15840</v>
      </c>
      <c r="I681" s="1338">
        <f>G681+H681</f>
        <v>25296.75</v>
      </c>
      <c r="J681" s="1338">
        <f>E681*G681</f>
        <v>0</v>
      </c>
      <c r="K681" s="1338">
        <f>E681*H681</f>
        <v>0</v>
      </c>
      <c r="L681" s="1530">
        <f>J681+K681</f>
        <v>0</v>
      </c>
    </row>
    <row r="682" spans="1:28" ht="18" hidden="1" customHeight="1">
      <c r="A682" s="1371">
        <v>2</v>
      </c>
      <c r="B682" s="1316" t="s">
        <v>2184</v>
      </c>
      <c r="C682" s="1334"/>
      <c r="D682" s="1316" t="s">
        <v>1622</v>
      </c>
      <c r="E682" s="1526">
        <v>0</v>
      </c>
      <c r="F682" s="1336" t="s">
        <v>22</v>
      </c>
      <c r="G682" s="1872">
        <f>M!$I$170</f>
        <v>12506.484375</v>
      </c>
      <c r="H682" s="1872">
        <f>M!$I$175</f>
        <v>35649</v>
      </c>
      <c r="I682" s="1338">
        <f t="shared" ref="I682:I715" si="165">G682+H682</f>
        <v>48155.484375</v>
      </c>
      <c r="J682" s="1338">
        <f t="shared" ref="J682:J715" si="166">E682*G682</f>
        <v>0</v>
      </c>
      <c r="K682" s="1338">
        <f t="shared" ref="K682:K715" si="167">E682*H682</f>
        <v>0</v>
      </c>
      <c r="L682" s="1530">
        <f t="shared" ref="L682:L715" si="168">J682+K682</f>
        <v>0</v>
      </c>
    </row>
    <row r="683" spans="1:28" ht="18" hidden="1" customHeight="1">
      <c r="A683" s="1371">
        <v>3</v>
      </c>
      <c r="B683" s="1316" t="s">
        <v>2185</v>
      </c>
      <c r="C683" s="1334"/>
      <c r="D683" s="1316" t="s">
        <v>1622</v>
      </c>
      <c r="E683" s="1526">
        <v>0</v>
      </c>
      <c r="F683" s="1336" t="s">
        <v>22</v>
      </c>
      <c r="G683" s="1872">
        <f>M!$I$116</f>
        <v>16787.25</v>
      </c>
      <c r="H683" s="1872">
        <f>M!$I$121</f>
        <v>15840</v>
      </c>
      <c r="I683" s="1338">
        <f t="shared" si="165"/>
        <v>32627.25</v>
      </c>
      <c r="J683" s="1338">
        <f t="shared" si="166"/>
        <v>0</v>
      </c>
      <c r="K683" s="1338">
        <f t="shared" si="167"/>
        <v>0</v>
      </c>
      <c r="L683" s="1530">
        <f t="shared" si="168"/>
        <v>0</v>
      </c>
    </row>
    <row r="684" spans="1:28" ht="18" hidden="1" customHeight="1">
      <c r="A684" s="1371"/>
      <c r="B684" s="1316" t="s">
        <v>2304</v>
      </c>
      <c r="C684" s="1334"/>
      <c r="D684" s="1316" t="s">
        <v>1622</v>
      </c>
      <c r="E684" s="1526"/>
      <c r="F684" s="1336" t="s">
        <v>22</v>
      </c>
      <c r="G684" s="1872">
        <f>M!$I$143</f>
        <v>44081.052499999998</v>
      </c>
      <c r="H684" s="1872">
        <f>M!$I$121</f>
        <v>15840</v>
      </c>
      <c r="I684" s="1338">
        <f t="shared" si="165"/>
        <v>59921.052499999998</v>
      </c>
      <c r="J684" s="1338">
        <f t="shared" si="166"/>
        <v>0</v>
      </c>
      <c r="K684" s="1338">
        <f t="shared" si="167"/>
        <v>0</v>
      </c>
      <c r="L684" s="1530">
        <f t="shared" si="168"/>
        <v>0</v>
      </c>
      <c r="P684" s="1939">
        <f>E684+E724+E879</f>
        <v>0</v>
      </c>
    </row>
    <row r="685" spans="1:28" ht="18" hidden="1" customHeight="1">
      <c r="A685" s="1371">
        <v>4</v>
      </c>
      <c r="B685" s="1316" t="s">
        <v>2186</v>
      </c>
      <c r="C685" s="1334"/>
      <c r="D685" s="1316" t="s">
        <v>1622</v>
      </c>
      <c r="E685" s="1526">
        <v>0</v>
      </c>
      <c r="F685" s="1336" t="s">
        <v>22</v>
      </c>
      <c r="G685" s="1872">
        <f>M!$I$116</f>
        <v>16787.25</v>
      </c>
      <c r="H685" s="1872">
        <f>M!$I$121</f>
        <v>15840</v>
      </c>
      <c r="I685" s="1338">
        <f t="shared" si="165"/>
        <v>32627.25</v>
      </c>
      <c r="J685" s="1338">
        <f t="shared" si="166"/>
        <v>0</v>
      </c>
      <c r="K685" s="1338">
        <f t="shared" si="167"/>
        <v>0</v>
      </c>
      <c r="L685" s="1530">
        <f t="shared" si="168"/>
        <v>0</v>
      </c>
      <c r="AB685" s="1583"/>
    </row>
    <row r="686" spans="1:28" ht="18" hidden="1" customHeight="1">
      <c r="A686" s="1371"/>
      <c r="B686" s="1316" t="s">
        <v>1720</v>
      </c>
      <c r="C686" s="1369"/>
      <c r="D686" s="1316" t="s">
        <v>1716</v>
      </c>
      <c r="E686" s="1526"/>
      <c r="F686" s="1336" t="s">
        <v>22</v>
      </c>
      <c r="G686" s="1872">
        <f>M!$I$215</f>
        <v>33075</v>
      </c>
      <c r="H686" s="1872">
        <f>M!$I$220</f>
        <v>35649</v>
      </c>
      <c r="I686" s="1338">
        <f t="shared" si="165"/>
        <v>68724</v>
      </c>
      <c r="J686" s="1338">
        <f t="shared" si="166"/>
        <v>0</v>
      </c>
      <c r="K686" s="1338">
        <f t="shared" si="167"/>
        <v>0</v>
      </c>
      <c r="L686" s="1530">
        <f t="shared" si="168"/>
        <v>0</v>
      </c>
    </row>
    <row r="687" spans="1:28" ht="18" hidden="1" customHeight="1">
      <c r="A687" s="1371">
        <v>5</v>
      </c>
      <c r="B687" s="1316" t="s">
        <v>2182</v>
      </c>
      <c r="C687" s="1334"/>
      <c r="D687" s="1316" t="s">
        <v>1622</v>
      </c>
      <c r="E687" s="1526">
        <v>0</v>
      </c>
      <c r="F687" s="1336" t="s">
        <v>22</v>
      </c>
      <c r="G687" s="1872">
        <f>M!$I$134</f>
        <v>58947.75</v>
      </c>
      <c r="H687" s="1872">
        <f>M!$I$139</f>
        <v>15840</v>
      </c>
      <c r="I687" s="1338">
        <f t="shared" si="165"/>
        <v>74787.75</v>
      </c>
      <c r="J687" s="1338">
        <f t="shared" si="166"/>
        <v>0</v>
      </c>
      <c r="K687" s="1338">
        <f t="shared" si="167"/>
        <v>0</v>
      </c>
      <c r="L687" s="1530">
        <f t="shared" si="168"/>
        <v>0</v>
      </c>
    </row>
    <row r="688" spans="1:28" ht="18" hidden="1" customHeight="1">
      <c r="A688" s="1371"/>
      <c r="B688" s="1316" t="s">
        <v>2181</v>
      </c>
      <c r="C688" s="1334"/>
      <c r="D688" s="1316" t="s">
        <v>2644</v>
      </c>
      <c r="E688" s="1526"/>
      <c r="F688" s="1336" t="s">
        <v>22</v>
      </c>
      <c r="G688" s="1872">
        <f>M!$I$152</f>
        <v>52353.675000000003</v>
      </c>
      <c r="H688" s="1872">
        <f>M!$I$157</f>
        <v>35649</v>
      </c>
      <c r="I688" s="1338">
        <f t="shared" si="165"/>
        <v>88002.675000000003</v>
      </c>
      <c r="J688" s="1338">
        <f t="shared" si="166"/>
        <v>0</v>
      </c>
      <c r="K688" s="1338">
        <f t="shared" si="167"/>
        <v>0</v>
      </c>
      <c r="L688" s="1530">
        <f t="shared" si="168"/>
        <v>0</v>
      </c>
    </row>
    <row r="689" spans="1:16" ht="18" hidden="1" customHeight="1">
      <c r="A689" s="1371"/>
      <c r="B689" s="1316" t="s">
        <v>2180</v>
      </c>
      <c r="C689" s="1334"/>
      <c r="D689" s="1316" t="s">
        <v>2644</v>
      </c>
      <c r="E689" s="1526"/>
      <c r="F689" s="1336" t="s">
        <v>22</v>
      </c>
      <c r="G689" s="1872">
        <f>M!$I$161</f>
        <v>105789.54375</v>
      </c>
      <c r="H689" s="1872">
        <f>M!$I$166</f>
        <v>35649</v>
      </c>
      <c r="I689" s="1338">
        <f t="shared" si="165"/>
        <v>141438.54375000001</v>
      </c>
      <c r="J689" s="1338">
        <f t="shared" si="166"/>
        <v>0</v>
      </c>
      <c r="K689" s="1338">
        <f t="shared" si="167"/>
        <v>0</v>
      </c>
      <c r="L689" s="1530">
        <f t="shared" si="168"/>
        <v>0</v>
      </c>
    </row>
    <row r="690" spans="1:16" ht="18" hidden="1" customHeight="1">
      <c r="A690" s="1371">
        <v>6</v>
      </c>
      <c r="B690" s="1316" t="s">
        <v>2179</v>
      </c>
      <c r="C690" s="1334"/>
      <c r="D690" s="1316" t="s">
        <v>1623</v>
      </c>
      <c r="E690" s="1526">
        <v>0</v>
      </c>
      <c r="F690" s="1336" t="s">
        <v>22</v>
      </c>
      <c r="G690" s="1872">
        <f>M!$I$179</f>
        <v>63910.6875</v>
      </c>
      <c r="H690" s="1872">
        <f>M!$I$184</f>
        <v>35649</v>
      </c>
      <c r="I690" s="1338">
        <f t="shared" si="165"/>
        <v>99559.6875</v>
      </c>
      <c r="J690" s="1338">
        <f t="shared" si="166"/>
        <v>0</v>
      </c>
      <c r="K690" s="1338">
        <f t="shared" si="167"/>
        <v>0</v>
      </c>
      <c r="L690" s="1530">
        <f t="shared" si="168"/>
        <v>0</v>
      </c>
      <c r="P690" s="1939">
        <f>E690+E724+E804</f>
        <v>0</v>
      </c>
    </row>
    <row r="691" spans="1:16" ht="18" hidden="1" customHeight="1">
      <c r="A691" s="1371">
        <v>7</v>
      </c>
      <c r="B691" s="1316" t="s">
        <v>2178</v>
      </c>
      <c r="C691" s="1334"/>
      <c r="D691" s="1316" t="s">
        <v>1623</v>
      </c>
      <c r="E691" s="1526">
        <v>0</v>
      </c>
      <c r="F691" s="1336" t="s">
        <v>22</v>
      </c>
      <c r="G691" s="1872">
        <f>M!$I$188</f>
        <v>98990.1</v>
      </c>
      <c r="H691" s="1872">
        <f>M!$I$193</f>
        <v>35649</v>
      </c>
      <c r="I691" s="1338">
        <f t="shared" si="165"/>
        <v>134639.1</v>
      </c>
      <c r="J691" s="1338">
        <f t="shared" si="166"/>
        <v>0</v>
      </c>
      <c r="K691" s="1338">
        <f t="shared" si="167"/>
        <v>0</v>
      </c>
      <c r="L691" s="1530">
        <f t="shared" si="168"/>
        <v>0</v>
      </c>
      <c r="P691" s="1939">
        <f>E691+E725+E805</f>
        <v>0</v>
      </c>
    </row>
    <row r="692" spans="1:16" ht="18" hidden="1" customHeight="1">
      <c r="A692" s="1371">
        <v>8</v>
      </c>
      <c r="B692" s="1316" t="s">
        <v>2312</v>
      </c>
      <c r="C692" s="1334"/>
      <c r="D692" s="1316" t="s">
        <v>1623</v>
      </c>
      <c r="E692" s="1526">
        <v>0</v>
      </c>
      <c r="F692" s="1336" t="s">
        <v>22</v>
      </c>
      <c r="G692" s="1872">
        <f>M!$I$197</f>
        <v>162696.6</v>
      </c>
      <c r="H692" s="1872">
        <f>M!$I$184</f>
        <v>35649</v>
      </c>
      <c r="I692" s="1338">
        <f t="shared" si="165"/>
        <v>198345.60000000001</v>
      </c>
      <c r="J692" s="1338">
        <f t="shared" si="166"/>
        <v>0</v>
      </c>
      <c r="K692" s="1338">
        <f t="shared" si="167"/>
        <v>0</v>
      </c>
      <c r="L692" s="1530">
        <f t="shared" si="168"/>
        <v>0</v>
      </c>
      <c r="P692" s="1939" t="e">
        <f>E692+E727+#REF!</f>
        <v>#REF!</v>
      </c>
    </row>
    <row r="693" spans="1:16" ht="18" hidden="1" customHeight="1">
      <c r="A693" s="1371">
        <v>9</v>
      </c>
      <c r="B693" s="1316" t="s">
        <v>85</v>
      </c>
      <c r="C693" s="1334"/>
      <c r="D693" s="1316"/>
      <c r="E693" s="1526">
        <v>0</v>
      </c>
      <c r="F693" s="1336" t="s">
        <v>21</v>
      </c>
      <c r="G693" s="1872">
        <v>1000000</v>
      </c>
      <c r="H693" s="1872">
        <v>0</v>
      </c>
      <c r="I693" s="1338">
        <f t="shared" si="165"/>
        <v>1000000</v>
      </c>
      <c r="J693" s="1338">
        <f t="shared" si="166"/>
        <v>0</v>
      </c>
      <c r="K693" s="1338">
        <f t="shared" si="167"/>
        <v>0</v>
      </c>
      <c r="L693" s="1530">
        <f t="shared" si="168"/>
        <v>0</v>
      </c>
    </row>
    <row r="694" spans="1:16" ht="18" hidden="1" customHeight="1">
      <c r="A694" s="1371"/>
      <c r="B694" s="1316" t="s">
        <v>86</v>
      </c>
      <c r="C694" s="1334"/>
      <c r="D694" s="1316" t="s">
        <v>87</v>
      </c>
      <c r="E694" s="1526"/>
      <c r="F694" s="1336" t="s">
        <v>80</v>
      </c>
      <c r="G694" s="1872">
        <f>M!$I$305</f>
        <v>9891416.2285714298</v>
      </c>
      <c r="H694" s="1872">
        <v>0</v>
      </c>
      <c r="I694" s="1338">
        <f t="shared" si="165"/>
        <v>9891416.2285714298</v>
      </c>
      <c r="J694" s="1338">
        <f t="shared" si="166"/>
        <v>0</v>
      </c>
      <c r="K694" s="1338">
        <f t="shared" si="167"/>
        <v>0</v>
      </c>
      <c r="L694" s="1530">
        <f t="shared" si="168"/>
        <v>0</v>
      </c>
    </row>
    <row r="695" spans="1:16" ht="18" hidden="1" customHeight="1">
      <c r="A695" s="1371"/>
      <c r="B695" s="1316" t="s">
        <v>1719</v>
      </c>
      <c r="C695" s="1334"/>
      <c r="D695" s="1316" t="s">
        <v>87</v>
      </c>
      <c r="E695" s="1526"/>
      <c r="F695" s="1336" t="s">
        <v>80</v>
      </c>
      <c r="G695" s="1872">
        <f>M!$I$406</f>
        <v>10174155.028571429</v>
      </c>
      <c r="H695" s="1872">
        <v>0</v>
      </c>
      <c r="I695" s="1338">
        <f t="shared" si="165"/>
        <v>10174155.028571429</v>
      </c>
      <c r="J695" s="1338">
        <f t="shared" si="166"/>
        <v>0</v>
      </c>
      <c r="K695" s="1338">
        <f t="shared" si="167"/>
        <v>0</v>
      </c>
      <c r="L695" s="1530">
        <f t="shared" si="168"/>
        <v>0</v>
      </c>
    </row>
    <row r="696" spans="1:16" ht="18" hidden="1" customHeight="1">
      <c r="A696" s="1371">
        <v>10</v>
      </c>
      <c r="B696" s="1316" t="s">
        <v>1383</v>
      </c>
      <c r="C696" s="1334"/>
      <c r="D696" s="1316" t="str">
        <f>BAHAN!$F$238</f>
        <v xml:space="preserve">Setara OULU KW1 W 288 </v>
      </c>
      <c r="E696" s="1526">
        <v>0</v>
      </c>
      <c r="F696" s="1336" t="s">
        <v>88</v>
      </c>
      <c r="G696" s="1872">
        <f>M!$I$39</f>
        <v>235348</v>
      </c>
      <c r="H696" s="1872">
        <f>M!$I$44</f>
        <v>438700</v>
      </c>
      <c r="I696" s="1338">
        <f t="shared" si="165"/>
        <v>674048</v>
      </c>
      <c r="J696" s="1338">
        <f t="shared" si="166"/>
        <v>0</v>
      </c>
      <c r="K696" s="1338">
        <f t="shared" si="167"/>
        <v>0</v>
      </c>
      <c r="L696" s="1530">
        <f t="shared" si="168"/>
        <v>0</v>
      </c>
    </row>
    <row r="697" spans="1:16" ht="18" hidden="1" customHeight="1">
      <c r="A697" s="1371"/>
      <c r="B697" s="1372" t="s">
        <v>1384</v>
      </c>
      <c r="C697" s="1525"/>
      <c r="D697" s="1316" t="s">
        <v>2357</v>
      </c>
      <c r="E697" s="1526"/>
      <c r="F697" s="1527" t="s">
        <v>88</v>
      </c>
      <c r="G697" s="1872">
        <f>M!$I$50</f>
        <v>1187460</v>
      </c>
      <c r="H697" s="1872">
        <f>M!$I$55</f>
        <v>438700</v>
      </c>
      <c r="I697" s="1526">
        <f t="shared" si="165"/>
        <v>1626160</v>
      </c>
      <c r="J697" s="1526">
        <f t="shared" si="166"/>
        <v>0</v>
      </c>
      <c r="K697" s="1526">
        <f t="shared" si="167"/>
        <v>0</v>
      </c>
      <c r="L697" s="1530">
        <f t="shared" si="168"/>
        <v>0</v>
      </c>
    </row>
    <row r="698" spans="1:16" ht="18" hidden="1" customHeight="1">
      <c r="A698" s="1371">
        <v>11</v>
      </c>
      <c r="B698" s="1372" t="s">
        <v>89</v>
      </c>
      <c r="C698" s="1525"/>
      <c r="D698" s="1300" t="str">
        <f>BAHAN!$F$241</f>
        <v>Setara AMERICAN STANDARD MY WINSTON CCST</v>
      </c>
      <c r="E698" s="1526">
        <v>0</v>
      </c>
      <c r="F698" s="1527" t="s">
        <v>88</v>
      </c>
      <c r="G698" s="1872">
        <f>M!$I$17</f>
        <v>1643000</v>
      </c>
      <c r="H698" s="1872">
        <f>M!$I$22</f>
        <v>653770</v>
      </c>
      <c r="I698" s="1526">
        <f t="shared" si="165"/>
        <v>2296770</v>
      </c>
      <c r="J698" s="1526">
        <f t="shared" si="166"/>
        <v>0</v>
      </c>
      <c r="K698" s="1526">
        <f t="shared" si="167"/>
        <v>0</v>
      </c>
      <c r="L698" s="1530">
        <f t="shared" si="168"/>
        <v>0</v>
      </c>
    </row>
    <row r="699" spans="1:16" ht="18" hidden="1" customHeight="1">
      <c r="A699" s="1371"/>
      <c r="B699" s="1316" t="s">
        <v>201</v>
      </c>
      <c r="C699" s="1334"/>
      <c r="D699" s="1316" t="s">
        <v>200</v>
      </c>
      <c r="E699" s="1526"/>
      <c r="F699" s="1336" t="s">
        <v>88</v>
      </c>
      <c r="G699" s="1872">
        <f>M!$I$9</f>
        <v>395460</v>
      </c>
      <c r="H699" s="1872">
        <f>M!$I$13</f>
        <v>659800</v>
      </c>
      <c r="I699" s="1338">
        <f t="shared" si="165"/>
        <v>1055260</v>
      </c>
      <c r="J699" s="1338">
        <f t="shared" si="166"/>
        <v>0</v>
      </c>
      <c r="K699" s="1338">
        <f t="shared" si="167"/>
        <v>0</v>
      </c>
      <c r="L699" s="1530">
        <f t="shared" si="168"/>
        <v>0</v>
      </c>
    </row>
    <row r="700" spans="1:16" ht="18" hidden="1" customHeight="1">
      <c r="A700" s="1371">
        <v>12</v>
      </c>
      <c r="B700" s="1316" t="s">
        <v>90</v>
      </c>
      <c r="C700" s="1334"/>
      <c r="D700" s="1316" t="str">
        <f>BAHAN!$F$236</f>
        <v xml:space="preserve">Setara American Standard Kran Bath and Shower type ART 2132 Mixer (panas - dingin) &amp;
Hand Shower </v>
      </c>
      <c r="E700" s="1526">
        <v>0</v>
      </c>
      <c r="F700" s="1336" t="s">
        <v>88</v>
      </c>
      <c r="G700" s="1872">
        <f>M!$I$242</f>
        <v>1041043.75</v>
      </c>
      <c r="H700" s="1872">
        <f>M!$I$246</f>
        <v>19960</v>
      </c>
      <c r="I700" s="1338">
        <f t="shared" si="165"/>
        <v>1061003.75</v>
      </c>
      <c r="J700" s="1338">
        <f t="shared" si="166"/>
        <v>0</v>
      </c>
      <c r="K700" s="1338">
        <f t="shared" si="167"/>
        <v>0</v>
      </c>
      <c r="L700" s="1530">
        <f t="shared" si="168"/>
        <v>0</v>
      </c>
    </row>
    <row r="701" spans="1:16" ht="18" hidden="1" customHeight="1">
      <c r="A701" s="1371"/>
      <c r="B701" s="1316" t="s">
        <v>91</v>
      </c>
      <c r="C701" s="1334"/>
      <c r="D701" s="1316" t="s">
        <v>1399</v>
      </c>
      <c r="E701" s="1526"/>
      <c r="F701" s="1336" t="s">
        <v>88</v>
      </c>
      <c r="G701" s="1872">
        <f>M!$I$373</f>
        <v>100143.75</v>
      </c>
      <c r="H701" s="1872">
        <f>M!$I$377</f>
        <v>19960</v>
      </c>
      <c r="I701" s="1338">
        <f t="shared" si="165"/>
        <v>120103.75</v>
      </c>
      <c r="J701" s="1338">
        <f t="shared" si="166"/>
        <v>0</v>
      </c>
      <c r="K701" s="1338">
        <f t="shared" si="167"/>
        <v>0</v>
      </c>
      <c r="L701" s="1530">
        <f t="shared" si="168"/>
        <v>0</v>
      </c>
    </row>
    <row r="702" spans="1:16" ht="18" hidden="1" customHeight="1">
      <c r="A702" s="1371"/>
      <c r="B702" s="1316" t="s">
        <v>176</v>
      </c>
      <c r="C702" s="1334"/>
      <c r="D702" s="1316" t="s">
        <v>181</v>
      </c>
      <c r="E702" s="1526"/>
      <c r="F702" s="1336" t="s">
        <v>88</v>
      </c>
      <c r="G702" s="1872">
        <f>M!$I$233</f>
        <v>90143.75</v>
      </c>
      <c r="H702" s="1872">
        <f>M!$I$237</f>
        <v>19960</v>
      </c>
      <c r="I702" s="1338">
        <f t="shared" si="165"/>
        <v>110103.75</v>
      </c>
      <c r="J702" s="1338">
        <f t="shared" si="166"/>
        <v>0</v>
      </c>
      <c r="K702" s="1338">
        <f t="shared" si="167"/>
        <v>0</v>
      </c>
      <c r="L702" s="1530">
        <f t="shared" si="168"/>
        <v>0</v>
      </c>
    </row>
    <row r="703" spans="1:16" ht="18" hidden="1" customHeight="1">
      <c r="A703" s="1371"/>
      <c r="B703" s="1316" t="s">
        <v>1525</v>
      </c>
      <c r="C703" s="1334"/>
      <c r="D703" s="1316" t="s">
        <v>2562</v>
      </c>
      <c r="E703" s="1526"/>
      <c r="F703" s="1336" t="s">
        <v>88</v>
      </c>
      <c r="G703" s="1872">
        <f>M!$I$391</f>
        <v>23143.75</v>
      </c>
      <c r="H703" s="1872">
        <f>M!$I$395</f>
        <v>19960</v>
      </c>
      <c r="I703" s="1338">
        <f t="shared" si="165"/>
        <v>43103.75</v>
      </c>
      <c r="J703" s="1338">
        <f t="shared" si="166"/>
        <v>0</v>
      </c>
      <c r="K703" s="1338">
        <f t="shared" si="167"/>
        <v>0</v>
      </c>
      <c r="L703" s="1530">
        <f t="shared" si="168"/>
        <v>0</v>
      </c>
    </row>
    <row r="704" spans="1:16" ht="18" hidden="1" customHeight="1">
      <c r="A704" s="1371"/>
      <c r="B704" s="1316" t="s">
        <v>180</v>
      </c>
      <c r="C704" s="1334"/>
      <c r="D704" s="1316" t="s">
        <v>204</v>
      </c>
      <c r="E704" s="1526"/>
      <c r="F704" s="1336" t="s">
        <v>88</v>
      </c>
      <c r="G704" s="1872">
        <f>M!$I$336</f>
        <v>3095200</v>
      </c>
      <c r="H704" s="1872">
        <f>M!$I$341</f>
        <v>653770</v>
      </c>
      <c r="I704" s="1338">
        <f t="shared" si="165"/>
        <v>3748970</v>
      </c>
      <c r="J704" s="1338">
        <f t="shared" si="166"/>
        <v>0</v>
      </c>
      <c r="K704" s="1338">
        <f t="shared" si="167"/>
        <v>0</v>
      </c>
      <c r="L704" s="1530">
        <f t="shared" si="168"/>
        <v>0</v>
      </c>
    </row>
    <row r="705" spans="1:28" ht="18" hidden="1" customHeight="1">
      <c r="A705" s="1371">
        <v>13</v>
      </c>
      <c r="B705" s="1316" t="s">
        <v>2199</v>
      </c>
      <c r="C705" s="1334"/>
      <c r="D705" s="1316" t="str">
        <f>BAHAN!$F$248</f>
        <v>Setara Jet Shower Wasser WS 88TS</v>
      </c>
      <c r="E705" s="1526">
        <f>E698</f>
        <v>0</v>
      </c>
      <c r="F705" s="1336" t="s">
        <v>88</v>
      </c>
      <c r="G705" s="1872">
        <f>M!$I$382</f>
        <v>80143.75</v>
      </c>
      <c r="H705" s="1872">
        <f>M!$I$386</f>
        <v>19960</v>
      </c>
      <c r="I705" s="1338">
        <f t="shared" si="165"/>
        <v>100103.75</v>
      </c>
      <c r="J705" s="1338">
        <f t="shared" si="166"/>
        <v>0</v>
      </c>
      <c r="K705" s="1338">
        <f t="shared" si="167"/>
        <v>0</v>
      </c>
      <c r="L705" s="1530">
        <f t="shared" si="168"/>
        <v>0</v>
      </c>
    </row>
    <row r="706" spans="1:28" ht="18" hidden="1" customHeight="1">
      <c r="A706" s="1371"/>
      <c r="B706" s="1316" t="s">
        <v>92</v>
      </c>
      <c r="C706" s="1334"/>
      <c r="D706" s="1316" t="str">
        <f>BAHAN!$F$243</f>
        <v xml:space="preserve">Stainless Kitchen Sink </v>
      </c>
      <c r="E706" s="1526">
        <f>E701</f>
        <v>0</v>
      </c>
      <c r="F706" s="1336" t="s">
        <v>88</v>
      </c>
      <c r="G706" s="1872">
        <f>M!$I$224</f>
        <v>150000</v>
      </c>
      <c r="H706" s="1872">
        <f>M!$I$228</f>
        <v>57450</v>
      </c>
      <c r="I706" s="1338">
        <f t="shared" si="165"/>
        <v>207450</v>
      </c>
      <c r="J706" s="1338">
        <f t="shared" si="166"/>
        <v>0</v>
      </c>
      <c r="K706" s="1338">
        <f t="shared" si="167"/>
        <v>0</v>
      </c>
      <c r="L706" s="1530">
        <f t="shared" si="168"/>
        <v>0</v>
      </c>
    </row>
    <row r="707" spans="1:28" ht="18" hidden="1" customHeight="1">
      <c r="A707" s="1371">
        <v>14</v>
      </c>
      <c r="B707" s="1316" t="s">
        <v>93</v>
      </c>
      <c r="C707" s="1334"/>
      <c r="D707" s="1372" t="s">
        <v>182</v>
      </c>
      <c r="E707" s="1526">
        <v>0</v>
      </c>
      <c r="F707" s="1336" t="s">
        <v>88</v>
      </c>
      <c r="G707" s="1872">
        <f>M!$I$250</f>
        <v>30000</v>
      </c>
      <c r="H707" s="1872">
        <f>M!$I$254</f>
        <v>19960</v>
      </c>
      <c r="I707" s="1338">
        <f t="shared" si="165"/>
        <v>49960</v>
      </c>
      <c r="J707" s="1338">
        <f t="shared" si="166"/>
        <v>0</v>
      </c>
      <c r="K707" s="1338">
        <f t="shared" si="167"/>
        <v>0</v>
      </c>
      <c r="L707" s="1530">
        <f t="shared" si="168"/>
        <v>0</v>
      </c>
    </row>
    <row r="708" spans="1:28" ht="18" hidden="1" customHeight="1">
      <c r="A708" s="1371"/>
      <c r="B708" s="1316" t="s">
        <v>179</v>
      </c>
      <c r="C708" s="1334"/>
      <c r="D708" s="1372" t="s">
        <v>1762</v>
      </c>
      <c r="E708" s="1526"/>
      <c r="F708" s="1336" t="s">
        <v>88</v>
      </c>
      <c r="G708" s="1872">
        <f>M!$I$258</f>
        <v>10000</v>
      </c>
      <c r="H708" s="1872">
        <f>M!$I$262</f>
        <v>19960</v>
      </c>
      <c r="I708" s="1338">
        <f t="shared" si="165"/>
        <v>29960</v>
      </c>
      <c r="J708" s="1338">
        <f t="shared" si="166"/>
        <v>0</v>
      </c>
      <c r="K708" s="1338">
        <f t="shared" si="167"/>
        <v>0</v>
      </c>
      <c r="L708" s="1530">
        <f t="shared" si="168"/>
        <v>0</v>
      </c>
      <c r="AB708" s="1583"/>
    </row>
    <row r="709" spans="1:28" ht="18" hidden="1" customHeight="1">
      <c r="A709" s="1371"/>
      <c r="B709" s="1339" t="s">
        <v>1520</v>
      </c>
      <c r="C709" s="1368"/>
      <c r="D709" s="1339" t="s">
        <v>203</v>
      </c>
      <c r="E709" s="1526"/>
      <c r="F709" s="1336" t="s">
        <v>88</v>
      </c>
      <c r="G709" s="1872">
        <f>M!$I$309</f>
        <v>2321400</v>
      </c>
      <c r="H709" s="1909">
        <f>M!$I$314</f>
        <v>653770</v>
      </c>
      <c r="I709" s="1338">
        <f t="shared" si="165"/>
        <v>2975170</v>
      </c>
      <c r="J709" s="1338">
        <f t="shared" si="166"/>
        <v>0</v>
      </c>
      <c r="K709" s="1338">
        <f t="shared" si="167"/>
        <v>0</v>
      </c>
      <c r="L709" s="1530">
        <f t="shared" si="168"/>
        <v>0</v>
      </c>
    </row>
    <row r="710" spans="1:28" ht="18" hidden="1" customHeight="1">
      <c r="A710" s="1371"/>
      <c r="B710" s="1339" t="s">
        <v>1386</v>
      </c>
      <c r="C710" s="1368"/>
      <c r="D710" s="1339" t="s">
        <v>1387</v>
      </c>
      <c r="E710" s="1526"/>
      <c r="F710" s="1380" t="s">
        <v>88</v>
      </c>
      <c r="G710" s="1872">
        <f>M!$I$28</f>
        <v>4054460</v>
      </c>
      <c r="H710" s="1909">
        <f>M!$I$33</f>
        <v>313180</v>
      </c>
      <c r="I710" s="1338">
        <f t="shared" si="165"/>
        <v>4367640</v>
      </c>
      <c r="J710" s="1338">
        <f t="shared" si="166"/>
        <v>0</v>
      </c>
      <c r="K710" s="1338">
        <f t="shared" si="167"/>
        <v>0</v>
      </c>
      <c r="L710" s="1530">
        <f t="shared" si="168"/>
        <v>0</v>
      </c>
    </row>
    <row r="711" spans="1:28" ht="18" hidden="1" customHeight="1">
      <c r="A711" s="1371"/>
      <c r="B711" s="1339" t="s">
        <v>1388</v>
      </c>
      <c r="C711" s="1368"/>
      <c r="D711" s="1339" t="s">
        <v>1389</v>
      </c>
      <c r="E711" s="1526"/>
      <c r="F711" s="1380" t="s">
        <v>88</v>
      </c>
      <c r="G711" s="1872">
        <f>M!$I$99</f>
        <v>196170.448</v>
      </c>
      <c r="H711" s="1909">
        <f>M!$I$103</f>
        <v>440640</v>
      </c>
      <c r="I711" s="1338">
        <f t="shared" si="165"/>
        <v>636810.44799999997</v>
      </c>
      <c r="J711" s="1338">
        <f t="shared" si="166"/>
        <v>0</v>
      </c>
      <c r="K711" s="1338">
        <f t="shared" si="167"/>
        <v>0</v>
      </c>
      <c r="L711" s="1530">
        <f t="shared" si="168"/>
        <v>0</v>
      </c>
    </row>
    <row r="712" spans="1:28" ht="18" hidden="1" customHeight="1">
      <c r="A712" s="1371"/>
      <c r="B712" s="1339" t="s">
        <v>1390</v>
      </c>
      <c r="C712" s="1368"/>
      <c r="D712" s="1339" t="s">
        <v>1391</v>
      </c>
      <c r="E712" s="1526"/>
      <c r="F712" s="1380" t="s">
        <v>88</v>
      </c>
      <c r="G712" s="1872">
        <f>M!$I$275</f>
        <v>1696000</v>
      </c>
      <c r="H712" s="1909">
        <f>M!$I$280</f>
        <v>653770</v>
      </c>
      <c r="I712" s="1338">
        <f t="shared" si="165"/>
        <v>2349770</v>
      </c>
      <c r="J712" s="1338">
        <f t="shared" si="166"/>
        <v>0</v>
      </c>
      <c r="K712" s="1338">
        <f t="shared" si="167"/>
        <v>0</v>
      </c>
      <c r="L712" s="1530">
        <f t="shared" si="168"/>
        <v>0</v>
      </c>
    </row>
    <row r="713" spans="1:28" ht="18" hidden="1" customHeight="1">
      <c r="A713" s="1371"/>
      <c r="B713" s="1339" t="s">
        <v>1392</v>
      </c>
      <c r="C713" s="1368"/>
      <c r="D713" s="1339"/>
      <c r="E713" s="1526"/>
      <c r="F713" s="1380" t="s">
        <v>88</v>
      </c>
      <c r="G713" s="1872">
        <f>M!$I$363</f>
        <v>2120000</v>
      </c>
      <c r="H713" s="1909">
        <f>M!$I$368</f>
        <v>653770</v>
      </c>
      <c r="I713" s="1338">
        <f t="shared" si="165"/>
        <v>2773770</v>
      </c>
      <c r="J713" s="1338">
        <f t="shared" si="166"/>
        <v>0</v>
      </c>
      <c r="K713" s="1338">
        <f t="shared" si="167"/>
        <v>0</v>
      </c>
      <c r="L713" s="1530">
        <f t="shared" si="168"/>
        <v>0</v>
      </c>
    </row>
    <row r="714" spans="1:28" ht="18" hidden="1" customHeight="1">
      <c r="A714" s="1371"/>
      <c r="B714" s="1339" t="s">
        <v>1393</v>
      </c>
      <c r="C714" s="1368"/>
      <c r="D714" s="1339" t="s">
        <v>1394</v>
      </c>
      <c r="E714" s="1547"/>
      <c r="F714" s="1380" t="s">
        <v>88</v>
      </c>
      <c r="G714" s="1872">
        <f>M!$I$345</f>
        <v>8500140</v>
      </c>
      <c r="H714" s="1872">
        <f>M!$I$350</f>
        <v>653770</v>
      </c>
      <c r="I714" s="1338">
        <f t="shared" si="165"/>
        <v>9153910</v>
      </c>
      <c r="J714" s="1338">
        <f t="shared" si="166"/>
        <v>0</v>
      </c>
      <c r="K714" s="1338">
        <f t="shared" si="167"/>
        <v>0</v>
      </c>
      <c r="L714" s="1530">
        <f t="shared" si="168"/>
        <v>0</v>
      </c>
    </row>
    <row r="715" spans="1:28" ht="18" hidden="1" customHeight="1">
      <c r="A715" s="1371">
        <v>15</v>
      </c>
      <c r="B715" s="1359" t="s">
        <v>1620</v>
      </c>
      <c r="C715" s="1360"/>
      <c r="D715" s="1359"/>
      <c r="E715" s="1358">
        <v>0</v>
      </c>
      <c r="F715" s="1362" t="s">
        <v>1334</v>
      </c>
      <c r="G715" s="1872">
        <v>75000</v>
      </c>
      <c r="H715" s="1872">
        <v>75000</v>
      </c>
      <c r="I715" s="1338">
        <f t="shared" si="165"/>
        <v>150000</v>
      </c>
      <c r="J715" s="1338">
        <f t="shared" si="166"/>
        <v>0</v>
      </c>
      <c r="K715" s="1338">
        <f t="shared" si="167"/>
        <v>0</v>
      </c>
      <c r="L715" s="1530">
        <f t="shared" si="168"/>
        <v>0</v>
      </c>
    </row>
    <row r="716" spans="1:28" ht="18" hidden="1" customHeight="1" thickBot="1">
      <c r="A716" s="1371">
        <v>16</v>
      </c>
      <c r="B716" s="1658" t="s">
        <v>1621</v>
      </c>
      <c r="C716" s="1659"/>
      <c r="D716" s="1658" t="s">
        <v>1627</v>
      </c>
      <c r="E716" s="1660">
        <f>E696+E697+E698+E699</f>
        <v>0</v>
      </c>
      <c r="F716" s="1661" t="s">
        <v>21</v>
      </c>
      <c r="G716" s="1770">
        <f>250000+125000</f>
        <v>375000</v>
      </c>
      <c r="H716" s="1770">
        <f>250000+125000</f>
        <v>375000</v>
      </c>
      <c r="I716" s="1338">
        <f>G716+H716</f>
        <v>750000</v>
      </c>
      <c r="J716" s="1338">
        <f>E716*G716</f>
        <v>0</v>
      </c>
      <c r="K716" s="1338">
        <f>E716*H716</f>
        <v>0</v>
      </c>
      <c r="L716" s="1530">
        <f>J716+K716</f>
        <v>0</v>
      </c>
    </row>
    <row r="717" spans="1:28" ht="18" hidden="1" customHeight="1" thickTop="1" thickBot="1">
      <c r="A717" s="2675" t="s">
        <v>94</v>
      </c>
      <c r="B717" s="2676"/>
      <c r="C717" s="2676"/>
      <c r="D717" s="2676"/>
      <c r="E717" s="2676"/>
      <c r="F717" s="2676"/>
      <c r="G717" s="2676"/>
      <c r="H717" s="1653"/>
      <c r="I717" s="1653"/>
      <c r="J717" s="1542">
        <f>SUM(J681:J716)</f>
        <v>0</v>
      </c>
      <c r="K717" s="1542">
        <f>SUM(K681:K716)</f>
        <v>0</v>
      </c>
      <c r="L717" s="1340">
        <f>SUM(L681:L716)</f>
        <v>0</v>
      </c>
      <c r="M717" s="1300">
        <v>1</v>
      </c>
      <c r="N717" s="1300">
        <v>48</v>
      </c>
    </row>
    <row r="718" spans="1:28" ht="18" hidden="1" customHeight="1" thickTop="1">
      <c r="A718" s="1379" t="s">
        <v>71</v>
      </c>
      <c r="B718" s="1374" t="s">
        <v>72</v>
      </c>
      <c r="C718" s="1375"/>
      <c r="D718" s="1330"/>
      <c r="E718" s="1330"/>
      <c r="F718" s="1376"/>
      <c r="G718" s="1377"/>
      <c r="H718" s="1330"/>
      <c r="I718" s="1330"/>
      <c r="J718" s="1330"/>
      <c r="K718" s="1330"/>
      <c r="L718" s="1331"/>
      <c r="N718" s="1300">
        <v>49</v>
      </c>
      <c r="AB718" s="1583"/>
    </row>
    <row r="719" spans="1:28" ht="18" hidden="1" customHeight="1">
      <c r="A719" s="1371">
        <v>1</v>
      </c>
      <c r="B719" s="1316" t="s">
        <v>184</v>
      </c>
      <c r="C719" s="1334"/>
      <c r="D719" s="1316" t="s">
        <v>1622</v>
      </c>
      <c r="E719" s="2057">
        <v>0</v>
      </c>
      <c r="F719" s="1336" t="s">
        <v>22</v>
      </c>
      <c r="G719" s="1872">
        <f>M!$I$107</f>
        <v>9456.75</v>
      </c>
      <c r="H719" s="1872">
        <f>M!$I$112</f>
        <v>15840</v>
      </c>
      <c r="I719" s="1338">
        <f>G719+H719</f>
        <v>25296.75</v>
      </c>
      <c r="J719" s="1338">
        <f>E719*G719</f>
        <v>0</v>
      </c>
      <c r="K719" s="1338">
        <f>E719*H719</f>
        <v>0</v>
      </c>
      <c r="L719" s="1530">
        <f>J719+K719</f>
        <v>0</v>
      </c>
    </row>
    <row r="720" spans="1:28" ht="18" hidden="1" customHeight="1">
      <c r="A720" s="1371"/>
      <c r="B720" s="1316" t="s">
        <v>185</v>
      </c>
      <c r="C720" s="1334"/>
      <c r="D720" s="1316" t="s">
        <v>1622</v>
      </c>
      <c r="E720" s="1526"/>
      <c r="F720" s="1336" t="s">
        <v>22</v>
      </c>
      <c r="G720" s="1872">
        <f>M!$I$170</f>
        <v>12506.484375</v>
      </c>
      <c r="H720" s="1872">
        <f>M!$I$175</f>
        <v>35649</v>
      </c>
      <c r="I720" s="1338">
        <f t="shared" ref="I720:I754" si="169">G720+H720</f>
        <v>48155.484375</v>
      </c>
      <c r="J720" s="1338">
        <f t="shared" ref="J720:J754" si="170">E720*G720</f>
        <v>0</v>
      </c>
      <c r="K720" s="1338">
        <f t="shared" ref="K720:K754" si="171">E720*H720</f>
        <v>0</v>
      </c>
      <c r="L720" s="1530">
        <f t="shared" ref="L720:L754" si="172">J720+K720</f>
        <v>0</v>
      </c>
    </row>
    <row r="721" spans="1:28" ht="18" hidden="1" customHeight="1">
      <c r="A721" s="1371">
        <v>2</v>
      </c>
      <c r="B721" s="1316" t="s">
        <v>1486</v>
      </c>
      <c r="C721" s="1334"/>
      <c r="D721" s="1316" t="s">
        <v>1622</v>
      </c>
      <c r="E721" s="1526">
        <v>0</v>
      </c>
      <c r="F721" s="1336" t="s">
        <v>22</v>
      </c>
      <c r="G721" s="1872">
        <f>M!$I$116</f>
        <v>16787.25</v>
      </c>
      <c r="H721" s="1872">
        <f>M!$I$121</f>
        <v>15840</v>
      </c>
      <c r="I721" s="1338">
        <f t="shared" si="169"/>
        <v>32627.25</v>
      </c>
      <c r="J721" s="1338">
        <f t="shared" si="170"/>
        <v>0</v>
      </c>
      <c r="K721" s="1338">
        <f t="shared" si="171"/>
        <v>0</v>
      </c>
      <c r="L721" s="1530">
        <f t="shared" si="172"/>
        <v>0</v>
      </c>
    </row>
    <row r="722" spans="1:28" ht="18" hidden="1" customHeight="1">
      <c r="A722" s="1371"/>
      <c r="B722" s="1316" t="s">
        <v>2304</v>
      </c>
      <c r="C722" s="1334"/>
      <c r="D722" s="1316" t="s">
        <v>1622</v>
      </c>
      <c r="E722" s="1526"/>
      <c r="F722" s="1336" t="s">
        <v>22</v>
      </c>
      <c r="G722" s="1872">
        <f>M!$I$143</f>
        <v>44081.052499999998</v>
      </c>
      <c r="H722" s="1872">
        <f>M!$I$121</f>
        <v>15840</v>
      </c>
      <c r="I722" s="1338">
        <f t="shared" si="169"/>
        <v>59921.052499999998</v>
      </c>
      <c r="J722" s="1338">
        <f t="shared" si="170"/>
        <v>0</v>
      </c>
      <c r="K722" s="1338">
        <f t="shared" si="171"/>
        <v>0</v>
      </c>
      <c r="L722" s="1530">
        <f t="shared" si="172"/>
        <v>0</v>
      </c>
      <c r="P722" s="1939">
        <f>E722+E880+E932</f>
        <v>0</v>
      </c>
    </row>
    <row r="723" spans="1:28" ht="18" hidden="1" customHeight="1">
      <c r="A723" s="1371"/>
      <c r="B723" s="1316" t="s">
        <v>169</v>
      </c>
      <c r="C723" s="1334"/>
      <c r="D723" s="1316" t="s">
        <v>1622</v>
      </c>
      <c r="E723" s="1526">
        <f>(0+0*'INSTALASI AIR'!B40)*1.1</f>
        <v>0</v>
      </c>
      <c r="F723" s="1336" t="s">
        <v>22</v>
      </c>
      <c r="G723" s="1872">
        <f>M!$I$116</f>
        <v>16787.25</v>
      </c>
      <c r="H723" s="1872">
        <f>M!$I$121</f>
        <v>15840</v>
      </c>
      <c r="I723" s="1338">
        <f t="shared" si="169"/>
        <v>32627.25</v>
      </c>
      <c r="J723" s="1338">
        <f t="shared" si="170"/>
        <v>0</v>
      </c>
      <c r="K723" s="1338">
        <f t="shared" si="171"/>
        <v>0</v>
      </c>
      <c r="L723" s="1530">
        <f t="shared" si="172"/>
        <v>0</v>
      </c>
      <c r="AB723" s="1583"/>
    </row>
    <row r="724" spans="1:28" ht="18" hidden="1" customHeight="1">
      <c r="A724" s="1371"/>
      <c r="B724" s="1316" t="s">
        <v>1720</v>
      </c>
      <c r="C724" s="1369"/>
      <c r="D724" s="1316" t="s">
        <v>1716</v>
      </c>
      <c r="E724" s="1526"/>
      <c r="F724" s="1336" t="s">
        <v>22</v>
      </c>
      <c r="G724" s="1872">
        <f>M!$I$215</f>
        <v>33075</v>
      </c>
      <c r="H724" s="1872">
        <f>M!$I$220</f>
        <v>35649</v>
      </c>
      <c r="I724" s="1338">
        <f t="shared" si="169"/>
        <v>68724</v>
      </c>
      <c r="J724" s="1338">
        <f t="shared" si="170"/>
        <v>0</v>
      </c>
      <c r="K724" s="1338">
        <f t="shared" si="171"/>
        <v>0</v>
      </c>
      <c r="L724" s="1530">
        <f t="shared" si="172"/>
        <v>0</v>
      </c>
    </row>
    <row r="725" spans="1:28" ht="18" hidden="1" customHeight="1">
      <c r="A725" s="1371">
        <v>3</v>
      </c>
      <c r="B725" s="1316" t="s">
        <v>84</v>
      </c>
      <c r="C725" s="1334"/>
      <c r="D725" s="1316" t="s">
        <v>1622</v>
      </c>
      <c r="E725" s="1526">
        <v>0</v>
      </c>
      <c r="F725" s="1336" t="s">
        <v>22</v>
      </c>
      <c r="G725" s="1872">
        <f>M!$I$134</f>
        <v>58947.75</v>
      </c>
      <c r="H725" s="1872">
        <f>M!$I$139</f>
        <v>15840</v>
      </c>
      <c r="I725" s="1338">
        <f t="shared" si="169"/>
        <v>74787.75</v>
      </c>
      <c r="J725" s="1338">
        <f t="shared" si="170"/>
        <v>0</v>
      </c>
      <c r="K725" s="1338">
        <f t="shared" si="171"/>
        <v>0</v>
      </c>
      <c r="L725" s="1530">
        <f t="shared" si="172"/>
        <v>0</v>
      </c>
    </row>
    <row r="726" spans="1:28" ht="18" hidden="1" customHeight="1">
      <c r="A726" s="1371"/>
      <c r="B726" s="1316" t="s">
        <v>177</v>
      </c>
      <c r="C726" s="1334"/>
      <c r="D726" s="1316" t="s">
        <v>2644</v>
      </c>
      <c r="E726" s="1526"/>
      <c r="F726" s="1336" t="s">
        <v>22</v>
      </c>
      <c r="G726" s="1872">
        <f>M!$I$152</f>
        <v>52353.675000000003</v>
      </c>
      <c r="H726" s="1872">
        <f>M!$I$157</f>
        <v>35649</v>
      </c>
      <c r="I726" s="1338">
        <f t="shared" si="169"/>
        <v>88002.675000000003</v>
      </c>
      <c r="J726" s="1338">
        <f t="shared" si="170"/>
        <v>0</v>
      </c>
      <c r="K726" s="1338">
        <f t="shared" si="171"/>
        <v>0</v>
      </c>
      <c r="L726" s="1530">
        <f t="shared" si="172"/>
        <v>0</v>
      </c>
    </row>
    <row r="727" spans="1:28" ht="18" hidden="1" customHeight="1">
      <c r="A727" s="1371"/>
      <c r="B727" s="1316" t="s">
        <v>186</v>
      </c>
      <c r="C727" s="1334"/>
      <c r="D727" s="1316" t="s">
        <v>2644</v>
      </c>
      <c r="E727" s="1526"/>
      <c r="F727" s="1336" t="s">
        <v>22</v>
      </c>
      <c r="G727" s="1872">
        <f>M!$I$161</f>
        <v>105789.54375</v>
      </c>
      <c r="H727" s="1872">
        <f>M!$I$166</f>
        <v>35649</v>
      </c>
      <c r="I727" s="1338">
        <f t="shared" si="169"/>
        <v>141438.54375000001</v>
      </c>
      <c r="J727" s="1338">
        <f t="shared" si="170"/>
        <v>0</v>
      </c>
      <c r="K727" s="1338">
        <f t="shared" si="171"/>
        <v>0</v>
      </c>
      <c r="L727" s="1530">
        <f t="shared" si="172"/>
        <v>0</v>
      </c>
    </row>
    <row r="728" spans="1:28" ht="18" hidden="1" customHeight="1">
      <c r="A728" s="1371"/>
      <c r="B728" s="1316" t="s">
        <v>202</v>
      </c>
      <c r="C728" s="1334"/>
      <c r="D728" s="1316" t="s">
        <v>1623</v>
      </c>
      <c r="E728" s="1526">
        <f>0*'INSTALASI AIR'!$B$5*1.1</f>
        <v>0</v>
      </c>
      <c r="F728" s="1336" t="s">
        <v>22</v>
      </c>
      <c r="G728" s="1872">
        <f>M!$I$179</f>
        <v>63910.6875</v>
      </c>
      <c r="H728" s="1872">
        <f>M!$I$184</f>
        <v>35649</v>
      </c>
      <c r="I728" s="1338">
        <f>G728+H728</f>
        <v>99559.6875</v>
      </c>
      <c r="J728" s="1338">
        <f>E728*G728</f>
        <v>0</v>
      </c>
      <c r="K728" s="1338">
        <f>E728*H728</f>
        <v>0</v>
      </c>
      <c r="L728" s="1530">
        <f>J728+K728</f>
        <v>0</v>
      </c>
    </row>
    <row r="729" spans="1:28" ht="18" hidden="1" customHeight="1">
      <c r="A729" s="1371"/>
      <c r="B729" s="1316" t="s">
        <v>1382</v>
      </c>
      <c r="C729" s="1334"/>
      <c r="D729" s="1316" t="s">
        <v>1623</v>
      </c>
      <c r="E729" s="1526"/>
      <c r="F729" s="1336" t="s">
        <v>22</v>
      </c>
      <c r="G729" s="1872">
        <f>M!$I$188</f>
        <v>98990.1</v>
      </c>
      <c r="H729" s="1872">
        <f>M!$I$193</f>
        <v>35649</v>
      </c>
      <c r="I729" s="1338">
        <f>G729+H729</f>
        <v>134639.1</v>
      </c>
      <c r="J729" s="1338">
        <f>E729*G729</f>
        <v>0</v>
      </c>
      <c r="K729" s="1338">
        <f>E729*H729</f>
        <v>0</v>
      </c>
      <c r="L729" s="1530">
        <f>J729+K729</f>
        <v>0</v>
      </c>
    </row>
    <row r="730" spans="1:28" ht="18" hidden="1" customHeight="1">
      <c r="A730" s="1371">
        <v>4</v>
      </c>
      <c r="B730" s="1316" t="s">
        <v>2312</v>
      </c>
      <c r="C730" s="1334"/>
      <c r="D730" s="1316" t="s">
        <v>1623</v>
      </c>
      <c r="E730" s="1526">
        <v>0</v>
      </c>
      <c r="F730" s="1336" t="s">
        <v>22</v>
      </c>
      <c r="G730" s="1872">
        <f>M!$I$197</f>
        <v>162696.6</v>
      </c>
      <c r="H730" s="1872">
        <f>M!$I$184</f>
        <v>35649</v>
      </c>
      <c r="I730" s="1338">
        <f t="shared" si="169"/>
        <v>198345.60000000001</v>
      </c>
      <c r="J730" s="1338">
        <f t="shared" si="170"/>
        <v>0</v>
      </c>
      <c r="K730" s="1338">
        <f t="shared" si="171"/>
        <v>0</v>
      </c>
      <c r="L730" s="1530">
        <f t="shared" si="172"/>
        <v>0</v>
      </c>
      <c r="P730" s="1939">
        <f>E730+E805+E885</f>
        <v>0</v>
      </c>
    </row>
    <row r="731" spans="1:28" ht="18" hidden="1" customHeight="1">
      <c r="A731" s="1371">
        <v>5</v>
      </c>
      <c r="B731" s="1316" t="s">
        <v>85</v>
      </c>
      <c r="C731" s="1334"/>
      <c r="D731" s="1316"/>
      <c r="E731" s="1526">
        <v>0</v>
      </c>
      <c r="F731" s="1336" t="s">
        <v>21</v>
      </c>
      <c r="G731" s="1872">
        <v>1000000</v>
      </c>
      <c r="H731" s="1872">
        <v>0</v>
      </c>
      <c r="I731" s="1338">
        <f t="shared" si="169"/>
        <v>1000000</v>
      </c>
      <c r="J731" s="1338">
        <f t="shared" si="170"/>
        <v>0</v>
      </c>
      <c r="K731" s="1338">
        <f t="shared" si="171"/>
        <v>0</v>
      </c>
      <c r="L731" s="1530">
        <f t="shared" si="172"/>
        <v>0</v>
      </c>
    </row>
    <row r="732" spans="1:28" ht="18" hidden="1" customHeight="1">
      <c r="A732" s="1371"/>
      <c r="B732" s="1316" t="s">
        <v>86</v>
      </c>
      <c r="C732" s="1334"/>
      <c r="D732" s="1316" t="s">
        <v>87</v>
      </c>
      <c r="E732" s="1526"/>
      <c r="F732" s="1336" t="s">
        <v>80</v>
      </c>
      <c r="G732" s="1872">
        <f>M!$I$305</f>
        <v>9891416.2285714298</v>
      </c>
      <c r="H732" s="1872">
        <v>0</v>
      </c>
      <c r="I732" s="1338">
        <f t="shared" si="169"/>
        <v>9891416.2285714298</v>
      </c>
      <c r="J732" s="1338">
        <f t="shared" si="170"/>
        <v>0</v>
      </c>
      <c r="K732" s="1338">
        <f t="shared" si="171"/>
        <v>0</v>
      </c>
      <c r="L732" s="1530">
        <f t="shared" si="172"/>
        <v>0</v>
      </c>
    </row>
    <row r="733" spans="1:28" ht="18" hidden="1" customHeight="1">
      <c r="A733" s="1371"/>
      <c r="B733" s="1316" t="s">
        <v>1719</v>
      </c>
      <c r="C733" s="1334"/>
      <c r="D733" s="1316" t="s">
        <v>87</v>
      </c>
      <c r="E733" s="1526"/>
      <c r="F733" s="1336" t="s">
        <v>80</v>
      </c>
      <c r="G733" s="1872">
        <f>M!$I$406</f>
        <v>10174155.028571429</v>
      </c>
      <c r="H733" s="1872">
        <v>0</v>
      </c>
      <c r="I733" s="1338">
        <f t="shared" si="169"/>
        <v>10174155.028571429</v>
      </c>
      <c r="J733" s="1338">
        <f t="shared" si="170"/>
        <v>0</v>
      </c>
      <c r="K733" s="1338">
        <f t="shared" si="171"/>
        <v>0</v>
      </c>
      <c r="L733" s="1530">
        <f t="shared" si="172"/>
        <v>0</v>
      </c>
    </row>
    <row r="734" spans="1:28" ht="18" hidden="1" customHeight="1">
      <c r="A734" s="1371"/>
      <c r="B734" s="1316" t="s">
        <v>1383</v>
      </c>
      <c r="C734" s="1334"/>
      <c r="D734" s="1316" t="str">
        <f>BAHAN!$F$238</f>
        <v xml:space="preserve">Setara OULU KW1 W 288 </v>
      </c>
      <c r="E734" s="1526"/>
      <c r="F734" s="1336" t="s">
        <v>88</v>
      </c>
      <c r="G734" s="1872">
        <f>M!$I$39</f>
        <v>235348</v>
      </c>
      <c r="H734" s="1872">
        <f>M!$I$44</f>
        <v>438700</v>
      </c>
      <c r="I734" s="1338">
        <f t="shared" si="169"/>
        <v>674048</v>
      </c>
      <c r="J734" s="1338">
        <f t="shared" si="170"/>
        <v>0</v>
      </c>
      <c r="K734" s="1338">
        <f t="shared" si="171"/>
        <v>0</v>
      </c>
      <c r="L734" s="1530">
        <f t="shared" si="172"/>
        <v>0</v>
      </c>
    </row>
    <row r="735" spans="1:28" ht="18" hidden="1" customHeight="1">
      <c r="A735" s="1371"/>
      <c r="B735" s="1372" t="s">
        <v>1384</v>
      </c>
      <c r="C735" s="1525"/>
      <c r="D735" s="1316" t="s">
        <v>2357</v>
      </c>
      <c r="E735" s="1526"/>
      <c r="F735" s="1527" t="s">
        <v>88</v>
      </c>
      <c r="G735" s="1872">
        <f>M!$I$50</f>
        <v>1187460</v>
      </c>
      <c r="H735" s="1872">
        <f>M!$I$55</f>
        <v>438700</v>
      </c>
      <c r="I735" s="1526">
        <f t="shared" si="169"/>
        <v>1626160</v>
      </c>
      <c r="J735" s="1526">
        <f t="shared" si="170"/>
        <v>0</v>
      </c>
      <c r="K735" s="1526">
        <f t="shared" si="171"/>
        <v>0</v>
      </c>
      <c r="L735" s="1530">
        <f t="shared" si="172"/>
        <v>0</v>
      </c>
    </row>
    <row r="736" spans="1:28" ht="18" hidden="1" customHeight="1">
      <c r="A736" s="1371"/>
      <c r="B736" s="1372" t="s">
        <v>89</v>
      </c>
      <c r="C736" s="1525"/>
      <c r="D736" s="1300" t="str">
        <f>BAHAN!$F$241</f>
        <v>Setara AMERICAN STANDARD MY WINSTON CCST</v>
      </c>
      <c r="E736" s="1526"/>
      <c r="F736" s="1527" t="s">
        <v>88</v>
      </c>
      <c r="G736" s="1872">
        <f>M!$I$17</f>
        <v>1643000</v>
      </c>
      <c r="H736" s="1872">
        <f>M!$I$22</f>
        <v>653770</v>
      </c>
      <c r="I736" s="1526">
        <f t="shared" si="169"/>
        <v>2296770</v>
      </c>
      <c r="J736" s="1526">
        <f t="shared" si="170"/>
        <v>0</v>
      </c>
      <c r="K736" s="1526">
        <f t="shared" si="171"/>
        <v>0</v>
      </c>
      <c r="L736" s="1530">
        <f t="shared" si="172"/>
        <v>0</v>
      </c>
    </row>
    <row r="737" spans="1:28" ht="18" hidden="1" customHeight="1">
      <c r="A737" s="1371"/>
      <c r="B737" s="1316" t="s">
        <v>201</v>
      </c>
      <c r="C737" s="1334"/>
      <c r="D737" s="1316" t="s">
        <v>200</v>
      </c>
      <c r="E737" s="1526"/>
      <c r="F737" s="1336" t="s">
        <v>88</v>
      </c>
      <c r="G737" s="1872">
        <f>M!$I$9</f>
        <v>395460</v>
      </c>
      <c r="H737" s="1872">
        <f>M!$I$13</f>
        <v>659800</v>
      </c>
      <c r="I737" s="1338">
        <f t="shared" si="169"/>
        <v>1055260</v>
      </c>
      <c r="J737" s="1338">
        <f t="shared" si="170"/>
        <v>0</v>
      </c>
      <c r="K737" s="1338">
        <f t="shared" si="171"/>
        <v>0</v>
      </c>
      <c r="L737" s="1530">
        <f t="shared" si="172"/>
        <v>0</v>
      </c>
    </row>
    <row r="738" spans="1:28" ht="18" hidden="1" customHeight="1">
      <c r="A738" s="1371"/>
      <c r="B738" s="1316" t="s">
        <v>90</v>
      </c>
      <c r="C738" s="1334"/>
      <c r="D738" s="1316" t="str">
        <f>BAHAN!$F$236</f>
        <v xml:space="preserve">Setara American Standard Kran Bath and Shower type ART 2132 Mixer (panas - dingin) &amp;
Hand Shower </v>
      </c>
      <c r="E738" s="1526"/>
      <c r="F738" s="1336" t="s">
        <v>88</v>
      </c>
      <c r="G738" s="1872">
        <f>M!$I$242</f>
        <v>1041043.75</v>
      </c>
      <c r="H738" s="1872">
        <f>M!$I$246</f>
        <v>19960</v>
      </c>
      <c r="I738" s="1338">
        <f t="shared" si="169"/>
        <v>1061003.75</v>
      </c>
      <c r="J738" s="1338">
        <f t="shared" si="170"/>
        <v>0</v>
      </c>
      <c r="K738" s="1338">
        <f t="shared" si="171"/>
        <v>0</v>
      </c>
      <c r="L738" s="1530">
        <f t="shared" si="172"/>
        <v>0</v>
      </c>
    </row>
    <row r="739" spans="1:28" ht="18" hidden="1" customHeight="1">
      <c r="A739" s="1371"/>
      <c r="B739" s="1316" t="s">
        <v>91</v>
      </c>
      <c r="C739" s="1334"/>
      <c r="D739" s="1316" t="s">
        <v>1399</v>
      </c>
      <c r="E739" s="1526"/>
      <c r="F739" s="1336" t="s">
        <v>88</v>
      </c>
      <c r="G739" s="1872">
        <f>M!$I$373</f>
        <v>100143.75</v>
      </c>
      <c r="H739" s="1872">
        <f>M!$I$377</f>
        <v>19960</v>
      </c>
      <c r="I739" s="1338">
        <f t="shared" si="169"/>
        <v>120103.75</v>
      </c>
      <c r="J739" s="1338">
        <f t="shared" si="170"/>
        <v>0</v>
      </c>
      <c r="K739" s="1338">
        <f t="shared" si="171"/>
        <v>0</v>
      </c>
      <c r="L739" s="1530">
        <f t="shared" si="172"/>
        <v>0</v>
      </c>
    </row>
    <row r="740" spans="1:28" ht="18" hidden="1" customHeight="1">
      <c r="A740" s="1371">
        <v>6</v>
      </c>
      <c r="B740" s="1316" t="s">
        <v>2187</v>
      </c>
      <c r="C740" s="1334"/>
      <c r="D740" s="1316" t="str">
        <f>BAHAN!$F$234</f>
        <v>Setara  kran bak mdel toto</v>
      </c>
      <c r="E740" s="1526">
        <v>0</v>
      </c>
      <c r="F740" s="1336" t="s">
        <v>88</v>
      </c>
      <c r="G740" s="1872">
        <f>M!$I$233</f>
        <v>90143.75</v>
      </c>
      <c r="H740" s="1872">
        <f>M!$I$237</f>
        <v>19960</v>
      </c>
      <c r="I740" s="1338">
        <f t="shared" si="169"/>
        <v>110103.75</v>
      </c>
      <c r="J740" s="1338">
        <f t="shared" si="170"/>
        <v>0</v>
      </c>
      <c r="K740" s="1338">
        <f t="shared" si="171"/>
        <v>0</v>
      </c>
      <c r="L740" s="1530">
        <f t="shared" si="172"/>
        <v>0</v>
      </c>
    </row>
    <row r="741" spans="1:28" ht="18" hidden="1" customHeight="1">
      <c r="A741" s="1371">
        <v>7</v>
      </c>
      <c r="B741" s="1316" t="s">
        <v>1525</v>
      </c>
      <c r="C741" s="1334"/>
      <c r="D741" s="1316" t="s">
        <v>2541</v>
      </c>
      <c r="E741" s="1526">
        <v>0</v>
      </c>
      <c r="F741" s="1336" t="s">
        <v>88</v>
      </c>
      <c r="G741" s="1872">
        <f>M!$I$391</f>
        <v>23143.75</v>
      </c>
      <c r="H741" s="1872">
        <f>M!$I$395</f>
        <v>19960</v>
      </c>
      <c r="I741" s="1338">
        <f t="shared" si="169"/>
        <v>43103.75</v>
      </c>
      <c r="J741" s="1338">
        <f t="shared" si="170"/>
        <v>0</v>
      </c>
      <c r="K741" s="1338">
        <f t="shared" si="171"/>
        <v>0</v>
      </c>
      <c r="L741" s="1530">
        <f t="shared" si="172"/>
        <v>0</v>
      </c>
    </row>
    <row r="742" spans="1:28" ht="18" hidden="1" customHeight="1">
      <c r="A742" s="1371"/>
      <c r="B742" s="1316" t="s">
        <v>180</v>
      </c>
      <c r="C742" s="1334"/>
      <c r="D742" s="1316" t="s">
        <v>204</v>
      </c>
      <c r="E742" s="1526"/>
      <c r="F742" s="1336" t="s">
        <v>88</v>
      </c>
      <c r="G742" s="1872">
        <f>M!$I$336</f>
        <v>3095200</v>
      </c>
      <c r="H742" s="1872">
        <f>M!$I$341</f>
        <v>653770</v>
      </c>
      <c r="I742" s="1338">
        <f t="shared" si="169"/>
        <v>3748970</v>
      </c>
      <c r="J742" s="1338">
        <f t="shared" si="170"/>
        <v>0</v>
      </c>
      <c r="K742" s="1338">
        <f t="shared" si="171"/>
        <v>0</v>
      </c>
      <c r="L742" s="1530">
        <f t="shared" si="172"/>
        <v>0</v>
      </c>
    </row>
    <row r="743" spans="1:28" ht="18" hidden="1" customHeight="1">
      <c r="A743" s="1371"/>
      <c r="B743" s="1316" t="s">
        <v>2199</v>
      </c>
      <c r="C743" s="1334"/>
      <c r="D743" s="1316" t="str">
        <f>BAHAN!$F$248</f>
        <v>Setara Jet Shower Wasser WS 88TS</v>
      </c>
      <c r="E743" s="1526">
        <f>E736</f>
        <v>0</v>
      </c>
      <c r="F743" s="1336" t="s">
        <v>88</v>
      </c>
      <c r="G743" s="1872">
        <f>M!$I$382</f>
        <v>80143.75</v>
      </c>
      <c r="H743" s="1872">
        <f>M!$I$386</f>
        <v>19960</v>
      </c>
      <c r="I743" s="1338">
        <f t="shared" si="169"/>
        <v>100103.75</v>
      </c>
      <c r="J743" s="1338">
        <f t="shared" si="170"/>
        <v>0</v>
      </c>
      <c r="K743" s="1338">
        <f t="shared" si="171"/>
        <v>0</v>
      </c>
      <c r="L743" s="1530">
        <f t="shared" si="172"/>
        <v>0</v>
      </c>
    </row>
    <row r="744" spans="1:28" ht="18" hidden="1" customHeight="1">
      <c r="A744" s="1371"/>
      <c r="B744" s="1316" t="s">
        <v>92</v>
      </c>
      <c r="C744" s="1334"/>
      <c r="D744" s="1316" t="str">
        <f>BAHAN!$F$243</f>
        <v xml:space="preserve">Stainless Kitchen Sink </v>
      </c>
      <c r="E744" s="1526">
        <f>E739</f>
        <v>0</v>
      </c>
      <c r="F744" s="1336" t="s">
        <v>88</v>
      </c>
      <c r="G744" s="1872">
        <f>M!$I$224</f>
        <v>150000</v>
      </c>
      <c r="H744" s="1872">
        <f>M!$I$228</f>
        <v>57450</v>
      </c>
      <c r="I744" s="1338">
        <f t="shared" si="169"/>
        <v>207450</v>
      </c>
      <c r="J744" s="1338">
        <f t="shared" si="170"/>
        <v>0</v>
      </c>
      <c r="K744" s="1338">
        <f t="shared" si="171"/>
        <v>0</v>
      </c>
      <c r="L744" s="1530">
        <f t="shared" si="172"/>
        <v>0</v>
      </c>
    </row>
    <row r="745" spans="1:28" ht="18" hidden="1" customHeight="1">
      <c r="A745" s="1371"/>
      <c r="B745" s="1316" t="s">
        <v>93</v>
      </c>
      <c r="C745" s="1334"/>
      <c r="D745" s="1372" t="s">
        <v>182</v>
      </c>
      <c r="E745" s="1526"/>
      <c r="F745" s="1336" t="s">
        <v>88</v>
      </c>
      <c r="G745" s="1872">
        <f>M!$I$250</f>
        <v>30000</v>
      </c>
      <c r="H745" s="1872">
        <f>M!$I$254</f>
        <v>19960</v>
      </c>
      <c r="I745" s="1338">
        <f t="shared" si="169"/>
        <v>49960</v>
      </c>
      <c r="J745" s="1338">
        <f t="shared" si="170"/>
        <v>0</v>
      </c>
      <c r="K745" s="1338">
        <f t="shared" si="171"/>
        <v>0</v>
      </c>
      <c r="L745" s="1530">
        <f t="shared" si="172"/>
        <v>0</v>
      </c>
    </row>
    <row r="746" spans="1:28" ht="18" hidden="1" customHeight="1">
      <c r="A746" s="1371">
        <v>8</v>
      </c>
      <c r="B746" s="1316" t="s">
        <v>179</v>
      </c>
      <c r="C746" s="1334"/>
      <c r="D746" s="1372" t="s">
        <v>1762</v>
      </c>
      <c r="E746" s="1526">
        <v>0</v>
      </c>
      <c r="F746" s="1336" t="s">
        <v>88</v>
      </c>
      <c r="G746" s="1872">
        <f>M!$I$258</f>
        <v>10000</v>
      </c>
      <c r="H746" s="1872">
        <f>M!$I$262</f>
        <v>19960</v>
      </c>
      <c r="I746" s="1338">
        <f t="shared" si="169"/>
        <v>29960</v>
      </c>
      <c r="J746" s="1338">
        <f t="shared" si="170"/>
        <v>0</v>
      </c>
      <c r="K746" s="1338">
        <f t="shared" si="171"/>
        <v>0</v>
      </c>
      <c r="L746" s="1530">
        <f t="shared" si="172"/>
        <v>0</v>
      </c>
      <c r="AB746" s="1583"/>
    </row>
    <row r="747" spans="1:28" ht="18" hidden="1" customHeight="1">
      <c r="A747" s="1371"/>
      <c r="B747" s="1339" t="s">
        <v>1520</v>
      </c>
      <c r="C747" s="1368"/>
      <c r="D747" s="1339" t="s">
        <v>203</v>
      </c>
      <c r="E747" s="1526"/>
      <c r="F747" s="1336" t="s">
        <v>88</v>
      </c>
      <c r="G747" s="1872">
        <f>M!$I$309</f>
        <v>2321400</v>
      </c>
      <c r="H747" s="1909">
        <f>M!$I$314</f>
        <v>653770</v>
      </c>
      <c r="I747" s="1338">
        <f t="shared" si="169"/>
        <v>2975170</v>
      </c>
      <c r="J747" s="1338">
        <f t="shared" si="170"/>
        <v>0</v>
      </c>
      <c r="K747" s="1338">
        <f t="shared" si="171"/>
        <v>0</v>
      </c>
      <c r="L747" s="1530">
        <f t="shared" si="172"/>
        <v>0</v>
      </c>
    </row>
    <row r="748" spans="1:28" ht="18" hidden="1" customHeight="1">
      <c r="A748" s="1371">
        <v>9</v>
      </c>
      <c r="B748" s="1339" t="s">
        <v>2310</v>
      </c>
      <c r="C748" s="1368"/>
      <c r="D748" s="1339" t="str">
        <f>BAHAN!$F$323</f>
        <v>Ex. Ariston Solar Water Heater kapasitas 300L</v>
      </c>
      <c r="E748" s="1526">
        <v>0</v>
      </c>
      <c r="F748" s="1336" t="s">
        <v>88</v>
      </c>
      <c r="G748" s="1872">
        <f>M!$I$327</f>
        <v>27772000</v>
      </c>
      <c r="H748" s="1909">
        <v>0</v>
      </c>
      <c r="I748" s="1338">
        <f t="shared" si="169"/>
        <v>27772000</v>
      </c>
      <c r="J748" s="1338">
        <f t="shared" si="170"/>
        <v>0</v>
      </c>
      <c r="K748" s="1338">
        <f t="shared" si="171"/>
        <v>0</v>
      </c>
      <c r="L748" s="1530">
        <f t="shared" si="172"/>
        <v>0</v>
      </c>
    </row>
    <row r="749" spans="1:28" ht="18" hidden="1" customHeight="1">
      <c r="A749" s="1371"/>
      <c r="B749" s="1339" t="s">
        <v>1386</v>
      </c>
      <c r="C749" s="1368"/>
      <c r="D749" s="1339" t="s">
        <v>1387</v>
      </c>
      <c r="E749" s="1526"/>
      <c r="F749" s="1380" t="s">
        <v>88</v>
      </c>
      <c r="G749" s="1872">
        <f>M!$I$28</f>
        <v>4054460</v>
      </c>
      <c r="H749" s="1909">
        <f>M!$I$33</f>
        <v>313180</v>
      </c>
      <c r="I749" s="1338">
        <f t="shared" si="169"/>
        <v>4367640</v>
      </c>
      <c r="J749" s="1338">
        <f t="shared" si="170"/>
        <v>0</v>
      </c>
      <c r="K749" s="1338">
        <f t="shared" si="171"/>
        <v>0</v>
      </c>
      <c r="L749" s="1530">
        <f t="shared" si="172"/>
        <v>0</v>
      </c>
    </row>
    <row r="750" spans="1:28" ht="18" hidden="1" customHeight="1">
      <c r="A750" s="1371"/>
      <c r="B750" s="1339" t="s">
        <v>1388</v>
      </c>
      <c r="C750" s="1368"/>
      <c r="D750" s="1339" t="s">
        <v>1389</v>
      </c>
      <c r="E750" s="1526"/>
      <c r="F750" s="1380" t="s">
        <v>88</v>
      </c>
      <c r="G750" s="1872">
        <f>M!$I$85</f>
        <v>511957.60800000001</v>
      </c>
      <c r="H750" s="1909">
        <f>M!$I$90</f>
        <v>454240</v>
      </c>
      <c r="I750" s="1338">
        <f t="shared" si="169"/>
        <v>966197.60800000001</v>
      </c>
      <c r="J750" s="1338">
        <f t="shared" si="170"/>
        <v>0</v>
      </c>
      <c r="K750" s="1338">
        <f t="shared" si="171"/>
        <v>0</v>
      </c>
      <c r="L750" s="1530">
        <f t="shared" si="172"/>
        <v>0</v>
      </c>
    </row>
    <row r="751" spans="1:28" ht="18" hidden="1" customHeight="1">
      <c r="A751" s="1371">
        <v>10</v>
      </c>
      <c r="B751" s="1339" t="s">
        <v>1390</v>
      </c>
      <c r="C751" s="1368"/>
      <c r="D751" s="1339" t="s">
        <v>1391</v>
      </c>
      <c r="E751" s="1526">
        <v>0</v>
      </c>
      <c r="F751" s="1380" t="s">
        <v>88</v>
      </c>
      <c r="G751" s="1872">
        <f>M!$I$275</f>
        <v>1696000</v>
      </c>
      <c r="H751" s="1909">
        <f>M!$I$280</f>
        <v>653770</v>
      </c>
      <c r="I751" s="1338">
        <f t="shared" si="169"/>
        <v>2349770</v>
      </c>
      <c r="J751" s="1338">
        <f t="shared" si="170"/>
        <v>0</v>
      </c>
      <c r="K751" s="1338">
        <f t="shared" si="171"/>
        <v>0</v>
      </c>
      <c r="L751" s="1530">
        <f t="shared" si="172"/>
        <v>0</v>
      </c>
    </row>
    <row r="752" spans="1:28" ht="18" hidden="1" customHeight="1">
      <c r="A752" s="1371"/>
      <c r="B752" s="1339" t="s">
        <v>1392</v>
      </c>
      <c r="C752" s="1368"/>
      <c r="D752" s="1339"/>
      <c r="E752" s="1526"/>
      <c r="F752" s="1380" t="s">
        <v>88</v>
      </c>
      <c r="G752" s="1872">
        <f>M!$I$363</f>
        <v>2120000</v>
      </c>
      <c r="H752" s="1909">
        <f>M!$I$368</f>
        <v>653770</v>
      </c>
      <c r="I752" s="1338">
        <f t="shared" si="169"/>
        <v>2773770</v>
      </c>
      <c r="J752" s="1338">
        <f t="shared" si="170"/>
        <v>0</v>
      </c>
      <c r="K752" s="1338">
        <f t="shared" si="171"/>
        <v>0</v>
      </c>
      <c r="L752" s="1530">
        <f t="shared" si="172"/>
        <v>0</v>
      </c>
    </row>
    <row r="753" spans="1:28" ht="18" hidden="1" customHeight="1">
      <c r="A753" s="1371">
        <v>11</v>
      </c>
      <c r="B753" s="1339" t="s">
        <v>1393</v>
      </c>
      <c r="C753" s="1368"/>
      <c r="D753" s="1339" t="str">
        <f>BAHAN!$F$368</f>
        <v>Ex. Shimizu 135 E</v>
      </c>
      <c r="E753" s="1547">
        <v>0</v>
      </c>
      <c r="F753" s="1380" t="s">
        <v>88</v>
      </c>
      <c r="G753" s="1872">
        <f>M!$I$354</f>
        <v>487600</v>
      </c>
      <c r="H753" s="1872">
        <f>M!$I$350</f>
        <v>653770</v>
      </c>
      <c r="I753" s="1338">
        <f t="shared" si="169"/>
        <v>1141370</v>
      </c>
      <c r="J753" s="1338">
        <f t="shared" si="170"/>
        <v>0</v>
      </c>
      <c r="K753" s="1338">
        <f t="shared" si="171"/>
        <v>0</v>
      </c>
      <c r="L753" s="1530">
        <f t="shared" si="172"/>
        <v>0</v>
      </c>
      <c r="AB753" s="1221"/>
    </row>
    <row r="754" spans="1:28" ht="18" hidden="1" customHeight="1">
      <c r="A754" s="1371">
        <v>12</v>
      </c>
      <c r="B754" s="1359" t="s">
        <v>1620</v>
      </c>
      <c r="C754" s="1360"/>
      <c r="D754" s="1359"/>
      <c r="E754" s="1358">
        <f>SUM(E745:E746,E736)</f>
        <v>0</v>
      </c>
      <c r="F754" s="1362" t="s">
        <v>1334</v>
      </c>
      <c r="G754" s="1872">
        <v>75000</v>
      </c>
      <c r="H754" s="1872">
        <v>75000</v>
      </c>
      <c r="I754" s="1338">
        <f t="shared" si="169"/>
        <v>150000</v>
      </c>
      <c r="J754" s="1338">
        <f t="shared" si="170"/>
        <v>0</v>
      </c>
      <c r="K754" s="1338">
        <f t="shared" si="171"/>
        <v>0</v>
      </c>
      <c r="L754" s="1530">
        <f t="shared" si="172"/>
        <v>0</v>
      </c>
    </row>
    <row r="755" spans="1:28" ht="18" hidden="1" customHeight="1" thickBot="1">
      <c r="A755" s="1371"/>
      <c r="B755" s="1658" t="s">
        <v>1621</v>
      </c>
      <c r="C755" s="1659"/>
      <c r="D755" s="1658" t="s">
        <v>1627</v>
      </c>
      <c r="E755" s="1660">
        <f>E736+E734</f>
        <v>0</v>
      </c>
      <c r="F755" s="1661" t="s">
        <v>21</v>
      </c>
      <c r="G755" s="1770">
        <f>250000+125000</f>
        <v>375000</v>
      </c>
      <c r="H755" s="1770">
        <f>250000+125000</f>
        <v>375000</v>
      </c>
      <c r="I755" s="1338">
        <f>G755+H755</f>
        <v>750000</v>
      </c>
      <c r="J755" s="1338">
        <f>E755*G755</f>
        <v>0</v>
      </c>
      <c r="K755" s="1338">
        <f>E755*H755</f>
        <v>0</v>
      </c>
      <c r="L755" s="1530">
        <f>J755+K755</f>
        <v>0</v>
      </c>
    </row>
    <row r="756" spans="1:28" ht="18" hidden="1" customHeight="1" thickTop="1" thickBot="1">
      <c r="A756" s="2675" t="s">
        <v>94</v>
      </c>
      <c r="B756" s="2676"/>
      <c r="C756" s="2676"/>
      <c r="D756" s="2676"/>
      <c r="E756" s="2676"/>
      <c r="F756" s="2676"/>
      <c r="G756" s="2676"/>
      <c r="H756" s="1802"/>
      <c r="I756" s="1802"/>
      <c r="J756" s="1542">
        <f>SUM(J719:J755)</f>
        <v>0</v>
      </c>
      <c r="K756" s="1542">
        <f>SUM(K719:K755)</f>
        <v>0</v>
      </c>
      <c r="L756" s="1340">
        <f>SUM(L719:L755)</f>
        <v>0</v>
      </c>
      <c r="M756" s="1300">
        <v>1</v>
      </c>
      <c r="N756" s="1300">
        <v>50</v>
      </c>
    </row>
    <row r="757" spans="1:28" ht="18" hidden="1" customHeight="1" thickTop="1">
      <c r="A757" s="1379" t="s">
        <v>1413</v>
      </c>
      <c r="B757" s="1374" t="s">
        <v>72</v>
      </c>
      <c r="C757" s="1375"/>
      <c r="D757" s="1330"/>
      <c r="E757" s="1330"/>
      <c r="F757" s="1376"/>
      <c r="G757" s="1377"/>
      <c r="H757" s="1330"/>
      <c r="I757" s="1330"/>
      <c r="J757" s="1330"/>
      <c r="K757" s="1330"/>
      <c r="L757" s="1331"/>
      <c r="N757" s="1300">
        <v>51</v>
      </c>
      <c r="AB757" s="1583"/>
    </row>
    <row r="758" spans="1:28" ht="18" hidden="1" customHeight="1">
      <c r="A758" s="1371"/>
      <c r="B758" s="1316" t="s">
        <v>184</v>
      </c>
      <c r="C758" s="1334"/>
      <c r="D758" s="1316" t="s">
        <v>1622</v>
      </c>
      <c r="E758" s="2057"/>
      <c r="F758" s="1336" t="s">
        <v>22</v>
      </c>
      <c r="G758" s="1872">
        <f>M!$I$107</f>
        <v>9456.75</v>
      </c>
      <c r="H758" s="1872">
        <f>M!$I$112</f>
        <v>15840</v>
      </c>
      <c r="I758" s="1338">
        <f>G758+H758</f>
        <v>25296.75</v>
      </c>
      <c r="J758" s="1338">
        <f>E758*G758</f>
        <v>0</v>
      </c>
      <c r="K758" s="1338">
        <f>E758*H758</f>
        <v>0</v>
      </c>
      <c r="L758" s="1530">
        <f>J758+K758</f>
        <v>0</v>
      </c>
      <c r="AB758" s="1221"/>
    </row>
    <row r="759" spans="1:28" ht="18" hidden="1" customHeight="1">
      <c r="A759" s="1371"/>
      <c r="B759" s="1316" t="s">
        <v>185</v>
      </c>
      <c r="C759" s="1334"/>
      <c r="D759" s="1316" t="s">
        <v>1622</v>
      </c>
      <c r="E759" s="1526"/>
      <c r="F759" s="1336" t="s">
        <v>22</v>
      </c>
      <c r="G759" s="1872">
        <f>M!$I$170</f>
        <v>12506.484375</v>
      </c>
      <c r="H759" s="1872">
        <f>M!$I$175</f>
        <v>35649</v>
      </c>
      <c r="I759" s="1338">
        <f t="shared" ref="I759:I793" si="173">G759+H759</f>
        <v>48155.484375</v>
      </c>
      <c r="J759" s="1338">
        <f t="shared" ref="J759:J793" si="174">E759*G759</f>
        <v>0</v>
      </c>
      <c r="K759" s="1338">
        <f t="shared" ref="K759:K793" si="175">E759*H759</f>
        <v>0</v>
      </c>
      <c r="L759" s="1530">
        <f t="shared" ref="L759:L793" si="176">J759+K759</f>
        <v>0</v>
      </c>
      <c r="AB759" s="1221"/>
    </row>
    <row r="760" spans="1:28" ht="18" hidden="1" customHeight="1">
      <c r="A760" s="1371">
        <v>1</v>
      </c>
      <c r="B760" s="1316" t="s">
        <v>1486</v>
      </c>
      <c r="C760" s="1334"/>
      <c r="D760" s="1316" t="s">
        <v>1622</v>
      </c>
      <c r="E760" s="1526"/>
      <c r="F760" s="1336" t="s">
        <v>22</v>
      </c>
      <c r="G760" s="1872">
        <f>M!$I$116</f>
        <v>16787.25</v>
      </c>
      <c r="H760" s="1872">
        <f>M!$I$121</f>
        <v>15840</v>
      </c>
      <c r="I760" s="1338">
        <f t="shared" si="173"/>
        <v>32627.25</v>
      </c>
      <c r="J760" s="1338">
        <f t="shared" si="174"/>
        <v>0</v>
      </c>
      <c r="K760" s="1338">
        <f t="shared" si="175"/>
        <v>0</v>
      </c>
      <c r="L760" s="1530">
        <f t="shared" si="176"/>
        <v>0</v>
      </c>
      <c r="AB760" s="1221"/>
    </row>
    <row r="761" spans="1:28" ht="18" hidden="1" customHeight="1">
      <c r="A761" s="1371"/>
      <c r="B761" s="1316" t="s">
        <v>2304</v>
      </c>
      <c r="C761" s="1334"/>
      <c r="D761" s="1316" t="s">
        <v>1622</v>
      </c>
      <c r="E761" s="1526"/>
      <c r="F761" s="1336" t="s">
        <v>22</v>
      </c>
      <c r="G761" s="1872">
        <f>M!$I$143</f>
        <v>44081.052499999998</v>
      </c>
      <c r="H761" s="1872">
        <f>M!$I$121</f>
        <v>15840</v>
      </c>
      <c r="I761" s="1338">
        <f t="shared" si="173"/>
        <v>59921.052499999998</v>
      </c>
      <c r="J761" s="1338">
        <f t="shared" si="174"/>
        <v>0</v>
      </c>
      <c r="K761" s="1338">
        <f t="shared" si="175"/>
        <v>0</v>
      </c>
      <c r="L761" s="1530">
        <f t="shared" si="176"/>
        <v>0</v>
      </c>
      <c r="P761" s="1939" t="e">
        <f>E761+#REF!+E966</f>
        <v>#REF!</v>
      </c>
      <c r="AB761" s="1221"/>
    </row>
    <row r="762" spans="1:28" ht="18" hidden="1" customHeight="1">
      <c r="A762" s="1371"/>
      <c r="B762" s="1316" t="s">
        <v>169</v>
      </c>
      <c r="C762" s="1334"/>
      <c r="D762" s="1316" t="s">
        <v>1622</v>
      </c>
      <c r="E762" s="1526"/>
      <c r="F762" s="1336" t="s">
        <v>22</v>
      </c>
      <c r="G762" s="1872">
        <f>M!$I$116</f>
        <v>16787.25</v>
      </c>
      <c r="H762" s="1872">
        <f>M!$I$121</f>
        <v>15840</v>
      </c>
      <c r="I762" s="1338">
        <f t="shared" si="173"/>
        <v>32627.25</v>
      </c>
      <c r="J762" s="1338">
        <f t="shared" si="174"/>
        <v>0</v>
      </c>
      <c r="K762" s="1338">
        <f t="shared" si="175"/>
        <v>0</v>
      </c>
      <c r="L762" s="1530">
        <f t="shared" si="176"/>
        <v>0</v>
      </c>
      <c r="AB762" s="1583"/>
    </row>
    <row r="763" spans="1:28" ht="18" hidden="1" customHeight="1">
      <c r="A763" s="1371"/>
      <c r="B763" s="1316" t="s">
        <v>1720</v>
      </c>
      <c r="C763" s="1369"/>
      <c r="D763" s="1316" t="s">
        <v>1716</v>
      </c>
      <c r="E763" s="1526"/>
      <c r="F763" s="1336" t="s">
        <v>22</v>
      </c>
      <c r="G763" s="1872">
        <f>M!$I$215</f>
        <v>33075</v>
      </c>
      <c r="H763" s="1872">
        <f>M!$I$220</f>
        <v>35649</v>
      </c>
      <c r="I763" s="1338">
        <f t="shared" si="173"/>
        <v>68724</v>
      </c>
      <c r="J763" s="1338">
        <f t="shared" si="174"/>
        <v>0</v>
      </c>
      <c r="K763" s="1338">
        <f t="shared" si="175"/>
        <v>0</v>
      </c>
      <c r="L763" s="1530">
        <f t="shared" si="176"/>
        <v>0</v>
      </c>
      <c r="AB763" s="1221"/>
    </row>
    <row r="764" spans="1:28" ht="18" hidden="1" customHeight="1">
      <c r="A764" s="1371">
        <v>2</v>
      </c>
      <c r="B764" s="1316" t="s">
        <v>84</v>
      </c>
      <c r="C764" s="1334"/>
      <c r="D764" s="1316" t="s">
        <v>1622</v>
      </c>
      <c r="E764" s="1526"/>
      <c r="F764" s="1336" t="s">
        <v>22</v>
      </c>
      <c r="G764" s="1872">
        <f>M!$I$134</f>
        <v>58947.75</v>
      </c>
      <c r="H764" s="1872">
        <f>M!$I$139</f>
        <v>15840</v>
      </c>
      <c r="I764" s="1338">
        <f t="shared" si="173"/>
        <v>74787.75</v>
      </c>
      <c r="J764" s="1338">
        <f t="shared" si="174"/>
        <v>0</v>
      </c>
      <c r="K764" s="1338">
        <f t="shared" si="175"/>
        <v>0</v>
      </c>
      <c r="L764" s="1530">
        <f t="shared" si="176"/>
        <v>0</v>
      </c>
      <c r="AB764" s="1583"/>
    </row>
    <row r="765" spans="1:28" ht="18" hidden="1" customHeight="1">
      <c r="A765" s="1371"/>
      <c r="B765" s="1316" t="s">
        <v>177</v>
      </c>
      <c r="C765" s="1334"/>
      <c r="D765" s="1316" t="s">
        <v>2644</v>
      </c>
      <c r="E765" s="1526"/>
      <c r="F765" s="1336" t="s">
        <v>22</v>
      </c>
      <c r="G765" s="1872">
        <f>M!$I$152</f>
        <v>52353.675000000003</v>
      </c>
      <c r="H765" s="1872">
        <f>M!$I$157</f>
        <v>35649</v>
      </c>
      <c r="I765" s="1338">
        <f t="shared" si="173"/>
        <v>88002.675000000003</v>
      </c>
      <c r="J765" s="1338">
        <f t="shared" si="174"/>
        <v>0</v>
      </c>
      <c r="K765" s="1338">
        <f t="shared" si="175"/>
        <v>0</v>
      </c>
      <c r="L765" s="1530">
        <f t="shared" si="176"/>
        <v>0</v>
      </c>
      <c r="AB765" s="1221"/>
    </row>
    <row r="766" spans="1:28" ht="18" hidden="1" customHeight="1">
      <c r="A766" s="1371"/>
      <c r="B766" s="1316" t="s">
        <v>186</v>
      </c>
      <c r="C766" s="1334"/>
      <c r="D766" s="1316" t="s">
        <v>2644</v>
      </c>
      <c r="E766" s="1526"/>
      <c r="F766" s="1336" t="s">
        <v>22</v>
      </c>
      <c r="G766" s="1872">
        <f>M!$I$161</f>
        <v>105789.54375</v>
      </c>
      <c r="H766" s="1872">
        <f>M!$I$166</f>
        <v>35649</v>
      </c>
      <c r="I766" s="1338">
        <f t="shared" si="173"/>
        <v>141438.54375000001</v>
      </c>
      <c r="J766" s="1338">
        <f t="shared" si="174"/>
        <v>0</v>
      </c>
      <c r="K766" s="1338">
        <f t="shared" si="175"/>
        <v>0</v>
      </c>
      <c r="L766" s="1530">
        <f t="shared" si="176"/>
        <v>0</v>
      </c>
      <c r="AB766" s="1221"/>
    </row>
    <row r="767" spans="1:28" ht="18" hidden="1" customHeight="1">
      <c r="A767" s="1371"/>
      <c r="B767" s="1316" t="s">
        <v>202</v>
      </c>
      <c r="C767" s="1334"/>
      <c r="D767" s="1316" t="s">
        <v>1623</v>
      </c>
      <c r="E767" s="1526"/>
      <c r="F767" s="1336" t="s">
        <v>22</v>
      </c>
      <c r="G767" s="1872">
        <f>M!$I$179</f>
        <v>63910.6875</v>
      </c>
      <c r="H767" s="1872">
        <f>M!$I$184</f>
        <v>35649</v>
      </c>
      <c r="I767" s="1338">
        <f t="shared" si="173"/>
        <v>99559.6875</v>
      </c>
      <c r="J767" s="1338">
        <f t="shared" si="174"/>
        <v>0</v>
      </c>
      <c r="K767" s="1338">
        <f t="shared" si="175"/>
        <v>0</v>
      </c>
      <c r="L767" s="1530">
        <f t="shared" si="176"/>
        <v>0</v>
      </c>
      <c r="AB767" s="1221"/>
    </row>
    <row r="768" spans="1:28" ht="18" hidden="1" customHeight="1">
      <c r="A768" s="1371"/>
      <c r="B768" s="1316" t="s">
        <v>1382</v>
      </c>
      <c r="C768" s="1334"/>
      <c r="D768" s="1316" t="s">
        <v>1623</v>
      </c>
      <c r="E768" s="1526"/>
      <c r="F768" s="1336" t="s">
        <v>22</v>
      </c>
      <c r="G768" s="1872">
        <f>M!$I$188</f>
        <v>98990.1</v>
      </c>
      <c r="H768" s="1872">
        <f>M!$I$193</f>
        <v>35649</v>
      </c>
      <c r="I768" s="1338">
        <f t="shared" si="173"/>
        <v>134639.1</v>
      </c>
      <c r="J768" s="1338">
        <f t="shared" si="174"/>
        <v>0</v>
      </c>
      <c r="K768" s="1338">
        <f t="shared" si="175"/>
        <v>0</v>
      </c>
      <c r="L768" s="1530">
        <f t="shared" si="176"/>
        <v>0</v>
      </c>
      <c r="AB768" s="1221"/>
    </row>
    <row r="769" spans="1:28" ht="18" hidden="1" customHeight="1">
      <c r="A769" s="1371">
        <v>3</v>
      </c>
      <c r="B769" s="1316" t="s">
        <v>2312</v>
      </c>
      <c r="C769" s="1334"/>
      <c r="D769" s="1316" t="s">
        <v>1623</v>
      </c>
      <c r="E769" s="1526"/>
      <c r="F769" s="1336" t="s">
        <v>22</v>
      </c>
      <c r="G769" s="1872">
        <f>M!$I$197</f>
        <v>162696.6</v>
      </c>
      <c r="H769" s="1872">
        <f>M!$I$184</f>
        <v>35649</v>
      </c>
      <c r="I769" s="1338">
        <f t="shared" si="173"/>
        <v>198345.60000000001</v>
      </c>
      <c r="J769" s="1338">
        <f t="shared" si="174"/>
        <v>0</v>
      </c>
      <c r="K769" s="1338">
        <f t="shared" si="175"/>
        <v>0</v>
      </c>
      <c r="L769" s="1530">
        <f t="shared" si="176"/>
        <v>0</v>
      </c>
      <c r="P769" s="1939" t="e">
        <f>E769+E883+#REF!</f>
        <v>#REF!</v>
      </c>
      <c r="AB769" s="1221"/>
    </row>
    <row r="770" spans="1:28" ht="18" hidden="1" customHeight="1">
      <c r="A770" s="1371">
        <v>4</v>
      </c>
      <c r="B770" s="1316" t="s">
        <v>85</v>
      </c>
      <c r="C770" s="1334"/>
      <c r="D770" s="1316"/>
      <c r="E770" s="1526"/>
      <c r="F770" s="1336" t="s">
        <v>21</v>
      </c>
      <c r="G770" s="1872">
        <v>1000000</v>
      </c>
      <c r="H770" s="1872">
        <v>0</v>
      </c>
      <c r="I770" s="1338">
        <f t="shared" si="173"/>
        <v>1000000</v>
      </c>
      <c r="J770" s="1338">
        <f t="shared" si="174"/>
        <v>0</v>
      </c>
      <c r="K770" s="1338">
        <f t="shared" si="175"/>
        <v>0</v>
      </c>
      <c r="L770" s="1530">
        <f t="shared" si="176"/>
        <v>0</v>
      </c>
      <c r="AB770" s="1221"/>
    </row>
    <row r="771" spans="1:28" ht="18" hidden="1" customHeight="1">
      <c r="A771" s="1371"/>
      <c r="B771" s="1316" t="s">
        <v>86</v>
      </c>
      <c r="C771" s="1334"/>
      <c r="D771" s="1316" t="s">
        <v>87</v>
      </c>
      <c r="E771" s="1526"/>
      <c r="F771" s="1336" t="s">
        <v>80</v>
      </c>
      <c r="G771" s="1872">
        <f>M!$I$305</f>
        <v>9891416.2285714298</v>
      </c>
      <c r="H771" s="1872">
        <v>0</v>
      </c>
      <c r="I771" s="1338">
        <f t="shared" si="173"/>
        <v>9891416.2285714298</v>
      </c>
      <c r="J771" s="1338">
        <f t="shared" si="174"/>
        <v>0</v>
      </c>
      <c r="K771" s="1338">
        <f t="shared" si="175"/>
        <v>0</v>
      </c>
      <c r="L771" s="1530">
        <f t="shared" si="176"/>
        <v>0</v>
      </c>
      <c r="AB771" s="1221"/>
    </row>
    <row r="772" spans="1:28" ht="18" hidden="1" customHeight="1">
      <c r="A772" s="1371"/>
      <c r="B772" s="1316" t="s">
        <v>1719</v>
      </c>
      <c r="C772" s="1334"/>
      <c r="D772" s="1316" t="s">
        <v>87</v>
      </c>
      <c r="E772" s="1526"/>
      <c r="F772" s="1336" t="s">
        <v>80</v>
      </c>
      <c r="G772" s="1872">
        <f>M!$I$406</f>
        <v>10174155.028571429</v>
      </c>
      <c r="H772" s="1872">
        <v>0</v>
      </c>
      <c r="I772" s="1338">
        <f t="shared" si="173"/>
        <v>10174155.028571429</v>
      </c>
      <c r="J772" s="1338">
        <f t="shared" si="174"/>
        <v>0</v>
      </c>
      <c r="K772" s="1338">
        <f t="shared" si="175"/>
        <v>0</v>
      </c>
      <c r="L772" s="1530">
        <f t="shared" si="176"/>
        <v>0</v>
      </c>
      <c r="AB772" s="1221"/>
    </row>
    <row r="773" spans="1:28" ht="18" hidden="1" customHeight="1">
      <c r="A773" s="1371"/>
      <c r="B773" s="1316" t="s">
        <v>1383</v>
      </c>
      <c r="C773" s="1334"/>
      <c r="D773" s="1316" t="str">
        <f>BAHAN!$F$238</f>
        <v xml:space="preserve">Setara OULU KW1 W 288 </v>
      </c>
      <c r="E773" s="1526"/>
      <c r="F773" s="1336" t="s">
        <v>88</v>
      </c>
      <c r="G773" s="1872">
        <f>M!$I$39</f>
        <v>235348</v>
      </c>
      <c r="H773" s="1872">
        <f>M!$I$44</f>
        <v>438700</v>
      </c>
      <c r="I773" s="1338">
        <f t="shared" si="173"/>
        <v>674048</v>
      </c>
      <c r="J773" s="1338">
        <f t="shared" si="174"/>
        <v>0</v>
      </c>
      <c r="K773" s="1338">
        <f t="shared" si="175"/>
        <v>0</v>
      </c>
      <c r="L773" s="1530">
        <f t="shared" si="176"/>
        <v>0</v>
      </c>
      <c r="AB773" s="1221"/>
    </row>
    <row r="774" spans="1:28" ht="18" hidden="1" customHeight="1">
      <c r="A774" s="1371"/>
      <c r="B774" s="1372" t="s">
        <v>1384</v>
      </c>
      <c r="C774" s="1525"/>
      <c r="D774" s="1316" t="s">
        <v>2357</v>
      </c>
      <c r="E774" s="1526"/>
      <c r="F774" s="1527" t="s">
        <v>88</v>
      </c>
      <c r="G774" s="1872">
        <f>M!$I$50</f>
        <v>1187460</v>
      </c>
      <c r="H774" s="1872">
        <f>M!$I$55</f>
        <v>438700</v>
      </c>
      <c r="I774" s="1526">
        <f t="shared" si="173"/>
        <v>1626160</v>
      </c>
      <c r="J774" s="1526">
        <f t="shared" si="174"/>
        <v>0</v>
      </c>
      <c r="K774" s="1526">
        <f t="shared" si="175"/>
        <v>0</v>
      </c>
      <c r="L774" s="1530">
        <f t="shared" si="176"/>
        <v>0</v>
      </c>
      <c r="AB774" s="1221"/>
    </row>
    <row r="775" spans="1:28" ht="18" hidden="1" customHeight="1">
      <c r="A775" s="1371"/>
      <c r="B775" s="1372" t="s">
        <v>89</v>
      </c>
      <c r="C775" s="1525"/>
      <c r="D775" s="1300" t="str">
        <f>BAHAN!$F$241</f>
        <v>Setara AMERICAN STANDARD MY WINSTON CCST</v>
      </c>
      <c r="E775" s="1526"/>
      <c r="F775" s="1527" t="s">
        <v>88</v>
      </c>
      <c r="G775" s="1872">
        <f>M!$I$17</f>
        <v>1643000</v>
      </c>
      <c r="H775" s="1872">
        <f>M!$I$22</f>
        <v>653770</v>
      </c>
      <c r="I775" s="1526">
        <f t="shared" si="173"/>
        <v>2296770</v>
      </c>
      <c r="J775" s="1526">
        <f t="shared" si="174"/>
        <v>0</v>
      </c>
      <c r="K775" s="1526">
        <f t="shared" si="175"/>
        <v>0</v>
      </c>
      <c r="L775" s="1530">
        <f t="shared" si="176"/>
        <v>0</v>
      </c>
      <c r="AB775" s="1221"/>
    </row>
    <row r="776" spans="1:28" ht="18" hidden="1" customHeight="1">
      <c r="A776" s="1371"/>
      <c r="B776" s="1316" t="s">
        <v>201</v>
      </c>
      <c r="C776" s="1334"/>
      <c r="D776" s="1316" t="s">
        <v>200</v>
      </c>
      <c r="E776" s="1526"/>
      <c r="F776" s="1336" t="s">
        <v>88</v>
      </c>
      <c r="G776" s="1872">
        <f>M!$I$9</f>
        <v>395460</v>
      </c>
      <c r="H776" s="1872">
        <f>M!$I$13</f>
        <v>659800</v>
      </c>
      <c r="I776" s="1338">
        <f t="shared" si="173"/>
        <v>1055260</v>
      </c>
      <c r="J776" s="1338">
        <f t="shared" si="174"/>
        <v>0</v>
      </c>
      <c r="K776" s="1338">
        <f t="shared" si="175"/>
        <v>0</v>
      </c>
      <c r="L776" s="1530">
        <f t="shared" si="176"/>
        <v>0</v>
      </c>
      <c r="AB776" s="1221"/>
    </row>
    <row r="777" spans="1:28" ht="18" hidden="1" customHeight="1">
      <c r="A777" s="1371"/>
      <c r="B777" s="1316" t="s">
        <v>90</v>
      </c>
      <c r="C777" s="1334"/>
      <c r="D777" s="1316" t="str">
        <f>BAHAN!$F$236</f>
        <v xml:space="preserve">Setara American Standard Kran Bath and Shower type ART 2132 Mixer (panas - dingin) &amp;
Hand Shower </v>
      </c>
      <c r="E777" s="1526"/>
      <c r="F777" s="1336" t="s">
        <v>88</v>
      </c>
      <c r="G777" s="1872">
        <f>M!$I$242</f>
        <v>1041043.75</v>
      </c>
      <c r="H777" s="1872">
        <f>M!$I$246</f>
        <v>19960</v>
      </c>
      <c r="I777" s="1338">
        <f t="shared" si="173"/>
        <v>1061003.75</v>
      </c>
      <c r="J777" s="1338">
        <f t="shared" si="174"/>
        <v>0</v>
      </c>
      <c r="K777" s="1338">
        <f t="shared" si="175"/>
        <v>0</v>
      </c>
      <c r="L777" s="1530">
        <f t="shared" si="176"/>
        <v>0</v>
      </c>
      <c r="AB777" s="1221"/>
    </row>
    <row r="778" spans="1:28" ht="18" hidden="1" customHeight="1">
      <c r="A778" s="1371"/>
      <c r="B778" s="1316" t="s">
        <v>91</v>
      </c>
      <c r="C778" s="1334"/>
      <c r="D778" s="1316" t="s">
        <v>1399</v>
      </c>
      <c r="E778" s="1526"/>
      <c r="F778" s="1336" t="s">
        <v>88</v>
      </c>
      <c r="G778" s="1872">
        <f>M!$I$373</f>
        <v>100143.75</v>
      </c>
      <c r="H778" s="1872">
        <f>M!$I$377</f>
        <v>19960</v>
      </c>
      <c r="I778" s="1338">
        <f t="shared" si="173"/>
        <v>120103.75</v>
      </c>
      <c r="J778" s="1338">
        <f t="shared" si="174"/>
        <v>0</v>
      </c>
      <c r="K778" s="1338">
        <f t="shared" si="175"/>
        <v>0</v>
      </c>
      <c r="L778" s="1530">
        <f t="shared" si="176"/>
        <v>0</v>
      </c>
      <c r="AB778" s="1221"/>
    </row>
    <row r="779" spans="1:28" ht="18" hidden="1" customHeight="1">
      <c r="A779" s="1371">
        <v>5</v>
      </c>
      <c r="B779" s="1316" t="s">
        <v>2187</v>
      </c>
      <c r="C779" s="1334"/>
      <c r="D779" s="1316" t="str">
        <f>BAHAN!$F$234</f>
        <v>Setara  kran bak mdel toto</v>
      </c>
      <c r="E779" s="1526"/>
      <c r="F779" s="1336" t="s">
        <v>88</v>
      </c>
      <c r="G779" s="1872">
        <f>M!$I$233</f>
        <v>90143.75</v>
      </c>
      <c r="H779" s="1872">
        <f>M!$I$237</f>
        <v>19960</v>
      </c>
      <c r="I779" s="1338">
        <f t="shared" si="173"/>
        <v>110103.75</v>
      </c>
      <c r="J779" s="1338">
        <f t="shared" si="174"/>
        <v>0</v>
      </c>
      <c r="K779" s="1338">
        <f t="shared" si="175"/>
        <v>0</v>
      </c>
      <c r="L779" s="1530">
        <f t="shared" si="176"/>
        <v>0</v>
      </c>
      <c r="AB779" s="1221"/>
    </row>
    <row r="780" spans="1:28" ht="18" hidden="1" customHeight="1">
      <c r="A780" s="1371">
        <v>6</v>
      </c>
      <c r="B780" s="1316" t="s">
        <v>1525</v>
      </c>
      <c r="C780" s="1334"/>
      <c r="D780" s="1316" t="s">
        <v>2541</v>
      </c>
      <c r="E780" s="1526"/>
      <c r="F780" s="1336" t="s">
        <v>88</v>
      </c>
      <c r="G780" s="1872">
        <f>M!$I$391</f>
        <v>23143.75</v>
      </c>
      <c r="H780" s="1872">
        <f>M!$I$395</f>
        <v>19960</v>
      </c>
      <c r="I780" s="1338">
        <f t="shared" si="173"/>
        <v>43103.75</v>
      </c>
      <c r="J780" s="1338">
        <f t="shared" si="174"/>
        <v>0</v>
      </c>
      <c r="K780" s="1338">
        <f t="shared" si="175"/>
        <v>0</v>
      </c>
      <c r="L780" s="1530">
        <f t="shared" si="176"/>
        <v>0</v>
      </c>
      <c r="AB780" s="1221"/>
    </row>
    <row r="781" spans="1:28" ht="18" hidden="1" customHeight="1">
      <c r="A781" s="1371"/>
      <c r="B781" s="1316" t="s">
        <v>180</v>
      </c>
      <c r="C781" s="1334"/>
      <c r="D781" s="1316" t="s">
        <v>204</v>
      </c>
      <c r="E781" s="1526"/>
      <c r="F781" s="1336" t="s">
        <v>88</v>
      </c>
      <c r="G781" s="1872">
        <f>M!$I$336</f>
        <v>3095200</v>
      </c>
      <c r="H781" s="1872">
        <f>M!$I$341</f>
        <v>653770</v>
      </c>
      <c r="I781" s="1338">
        <f t="shared" si="173"/>
        <v>3748970</v>
      </c>
      <c r="J781" s="1338">
        <f t="shared" si="174"/>
        <v>0</v>
      </c>
      <c r="K781" s="1338">
        <f t="shared" si="175"/>
        <v>0</v>
      </c>
      <c r="L781" s="1530">
        <f t="shared" si="176"/>
        <v>0</v>
      </c>
      <c r="AB781" s="1221"/>
    </row>
    <row r="782" spans="1:28" ht="18" hidden="1" customHeight="1">
      <c r="A782" s="1371"/>
      <c r="B782" s="1316" t="s">
        <v>2199</v>
      </c>
      <c r="C782" s="1334"/>
      <c r="D782" s="1316" t="s">
        <v>1401</v>
      </c>
      <c r="E782" s="1526"/>
      <c r="F782" s="1336" t="s">
        <v>88</v>
      </c>
      <c r="G782" s="1872">
        <f>M!$I$382</f>
        <v>80143.75</v>
      </c>
      <c r="H782" s="1872">
        <f>M!$I$386</f>
        <v>19960</v>
      </c>
      <c r="I782" s="1338">
        <f t="shared" si="173"/>
        <v>100103.75</v>
      </c>
      <c r="J782" s="1338">
        <f t="shared" si="174"/>
        <v>0</v>
      </c>
      <c r="K782" s="1338">
        <f t="shared" si="175"/>
        <v>0</v>
      </c>
      <c r="L782" s="1530">
        <f t="shared" si="176"/>
        <v>0</v>
      </c>
      <c r="AB782" s="1221"/>
    </row>
    <row r="783" spans="1:28" ht="18" hidden="1" customHeight="1">
      <c r="A783" s="1371"/>
      <c r="B783" s="1316" t="s">
        <v>92</v>
      </c>
      <c r="C783" s="1334"/>
      <c r="D783" s="1316" t="str">
        <f>BAHAN!$F$243</f>
        <v xml:space="preserve">Stainless Kitchen Sink </v>
      </c>
      <c r="E783" s="1526"/>
      <c r="F783" s="1336" t="s">
        <v>88</v>
      </c>
      <c r="G783" s="1872">
        <f>M!$I$224</f>
        <v>150000</v>
      </c>
      <c r="H783" s="1872">
        <f>M!$I$228</f>
        <v>57450</v>
      </c>
      <c r="I783" s="1338">
        <f t="shared" si="173"/>
        <v>207450</v>
      </c>
      <c r="J783" s="1338">
        <f t="shared" si="174"/>
        <v>0</v>
      </c>
      <c r="K783" s="1338">
        <f t="shared" si="175"/>
        <v>0</v>
      </c>
      <c r="L783" s="1530">
        <f t="shared" si="176"/>
        <v>0</v>
      </c>
      <c r="AB783" s="1221"/>
    </row>
    <row r="784" spans="1:28" ht="18" hidden="1" customHeight="1">
      <c r="A784" s="1371"/>
      <c r="B784" s="1316" t="s">
        <v>93</v>
      </c>
      <c r="C784" s="1334"/>
      <c r="D784" s="1372" t="s">
        <v>182</v>
      </c>
      <c r="E784" s="1526"/>
      <c r="F784" s="1336" t="s">
        <v>88</v>
      </c>
      <c r="G784" s="1872">
        <f>M!$I$250</f>
        <v>30000</v>
      </c>
      <c r="H784" s="1872">
        <f>M!$I$254</f>
        <v>19960</v>
      </c>
      <c r="I784" s="1338">
        <f t="shared" si="173"/>
        <v>49960</v>
      </c>
      <c r="J784" s="1338">
        <f t="shared" si="174"/>
        <v>0</v>
      </c>
      <c r="K784" s="1338">
        <f t="shared" si="175"/>
        <v>0</v>
      </c>
      <c r="L784" s="1530">
        <f t="shared" si="176"/>
        <v>0</v>
      </c>
      <c r="AB784" s="1221"/>
    </row>
    <row r="785" spans="1:28" ht="18" hidden="1" customHeight="1">
      <c r="A785" s="1371">
        <v>7</v>
      </c>
      <c r="B785" s="1316" t="s">
        <v>179</v>
      </c>
      <c r="C785" s="1334"/>
      <c r="D785" s="1372" t="s">
        <v>1762</v>
      </c>
      <c r="E785" s="1526"/>
      <c r="F785" s="1336" t="s">
        <v>88</v>
      </c>
      <c r="G785" s="1872">
        <f>M!$I$258</f>
        <v>10000</v>
      </c>
      <c r="H785" s="1872">
        <f>M!$I$262</f>
        <v>19960</v>
      </c>
      <c r="I785" s="1338">
        <f t="shared" si="173"/>
        <v>29960</v>
      </c>
      <c r="J785" s="1338">
        <f t="shared" si="174"/>
        <v>0</v>
      </c>
      <c r="K785" s="1338">
        <f t="shared" si="175"/>
        <v>0</v>
      </c>
      <c r="L785" s="1530">
        <f t="shared" si="176"/>
        <v>0</v>
      </c>
      <c r="AB785" s="1583"/>
    </row>
    <row r="786" spans="1:28" ht="18" hidden="1" customHeight="1">
      <c r="A786" s="1371"/>
      <c r="B786" s="1339" t="s">
        <v>1520</v>
      </c>
      <c r="C786" s="1368"/>
      <c r="D786" s="1339" t="s">
        <v>203</v>
      </c>
      <c r="E786" s="1526"/>
      <c r="F786" s="1336" t="s">
        <v>88</v>
      </c>
      <c r="G786" s="1872">
        <f>M!$I$309</f>
        <v>2321400</v>
      </c>
      <c r="H786" s="1909">
        <f>M!$I$314</f>
        <v>653770</v>
      </c>
      <c r="I786" s="1338">
        <f t="shared" si="173"/>
        <v>2975170</v>
      </c>
      <c r="J786" s="1338">
        <f t="shared" si="174"/>
        <v>0</v>
      </c>
      <c r="K786" s="1338">
        <f t="shared" si="175"/>
        <v>0</v>
      </c>
      <c r="L786" s="1530">
        <f t="shared" si="176"/>
        <v>0</v>
      </c>
      <c r="AB786" s="1221"/>
    </row>
    <row r="787" spans="1:28" ht="18" hidden="1" customHeight="1">
      <c r="A787" s="1371">
        <v>8</v>
      </c>
      <c r="B787" s="1339" t="s">
        <v>2310</v>
      </c>
      <c r="C787" s="1368"/>
      <c r="D787" s="1339" t="s">
        <v>1200</v>
      </c>
      <c r="E787" s="1526"/>
      <c r="F787" s="1336" t="s">
        <v>88</v>
      </c>
      <c r="G787" s="1872">
        <f>M!$I$327</f>
        <v>27772000</v>
      </c>
      <c r="H787" s="1909">
        <f>M!$I$332</f>
        <v>653770</v>
      </c>
      <c r="I787" s="1338">
        <f t="shared" si="173"/>
        <v>28425770</v>
      </c>
      <c r="J787" s="1338">
        <f t="shared" si="174"/>
        <v>0</v>
      </c>
      <c r="K787" s="1338">
        <f t="shared" si="175"/>
        <v>0</v>
      </c>
      <c r="L787" s="1530">
        <f t="shared" si="176"/>
        <v>0</v>
      </c>
      <c r="AB787" s="1221"/>
    </row>
    <row r="788" spans="1:28" ht="18" hidden="1" customHeight="1">
      <c r="A788" s="1371"/>
      <c r="B788" s="1339" t="s">
        <v>1386</v>
      </c>
      <c r="C788" s="1368"/>
      <c r="D788" s="1339" t="s">
        <v>1387</v>
      </c>
      <c r="E788" s="1526"/>
      <c r="F788" s="1380" t="s">
        <v>88</v>
      </c>
      <c r="G788" s="1872">
        <f>M!$I$28</f>
        <v>4054460</v>
      </c>
      <c r="H788" s="1909">
        <f>M!$I$33</f>
        <v>313180</v>
      </c>
      <c r="I788" s="1338">
        <f t="shared" si="173"/>
        <v>4367640</v>
      </c>
      <c r="J788" s="1338">
        <f t="shared" si="174"/>
        <v>0</v>
      </c>
      <c r="K788" s="1338">
        <f t="shared" si="175"/>
        <v>0</v>
      </c>
      <c r="L788" s="1530">
        <f t="shared" si="176"/>
        <v>0</v>
      </c>
      <c r="AB788" s="1221"/>
    </row>
    <row r="789" spans="1:28" ht="18" hidden="1" customHeight="1">
      <c r="A789" s="1371"/>
      <c r="B789" s="1339" t="s">
        <v>1388</v>
      </c>
      <c r="C789" s="1368"/>
      <c r="D789" s="1339" t="s">
        <v>1389</v>
      </c>
      <c r="E789" s="1526"/>
      <c r="F789" s="1380" t="s">
        <v>88</v>
      </c>
      <c r="G789" s="1872">
        <f>M!$I$85</f>
        <v>511957.60800000001</v>
      </c>
      <c r="H789" s="1909">
        <f>M!$I$90</f>
        <v>454240</v>
      </c>
      <c r="I789" s="1338">
        <f t="shared" si="173"/>
        <v>966197.60800000001</v>
      </c>
      <c r="J789" s="1338">
        <f t="shared" si="174"/>
        <v>0</v>
      </c>
      <c r="K789" s="1338">
        <f t="shared" si="175"/>
        <v>0</v>
      </c>
      <c r="L789" s="1530">
        <f t="shared" si="176"/>
        <v>0</v>
      </c>
      <c r="AB789" s="1221"/>
    </row>
    <row r="790" spans="1:28" ht="18" hidden="1" customHeight="1">
      <c r="A790" s="1371">
        <v>9</v>
      </c>
      <c r="B790" s="1339" t="s">
        <v>1390</v>
      </c>
      <c r="C790" s="1368"/>
      <c r="D790" s="1339" t="s">
        <v>1391</v>
      </c>
      <c r="E790" s="1526"/>
      <c r="F790" s="1380" t="s">
        <v>88</v>
      </c>
      <c r="G790" s="1872">
        <f>M!$I$275</f>
        <v>1696000</v>
      </c>
      <c r="H790" s="1909">
        <f>M!$I$280</f>
        <v>653770</v>
      </c>
      <c r="I790" s="1338">
        <f t="shared" si="173"/>
        <v>2349770</v>
      </c>
      <c r="J790" s="1338">
        <f t="shared" si="174"/>
        <v>0</v>
      </c>
      <c r="K790" s="1338">
        <f t="shared" si="175"/>
        <v>0</v>
      </c>
      <c r="L790" s="1530">
        <f t="shared" si="176"/>
        <v>0</v>
      </c>
      <c r="AB790" s="1221"/>
    </row>
    <row r="791" spans="1:28" ht="18" hidden="1" customHeight="1">
      <c r="A791" s="1371"/>
      <c r="B791" s="1339" t="s">
        <v>1392</v>
      </c>
      <c r="C791" s="1368"/>
      <c r="D791" s="1339"/>
      <c r="E791" s="1526"/>
      <c r="F791" s="1380" t="s">
        <v>88</v>
      </c>
      <c r="G791" s="1872">
        <f>M!$I$363</f>
        <v>2120000</v>
      </c>
      <c r="H791" s="1909">
        <f>M!$I$368</f>
        <v>653770</v>
      </c>
      <c r="I791" s="1338">
        <f t="shared" si="173"/>
        <v>2773770</v>
      </c>
      <c r="J791" s="1338">
        <f t="shared" si="174"/>
        <v>0</v>
      </c>
      <c r="K791" s="1338">
        <f t="shared" si="175"/>
        <v>0</v>
      </c>
      <c r="L791" s="1530">
        <f t="shared" si="176"/>
        <v>0</v>
      </c>
      <c r="AB791" s="1221"/>
    </row>
    <row r="792" spans="1:28" ht="18" hidden="1" customHeight="1">
      <c r="A792" s="1371">
        <v>10</v>
      </c>
      <c r="B792" s="1339" t="s">
        <v>1393</v>
      </c>
      <c r="C792" s="1368"/>
      <c r="D792" s="1339" t="str">
        <f>BAHAN!$F$368</f>
        <v>Ex. Shimizu 135 E</v>
      </c>
      <c r="E792" s="1547"/>
      <c r="F792" s="1380" t="s">
        <v>88</v>
      </c>
      <c r="G792" s="1872">
        <f>M!$I$354</f>
        <v>487600</v>
      </c>
      <c r="H792" s="1872">
        <f>M!$I$350</f>
        <v>653770</v>
      </c>
      <c r="I792" s="1338">
        <f t="shared" si="173"/>
        <v>1141370</v>
      </c>
      <c r="J792" s="1338">
        <f t="shared" si="174"/>
        <v>0</v>
      </c>
      <c r="K792" s="1338">
        <f t="shared" si="175"/>
        <v>0</v>
      </c>
      <c r="L792" s="1530">
        <f t="shared" si="176"/>
        <v>0</v>
      </c>
      <c r="AB792" s="1221"/>
    </row>
    <row r="793" spans="1:28" ht="18" hidden="1" customHeight="1">
      <c r="A793" s="1371">
        <v>11</v>
      </c>
      <c r="B793" s="1359" t="s">
        <v>1620</v>
      </c>
      <c r="C793" s="1360"/>
      <c r="D793" s="1359"/>
      <c r="E793" s="1358">
        <f>SUM(E784:E785,E775)</f>
        <v>0</v>
      </c>
      <c r="F793" s="1362" t="s">
        <v>1334</v>
      </c>
      <c r="G793" s="1872">
        <v>75000</v>
      </c>
      <c r="H793" s="1872">
        <v>75000</v>
      </c>
      <c r="I793" s="1338">
        <f t="shared" si="173"/>
        <v>150000</v>
      </c>
      <c r="J793" s="1338">
        <f t="shared" si="174"/>
        <v>0</v>
      </c>
      <c r="K793" s="1338">
        <f t="shared" si="175"/>
        <v>0</v>
      </c>
      <c r="L793" s="1530">
        <f t="shared" si="176"/>
        <v>0</v>
      </c>
      <c r="AB793" s="1221"/>
    </row>
    <row r="794" spans="1:28" ht="18" hidden="1" customHeight="1" thickBot="1">
      <c r="A794" s="1371"/>
      <c r="B794" s="1658" t="s">
        <v>1621</v>
      </c>
      <c r="C794" s="1659"/>
      <c r="D794" s="1658" t="s">
        <v>1627</v>
      </c>
      <c r="E794" s="1660">
        <f>E775+E773</f>
        <v>0</v>
      </c>
      <c r="F794" s="1661" t="s">
        <v>21</v>
      </c>
      <c r="G794" s="1770">
        <f>250000+125000</f>
        <v>375000</v>
      </c>
      <c r="H794" s="1770">
        <f>250000+125000</f>
        <v>375000</v>
      </c>
      <c r="I794" s="1338">
        <f>G794+H794</f>
        <v>750000</v>
      </c>
      <c r="J794" s="1338">
        <f>E794*G794</f>
        <v>0</v>
      </c>
      <c r="K794" s="1338">
        <f>E794*H794</f>
        <v>0</v>
      </c>
      <c r="L794" s="1530">
        <f>J794+K794</f>
        <v>0</v>
      </c>
      <c r="AB794" s="1221"/>
    </row>
    <row r="795" spans="1:28" ht="18" hidden="1" customHeight="1" thickTop="1" thickBot="1">
      <c r="A795" s="2675" t="s">
        <v>94</v>
      </c>
      <c r="B795" s="2676"/>
      <c r="C795" s="2676"/>
      <c r="D795" s="2676"/>
      <c r="E795" s="2676"/>
      <c r="F795" s="2676"/>
      <c r="G795" s="2676"/>
      <c r="H795" s="2356"/>
      <c r="I795" s="2356"/>
      <c r="J795" s="1542">
        <f>SUM(J758:J794)</f>
        <v>0</v>
      </c>
      <c r="K795" s="1542">
        <f>SUM(K758:K794)</f>
        <v>0</v>
      </c>
      <c r="L795" s="1340">
        <f>SUM(L758:L794)</f>
        <v>0</v>
      </c>
      <c r="M795" s="1300">
        <v>1</v>
      </c>
      <c r="N795" s="1300">
        <v>52</v>
      </c>
      <c r="AB795" s="1221"/>
    </row>
    <row r="796" spans="1:28" ht="18" hidden="1" customHeight="1" thickTop="1">
      <c r="A796" s="1379" t="s">
        <v>1010</v>
      </c>
      <c r="B796" s="1374" t="s">
        <v>2617</v>
      </c>
      <c r="C796" s="1375"/>
      <c r="D796" s="1330"/>
      <c r="E796" s="1330"/>
      <c r="F796" s="1376"/>
      <c r="G796" s="1377"/>
      <c r="H796" s="1330"/>
      <c r="I796" s="1330"/>
      <c r="J796" s="1330"/>
      <c r="K796" s="1330"/>
      <c r="L796" s="1331"/>
      <c r="N796" s="1300">
        <v>53</v>
      </c>
    </row>
    <row r="797" spans="1:28" ht="18" hidden="1" customHeight="1">
      <c r="A797" s="1371">
        <v>1</v>
      </c>
      <c r="B797" s="1316" t="s">
        <v>184</v>
      </c>
      <c r="C797" s="1334"/>
      <c r="D797" s="1316" t="s">
        <v>1622</v>
      </c>
      <c r="E797" s="2057">
        <f>1.9*SUM(E812:E814,E816:E818)*1.1</f>
        <v>0</v>
      </c>
      <c r="F797" s="1336" t="s">
        <v>22</v>
      </c>
      <c r="G797" s="1872">
        <f>M!$I$107</f>
        <v>9456.75</v>
      </c>
      <c r="H797" s="1872">
        <f>M!$I$112</f>
        <v>15840</v>
      </c>
      <c r="I797" s="1338">
        <f>G797+H797</f>
        <v>25296.75</v>
      </c>
      <c r="J797" s="1338">
        <f>E797*G797</f>
        <v>0</v>
      </c>
      <c r="K797" s="1338">
        <f>E797*H797</f>
        <v>0</v>
      </c>
      <c r="L797" s="1530">
        <f>J797+K797</f>
        <v>0</v>
      </c>
    </row>
    <row r="798" spans="1:28" ht="18" hidden="1" customHeight="1">
      <c r="A798" s="1371">
        <v>2</v>
      </c>
      <c r="B798" s="1316" t="s">
        <v>185</v>
      </c>
      <c r="C798" s="1334"/>
      <c r="D798" s="1316" t="s">
        <v>1622</v>
      </c>
      <c r="E798" s="1526"/>
      <c r="F798" s="1336" t="s">
        <v>22</v>
      </c>
      <c r="G798" s="1872">
        <f>M!$I$170</f>
        <v>12506.484375</v>
      </c>
      <c r="H798" s="1872">
        <f>M!$I$175</f>
        <v>35649</v>
      </c>
      <c r="I798" s="1338">
        <f t="shared" ref="I798:I832" si="177">G798+H798</f>
        <v>48155.484375</v>
      </c>
      <c r="J798" s="1338">
        <f t="shared" ref="J798:J832" si="178">E798*G798</f>
        <v>0</v>
      </c>
      <c r="K798" s="1338">
        <f t="shared" ref="K798:K832" si="179">E798*H798</f>
        <v>0</v>
      </c>
      <c r="L798" s="1530">
        <f t="shared" ref="L798:L832" si="180">J798+K798</f>
        <v>0</v>
      </c>
    </row>
    <row r="799" spans="1:28" ht="18" hidden="1" customHeight="1">
      <c r="A799" s="1371">
        <v>3</v>
      </c>
      <c r="B799" s="1316" t="s">
        <v>1486</v>
      </c>
      <c r="C799" s="1334"/>
      <c r="D799" s="1316" t="s">
        <v>1622</v>
      </c>
      <c r="E799" s="1526"/>
      <c r="F799" s="1336" t="s">
        <v>22</v>
      </c>
      <c r="G799" s="1872">
        <f>M!$I$116</f>
        <v>16787.25</v>
      </c>
      <c r="H799" s="1872">
        <f>M!$I$121</f>
        <v>15840</v>
      </c>
      <c r="I799" s="1338">
        <f t="shared" si="177"/>
        <v>32627.25</v>
      </c>
      <c r="J799" s="1338">
        <f t="shared" si="178"/>
        <v>0</v>
      </c>
      <c r="K799" s="1338">
        <f t="shared" si="179"/>
        <v>0</v>
      </c>
      <c r="L799" s="1530">
        <f t="shared" si="180"/>
        <v>0</v>
      </c>
    </row>
    <row r="800" spans="1:28" ht="18" hidden="1" customHeight="1">
      <c r="A800" s="1371"/>
      <c r="B800" s="1316" t="s">
        <v>2304</v>
      </c>
      <c r="C800" s="1334"/>
      <c r="D800" s="1316" t="s">
        <v>1622</v>
      </c>
      <c r="E800" s="1526"/>
      <c r="F800" s="1336" t="s">
        <v>22</v>
      </c>
      <c r="G800" s="1872">
        <f>M!$I$143</f>
        <v>44081.052499999998</v>
      </c>
      <c r="H800" s="1872">
        <f>M!$I$121</f>
        <v>15840</v>
      </c>
      <c r="I800" s="1338">
        <f t="shared" si="177"/>
        <v>59921.052499999998</v>
      </c>
      <c r="J800" s="1338">
        <f t="shared" si="178"/>
        <v>0</v>
      </c>
      <c r="K800" s="1338">
        <f t="shared" si="179"/>
        <v>0</v>
      </c>
      <c r="L800" s="1530">
        <f t="shared" si="180"/>
        <v>0</v>
      </c>
      <c r="P800" s="1939" t="e">
        <f>E800+#REF!+E1003</f>
        <v>#REF!</v>
      </c>
    </row>
    <row r="801" spans="1:16" ht="18" hidden="1" customHeight="1">
      <c r="A801" s="1371">
        <v>4</v>
      </c>
      <c r="B801" s="1316" t="s">
        <v>169</v>
      </c>
      <c r="C801" s="1334"/>
      <c r="D801" s="1316" t="s">
        <v>1622</v>
      </c>
      <c r="E801" s="1526"/>
      <c r="F801" s="1336" t="s">
        <v>22</v>
      </c>
      <c r="G801" s="1872">
        <f>M!$I$116</f>
        <v>16787.25</v>
      </c>
      <c r="H801" s="1872">
        <f>M!$I$121</f>
        <v>15840</v>
      </c>
      <c r="I801" s="1338">
        <f t="shared" si="177"/>
        <v>32627.25</v>
      </c>
      <c r="J801" s="1338">
        <f t="shared" si="178"/>
        <v>0</v>
      </c>
      <c r="K801" s="1338">
        <f t="shared" si="179"/>
        <v>0</v>
      </c>
      <c r="L801" s="1530">
        <f t="shared" si="180"/>
        <v>0</v>
      </c>
    </row>
    <row r="802" spans="1:16" ht="18" hidden="1" customHeight="1">
      <c r="A802" s="1371"/>
      <c r="B802" s="1316" t="s">
        <v>1720</v>
      </c>
      <c r="C802" s="1369"/>
      <c r="D802" s="1316" t="s">
        <v>1716</v>
      </c>
      <c r="E802" s="1526"/>
      <c r="F802" s="1336" t="s">
        <v>22</v>
      </c>
      <c r="G802" s="1872">
        <f>M!$I$215</f>
        <v>33075</v>
      </c>
      <c r="H802" s="1872">
        <f>M!$I$220</f>
        <v>35649</v>
      </c>
      <c r="I802" s="1338">
        <f t="shared" si="177"/>
        <v>68724</v>
      </c>
      <c r="J802" s="1338">
        <f t="shared" si="178"/>
        <v>0</v>
      </c>
      <c r="K802" s="1338">
        <f t="shared" si="179"/>
        <v>0</v>
      </c>
      <c r="L802" s="1530">
        <f t="shared" si="180"/>
        <v>0</v>
      </c>
    </row>
    <row r="803" spans="1:16" ht="18" hidden="1" customHeight="1">
      <c r="A803" s="1371">
        <v>5</v>
      </c>
      <c r="B803" s="1316" t="s">
        <v>84</v>
      </c>
      <c r="C803" s="1334"/>
      <c r="D803" s="1316" t="s">
        <v>2644</v>
      </c>
      <c r="E803" s="1526"/>
      <c r="F803" s="1336" t="s">
        <v>22</v>
      </c>
      <c r="G803" s="1872">
        <f>M!$I$134</f>
        <v>58947.75</v>
      </c>
      <c r="H803" s="1872">
        <f>M!$I$139</f>
        <v>15840</v>
      </c>
      <c r="I803" s="1338">
        <f t="shared" si="177"/>
        <v>74787.75</v>
      </c>
      <c r="J803" s="1338">
        <f t="shared" si="178"/>
        <v>0</v>
      </c>
      <c r="K803" s="1338">
        <f t="shared" si="179"/>
        <v>0</v>
      </c>
      <c r="L803" s="1530">
        <f t="shared" si="180"/>
        <v>0</v>
      </c>
    </row>
    <row r="804" spans="1:16" ht="18" hidden="1" customHeight="1">
      <c r="A804" s="1371"/>
      <c r="B804" s="1316" t="s">
        <v>177</v>
      </c>
      <c r="C804" s="1334"/>
      <c r="D804" s="1316" t="s">
        <v>2644</v>
      </c>
      <c r="E804" s="1526"/>
      <c r="F804" s="1336" t="s">
        <v>22</v>
      </c>
      <c r="G804" s="1872">
        <f>M!$I$152</f>
        <v>52353.675000000003</v>
      </c>
      <c r="H804" s="1872">
        <f>M!$I$157</f>
        <v>35649</v>
      </c>
      <c r="I804" s="1338">
        <f t="shared" si="177"/>
        <v>88002.675000000003</v>
      </c>
      <c r="J804" s="1338">
        <f t="shared" si="178"/>
        <v>0</v>
      </c>
      <c r="K804" s="1338">
        <f t="shared" si="179"/>
        <v>0</v>
      </c>
      <c r="L804" s="1530">
        <f t="shared" si="180"/>
        <v>0</v>
      </c>
    </row>
    <row r="805" spans="1:16" ht="18" hidden="1" customHeight="1">
      <c r="A805" s="1371"/>
      <c r="B805" s="1316" t="s">
        <v>186</v>
      </c>
      <c r="C805" s="1334"/>
      <c r="D805" s="1316" t="s">
        <v>2644</v>
      </c>
      <c r="E805" s="1526"/>
      <c r="F805" s="1336" t="s">
        <v>22</v>
      </c>
      <c r="G805" s="1872">
        <f>M!$I$161</f>
        <v>105789.54375</v>
      </c>
      <c r="H805" s="1872">
        <f>M!$I$166</f>
        <v>35649</v>
      </c>
      <c r="I805" s="1338">
        <f t="shared" si="177"/>
        <v>141438.54375000001</v>
      </c>
      <c r="J805" s="1338">
        <f t="shared" si="178"/>
        <v>0</v>
      </c>
      <c r="K805" s="1338">
        <f t="shared" si="179"/>
        <v>0</v>
      </c>
      <c r="L805" s="1530">
        <f t="shared" si="180"/>
        <v>0</v>
      </c>
    </row>
    <row r="806" spans="1:16" ht="18" hidden="1" customHeight="1">
      <c r="A806" s="1371">
        <v>6</v>
      </c>
      <c r="B806" s="1316" t="s">
        <v>202</v>
      </c>
      <c r="C806" s="1334"/>
      <c r="D806" s="1316" t="s">
        <v>1623</v>
      </c>
      <c r="E806" s="1526"/>
      <c r="F806" s="1336" t="s">
        <v>22</v>
      </c>
      <c r="G806" s="1872">
        <f>M!$I$179</f>
        <v>63910.6875</v>
      </c>
      <c r="H806" s="1872">
        <f>M!$I$184</f>
        <v>35649</v>
      </c>
      <c r="I806" s="1338">
        <f>G806+H806</f>
        <v>99559.6875</v>
      </c>
      <c r="J806" s="1338">
        <f>E806*G806</f>
        <v>0</v>
      </c>
      <c r="K806" s="1338">
        <f>E806*H806</f>
        <v>0</v>
      </c>
      <c r="L806" s="1530">
        <f>J806+K806</f>
        <v>0</v>
      </c>
    </row>
    <row r="807" spans="1:16" ht="18" hidden="1" customHeight="1">
      <c r="A807" s="1371">
        <v>7</v>
      </c>
      <c r="B807" s="1316" t="s">
        <v>1382</v>
      </c>
      <c r="C807" s="1334"/>
      <c r="D807" s="1316" t="s">
        <v>1623</v>
      </c>
      <c r="E807" s="1526"/>
      <c r="F807" s="1336" t="s">
        <v>22</v>
      </c>
      <c r="G807" s="1872">
        <f>M!$I$188</f>
        <v>98990.1</v>
      </c>
      <c r="H807" s="1872">
        <f>M!$I$193</f>
        <v>35649</v>
      </c>
      <c r="I807" s="1338">
        <f>G807+H807</f>
        <v>134639.1</v>
      </c>
      <c r="J807" s="1338">
        <f>E807*G807</f>
        <v>0</v>
      </c>
      <c r="K807" s="1338">
        <f>E807*H807</f>
        <v>0</v>
      </c>
      <c r="L807" s="1530">
        <f>J807+K807</f>
        <v>0</v>
      </c>
    </row>
    <row r="808" spans="1:16" ht="18" hidden="1" customHeight="1">
      <c r="A808" s="1371">
        <v>8</v>
      </c>
      <c r="B808" s="1316" t="s">
        <v>2312</v>
      </c>
      <c r="C808" s="1334"/>
      <c r="D808" s="1316" t="s">
        <v>1623</v>
      </c>
      <c r="E808" s="1526"/>
      <c r="F808" s="1336" t="s">
        <v>22</v>
      </c>
      <c r="G808" s="1872">
        <f>M!$I$197</f>
        <v>162696.6</v>
      </c>
      <c r="H808" s="1872">
        <f>M!$I$184</f>
        <v>35649</v>
      </c>
      <c r="I808" s="1338">
        <f t="shared" si="177"/>
        <v>198345.60000000001</v>
      </c>
      <c r="J808" s="1338">
        <f t="shared" si="178"/>
        <v>0</v>
      </c>
      <c r="K808" s="1338">
        <f t="shared" si="179"/>
        <v>0</v>
      </c>
      <c r="L808" s="1530">
        <f t="shared" si="180"/>
        <v>0</v>
      </c>
      <c r="P808" s="1939" t="e">
        <f>E808+E883+#REF!</f>
        <v>#REF!</v>
      </c>
    </row>
    <row r="809" spans="1:16" ht="18" hidden="1" customHeight="1">
      <c r="A809" s="1371">
        <v>9</v>
      </c>
      <c r="B809" s="1316" t="s">
        <v>85</v>
      </c>
      <c r="C809" s="1334"/>
      <c r="D809" s="1316"/>
      <c r="E809" s="1526"/>
      <c r="F809" s="1336" t="s">
        <v>21</v>
      </c>
      <c r="G809" s="1872">
        <v>1000000</v>
      </c>
      <c r="H809" s="1872">
        <v>0</v>
      </c>
      <c r="I809" s="1338">
        <f t="shared" si="177"/>
        <v>1000000</v>
      </c>
      <c r="J809" s="1338">
        <f t="shared" si="178"/>
        <v>0</v>
      </c>
      <c r="K809" s="1338">
        <f t="shared" si="179"/>
        <v>0</v>
      </c>
      <c r="L809" s="1530">
        <f t="shared" si="180"/>
        <v>0</v>
      </c>
    </row>
    <row r="810" spans="1:16" ht="18" hidden="1" customHeight="1">
      <c r="A810" s="1371"/>
      <c r="B810" s="1316" t="s">
        <v>86</v>
      </c>
      <c r="C810" s="1334"/>
      <c r="D810" s="1316" t="s">
        <v>87</v>
      </c>
      <c r="E810" s="1526"/>
      <c r="F810" s="1336" t="s">
        <v>80</v>
      </c>
      <c r="G810" s="1872">
        <f>M!$I$305</f>
        <v>9891416.2285714298</v>
      </c>
      <c r="H810" s="1872">
        <v>0</v>
      </c>
      <c r="I810" s="1338">
        <f t="shared" si="177"/>
        <v>9891416.2285714298</v>
      </c>
      <c r="J810" s="1338">
        <f t="shared" si="178"/>
        <v>0</v>
      </c>
      <c r="K810" s="1338">
        <f t="shared" si="179"/>
        <v>0</v>
      </c>
      <c r="L810" s="1530">
        <f t="shared" si="180"/>
        <v>0</v>
      </c>
    </row>
    <row r="811" spans="1:16" ht="18" hidden="1" customHeight="1">
      <c r="A811" s="1371"/>
      <c r="B811" s="1316" t="s">
        <v>1719</v>
      </c>
      <c r="C811" s="1334"/>
      <c r="D811" s="1316" t="s">
        <v>87</v>
      </c>
      <c r="E811" s="1526"/>
      <c r="F811" s="1336" t="s">
        <v>80</v>
      </c>
      <c r="G811" s="1872">
        <f>M!$I$406</f>
        <v>10174155.028571429</v>
      </c>
      <c r="H811" s="1872">
        <v>0</v>
      </c>
      <c r="I811" s="1338">
        <f t="shared" si="177"/>
        <v>10174155.028571429</v>
      </c>
      <c r="J811" s="1338">
        <f t="shared" si="178"/>
        <v>0</v>
      </c>
      <c r="K811" s="1338">
        <f t="shared" si="179"/>
        <v>0</v>
      </c>
      <c r="L811" s="1530">
        <f t="shared" si="180"/>
        <v>0</v>
      </c>
    </row>
    <row r="812" spans="1:16" ht="18" hidden="1" customHeight="1">
      <c r="A812" s="1371">
        <v>10</v>
      </c>
      <c r="B812" s="1316" t="s">
        <v>1383</v>
      </c>
      <c r="C812" s="1334"/>
      <c r="D812" s="1316" t="s">
        <v>2355</v>
      </c>
      <c r="E812" s="1526"/>
      <c r="F812" s="1336" t="s">
        <v>88</v>
      </c>
      <c r="G812" s="1872">
        <f>M!$I$39</f>
        <v>235348</v>
      </c>
      <c r="H812" s="1872">
        <f>M!$I$44</f>
        <v>438700</v>
      </c>
      <c r="I812" s="1338">
        <f t="shared" si="177"/>
        <v>674048</v>
      </c>
      <c r="J812" s="1338">
        <f t="shared" si="178"/>
        <v>0</v>
      </c>
      <c r="K812" s="1338">
        <f t="shared" si="179"/>
        <v>0</v>
      </c>
      <c r="L812" s="1530">
        <f t="shared" si="180"/>
        <v>0</v>
      </c>
    </row>
    <row r="813" spans="1:16" ht="18" hidden="1" customHeight="1">
      <c r="A813" s="1371"/>
      <c r="B813" s="1372" t="s">
        <v>1384</v>
      </c>
      <c r="C813" s="1525"/>
      <c r="D813" s="1316" t="s">
        <v>2357</v>
      </c>
      <c r="E813" s="1526"/>
      <c r="F813" s="1527" t="s">
        <v>88</v>
      </c>
      <c r="G813" s="1872">
        <f>M!$I$50</f>
        <v>1187460</v>
      </c>
      <c r="H813" s="1872">
        <f>M!$I$55</f>
        <v>438700</v>
      </c>
      <c r="I813" s="1526">
        <f t="shared" si="177"/>
        <v>1626160</v>
      </c>
      <c r="J813" s="1526">
        <f t="shared" si="178"/>
        <v>0</v>
      </c>
      <c r="K813" s="1526">
        <f t="shared" si="179"/>
        <v>0</v>
      </c>
      <c r="L813" s="1530">
        <f t="shared" si="180"/>
        <v>0</v>
      </c>
    </row>
    <row r="814" spans="1:16" ht="18" hidden="1" customHeight="1">
      <c r="A814" s="1371">
        <v>11</v>
      </c>
      <c r="B814" s="1372" t="s">
        <v>89</v>
      </c>
      <c r="C814" s="1525"/>
      <c r="D814" s="1372" t="s">
        <v>1761</v>
      </c>
      <c r="E814" s="1526"/>
      <c r="F814" s="1527" t="s">
        <v>88</v>
      </c>
      <c r="G814" s="1872">
        <f>M!$I$17</f>
        <v>1643000</v>
      </c>
      <c r="H814" s="1872">
        <f>M!$I$22</f>
        <v>653770</v>
      </c>
      <c r="I814" s="1526">
        <f t="shared" si="177"/>
        <v>2296770</v>
      </c>
      <c r="J814" s="1526">
        <f t="shared" si="178"/>
        <v>0</v>
      </c>
      <c r="K814" s="1526">
        <f t="shared" si="179"/>
        <v>0</v>
      </c>
      <c r="L814" s="1530">
        <f t="shared" si="180"/>
        <v>0</v>
      </c>
    </row>
    <row r="815" spans="1:16" ht="18" hidden="1" customHeight="1">
      <c r="A815" s="1371"/>
      <c r="B815" s="1316" t="s">
        <v>201</v>
      </c>
      <c r="C815" s="1334"/>
      <c r="D815" s="1316" t="s">
        <v>200</v>
      </c>
      <c r="E815" s="1526"/>
      <c r="F815" s="1336" t="s">
        <v>88</v>
      </c>
      <c r="G815" s="1872">
        <f>M!$I$9</f>
        <v>395460</v>
      </c>
      <c r="H815" s="1872">
        <f>M!$I$13</f>
        <v>659800</v>
      </c>
      <c r="I815" s="1338">
        <f t="shared" si="177"/>
        <v>1055260</v>
      </c>
      <c r="J815" s="1338">
        <f t="shared" si="178"/>
        <v>0</v>
      </c>
      <c r="K815" s="1338">
        <f t="shared" si="179"/>
        <v>0</v>
      </c>
      <c r="L815" s="1530">
        <f t="shared" si="180"/>
        <v>0</v>
      </c>
    </row>
    <row r="816" spans="1:16" ht="18" hidden="1" customHeight="1">
      <c r="A816" s="1371">
        <v>12</v>
      </c>
      <c r="B816" s="1316" t="s">
        <v>90</v>
      </c>
      <c r="C816" s="1334"/>
      <c r="D816" s="1316" t="s">
        <v>1385</v>
      </c>
      <c r="E816" s="1526"/>
      <c r="F816" s="1336" t="s">
        <v>88</v>
      </c>
      <c r="G816" s="1872">
        <f>M!$I$242</f>
        <v>1041043.75</v>
      </c>
      <c r="H816" s="1872">
        <f>M!$I$246</f>
        <v>19960</v>
      </c>
      <c r="I816" s="1338">
        <f t="shared" si="177"/>
        <v>1061003.75</v>
      </c>
      <c r="J816" s="1338">
        <f t="shared" si="178"/>
        <v>0</v>
      </c>
      <c r="K816" s="1338">
        <f t="shared" si="179"/>
        <v>0</v>
      </c>
      <c r="L816" s="1530">
        <f t="shared" si="180"/>
        <v>0</v>
      </c>
    </row>
    <row r="817" spans="1:28" ht="18" hidden="1" customHeight="1">
      <c r="A817" s="1371">
        <v>13</v>
      </c>
      <c r="B817" s="1316" t="s">
        <v>91</v>
      </c>
      <c r="C817" s="1334"/>
      <c r="D817" s="1316" t="s">
        <v>1399</v>
      </c>
      <c r="E817" s="1526"/>
      <c r="F817" s="1336" t="s">
        <v>88</v>
      </c>
      <c r="G817" s="1872">
        <f>M!$I$373</f>
        <v>100143.75</v>
      </c>
      <c r="H817" s="1872">
        <f>M!$I$377</f>
        <v>19960</v>
      </c>
      <c r="I817" s="1338">
        <f t="shared" si="177"/>
        <v>120103.75</v>
      </c>
      <c r="J817" s="1338">
        <f t="shared" si="178"/>
        <v>0</v>
      </c>
      <c r="K817" s="1338">
        <f t="shared" si="179"/>
        <v>0</v>
      </c>
      <c r="L817" s="1530">
        <f t="shared" si="180"/>
        <v>0</v>
      </c>
    </row>
    <row r="818" spans="1:28" ht="18" hidden="1" customHeight="1">
      <c r="A818" s="1371">
        <v>14</v>
      </c>
      <c r="B818" s="1316" t="s">
        <v>2187</v>
      </c>
      <c r="C818" s="1334"/>
      <c r="D818" s="1316" t="s">
        <v>181</v>
      </c>
      <c r="E818" s="1526"/>
      <c r="F818" s="1336" t="s">
        <v>88</v>
      </c>
      <c r="G818" s="1872">
        <f>M!$I$233</f>
        <v>90143.75</v>
      </c>
      <c r="H818" s="1872">
        <f>M!$I$237</f>
        <v>19960</v>
      </c>
      <c r="I818" s="1338">
        <f t="shared" si="177"/>
        <v>110103.75</v>
      </c>
      <c r="J818" s="1338">
        <f t="shared" si="178"/>
        <v>0</v>
      </c>
      <c r="K818" s="1338">
        <f t="shared" si="179"/>
        <v>0</v>
      </c>
      <c r="L818" s="1530">
        <f t="shared" si="180"/>
        <v>0</v>
      </c>
    </row>
    <row r="819" spans="1:28" ht="18" hidden="1" customHeight="1">
      <c r="A819" s="1371">
        <v>5</v>
      </c>
      <c r="B819" s="1316" t="s">
        <v>1525</v>
      </c>
      <c r="C819" s="1334"/>
      <c r="D819" s="1316" t="s">
        <v>2562</v>
      </c>
      <c r="E819" s="1526"/>
      <c r="F819" s="1336" t="s">
        <v>88</v>
      </c>
      <c r="G819" s="1872">
        <f>M!$I$391</f>
        <v>23143.75</v>
      </c>
      <c r="H819" s="1872">
        <f>M!$I$395</f>
        <v>19960</v>
      </c>
      <c r="I819" s="1338">
        <f t="shared" si="177"/>
        <v>43103.75</v>
      </c>
      <c r="J819" s="1338">
        <f t="shared" si="178"/>
        <v>0</v>
      </c>
      <c r="K819" s="1338">
        <f t="shared" si="179"/>
        <v>0</v>
      </c>
      <c r="L819" s="1530">
        <f t="shared" si="180"/>
        <v>0</v>
      </c>
    </row>
    <row r="820" spans="1:28" ht="18" hidden="1" customHeight="1">
      <c r="A820" s="1371"/>
      <c r="B820" s="1316" t="s">
        <v>180</v>
      </c>
      <c r="C820" s="1334"/>
      <c r="D820" s="1316" t="s">
        <v>204</v>
      </c>
      <c r="E820" s="1526"/>
      <c r="F820" s="1336" t="s">
        <v>88</v>
      </c>
      <c r="G820" s="1872">
        <f>M!$I$336</f>
        <v>3095200</v>
      </c>
      <c r="H820" s="1872">
        <f>M!$I$341</f>
        <v>653770</v>
      </c>
      <c r="I820" s="1338">
        <f t="shared" si="177"/>
        <v>3748970</v>
      </c>
      <c r="J820" s="1338">
        <f t="shared" si="178"/>
        <v>0</v>
      </c>
      <c r="K820" s="1338">
        <f t="shared" si="179"/>
        <v>0</v>
      </c>
      <c r="L820" s="1530">
        <f t="shared" si="180"/>
        <v>0</v>
      </c>
    </row>
    <row r="821" spans="1:28" ht="18" hidden="1" customHeight="1">
      <c r="A821" s="1371">
        <v>15</v>
      </c>
      <c r="B821" s="1316" t="s">
        <v>2199</v>
      </c>
      <c r="C821" s="1334"/>
      <c r="D821" s="1316" t="s">
        <v>1401</v>
      </c>
      <c r="E821" s="1526">
        <f>E814</f>
        <v>0</v>
      </c>
      <c r="F821" s="1336" t="s">
        <v>88</v>
      </c>
      <c r="G821" s="1872">
        <f>M!$I$382</f>
        <v>80143.75</v>
      </c>
      <c r="H821" s="1872">
        <f>M!$I$386</f>
        <v>19960</v>
      </c>
      <c r="I821" s="1338">
        <f t="shared" si="177"/>
        <v>100103.75</v>
      </c>
      <c r="J821" s="1338">
        <f t="shared" si="178"/>
        <v>0</v>
      </c>
      <c r="K821" s="1338">
        <f t="shared" si="179"/>
        <v>0</v>
      </c>
      <c r="L821" s="1530">
        <f t="shared" si="180"/>
        <v>0</v>
      </c>
    </row>
    <row r="822" spans="1:28" ht="18" hidden="1" customHeight="1">
      <c r="A822" s="1371">
        <v>16</v>
      </c>
      <c r="B822" s="1316" t="s">
        <v>92</v>
      </c>
      <c r="C822" s="1334"/>
      <c r="D822" s="1316" t="s">
        <v>1403</v>
      </c>
      <c r="E822" s="1526">
        <f>E817</f>
        <v>0</v>
      </c>
      <c r="F822" s="1336" t="s">
        <v>88</v>
      </c>
      <c r="G822" s="1872">
        <f>M!$I$224</f>
        <v>150000</v>
      </c>
      <c r="H822" s="1872">
        <f>M!$I$228</f>
        <v>57450</v>
      </c>
      <c r="I822" s="1338">
        <f t="shared" si="177"/>
        <v>207450</v>
      </c>
      <c r="J822" s="1338">
        <f t="shared" si="178"/>
        <v>0</v>
      </c>
      <c r="K822" s="1338">
        <f t="shared" si="179"/>
        <v>0</v>
      </c>
      <c r="L822" s="1530">
        <f t="shared" si="180"/>
        <v>0</v>
      </c>
    </row>
    <row r="823" spans="1:28" ht="18" hidden="1" customHeight="1">
      <c r="A823" s="1371">
        <v>17</v>
      </c>
      <c r="B823" s="1316" t="s">
        <v>93</v>
      </c>
      <c r="C823" s="1334"/>
      <c r="D823" s="1372" t="s">
        <v>182</v>
      </c>
      <c r="E823" s="1526"/>
      <c r="F823" s="1336" t="s">
        <v>88</v>
      </c>
      <c r="G823" s="1872">
        <f>M!$I$250</f>
        <v>30000</v>
      </c>
      <c r="H823" s="1872">
        <f>M!$I$254</f>
        <v>19960</v>
      </c>
      <c r="I823" s="1338">
        <f t="shared" si="177"/>
        <v>49960</v>
      </c>
      <c r="J823" s="1338">
        <f t="shared" si="178"/>
        <v>0</v>
      </c>
      <c r="K823" s="1338">
        <f t="shared" si="179"/>
        <v>0</v>
      </c>
      <c r="L823" s="1530">
        <f t="shared" si="180"/>
        <v>0</v>
      </c>
    </row>
    <row r="824" spans="1:28" ht="18" hidden="1" customHeight="1">
      <c r="A824" s="1371">
        <v>18</v>
      </c>
      <c r="B824" s="1316" t="s">
        <v>179</v>
      </c>
      <c r="C824" s="1334"/>
      <c r="D824" s="1372" t="s">
        <v>1762</v>
      </c>
      <c r="E824" s="1526"/>
      <c r="F824" s="1336" t="s">
        <v>88</v>
      </c>
      <c r="G824" s="1872">
        <f>M!$I$258</f>
        <v>10000</v>
      </c>
      <c r="H824" s="1872">
        <f>M!$I$262</f>
        <v>19960</v>
      </c>
      <c r="I824" s="1338">
        <f t="shared" si="177"/>
        <v>29960</v>
      </c>
      <c r="J824" s="1338">
        <f t="shared" si="178"/>
        <v>0</v>
      </c>
      <c r="K824" s="1338">
        <f t="shared" si="179"/>
        <v>0</v>
      </c>
      <c r="L824" s="1530">
        <f t="shared" si="180"/>
        <v>0</v>
      </c>
    </row>
    <row r="825" spans="1:28" ht="18" hidden="1" customHeight="1">
      <c r="A825" s="1371"/>
      <c r="B825" s="1339" t="s">
        <v>2310</v>
      </c>
      <c r="C825" s="1368"/>
      <c r="D825" s="1339" t="str">
        <f>BAHAN!$F$323</f>
        <v>Ex. Ariston Solar Water Heater kapasitas 300L</v>
      </c>
      <c r="E825" s="1526"/>
      <c r="F825" s="1336" t="s">
        <v>88</v>
      </c>
      <c r="G825" s="1872">
        <f>BAHAN!$E$323</f>
        <v>26200000</v>
      </c>
      <c r="H825" s="1909">
        <v>0</v>
      </c>
      <c r="I825" s="1338">
        <f t="shared" si="177"/>
        <v>26200000</v>
      </c>
      <c r="J825" s="1338">
        <f t="shared" si="178"/>
        <v>0</v>
      </c>
      <c r="K825" s="1338">
        <f t="shared" si="179"/>
        <v>0</v>
      </c>
      <c r="L825" s="1530">
        <f t="shared" si="180"/>
        <v>0</v>
      </c>
    </row>
    <row r="826" spans="1:28" ht="18" hidden="1" customHeight="1">
      <c r="A826" s="1371"/>
      <c r="B826" s="1339" t="s">
        <v>1386</v>
      </c>
      <c r="C826" s="1368"/>
      <c r="D826" s="1339" t="s">
        <v>1387</v>
      </c>
      <c r="E826" s="1526"/>
      <c r="F826" s="1380" t="s">
        <v>88</v>
      </c>
      <c r="G826" s="1872">
        <f>M!$I$28</f>
        <v>4054460</v>
      </c>
      <c r="H826" s="1909">
        <f>M!$I$33</f>
        <v>313180</v>
      </c>
      <c r="I826" s="1338">
        <f t="shared" si="177"/>
        <v>4367640</v>
      </c>
      <c r="J826" s="1338">
        <f t="shared" si="178"/>
        <v>0</v>
      </c>
      <c r="K826" s="1338">
        <f t="shared" si="179"/>
        <v>0</v>
      </c>
      <c r="L826" s="1530">
        <f t="shared" si="180"/>
        <v>0</v>
      </c>
    </row>
    <row r="827" spans="1:28" ht="18" hidden="1" customHeight="1">
      <c r="A827" s="1371"/>
      <c r="B827" s="1339" t="s">
        <v>1388</v>
      </c>
      <c r="C827" s="1368"/>
      <c r="D827" s="1339" t="s">
        <v>1389</v>
      </c>
      <c r="E827" s="1526"/>
      <c r="F827" s="1380" t="s">
        <v>88</v>
      </c>
      <c r="G827" s="1872">
        <f>M!$I$85</f>
        <v>511957.60800000001</v>
      </c>
      <c r="H827" s="1909">
        <f>M!$I$90</f>
        <v>454240</v>
      </c>
      <c r="I827" s="1338">
        <f t="shared" si="177"/>
        <v>966197.60800000001</v>
      </c>
      <c r="J827" s="1338">
        <f t="shared" si="178"/>
        <v>0</v>
      </c>
      <c r="K827" s="1338">
        <f t="shared" si="179"/>
        <v>0</v>
      </c>
      <c r="L827" s="1530">
        <f t="shared" si="180"/>
        <v>0</v>
      </c>
    </row>
    <row r="828" spans="1:28" ht="18" hidden="1" customHeight="1">
      <c r="A828" s="1371">
        <v>7</v>
      </c>
      <c r="B828" s="1339" t="s">
        <v>1390</v>
      </c>
      <c r="C828" s="1368"/>
      <c r="D828" s="1339" t="s">
        <v>1391</v>
      </c>
      <c r="E828" s="1526"/>
      <c r="F828" s="1380" t="s">
        <v>88</v>
      </c>
      <c r="G828" s="1872">
        <f>M!$I$275</f>
        <v>1696000</v>
      </c>
      <c r="H828" s="1909">
        <f>M!$I$280</f>
        <v>653770</v>
      </c>
      <c r="I828" s="1338">
        <f t="shared" si="177"/>
        <v>2349770</v>
      </c>
      <c r="J828" s="1338">
        <f t="shared" si="178"/>
        <v>0</v>
      </c>
      <c r="K828" s="1338">
        <f t="shared" si="179"/>
        <v>0</v>
      </c>
      <c r="L828" s="1530">
        <f t="shared" si="180"/>
        <v>0</v>
      </c>
    </row>
    <row r="829" spans="1:28" ht="18" hidden="1" customHeight="1">
      <c r="A829" s="1371"/>
      <c r="B829" s="1339" t="s">
        <v>1392</v>
      </c>
      <c r="C829" s="1368"/>
      <c r="D829" s="1339"/>
      <c r="E829" s="1526"/>
      <c r="F829" s="1380" t="s">
        <v>88</v>
      </c>
      <c r="G829" s="1872">
        <f>M!$I$363</f>
        <v>2120000</v>
      </c>
      <c r="H829" s="1909">
        <f>M!$I$368</f>
        <v>653770</v>
      </c>
      <c r="I829" s="1338">
        <f t="shared" si="177"/>
        <v>2773770</v>
      </c>
      <c r="J829" s="1338">
        <f t="shared" si="178"/>
        <v>0</v>
      </c>
      <c r="K829" s="1338">
        <f t="shared" si="179"/>
        <v>0</v>
      </c>
      <c r="L829" s="1530">
        <f t="shared" si="180"/>
        <v>0</v>
      </c>
    </row>
    <row r="830" spans="1:28" ht="18" hidden="1" customHeight="1">
      <c r="A830" s="1371">
        <v>8</v>
      </c>
      <c r="B830" s="1339" t="s">
        <v>1393</v>
      </c>
      <c r="C830" s="1368"/>
      <c r="D830" s="1339" t="str">
        <f>BAHAN!$F$368</f>
        <v>Ex. Shimizu 135 E</v>
      </c>
      <c r="E830" s="1547"/>
      <c r="F830" s="1380" t="s">
        <v>88</v>
      </c>
      <c r="G830" s="1872">
        <f>M!$I$354</f>
        <v>487600</v>
      </c>
      <c r="H830" s="1872">
        <f>M!$I$359</f>
        <v>653770</v>
      </c>
      <c r="I830" s="1338">
        <f t="shared" si="177"/>
        <v>1141370</v>
      </c>
      <c r="J830" s="1338">
        <f t="shared" si="178"/>
        <v>0</v>
      </c>
      <c r="K830" s="1338">
        <f t="shared" si="179"/>
        <v>0</v>
      </c>
      <c r="L830" s="1530">
        <f t="shared" si="180"/>
        <v>0</v>
      </c>
    </row>
    <row r="831" spans="1:28" ht="18" hidden="1" customHeight="1">
      <c r="A831" s="1371"/>
      <c r="B831" s="1339" t="s">
        <v>2515</v>
      </c>
      <c r="C831" s="1368"/>
      <c r="D831" s="1339" t="str">
        <f>BAHAN!$F$250</f>
        <v>Kapasitas 10 &lt; x ≤ 30 m3</v>
      </c>
      <c r="E831" s="1547"/>
      <c r="F831" s="1380" t="s">
        <v>88</v>
      </c>
      <c r="G831" s="1872">
        <f>BAHAN!$E$250</f>
        <v>2800000</v>
      </c>
      <c r="H831" s="1872">
        <v>0</v>
      </c>
      <c r="I831" s="1338">
        <f>G831+H831</f>
        <v>2800000</v>
      </c>
      <c r="J831" s="1338">
        <f>E831*G831</f>
        <v>0</v>
      </c>
      <c r="K831" s="1338">
        <f>E831*H831</f>
        <v>0</v>
      </c>
      <c r="L831" s="1530">
        <f>J831+K831</f>
        <v>0</v>
      </c>
      <c r="AB831" s="1221"/>
    </row>
    <row r="832" spans="1:28" ht="18" hidden="1" customHeight="1">
      <c r="A832" s="1371">
        <v>19</v>
      </c>
      <c r="B832" s="1359" t="s">
        <v>1620</v>
      </c>
      <c r="C832" s="1360"/>
      <c r="D832" s="1359"/>
      <c r="E832" s="1358">
        <f>E824</f>
        <v>0</v>
      </c>
      <c r="F832" s="1362" t="s">
        <v>1334</v>
      </c>
      <c r="G832" s="1872">
        <v>75000</v>
      </c>
      <c r="H832" s="1872">
        <v>75000</v>
      </c>
      <c r="I832" s="1338">
        <f t="shared" si="177"/>
        <v>150000</v>
      </c>
      <c r="J832" s="1338">
        <f t="shared" si="178"/>
        <v>0</v>
      </c>
      <c r="K832" s="1338">
        <f t="shared" si="179"/>
        <v>0</v>
      </c>
      <c r="L832" s="1530">
        <f t="shared" si="180"/>
        <v>0</v>
      </c>
    </row>
    <row r="833" spans="1:28" ht="18" hidden="1" customHeight="1" thickBot="1">
      <c r="A833" s="1371"/>
      <c r="B833" s="1658" t="s">
        <v>1621</v>
      </c>
      <c r="C833" s="1659"/>
      <c r="D833" s="1658" t="s">
        <v>1627</v>
      </c>
      <c r="E833" s="1660">
        <v>0</v>
      </c>
      <c r="F833" s="1661" t="s">
        <v>21</v>
      </c>
      <c r="G833" s="1770">
        <f>250000+125000</f>
        <v>375000</v>
      </c>
      <c r="H833" s="1770">
        <f>250000+125000</f>
        <v>375000</v>
      </c>
      <c r="I833" s="1338">
        <f>G833+H833</f>
        <v>750000</v>
      </c>
      <c r="J833" s="1338">
        <f>E833*G833</f>
        <v>0</v>
      </c>
      <c r="K833" s="1338">
        <f>E833*H833</f>
        <v>0</v>
      </c>
      <c r="L833" s="1530">
        <f>J833+K833</f>
        <v>0</v>
      </c>
    </row>
    <row r="834" spans="1:28" ht="18" hidden="1" customHeight="1" thickTop="1" thickBot="1">
      <c r="A834" s="2675" t="s">
        <v>94</v>
      </c>
      <c r="B834" s="2676"/>
      <c r="C834" s="2676"/>
      <c r="D834" s="2676"/>
      <c r="E834" s="2676"/>
      <c r="F834" s="2676"/>
      <c r="G834" s="2676"/>
      <c r="H834" s="1961"/>
      <c r="I834" s="1961"/>
      <c r="J834" s="1542">
        <f>SUM(J797:J833)</f>
        <v>0</v>
      </c>
      <c r="K834" s="1542">
        <f>SUM(K797:K833)</f>
        <v>0</v>
      </c>
      <c r="L834" s="1340">
        <f>SUM(L797:L833)</f>
        <v>0</v>
      </c>
      <c r="M834" s="1300">
        <v>1</v>
      </c>
      <c r="N834" s="1300">
        <v>54</v>
      </c>
    </row>
    <row r="835" spans="1:28" ht="18" hidden="1" customHeight="1" thickTop="1">
      <c r="A835" s="1379" t="s">
        <v>1022</v>
      </c>
      <c r="B835" s="1374" t="s">
        <v>72</v>
      </c>
      <c r="C835" s="1375"/>
      <c r="D835" s="1330"/>
      <c r="E835" s="1330"/>
      <c r="F835" s="1376"/>
      <c r="G835" s="1377"/>
      <c r="H835" s="1330"/>
      <c r="I835" s="1330"/>
      <c r="J835" s="1330"/>
      <c r="K835" s="1330"/>
      <c r="L835" s="1331"/>
      <c r="N835" s="1300">
        <v>55</v>
      </c>
      <c r="AB835" s="1221"/>
    </row>
    <row r="836" spans="1:28" ht="18" hidden="1" customHeight="1">
      <c r="A836" s="1371"/>
      <c r="B836" s="1316" t="s">
        <v>184</v>
      </c>
      <c r="C836" s="1334"/>
      <c r="D836" s="1316" t="s">
        <v>1622</v>
      </c>
      <c r="E836" s="1526"/>
      <c r="F836" s="1336" t="s">
        <v>22</v>
      </c>
      <c r="G836" s="1872">
        <f>M!$I$107</f>
        <v>9456.75</v>
      </c>
      <c r="H836" s="1872">
        <f>M!$I$112</f>
        <v>15840</v>
      </c>
      <c r="I836" s="1338">
        <f>G836+H836</f>
        <v>25296.75</v>
      </c>
      <c r="J836" s="1338">
        <f>E836*G836</f>
        <v>0</v>
      </c>
      <c r="K836" s="1338">
        <f>E836*H836</f>
        <v>0</v>
      </c>
      <c r="L836" s="1530">
        <f>J836+K836</f>
        <v>0</v>
      </c>
      <c r="AB836" s="1221"/>
    </row>
    <row r="837" spans="1:28" ht="18" hidden="1" customHeight="1">
      <c r="A837" s="1371"/>
      <c r="B837" s="1316" t="s">
        <v>185</v>
      </c>
      <c r="C837" s="1334"/>
      <c r="D837" s="1316" t="s">
        <v>1622</v>
      </c>
      <c r="E837" s="1526"/>
      <c r="F837" s="1336" t="s">
        <v>22</v>
      </c>
      <c r="G837" s="1872">
        <f>M!$I$170</f>
        <v>12506.484375</v>
      </c>
      <c r="H837" s="1872">
        <f>M!$I$175</f>
        <v>35649</v>
      </c>
      <c r="I837" s="1338">
        <f t="shared" ref="I837:I871" si="181">G837+H837</f>
        <v>48155.484375</v>
      </c>
      <c r="J837" s="1338">
        <f t="shared" ref="J837:J871" si="182">E837*G837</f>
        <v>0</v>
      </c>
      <c r="K837" s="1338">
        <f t="shared" ref="K837:K871" si="183">E837*H837</f>
        <v>0</v>
      </c>
      <c r="L837" s="1530">
        <f t="shared" ref="L837:L871" si="184">J837+K837</f>
        <v>0</v>
      </c>
      <c r="AB837" s="1221"/>
    </row>
    <row r="838" spans="1:28" ht="18" hidden="1" customHeight="1">
      <c r="A838" s="1371">
        <v>1</v>
      </c>
      <c r="B838" s="1316" t="s">
        <v>1486</v>
      </c>
      <c r="C838" s="1334"/>
      <c r="D838" s="1316" t="s">
        <v>1622</v>
      </c>
      <c r="E838" s="1526"/>
      <c r="F838" s="1336" t="s">
        <v>22</v>
      </c>
      <c r="G838" s="1872">
        <f>M!$I$116</f>
        <v>16787.25</v>
      </c>
      <c r="H838" s="1872">
        <f>M!$I$121</f>
        <v>15840</v>
      </c>
      <c r="I838" s="1338">
        <f t="shared" si="181"/>
        <v>32627.25</v>
      </c>
      <c r="J838" s="1338">
        <f t="shared" si="182"/>
        <v>0</v>
      </c>
      <c r="K838" s="1338">
        <f t="shared" si="183"/>
        <v>0</v>
      </c>
      <c r="L838" s="1530">
        <f t="shared" si="184"/>
        <v>0</v>
      </c>
      <c r="AB838" s="1221"/>
    </row>
    <row r="839" spans="1:28" ht="18" hidden="1" customHeight="1">
      <c r="A839" s="1371"/>
      <c r="B839" s="1316" t="s">
        <v>2304</v>
      </c>
      <c r="C839" s="1334"/>
      <c r="D839" s="1316" t="s">
        <v>1622</v>
      </c>
      <c r="E839" s="1526"/>
      <c r="F839" s="1336" t="s">
        <v>22</v>
      </c>
      <c r="G839" s="1872">
        <f>M!$I$143</f>
        <v>44081.052499999998</v>
      </c>
      <c r="H839" s="1872">
        <f>M!$I$121</f>
        <v>15840</v>
      </c>
      <c r="I839" s="1338">
        <f t="shared" si="181"/>
        <v>59921.052499999998</v>
      </c>
      <c r="J839" s="1338">
        <f t="shared" si="182"/>
        <v>0</v>
      </c>
      <c r="K839" s="1338">
        <f t="shared" si="183"/>
        <v>0</v>
      </c>
      <c r="L839" s="1530">
        <f t="shared" si="184"/>
        <v>0</v>
      </c>
      <c r="P839" s="1939" t="e">
        <f>E839+#REF!+E1042</f>
        <v>#REF!</v>
      </c>
      <c r="AB839" s="1221"/>
    </row>
    <row r="840" spans="1:28" ht="18" hidden="1" customHeight="1">
      <c r="A840" s="1371"/>
      <c r="B840" s="1316" t="s">
        <v>169</v>
      </c>
      <c r="C840" s="1334"/>
      <c r="D840" s="1316" t="s">
        <v>1622</v>
      </c>
      <c r="E840" s="1526"/>
      <c r="F840" s="1336" t="s">
        <v>22</v>
      </c>
      <c r="G840" s="1872">
        <f>M!$I$116</f>
        <v>16787.25</v>
      </c>
      <c r="H840" s="1872">
        <f>M!$I$121</f>
        <v>15840</v>
      </c>
      <c r="I840" s="1338">
        <f t="shared" si="181"/>
        <v>32627.25</v>
      </c>
      <c r="J840" s="1338">
        <f t="shared" si="182"/>
        <v>0</v>
      </c>
      <c r="K840" s="1338">
        <f t="shared" si="183"/>
        <v>0</v>
      </c>
      <c r="L840" s="1530">
        <f t="shared" si="184"/>
        <v>0</v>
      </c>
      <c r="AB840" s="1221"/>
    </row>
    <row r="841" spans="1:28" ht="18" hidden="1" customHeight="1">
      <c r="A841" s="1371"/>
      <c r="B841" s="1316" t="s">
        <v>1720</v>
      </c>
      <c r="C841" s="1369"/>
      <c r="D841" s="1316" t="s">
        <v>1716</v>
      </c>
      <c r="E841" s="1526"/>
      <c r="F841" s="1336" t="s">
        <v>22</v>
      </c>
      <c r="G841" s="1872">
        <f>M!$I$215</f>
        <v>33075</v>
      </c>
      <c r="H841" s="1872">
        <f>M!$I$220</f>
        <v>35649</v>
      </c>
      <c r="I841" s="1338">
        <f t="shared" si="181"/>
        <v>68724</v>
      </c>
      <c r="J841" s="1338">
        <f t="shared" si="182"/>
        <v>0</v>
      </c>
      <c r="K841" s="1338">
        <f t="shared" si="183"/>
        <v>0</v>
      </c>
      <c r="L841" s="1530">
        <f t="shared" si="184"/>
        <v>0</v>
      </c>
      <c r="AB841" s="1221"/>
    </row>
    <row r="842" spans="1:28" ht="18" hidden="1" customHeight="1">
      <c r="A842" s="1371">
        <v>2</v>
      </c>
      <c r="B842" s="1316" t="s">
        <v>84</v>
      </c>
      <c r="C842" s="1334"/>
      <c r="D842" s="1316" t="s">
        <v>2644</v>
      </c>
      <c r="E842" s="1526"/>
      <c r="F842" s="1336" t="s">
        <v>22</v>
      </c>
      <c r="G842" s="1872">
        <f>M!$I$134</f>
        <v>58947.75</v>
      </c>
      <c r="H842" s="1872">
        <f>M!$I$139</f>
        <v>15840</v>
      </c>
      <c r="I842" s="1338">
        <f t="shared" si="181"/>
        <v>74787.75</v>
      </c>
      <c r="J842" s="1338">
        <f t="shared" si="182"/>
        <v>0</v>
      </c>
      <c r="K842" s="1338">
        <f t="shared" si="183"/>
        <v>0</v>
      </c>
      <c r="L842" s="1530">
        <f t="shared" si="184"/>
        <v>0</v>
      </c>
      <c r="AB842" s="1221"/>
    </row>
    <row r="843" spans="1:28" ht="18" hidden="1" customHeight="1">
      <c r="A843" s="1371"/>
      <c r="B843" s="1316" t="s">
        <v>177</v>
      </c>
      <c r="C843" s="1334"/>
      <c r="D843" s="1316" t="s">
        <v>2644</v>
      </c>
      <c r="E843" s="1526"/>
      <c r="F843" s="1336" t="s">
        <v>22</v>
      </c>
      <c r="G843" s="1872">
        <f>M!$I$152</f>
        <v>52353.675000000003</v>
      </c>
      <c r="H843" s="1872">
        <f>M!$I$157</f>
        <v>35649</v>
      </c>
      <c r="I843" s="1338">
        <f t="shared" si="181"/>
        <v>88002.675000000003</v>
      </c>
      <c r="J843" s="1338">
        <f t="shared" si="182"/>
        <v>0</v>
      </c>
      <c r="K843" s="1338">
        <f t="shared" si="183"/>
        <v>0</v>
      </c>
      <c r="L843" s="1530">
        <f t="shared" si="184"/>
        <v>0</v>
      </c>
      <c r="AB843" s="1221"/>
    </row>
    <row r="844" spans="1:28" ht="18" hidden="1" customHeight="1">
      <c r="A844" s="1371"/>
      <c r="B844" s="1316" t="s">
        <v>186</v>
      </c>
      <c r="C844" s="1334"/>
      <c r="D844" s="1316" t="s">
        <v>2644</v>
      </c>
      <c r="E844" s="1526"/>
      <c r="F844" s="1336" t="s">
        <v>22</v>
      </c>
      <c r="G844" s="1872">
        <f>M!$I$161</f>
        <v>105789.54375</v>
      </c>
      <c r="H844" s="1872">
        <f>M!$I$166</f>
        <v>35649</v>
      </c>
      <c r="I844" s="1338">
        <f t="shared" si="181"/>
        <v>141438.54375000001</v>
      </c>
      <c r="J844" s="1338">
        <f t="shared" si="182"/>
        <v>0</v>
      </c>
      <c r="K844" s="1338">
        <f t="shared" si="183"/>
        <v>0</v>
      </c>
      <c r="L844" s="1530">
        <f t="shared" si="184"/>
        <v>0</v>
      </c>
      <c r="AB844" s="1221"/>
    </row>
    <row r="845" spans="1:28" ht="18" hidden="1" customHeight="1">
      <c r="A845" s="1371"/>
      <c r="B845" s="1316" t="s">
        <v>202</v>
      </c>
      <c r="C845" s="1334"/>
      <c r="D845" s="1316" t="s">
        <v>1623</v>
      </c>
      <c r="E845" s="1526"/>
      <c r="F845" s="1336" t="s">
        <v>22</v>
      </c>
      <c r="G845" s="1872">
        <f>M!$I$179</f>
        <v>63910.6875</v>
      </c>
      <c r="H845" s="1872">
        <f>M!$I$184</f>
        <v>35649</v>
      </c>
      <c r="I845" s="1338">
        <f t="shared" si="181"/>
        <v>99559.6875</v>
      </c>
      <c r="J845" s="1338">
        <f t="shared" si="182"/>
        <v>0</v>
      </c>
      <c r="K845" s="1338">
        <f t="shared" si="183"/>
        <v>0</v>
      </c>
      <c r="L845" s="1530">
        <f t="shared" si="184"/>
        <v>0</v>
      </c>
      <c r="AB845" s="1221"/>
    </row>
    <row r="846" spans="1:28" ht="18" hidden="1" customHeight="1">
      <c r="A846" s="1371"/>
      <c r="B846" s="1316" t="s">
        <v>1382</v>
      </c>
      <c r="C846" s="1334"/>
      <c r="D846" s="1316" t="s">
        <v>1623</v>
      </c>
      <c r="E846" s="1526"/>
      <c r="F846" s="1336" t="s">
        <v>22</v>
      </c>
      <c r="G846" s="1872">
        <f>M!$I$188</f>
        <v>98990.1</v>
      </c>
      <c r="H846" s="1872">
        <f>M!$I$193</f>
        <v>35649</v>
      </c>
      <c r="I846" s="1338">
        <f t="shared" si="181"/>
        <v>134639.1</v>
      </c>
      <c r="J846" s="1338">
        <f t="shared" si="182"/>
        <v>0</v>
      </c>
      <c r="K846" s="1338">
        <f t="shared" si="183"/>
        <v>0</v>
      </c>
      <c r="L846" s="1530">
        <f t="shared" si="184"/>
        <v>0</v>
      </c>
      <c r="AB846" s="1221"/>
    </row>
    <row r="847" spans="1:28" ht="18" hidden="1" customHeight="1">
      <c r="A847" s="1371">
        <v>3</v>
      </c>
      <c r="B847" s="1316" t="s">
        <v>2312</v>
      </c>
      <c r="C847" s="1334"/>
      <c r="D847" s="1316" t="s">
        <v>1623</v>
      </c>
      <c r="E847" s="1526"/>
      <c r="F847" s="1336" t="s">
        <v>22</v>
      </c>
      <c r="G847" s="1872">
        <f>M!$I$197</f>
        <v>162696.6</v>
      </c>
      <c r="H847" s="1872">
        <f>M!$I$184</f>
        <v>35649</v>
      </c>
      <c r="I847" s="1338">
        <f t="shared" si="181"/>
        <v>198345.60000000001</v>
      </c>
      <c r="J847" s="1338">
        <f t="shared" si="182"/>
        <v>0</v>
      </c>
      <c r="K847" s="1338">
        <f t="shared" si="183"/>
        <v>0</v>
      </c>
      <c r="L847" s="1530">
        <f t="shared" si="184"/>
        <v>0</v>
      </c>
      <c r="P847" s="1939" t="e">
        <f>E847+#REF!+#REF!</f>
        <v>#REF!</v>
      </c>
      <c r="AB847" s="1221"/>
    </row>
    <row r="848" spans="1:28" ht="18" hidden="1" customHeight="1">
      <c r="A848" s="1371">
        <v>4</v>
      </c>
      <c r="B848" s="1316" t="s">
        <v>85</v>
      </c>
      <c r="C848" s="1334"/>
      <c r="D848" s="1316"/>
      <c r="E848" s="1526"/>
      <c r="F848" s="1336" t="s">
        <v>21</v>
      </c>
      <c r="G848" s="1872">
        <v>1000000</v>
      </c>
      <c r="H848" s="1872">
        <v>0</v>
      </c>
      <c r="I848" s="1338">
        <f t="shared" si="181"/>
        <v>1000000</v>
      </c>
      <c r="J848" s="1338">
        <f t="shared" si="182"/>
        <v>0</v>
      </c>
      <c r="K848" s="1338">
        <f t="shared" si="183"/>
        <v>0</v>
      </c>
      <c r="L848" s="1530">
        <f t="shared" si="184"/>
        <v>0</v>
      </c>
      <c r="AB848" s="1221"/>
    </row>
    <row r="849" spans="1:28" ht="18" hidden="1" customHeight="1">
      <c r="A849" s="1371"/>
      <c r="B849" s="1316" t="s">
        <v>86</v>
      </c>
      <c r="C849" s="1334"/>
      <c r="D849" s="1316" t="s">
        <v>87</v>
      </c>
      <c r="E849" s="1526"/>
      <c r="F849" s="1336" t="s">
        <v>80</v>
      </c>
      <c r="G849" s="1872">
        <f>M!$I$305</f>
        <v>9891416.2285714298</v>
      </c>
      <c r="H849" s="1872">
        <v>0</v>
      </c>
      <c r="I849" s="1338">
        <f t="shared" si="181"/>
        <v>9891416.2285714298</v>
      </c>
      <c r="J849" s="1338">
        <f t="shared" si="182"/>
        <v>0</v>
      </c>
      <c r="K849" s="1338">
        <f t="shared" si="183"/>
        <v>0</v>
      </c>
      <c r="L849" s="1530">
        <f t="shared" si="184"/>
        <v>0</v>
      </c>
      <c r="AB849" s="1221"/>
    </row>
    <row r="850" spans="1:28" ht="18" hidden="1" customHeight="1">
      <c r="A850" s="1371"/>
      <c r="B850" s="1316" t="s">
        <v>1719</v>
      </c>
      <c r="C850" s="1334"/>
      <c r="D850" s="1316" t="s">
        <v>87</v>
      </c>
      <c r="E850" s="1526"/>
      <c r="F850" s="1336" t="s">
        <v>80</v>
      </c>
      <c r="G850" s="1872">
        <f>M!$I$406</f>
        <v>10174155.028571429</v>
      </c>
      <c r="H850" s="1872">
        <v>0</v>
      </c>
      <c r="I850" s="1338">
        <f t="shared" si="181"/>
        <v>10174155.028571429</v>
      </c>
      <c r="J850" s="1338">
        <f t="shared" si="182"/>
        <v>0</v>
      </c>
      <c r="K850" s="1338">
        <f t="shared" si="183"/>
        <v>0</v>
      </c>
      <c r="L850" s="1530">
        <f t="shared" si="184"/>
        <v>0</v>
      </c>
      <c r="AB850" s="1221"/>
    </row>
    <row r="851" spans="1:28" ht="18" hidden="1" customHeight="1">
      <c r="A851" s="1371"/>
      <c r="B851" s="1316" t="s">
        <v>1383</v>
      </c>
      <c r="C851" s="1334"/>
      <c r="D851" s="1316" t="s">
        <v>2355</v>
      </c>
      <c r="E851" s="1526"/>
      <c r="F851" s="1336" t="s">
        <v>88</v>
      </c>
      <c r="G851" s="1872">
        <f>M!$I$39</f>
        <v>235348</v>
      </c>
      <c r="H851" s="1872">
        <f>M!$I$44</f>
        <v>438700</v>
      </c>
      <c r="I851" s="1338">
        <f t="shared" si="181"/>
        <v>674048</v>
      </c>
      <c r="J851" s="1338">
        <f t="shared" si="182"/>
        <v>0</v>
      </c>
      <c r="K851" s="1338">
        <f t="shared" si="183"/>
        <v>0</v>
      </c>
      <c r="L851" s="1530">
        <f t="shared" si="184"/>
        <v>0</v>
      </c>
      <c r="AB851" s="1221"/>
    </row>
    <row r="852" spans="1:28" ht="18" hidden="1" customHeight="1">
      <c r="A852" s="1371"/>
      <c r="B852" s="1372" t="s">
        <v>1384</v>
      </c>
      <c r="C852" s="1525"/>
      <c r="D852" s="1316" t="s">
        <v>2357</v>
      </c>
      <c r="E852" s="1526"/>
      <c r="F852" s="1527" t="s">
        <v>88</v>
      </c>
      <c r="G852" s="1872">
        <f>M!$I$50</f>
        <v>1187460</v>
      </c>
      <c r="H852" s="1872">
        <f>M!$I$55</f>
        <v>438700</v>
      </c>
      <c r="I852" s="1526">
        <f t="shared" si="181"/>
        <v>1626160</v>
      </c>
      <c r="J852" s="1526">
        <f t="shared" si="182"/>
        <v>0</v>
      </c>
      <c r="K852" s="1526">
        <f t="shared" si="183"/>
        <v>0</v>
      </c>
      <c r="L852" s="1530">
        <f t="shared" si="184"/>
        <v>0</v>
      </c>
      <c r="AB852" s="1221"/>
    </row>
    <row r="853" spans="1:28" ht="18" hidden="1" customHeight="1">
      <c r="A853" s="1371"/>
      <c r="B853" s="1372" t="s">
        <v>89</v>
      </c>
      <c r="C853" s="1525"/>
      <c r="D853" s="1372" t="s">
        <v>1761</v>
      </c>
      <c r="E853" s="1526"/>
      <c r="F853" s="1527" t="s">
        <v>88</v>
      </c>
      <c r="G853" s="1872">
        <f>M!$I$17</f>
        <v>1643000</v>
      </c>
      <c r="H853" s="1872">
        <f>M!$I$22</f>
        <v>653770</v>
      </c>
      <c r="I853" s="1526">
        <f t="shared" si="181"/>
        <v>2296770</v>
      </c>
      <c r="J853" s="1526">
        <f t="shared" si="182"/>
        <v>0</v>
      </c>
      <c r="K853" s="1526">
        <f t="shared" si="183"/>
        <v>0</v>
      </c>
      <c r="L853" s="1530">
        <f t="shared" si="184"/>
        <v>0</v>
      </c>
      <c r="AB853" s="1221"/>
    </row>
    <row r="854" spans="1:28" ht="18" hidden="1" customHeight="1">
      <c r="A854" s="1371"/>
      <c r="B854" s="1316" t="s">
        <v>201</v>
      </c>
      <c r="C854" s="1334"/>
      <c r="D854" s="1316" t="s">
        <v>200</v>
      </c>
      <c r="E854" s="1526"/>
      <c r="F854" s="1336" t="s">
        <v>88</v>
      </c>
      <c r="G854" s="1872">
        <f>M!$I$9</f>
        <v>395460</v>
      </c>
      <c r="H854" s="1872">
        <f>M!$I$13</f>
        <v>659800</v>
      </c>
      <c r="I854" s="1338">
        <f t="shared" si="181"/>
        <v>1055260</v>
      </c>
      <c r="J854" s="1338">
        <f t="shared" si="182"/>
        <v>0</v>
      </c>
      <c r="K854" s="1338">
        <f t="shared" si="183"/>
        <v>0</v>
      </c>
      <c r="L854" s="1530">
        <f t="shared" si="184"/>
        <v>0</v>
      </c>
      <c r="AB854" s="1221"/>
    </row>
    <row r="855" spans="1:28" ht="18" hidden="1" customHeight="1">
      <c r="A855" s="1371"/>
      <c r="B855" s="1316" t="s">
        <v>90</v>
      </c>
      <c r="C855" s="1334"/>
      <c r="D855" s="1316" t="s">
        <v>1385</v>
      </c>
      <c r="E855" s="1526"/>
      <c r="F855" s="1336" t="s">
        <v>88</v>
      </c>
      <c r="G855" s="1872">
        <f>M!$I$242</f>
        <v>1041043.75</v>
      </c>
      <c r="H855" s="1872">
        <f>M!$I$246</f>
        <v>19960</v>
      </c>
      <c r="I855" s="1338">
        <f t="shared" si="181"/>
        <v>1061003.75</v>
      </c>
      <c r="J855" s="1338">
        <f t="shared" si="182"/>
        <v>0</v>
      </c>
      <c r="K855" s="1338">
        <f t="shared" si="183"/>
        <v>0</v>
      </c>
      <c r="L855" s="1530">
        <f t="shared" si="184"/>
        <v>0</v>
      </c>
      <c r="AB855" s="1221"/>
    </row>
    <row r="856" spans="1:28" ht="18" hidden="1" customHeight="1">
      <c r="A856" s="1371"/>
      <c r="B856" s="1316" t="s">
        <v>91</v>
      </c>
      <c r="C856" s="1334"/>
      <c r="D856" s="1316" t="s">
        <v>1399</v>
      </c>
      <c r="E856" s="1526"/>
      <c r="F856" s="1336" t="s">
        <v>88</v>
      </c>
      <c r="G856" s="1872">
        <f>M!$I$373</f>
        <v>100143.75</v>
      </c>
      <c r="H856" s="1872">
        <f>M!$I$377</f>
        <v>19960</v>
      </c>
      <c r="I856" s="1338">
        <f t="shared" si="181"/>
        <v>120103.75</v>
      </c>
      <c r="J856" s="1338">
        <f t="shared" si="182"/>
        <v>0</v>
      </c>
      <c r="K856" s="1338">
        <f t="shared" si="183"/>
        <v>0</v>
      </c>
      <c r="L856" s="1530">
        <f t="shared" si="184"/>
        <v>0</v>
      </c>
      <c r="AB856" s="1221"/>
    </row>
    <row r="857" spans="1:28" ht="18" hidden="1" customHeight="1">
      <c r="A857" s="1371">
        <v>4</v>
      </c>
      <c r="B857" s="1316" t="s">
        <v>2187</v>
      </c>
      <c r="C857" s="1334"/>
      <c r="D857" s="1316" t="s">
        <v>181</v>
      </c>
      <c r="E857" s="1526"/>
      <c r="F857" s="1336" t="s">
        <v>88</v>
      </c>
      <c r="G857" s="1872">
        <f>M!$I$233</f>
        <v>90143.75</v>
      </c>
      <c r="H857" s="1872">
        <f>M!$I$237</f>
        <v>19960</v>
      </c>
      <c r="I857" s="1338">
        <f t="shared" si="181"/>
        <v>110103.75</v>
      </c>
      <c r="J857" s="1338">
        <f t="shared" si="182"/>
        <v>0</v>
      </c>
      <c r="K857" s="1338">
        <f t="shared" si="183"/>
        <v>0</v>
      </c>
      <c r="L857" s="1530">
        <f t="shared" si="184"/>
        <v>0</v>
      </c>
      <c r="AB857" s="1221"/>
    </row>
    <row r="858" spans="1:28" ht="18" hidden="1" customHeight="1">
      <c r="A858" s="1371">
        <v>5</v>
      </c>
      <c r="B858" s="1316" t="s">
        <v>1525</v>
      </c>
      <c r="C858" s="1334"/>
      <c r="D858" s="1316" t="s">
        <v>2562</v>
      </c>
      <c r="E858" s="1526"/>
      <c r="F858" s="1336" t="s">
        <v>88</v>
      </c>
      <c r="G858" s="1872">
        <f>M!$I$391</f>
        <v>23143.75</v>
      </c>
      <c r="H858" s="1872">
        <f>M!$I$395</f>
        <v>19960</v>
      </c>
      <c r="I858" s="1338">
        <f t="shared" si="181"/>
        <v>43103.75</v>
      </c>
      <c r="J858" s="1338">
        <f t="shared" si="182"/>
        <v>0</v>
      </c>
      <c r="K858" s="1338">
        <f t="shared" si="183"/>
        <v>0</v>
      </c>
      <c r="L858" s="1530">
        <f t="shared" si="184"/>
        <v>0</v>
      </c>
      <c r="AB858" s="1221"/>
    </row>
    <row r="859" spans="1:28" ht="18" hidden="1" customHeight="1">
      <c r="A859" s="1371"/>
      <c r="B859" s="1316" t="s">
        <v>180</v>
      </c>
      <c r="C859" s="1334"/>
      <c r="D859" s="1316" t="s">
        <v>204</v>
      </c>
      <c r="E859" s="1526"/>
      <c r="F859" s="1336" t="s">
        <v>88</v>
      </c>
      <c r="G859" s="1872">
        <f>M!$I$336</f>
        <v>3095200</v>
      </c>
      <c r="H859" s="1872">
        <f>M!$I$341</f>
        <v>653770</v>
      </c>
      <c r="I859" s="1338">
        <f t="shared" si="181"/>
        <v>3748970</v>
      </c>
      <c r="J859" s="1338">
        <f t="shared" si="182"/>
        <v>0</v>
      </c>
      <c r="K859" s="1338">
        <f t="shared" si="183"/>
        <v>0</v>
      </c>
      <c r="L859" s="1530">
        <f t="shared" si="184"/>
        <v>0</v>
      </c>
      <c r="AB859" s="1221"/>
    </row>
    <row r="860" spans="1:28" ht="18" hidden="1" customHeight="1">
      <c r="A860" s="1371"/>
      <c r="B860" s="1316" t="s">
        <v>2199</v>
      </c>
      <c r="C860" s="1334"/>
      <c r="D860" s="1316" t="s">
        <v>1401</v>
      </c>
      <c r="E860" s="1526"/>
      <c r="F860" s="1336" t="s">
        <v>88</v>
      </c>
      <c r="G860" s="1872">
        <f>M!$I$382</f>
        <v>80143.75</v>
      </c>
      <c r="H860" s="1872">
        <f>M!$I$386</f>
        <v>19960</v>
      </c>
      <c r="I860" s="1338">
        <f t="shared" si="181"/>
        <v>100103.75</v>
      </c>
      <c r="J860" s="1338">
        <f t="shared" si="182"/>
        <v>0</v>
      </c>
      <c r="K860" s="1338">
        <f t="shared" si="183"/>
        <v>0</v>
      </c>
      <c r="L860" s="1530">
        <f t="shared" si="184"/>
        <v>0</v>
      </c>
      <c r="AB860" s="1221"/>
    </row>
    <row r="861" spans="1:28" ht="18" hidden="1" customHeight="1">
      <c r="A861" s="1371"/>
      <c r="B861" s="1316" t="s">
        <v>92</v>
      </c>
      <c r="C861" s="1334"/>
      <c r="D861" s="1316" t="s">
        <v>1403</v>
      </c>
      <c r="E861" s="1526"/>
      <c r="F861" s="1336" t="s">
        <v>88</v>
      </c>
      <c r="G861" s="1872">
        <f>M!$I$224</f>
        <v>150000</v>
      </c>
      <c r="H861" s="1872">
        <f>M!$I$228</f>
        <v>57450</v>
      </c>
      <c r="I861" s="1338">
        <f t="shared" si="181"/>
        <v>207450</v>
      </c>
      <c r="J861" s="1338">
        <f t="shared" si="182"/>
        <v>0</v>
      </c>
      <c r="K861" s="1338">
        <f t="shared" si="183"/>
        <v>0</v>
      </c>
      <c r="L861" s="1530">
        <f t="shared" si="184"/>
        <v>0</v>
      </c>
      <c r="AB861" s="1221"/>
    </row>
    <row r="862" spans="1:28" ht="18" hidden="1" customHeight="1">
      <c r="A862" s="1371"/>
      <c r="B862" s="1316" t="s">
        <v>93</v>
      </c>
      <c r="C862" s="1334"/>
      <c r="D862" s="1372" t="s">
        <v>182</v>
      </c>
      <c r="E862" s="1526"/>
      <c r="F862" s="1336" t="s">
        <v>88</v>
      </c>
      <c r="G862" s="1872">
        <f>M!$I$250</f>
        <v>30000</v>
      </c>
      <c r="H862" s="1872">
        <f>M!$I$254</f>
        <v>19960</v>
      </c>
      <c r="I862" s="1338">
        <f t="shared" si="181"/>
        <v>49960</v>
      </c>
      <c r="J862" s="1338">
        <f t="shared" si="182"/>
        <v>0</v>
      </c>
      <c r="K862" s="1338">
        <f t="shared" si="183"/>
        <v>0</v>
      </c>
      <c r="L862" s="1530">
        <f t="shared" si="184"/>
        <v>0</v>
      </c>
      <c r="AB862" s="1221"/>
    </row>
    <row r="863" spans="1:28" ht="18" hidden="1" customHeight="1">
      <c r="A863" s="1371">
        <v>6</v>
      </c>
      <c r="B863" s="1316" t="s">
        <v>179</v>
      </c>
      <c r="C863" s="1334"/>
      <c r="D863" s="1372" t="s">
        <v>1762</v>
      </c>
      <c r="E863" s="1526"/>
      <c r="F863" s="1336" t="s">
        <v>88</v>
      </c>
      <c r="G863" s="1872">
        <f>M!$I$258</f>
        <v>10000</v>
      </c>
      <c r="H863" s="1872">
        <f>M!$I$262</f>
        <v>19960</v>
      </c>
      <c r="I863" s="1338">
        <f t="shared" si="181"/>
        <v>29960</v>
      </c>
      <c r="J863" s="1338">
        <f t="shared" si="182"/>
        <v>0</v>
      </c>
      <c r="K863" s="1338">
        <f t="shared" si="183"/>
        <v>0</v>
      </c>
      <c r="L863" s="1530">
        <f t="shared" si="184"/>
        <v>0</v>
      </c>
      <c r="AB863" s="1221"/>
    </row>
    <row r="864" spans="1:28" ht="18" hidden="1" customHeight="1">
      <c r="A864" s="1371">
        <v>7</v>
      </c>
      <c r="B864" s="1339" t="s">
        <v>2310</v>
      </c>
      <c r="C864" s="1368"/>
      <c r="D864" s="1339" t="str">
        <f>BAHAN!$F$323</f>
        <v>Ex. Ariston Solar Water Heater kapasitas 300L</v>
      </c>
      <c r="E864" s="1526"/>
      <c r="F864" s="1336" t="s">
        <v>88</v>
      </c>
      <c r="G864" s="1872">
        <f>M!$I$327</f>
        <v>27772000</v>
      </c>
      <c r="H864" s="1872">
        <f>M!$I$332</f>
        <v>653770</v>
      </c>
      <c r="I864" s="1338">
        <f t="shared" si="181"/>
        <v>28425770</v>
      </c>
      <c r="J864" s="1338">
        <f t="shared" si="182"/>
        <v>0</v>
      </c>
      <c r="K864" s="1338">
        <f t="shared" si="183"/>
        <v>0</v>
      </c>
      <c r="L864" s="1530">
        <f t="shared" si="184"/>
        <v>0</v>
      </c>
      <c r="AB864" s="1221"/>
    </row>
    <row r="865" spans="1:28" ht="18" hidden="1" customHeight="1">
      <c r="A865" s="1371"/>
      <c r="B865" s="1339" t="s">
        <v>1386</v>
      </c>
      <c r="C865" s="1368"/>
      <c r="D865" s="1339" t="s">
        <v>1387</v>
      </c>
      <c r="E865" s="1526"/>
      <c r="F865" s="1380" t="s">
        <v>88</v>
      </c>
      <c r="G865" s="1872">
        <f>M!$I$28</f>
        <v>4054460</v>
      </c>
      <c r="H865" s="1909">
        <f>M!$I$33</f>
        <v>313180</v>
      </c>
      <c r="I865" s="1338">
        <f t="shared" si="181"/>
        <v>4367640</v>
      </c>
      <c r="J865" s="1338">
        <f t="shared" si="182"/>
        <v>0</v>
      </c>
      <c r="K865" s="1338">
        <f t="shared" si="183"/>
        <v>0</v>
      </c>
      <c r="L865" s="1530">
        <f t="shared" si="184"/>
        <v>0</v>
      </c>
      <c r="AB865" s="1221"/>
    </row>
    <row r="866" spans="1:28" ht="18" hidden="1" customHeight="1">
      <c r="A866" s="1371"/>
      <c r="B866" s="1339" t="s">
        <v>1388</v>
      </c>
      <c r="C866" s="1368"/>
      <c r="D866" s="1339" t="s">
        <v>1389</v>
      </c>
      <c r="E866" s="1526"/>
      <c r="F866" s="1380" t="s">
        <v>88</v>
      </c>
      <c r="G866" s="1872">
        <f>M!$I$85</f>
        <v>511957.60800000001</v>
      </c>
      <c r="H866" s="1909">
        <f>M!$I$90</f>
        <v>454240</v>
      </c>
      <c r="I866" s="1338">
        <f t="shared" si="181"/>
        <v>966197.60800000001</v>
      </c>
      <c r="J866" s="1338">
        <f t="shared" si="182"/>
        <v>0</v>
      </c>
      <c r="K866" s="1338">
        <f t="shared" si="183"/>
        <v>0</v>
      </c>
      <c r="L866" s="1530">
        <f t="shared" si="184"/>
        <v>0</v>
      </c>
      <c r="AB866" s="1221"/>
    </row>
    <row r="867" spans="1:28" ht="18" hidden="1" customHeight="1">
      <c r="A867" s="1371">
        <v>8</v>
      </c>
      <c r="B867" s="1339" t="s">
        <v>1390</v>
      </c>
      <c r="C867" s="1368"/>
      <c r="D867" s="1339" t="s">
        <v>1391</v>
      </c>
      <c r="E867" s="1526"/>
      <c r="F867" s="1380" t="s">
        <v>88</v>
      </c>
      <c r="G867" s="1872">
        <f>M!$I$275</f>
        <v>1696000</v>
      </c>
      <c r="H867" s="1909">
        <f>M!$I$280</f>
        <v>653770</v>
      </c>
      <c r="I867" s="1338">
        <f t="shared" si="181"/>
        <v>2349770</v>
      </c>
      <c r="J867" s="1338">
        <f t="shared" si="182"/>
        <v>0</v>
      </c>
      <c r="K867" s="1338">
        <f t="shared" si="183"/>
        <v>0</v>
      </c>
      <c r="L867" s="1530">
        <f t="shared" si="184"/>
        <v>0</v>
      </c>
      <c r="AB867" s="1221"/>
    </row>
    <row r="868" spans="1:28" ht="18" hidden="1" customHeight="1">
      <c r="A868" s="1371"/>
      <c r="B868" s="1339" t="s">
        <v>1392</v>
      </c>
      <c r="C868" s="1368"/>
      <c r="D868" s="1339"/>
      <c r="E868" s="1526"/>
      <c r="F868" s="1380" t="s">
        <v>88</v>
      </c>
      <c r="G868" s="1872">
        <f>M!$I$363</f>
        <v>2120000</v>
      </c>
      <c r="H868" s="1909">
        <f>M!$I$368</f>
        <v>653770</v>
      </c>
      <c r="I868" s="1338">
        <f t="shared" si="181"/>
        <v>2773770</v>
      </c>
      <c r="J868" s="1338">
        <f t="shared" si="182"/>
        <v>0</v>
      </c>
      <c r="K868" s="1338">
        <f t="shared" si="183"/>
        <v>0</v>
      </c>
      <c r="L868" s="1530">
        <f t="shared" si="184"/>
        <v>0</v>
      </c>
      <c r="AB868" s="1221"/>
    </row>
    <row r="869" spans="1:28" ht="18" hidden="1" customHeight="1">
      <c r="A869" s="1371">
        <v>9</v>
      </c>
      <c r="B869" s="1339" t="s">
        <v>1393</v>
      </c>
      <c r="C869" s="1368"/>
      <c r="D869" s="1339" t="str">
        <f>BAHAN!$F$368</f>
        <v>Ex. Shimizu 135 E</v>
      </c>
      <c r="E869" s="1547"/>
      <c r="F869" s="1380" t="s">
        <v>88</v>
      </c>
      <c r="G869" s="1872">
        <f>M!$I$354</f>
        <v>487600</v>
      </c>
      <c r="H869" s="1872">
        <f>M!$I$359</f>
        <v>653770</v>
      </c>
      <c r="I869" s="1338">
        <f t="shared" si="181"/>
        <v>1141370</v>
      </c>
      <c r="J869" s="1338">
        <f t="shared" si="182"/>
        <v>0</v>
      </c>
      <c r="K869" s="1338">
        <f t="shared" si="183"/>
        <v>0</v>
      </c>
      <c r="L869" s="1530">
        <f t="shared" si="184"/>
        <v>0</v>
      </c>
      <c r="AB869" s="1221"/>
    </row>
    <row r="870" spans="1:28" ht="18" hidden="1" customHeight="1">
      <c r="A870" s="1371"/>
      <c r="B870" s="1339" t="s">
        <v>2515</v>
      </c>
      <c r="C870" s="1368"/>
      <c r="D870" s="1339" t="str">
        <f>BAHAN!$F$250</f>
        <v>Kapasitas 10 &lt; x ≤ 30 m3</v>
      </c>
      <c r="E870" s="1547"/>
      <c r="F870" s="1380" t="s">
        <v>88</v>
      </c>
      <c r="G870" s="1872">
        <f>BAHAN!$E$250</f>
        <v>2800000</v>
      </c>
      <c r="H870" s="1872">
        <v>0</v>
      </c>
      <c r="I870" s="1338">
        <f t="shared" si="181"/>
        <v>2800000</v>
      </c>
      <c r="J870" s="1338">
        <f t="shared" si="182"/>
        <v>0</v>
      </c>
      <c r="K870" s="1338">
        <f t="shared" si="183"/>
        <v>0</v>
      </c>
      <c r="L870" s="1530">
        <f t="shared" si="184"/>
        <v>0</v>
      </c>
      <c r="AB870" s="1221"/>
    </row>
    <row r="871" spans="1:28" ht="18" hidden="1" customHeight="1">
      <c r="A871" s="1371">
        <v>10</v>
      </c>
      <c r="B871" s="1359" t="s">
        <v>1620</v>
      </c>
      <c r="C871" s="1360"/>
      <c r="D871" s="1359"/>
      <c r="E871" s="1358">
        <f>E863</f>
        <v>0</v>
      </c>
      <c r="F871" s="1362" t="s">
        <v>1334</v>
      </c>
      <c r="G871" s="1872">
        <v>75000</v>
      </c>
      <c r="H871" s="1872">
        <v>75000</v>
      </c>
      <c r="I871" s="1338">
        <f t="shared" si="181"/>
        <v>150000</v>
      </c>
      <c r="J871" s="1338">
        <f t="shared" si="182"/>
        <v>0</v>
      </c>
      <c r="K871" s="1338">
        <f t="shared" si="183"/>
        <v>0</v>
      </c>
      <c r="L871" s="1530">
        <f t="shared" si="184"/>
        <v>0</v>
      </c>
      <c r="AB871" s="1221"/>
    </row>
    <row r="872" spans="1:28" ht="18" hidden="1" customHeight="1" thickBot="1">
      <c r="A872" s="1371"/>
      <c r="B872" s="1658" t="s">
        <v>1621</v>
      </c>
      <c r="C872" s="1659"/>
      <c r="D872" s="1658" t="s">
        <v>1627</v>
      </c>
      <c r="E872" s="1660">
        <v>0</v>
      </c>
      <c r="F872" s="1661" t="s">
        <v>21</v>
      </c>
      <c r="G872" s="1770">
        <f>250000+125000</f>
        <v>375000</v>
      </c>
      <c r="H872" s="1770">
        <f>250000+125000</f>
        <v>375000</v>
      </c>
      <c r="I872" s="1338">
        <f>G872+H872</f>
        <v>750000</v>
      </c>
      <c r="J872" s="1338">
        <f>E872*G872</f>
        <v>0</v>
      </c>
      <c r="K872" s="1338">
        <f>E872*H872</f>
        <v>0</v>
      </c>
      <c r="L872" s="1530">
        <f>J872+K872</f>
        <v>0</v>
      </c>
      <c r="AB872" s="1221"/>
    </row>
    <row r="873" spans="1:28" ht="18" hidden="1" customHeight="1" thickTop="1" thickBot="1">
      <c r="A873" s="2675" t="s">
        <v>94</v>
      </c>
      <c r="B873" s="2676"/>
      <c r="C873" s="2676"/>
      <c r="D873" s="2676"/>
      <c r="E873" s="2676"/>
      <c r="F873" s="2676"/>
      <c r="G873" s="2676"/>
      <c r="H873" s="2389"/>
      <c r="I873" s="2389"/>
      <c r="J873" s="1542">
        <f>SUM(J836:J872)</f>
        <v>0</v>
      </c>
      <c r="K873" s="1542">
        <f>SUM(K836:K872)</f>
        <v>0</v>
      </c>
      <c r="L873" s="1340">
        <f>SUM(L836:L872)</f>
        <v>0</v>
      </c>
      <c r="M873" s="1300">
        <v>1</v>
      </c>
      <c r="N873" s="1300">
        <v>56</v>
      </c>
      <c r="AB873" s="1221"/>
    </row>
    <row r="874" spans="1:28" ht="18" customHeight="1" thickTop="1">
      <c r="A874" s="2528" t="s">
        <v>97</v>
      </c>
      <c r="B874" s="1370" t="s">
        <v>96</v>
      </c>
      <c r="C874" s="2529"/>
      <c r="D874" s="1330"/>
      <c r="E874" s="1330"/>
      <c r="F874" s="1537"/>
      <c r="G874" s="1330"/>
      <c r="H874" s="1330"/>
      <c r="I874" s="1330"/>
      <c r="J874" s="1330"/>
      <c r="K874" s="1330"/>
      <c r="L874" s="1331"/>
      <c r="N874" s="1300">
        <v>57</v>
      </c>
      <c r="AB874" s="1583"/>
    </row>
    <row r="875" spans="1:28" ht="18" customHeight="1">
      <c r="A875" s="2310" t="s">
        <v>42</v>
      </c>
      <c r="B875" s="2435" t="s">
        <v>74</v>
      </c>
      <c r="C875" s="2436"/>
      <c r="D875" s="2058"/>
      <c r="E875" s="2058"/>
      <c r="F875" s="2437"/>
      <c r="G875" s="2436"/>
      <c r="H875" s="2058"/>
      <c r="I875" s="2058"/>
      <c r="J875" s="2058"/>
      <c r="K875" s="2058"/>
      <c r="L875" s="2438"/>
      <c r="P875" s="1300" t="s">
        <v>1568</v>
      </c>
      <c r="AB875" s="1583"/>
    </row>
    <row r="876" spans="1:28" ht="18" customHeight="1">
      <c r="A876" s="1534">
        <v>1</v>
      </c>
      <c r="B876" s="2434" t="s">
        <v>2204</v>
      </c>
      <c r="C876" s="2439"/>
      <c r="D876" s="2434" t="s">
        <v>2970</v>
      </c>
      <c r="E876" s="2057">
        <v>357</v>
      </c>
      <c r="F876" s="2440" t="s">
        <v>19</v>
      </c>
      <c r="G876" s="2057">
        <v>0</v>
      </c>
      <c r="H876" s="2057">
        <v>0</v>
      </c>
      <c r="I876" s="2057">
        <f t="shared" ref="I876:I881" si="185">G876+H876</f>
        <v>0</v>
      </c>
      <c r="J876" s="2057">
        <f t="shared" ref="J876:J881" si="186">E876*G876</f>
        <v>0</v>
      </c>
      <c r="K876" s="2057">
        <f t="shared" ref="K876:K881" si="187">E876*H876</f>
        <v>0</v>
      </c>
      <c r="L876" s="2324">
        <f t="shared" ref="L876:L881" si="188">J876+K876</f>
        <v>0</v>
      </c>
      <c r="P876" s="1939">
        <f t="shared" ref="P876:P881" si="189">E876+E884+E892</f>
        <v>357</v>
      </c>
      <c r="AB876" s="1221"/>
    </row>
    <row r="877" spans="1:28" ht="18" customHeight="1">
      <c r="A877" s="1534">
        <v>2</v>
      </c>
      <c r="B877" s="2434" t="s">
        <v>2205</v>
      </c>
      <c r="C877" s="2439"/>
      <c r="D877" s="2434" t="s">
        <v>2971</v>
      </c>
      <c r="E877" s="2057">
        <v>21.8</v>
      </c>
      <c r="F877" s="2440" t="s">
        <v>19</v>
      </c>
      <c r="G877" s="2057">
        <v>0</v>
      </c>
      <c r="H877" s="2057">
        <v>0</v>
      </c>
      <c r="I877" s="2057">
        <f t="shared" si="185"/>
        <v>0</v>
      </c>
      <c r="J877" s="2057">
        <f t="shared" si="186"/>
        <v>0</v>
      </c>
      <c r="K877" s="2057">
        <f t="shared" si="187"/>
        <v>0</v>
      </c>
      <c r="L877" s="2324">
        <f t="shared" si="188"/>
        <v>0</v>
      </c>
      <c r="P877" s="1939">
        <f t="shared" si="189"/>
        <v>21.8</v>
      </c>
      <c r="AB877" s="1221"/>
    </row>
    <row r="878" spans="1:28" ht="18" customHeight="1">
      <c r="A878" s="1534">
        <v>3</v>
      </c>
      <c r="B878" s="2434" t="s">
        <v>2206</v>
      </c>
      <c r="C878" s="2439"/>
      <c r="D878" s="2434" t="s">
        <v>2297</v>
      </c>
      <c r="E878" s="2057">
        <v>156</v>
      </c>
      <c r="F878" s="2440" t="s">
        <v>19</v>
      </c>
      <c r="G878" s="2057">
        <v>0</v>
      </c>
      <c r="H878" s="2057">
        <v>0</v>
      </c>
      <c r="I878" s="2057">
        <f t="shared" si="185"/>
        <v>0</v>
      </c>
      <c r="J878" s="2057">
        <f t="shared" si="186"/>
        <v>0</v>
      </c>
      <c r="K878" s="2057">
        <f t="shared" si="187"/>
        <v>0</v>
      </c>
      <c r="L878" s="2324">
        <f t="shared" si="188"/>
        <v>0</v>
      </c>
      <c r="P878" s="1939">
        <f t="shared" si="189"/>
        <v>156</v>
      </c>
      <c r="AB878" s="1221"/>
    </row>
    <row r="879" spans="1:28" ht="18" hidden="1" customHeight="1">
      <c r="A879" s="1534">
        <v>4</v>
      </c>
      <c r="B879" s="2434" t="s">
        <v>2203</v>
      </c>
      <c r="C879" s="2439"/>
      <c r="D879" s="2434" t="s">
        <v>1803</v>
      </c>
      <c r="E879" s="2057"/>
      <c r="F879" s="2440" t="s">
        <v>19</v>
      </c>
      <c r="G879" s="2057">
        <f>H!$I$75</f>
        <v>95005</v>
      </c>
      <c r="H879" s="2057">
        <f>H!$I$79</f>
        <v>23250</v>
      </c>
      <c r="I879" s="2057">
        <f t="shared" si="185"/>
        <v>118255</v>
      </c>
      <c r="J879" s="2057">
        <f t="shared" si="186"/>
        <v>0</v>
      </c>
      <c r="K879" s="2057">
        <f t="shared" si="187"/>
        <v>0</v>
      </c>
      <c r="L879" s="2324">
        <f t="shared" si="188"/>
        <v>0</v>
      </c>
      <c r="P879" s="1939">
        <f t="shared" si="189"/>
        <v>0</v>
      </c>
      <c r="AB879" s="1221"/>
    </row>
    <row r="880" spans="1:28" ht="18" hidden="1" customHeight="1">
      <c r="A880" s="1534"/>
      <c r="B880" s="2434" t="s">
        <v>1404</v>
      </c>
      <c r="C880" s="2439"/>
      <c r="D880" s="2434" t="s">
        <v>1405</v>
      </c>
      <c r="E880" s="2057"/>
      <c r="F880" s="2440" t="s">
        <v>22</v>
      </c>
      <c r="G880" s="2057">
        <f>H!$I$47</f>
        <v>13800</v>
      </c>
      <c r="H880" s="2057">
        <f>H!$I$51</f>
        <v>16090</v>
      </c>
      <c r="I880" s="2057">
        <f t="shared" si="185"/>
        <v>29890</v>
      </c>
      <c r="J880" s="2057">
        <f t="shared" si="186"/>
        <v>0</v>
      </c>
      <c r="K880" s="2057">
        <f t="shared" si="187"/>
        <v>0</v>
      </c>
      <c r="L880" s="2324">
        <f t="shared" si="188"/>
        <v>0</v>
      </c>
      <c r="P880" s="1939">
        <f t="shared" si="189"/>
        <v>0</v>
      </c>
      <c r="AB880" s="1221"/>
    </row>
    <row r="881" spans="1:28" ht="18" customHeight="1" thickBot="1">
      <c r="A881" s="1534">
        <v>4</v>
      </c>
      <c r="B881" s="2434" t="s">
        <v>170</v>
      </c>
      <c r="C881" s="2439"/>
      <c r="D881" s="2434"/>
      <c r="E881" s="2057">
        <v>8</v>
      </c>
      <c r="F881" s="2440" t="s">
        <v>124</v>
      </c>
      <c r="G881" s="2057">
        <v>0</v>
      </c>
      <c r="H881" s="2057">
        <v>0</v>
      </c>
      <c r="I881" s="2057">
        <f t="shared" si="185"/>
        <v>0</v>
      </c>
      <c r="J881" s="2057">
        <f t="shared" si="186"/>
        <v>0</v>
      </c>
      <c r="K881" s="2057">
        <f t="shared" si="187"/>
        <v>0</v>
      </c>
      <c r="L881" s="2324">
        <f t="shared" si="188"/>
        <v>0</v>
      </c>
      <c r="P881" s="1939">
        <f t="shared" si="189"/>
        <v>8</v>
      </c>
      <c r="AB881" s="1221"/>
    </row>
    <row r="882" spans="1:28" ht="18" customHeight="1" thickTop="1" thickBot="1">
      <c r="A882" s="2675" t="str">
        <f>"sub total pekerjaan plafond "&amp;B875&amp;"="</f>
        <v>sub total pekerjaan plafond Lantai 1=</v>
      </c>
      <c r="B882" s="2676"/>
      <c r="C882" s="2676"/>
      <c r="D882" s="2676"/>
      <c r="E882" s="2676"/>
      <c r="F882" s="2676"/>
      <c r="G882" s="2676"/>
      <c r="H882" s="2433"/>
      <c r="I882" s="2433"/>
      <c r="J882" s="1542">
        <f>SUM(J876:J881)</f>
        <v>0</v>
      </c>
      <c r="K882" s="1542">
        <f>SUM(K876:K881)</f>
        <v>0</v>
      </c>
      <c r="L882" s="1340">
        <f>SUM(L876:L881)</f>
        <v>0</v>
      </c>
      <c r="M882" s="1300">
        <v>1</v>
      </c>
      <c r="AB882" s="1221"/>
    </row>
    <row r="883" spans="1:28" ht="18" hidden="1" customHeight="1" thickTop="1">
      <c r="A883" s="2441" t="s">
        <v>60</v>
      </c>
      <c r="B883" s="2442" t="s">
        <v>61</v>
      </c>
      <c r="C883" s="2436"/>
      <c r="D883" s="2058"/>
      <c r="E883" s="2058"/>
      <c r="F883" s="2437"/>
      <c r="G883" s="2058"/>
      <c r="H883" s="2058"/>
      <c r="I883" s="2058"/>
      <c r="J883" s="2058"/>
      <c r="K883" s="2058"/>
      <c r="L883" s="2438"/>
      <c r="N883" s="1300">
        <v>58</v>
      </c>
      <c r="AB883" s="1221"/>
    </row>
    <row r="884" spans="1:28" ht="18" hidden="1" customHeight="1">
      <c r="A884" s="1371">
        <v>1</v>
      </c>
      <c r="B884" s="1316" t="s">
        <v>2204</v>
      </c>
      <c r="C884" s="1334"/>
      <c r="D884" s="1316" t="s">
        <v>2970</v>
      </c>
      <c r="E884" s="1526">
        <v>0</v>
      </c>
      <c r="F884" s="1336" t="s">
        <v>19</v>
      </c>
      <c r="G884" s="1872">
        <f>H!$I$24</f>
        <v>79171</v>
      </c>
      <c r="H884" s="1872">
        <f>H!$I$28</f>
        <v>23250</v>
      </c>
      <c r="I884" s="1338">
        <f t="shared" ref="I884:I889" si="190">G884+H884</f>
        <v>102421</v>
      </c>
      <c r="J884" s="1338">
        <f t="shared" ref="J884:J889" si="191">E884*G884</f>
        <v>0</v>
      </c>
      <c r="K884" s="1338">
        <f t="shared" ref="K884:K889" si="192">E884*H884</f>
        <v>0</v>
      </c>
      <c r="L884" s="1530">
        <f t="shared" ref="L884:L889" si="193">J884+K884</f>
        <v>0</v>
      </c>
    </row>
    <row r="885" spans="1:28" ht="18" hidden="1" customHeight="1">
      <c r="A885" s="1371">
        <v>2</v>
      </c>
      <c r="B885" s="1316" t="s">
        <v>2205</v>
      </c>
      <c r="C885" s="1334"/>
      <c r="D885" s="1316" t="s">
        <v>2971</v>
      </c>
      <c r="E885" s="1526">
        <v>0</v>
      </c>
      <c r="F885" s="1336" t="s">
        <v>19</v>
      </c>
      <c r="G885" s="1872">
        <f>H!$I$38</f>
        <v>90091</v>
      </c>
      <c r="H885" s="1872">
        <f>H!$I$42</f>
        <v>23250</v>
      </c>
      <c r="I885" s="1338">
        <f t="shared" si="190"/>
        <v>113341</v>
      </c>
      <c r="J885" s="1338">
        <f t="shared" si="191"/>
        <v>0</v>
      </c>
      <c r="K885" s="1338">
        <f t="shared" si="192"/>
        <v>0</v>
      </c>
      <c r="L885" s="1530">
        <f t="shared" si="193"/>
        <v>0</v>
      </c>
    </row>
    <row r="886" spans="1:28" ht="18" hidden="1" customHeight="1">
      <c r="A886" s="1371">
        <v>3</v>
      </c>
      <c r="B886" s="1316" t="s">
        <v>2206</v>
      </c>
      <c r="C886" s="1334"/>
      <c r="D886" s="1316" t="s">
        <v>2297</v>
      </c>
      <c r="E886" s="1526">
        <v>0</v>
      </c>
      <c r="F886" s="1336" t="s">
        <v>19</v>
      </c>
      <c r="G886" s="1872">
        <f>H!$I$61</f>
        <v>67341</v>
      </c>
      <c r="H886" s="1872">
        <f>H!$I$65</f>
        <v>23250</v>
      </c>
      <c r="I886" s="1338">
        <f t="shared" si="190"/>
        <v>90591</v>
      </c>
      <c r="J886" s="1338">
        <f t="shared" si="191"/>
        <v>0</v>
      </c>
      <c r="K886" s="1338">
        <f t="shared" si="192"/>
        <v>0</v>
      </c>
      <c r="L886" s="1530">
        <f t="shared" si="193"/>
        <v>0</v>
      </c>
    </row>
    <row r="887" spans="1:28" ht="18" hidden="1" customHeight="1">
      <c r="A887" s="1371">
        <v>4</v>
      </c>
      <c r="B887" s="1316" t="s">
        <v>2203</v>
      </c>
      <c r="C887" s="1334"/>
      <c r="D887" s="1316" t="s">
        <v>1803</v>
      </c>
      <c r="E887" s="1526">
        <v>0</v>
      </c>
      <c r="F887" s="1336" t="s">
        <v>19</v>
      </c>
      <c r="G887" s="1872">
        <f>H!$I$75</f>
        <v>95005</v>
      </c>
      <c r="H887" s="1872">
        <f>H!$I$79</f>
        <v>23250</v>
      </c>
      <c r="I887" s="1338">
        <f t="shared" si="190"/>
        <v>118255</v>
      </c>
      <c r="J887" s="1338">
        <f t="shared" si="191"/>
        <v>0</v>
      </c>
      <c r="K887" s="1338">
        <f t="shared" si="192"/>
        <v>0</v>
      </c>
      <c r="L887" s="1530">
        <f t="shared" si="193"/>
        <v>0</v>
      </c>
    </row>
    <row r="888" spans="1:28" ht="18" hidden="1" customHeight="1">
      <c r="A888" s="1371"/>
      <c r="B888" s="1339" t="s">
        <v>1404</v>
      </c>
      <c r="C888" s="1368"/>
      <c r="D888" s="1316" t="s">
        <v>1405</v>
      </c>
      <c r="E888" s="1526"/>
      <c r="F888" s="1336" t="s">
        <v>22</v>
      </c>
      <c r="G888" s="1872">
        <f>H!$I$47</f>
        <v>13800</v>
      </c>
      <c r="H888" s="1909">
        <f>H!$I$51</f>
        <v>16090</v>
      </c>
      <c r="I888" s="1338">
        <f t="shared" si="190"/>
        <v>29890</v>
      </c>
      <c r="J888" s="1338">
        <f t="shared" si="191"/>
        <v>0</v>
      </c>
      <c r="K888" s="1338">
        <f t="shared" si="192"/>
        <v>0</v>
      </c>
      <c r="L888" s="1530">
        <f t="shared" si="193"/>
        <v>0</v>
      </c>
    </row>
    <row r="889" spans="1:28" ht="18" hidden="1" customHeight="1" thickBot="1">
      <c r="A889" s="1371">
        <v>5</v>
      </c>
      <c r="B889" s="1339" t="s">
        <v>170</v>
      </c>
      <c r="C889" s="1368"/>
      <c r="D889" s="1339"/>
      <c r="E889" s="1337">
        <v>0</v>
      </c>
      <c r="F889" s="1336" t="s">
        <v>19</v>
      </c>
      <c r="G889" s="1872">
        <f>PSP!$I$98*2</f>
        <v>62500</v>
      </c>
      <c r="H889" s="1872">
        <f>PSP!$I$102*2</f>
        <v>78720</v>
      </c>
      <c r="I889" s="1338">
        <f t="shared" si="190"/>
        <v>141220</v>
      </c>
      <c r="J889" s="1338">
        <f t="shared" si="191"/>
        <v>0</v>
      </c>
      <c r="K889" s="1338">
        <f t="shared" si="192"/>
        <v>0</v>
      </c>
      <c r="L889" s="1530">
        <f t="shared" si="193"/>
        <v>0</v>
      </c>
    </row>
    <row r="890" spans="1:28" ht="18" hidden="1" customHeight="1" thickTop="1" thickBot="1">
      <c r="A890" s="2675" t="str">
        <f>"sub total pekerjaan plafond "&amp;B883&amp;"="</f>
        <v>sub total pekerjaan plafond Lantai 2=</v>
      </c>
      <c r="B890" s="2676"/>
      <c r="C890" s="2676"/>
      <c r="D890" s="2676"/>
      <c r="E890" s="2676"/>
      <c r="F890" s="2676"/>
      <c r="G890" s="2676"/>
      <c r="H890" s="1653"/>
      <c r="I890" s="1653"/>
      <c r="J890" s="1542">
        <f>SUM(J884:J889)</f>
        <v>0</v>
      </c>
      <c r="K890" s="1542">
        <f>SUM(K884:K889)</f>
        <v>0</v>
      </c>
      <c r="L890" s="1340">
        <f>SUM(L884:L889)</f>
        <v>0</v>
      </c>
      <c r="M890" s="1300">
        <v>1</v>
      </c>
      <c r="N890" s="1300">
        <v>59</v>
      </c>
    </row>
    <row r="891" spans="1:28" ht="18" hidden="1" customHeight="1" thickTop="1">
      <c r="A891" s="1341" t="s">
        <v>71</v>
      </c>
      <c r="B891" s="1342" t="s">
        <v>72</v>
      </c>
      <c r="C891" s="1343"/>
      <c r="D891" s="1330"/>
      <c r="E891" s="1330"/>
      <c r="F891" s="1346"/>
      <c r="G891" s="1345"/>
      <c r="H891" s="1330"/>
      <c r="I891" s="1330"/>
      <c r="J891" s="1330"/>
      <c r="K891" s="1330"/>
      <c r="L891" s="1331"/>
      <c r="N891" s="1300">
        <v>60</v>
      </c>
    </row>
    <row r="892" spans="1:28" ht="18" hidden="1" customHeight="1">
      <c r="A892" s="1371">
        <v>1</v>
      </c>
      <c r="B892" s="1316" t="s">
        <v>2204</v>
      </c>
      <c r="C892" s="1334"/>
      <c r="D892" s="1316" t="s">
        <v>2970</v>
      </c>
      <c r="E892" s="1526">
        <v>0</v>
      </c>
      <c r="F892" s="1336" t="s">
        <v>19</v>
      </c>
      <c r="G892" s="1872">
        <f>H!$I$24</f>
        <v>79171</v>
      </c>
      <c r="H892" s="1872">
        <f>H!$I$28</f>
        <v>23250</v>
      </c>
      <c r="I892" s="1338">
        <f t="shared" ref="I892:I897" si="194">G892+H892</f>
        <v>102421</v>
      </c>
      <c r="J892" s="1338">
        <f t="shared" ref="J892:J897" si="195">E892*G892</f>
        <v>0</v>
      </c>
      <c r="K892" s="1338">
        <f t="shared" ref="K892:K897" si="196">E892*H892</f>
        <v>0</v>
      </c>
      <c r="L892" s="1530">
        <f t="shared" ref="L892:L897" si="197">J892+K892</f>
        <v>0</v>
      </c>
    </row>
    <row r="893" spans="1:28" ht="18" hidden="1" customHeight="1">
      <c r="A893" s="1371">
        <v>2</v>
      </c>
      <c r="B893" s="1316" t="s">
        <v>2205</v>
      </c>
      <c r="C893" s="1334"/>
      <c r="D893" s="1316" t="s">
        <v>2971</v>
      </c>
      <c r="E893" s="1526"/>
      <c r="F893" s="1336" t="s">
        <v>19</v>
      </c>
      <c r="G893" s="1872">
        <f>H!$I$38</f>
        <v>90091</v>
      </c>
      <c r="H893" s="1872">
        <f>H!$I$42</f>
        <v>23250</v>
      </c>
      <c r="I893" s="1338">
        <f t="shared" si="194"/>
        <v>113341</v>
      </c>
      <c r="J893" s="1338">
        <f t="shared" si="195"/>
        <v>0</v>
      </c>
      <c r="K893" s="1338">
        <f t="shared" si="196"/>
        <v>0</v>
      </c>
      <c r="L893" s="1530">
        <f t="shared" si="197"/>
        <v>0</v>
      </c>
    </row>
    <row r="894" spans="1:28" ht="18" hidden="1" customHeight="1">
      <c r="A894" s="1371">
        <v>2</v>
      </c>
      <c r="B894" s="1316" t="s">
        <v>2206</v>
      </c>
      <c r="C894" s="1334"/>
      <c r="D894" s="1316" t="s">
        <v>2297</v>
      </c>
      <c r="E894" s="1526"/>
      <c r="F894" s="1336" t="s">
        <v>19</v>
      </c>
      <c r="G894" s="1872">
        <f>H!$I$61</f>
        <v>67341</v>
      </c>
      <c r="H894" s="1872">
        <f>H!$I$65</f>
        <v>23250</v>
      </c>
      <c r="I894" s="1338">
        <f t="shared" si="194"/>
        <v>90591</v>
      </c>
      <c r="J894" s="1338">
        <f t="shared" si="195"/>
        <v>0</v>
      </c>
      <c r="K894" s="1338">
        <f t="shared" si="196"/>
        <v>0</v>
      </c>
      <c r="L894" s="1530">
        <f t="shared" si="197"/>
        <v>0</v>
      </c>
    </row>
    <row r="895" spans="1:28" ht="18" hidden="1" customHeight="1">
      <c r="A895" s="1371"/>
      <c r="B895" s="1316" t="s">
        <v>2203</v>
      </c>
      <c r="C895" s="1334"/>
      <c r="D895" s="1316" t="s">
        <v>1803</v>
      </c>
      <c r="E895" s="1526"/>
      <c r="F895" s="1336" t="s">
        <v>19</v>
      </c>
      <c r="G895" s="1872">
        <f>H!$I$75</f>
        <v>95005</v>
      </c>
      <c r="H895" s="1872">
        <f>H!$I$79</f>
        <v>23250</v>
      </c>
      <c r="I895" s="1338">
        <f t="shared" si="194"/>
        <v>118255</v>
      </c>
      <c r="J895" s="1338">
        <f t="shared" si="195"/>
        <v>0</v>
      </c>
      <c r="K895" s="1338">
        <f t="shared" si="196"/>
        <v>0</v>
      </c>
      <c r="L895" s="1530">
        <f t="shared" si="197"/>
        <v>0</v>
      </c>
    </row>
    <row r="896" spans="1:28" ht="18" hidden="1" customHeight="1">
      <c r="A896" s="1371"/>
      <c r="B896" s="1339" t="s">
        <v>1404</v>
      </c>
      <c r="C896" s="1368"/>
      <c r="D896" s="1316" t="s">
        <v>1405</v>
      </c>
      <c r="E896" s="1526"/>
      <c r="F896" s="1336" t="s">
        <v>22</v>
      </c>
      <c r="G896" s="1872">
        <f>H!$I$47</f>
        <v>13800</v>
      </c>
      <c r="H896" s="1909">
        <f>H!$I$51</f>
        <v>16090</v>
      </c>
      <c r="I896" s="1338">
        <f t="shared" si="194"/>
        <v>29890</v>
      </c>
      <c r="J896" s="1338">
        <f t="shared" si="195"/>
        <v>0</v>
      </c>
      <c r="K896" s="1338">
        <f t="shared" si="196"/>
        <v>0</v>
      </c>
      <c r="L896" s="1530">
        <f t="shared" si="197"/>
        <v>0</v>
      </c>
    </row>
    <row r="897" spans="1:28" ht="18" hidden="1" customHeight="1" thickBot="1">
      <c r="A897" s="1371">
        <v>3</v>
      </c>
      <c r="B897" s="1339" t="s">
        <v>170</v>
      </c>
      <c r="C897" s="1368"/>
      <c r="D897" s="1339"/>
      <c r="E897" s="1337">
        <v>0</v>
      </c>
      <c r="F897" s="1336" t="s">
        <v>19</v>
      </c>
      <c r="G897" s="1872">
        <f>PSP!$I$98*2</f>
        <v>62500</v>
      </c>
      <c r="H897" s="1872">
        <f>PSP!$I$102*2</f>
        <v>78720</v>
      </c>
      <c r="I897" s="1338">
        <f t="shared" si="194"/>
        <v>141220</v>
      </c>
      <c r="J897" s="1338">
        <f t="shared" si="195"/>
        <v>0</v>
      </c>
      <c r="K897" s="1338">
        <f t="shared" si="196"/>
        <v>0</v>
      </c>
      <c r="L897" s="1530">
        <f t="shared" si="197"/>
        <v>0</v>
      </c>
    </row>
    <row r="898" spans="1:28" ht="18" hidden="1" customHeight="1" thickTop="1" thickBot="1">
      <c r="A898" s="2675" t="str">
        <f>"sub total pekerjaan plafond "&amp;B891&amp;"="</f>
        <v>sub total pekerjaan plafond Lantai Atap=</v>
      </c>
      <c r="B898" s="2676"/>
      <c r="C898" s="2676"/>
      <c r="D898" s="2676"/>
      <c r="E898" s="2676"/>
      <c r="F898" s="2676"/>
      <c r="G898" s="2676"/>
      <c r="H898" s="1951"/>
      <c r="I898" s="1951"/>
      <c r="J898" s="1542">
        <f>SUM(J892:J897)</f>
        <v>0</v>
      </c>
      <c r="K898" s="1542">
        <f>SUM(K892:K897)</f>
        <v>0</v>
      </c>
      <c r="L898" s="1340">
        <f>SUM(L892:L897)</f>
        <v>0</v>
      </c>
      <c r="M898" s="1300">
        <v>1</v>
      </c>
      <c r="N898" s="1300">
        <v>61</v>
      </c>
    </row>
    <row r="899" spans="1:28" ht="18" hidden="1" customHeight="1" thickTop="1">
      <c r="A899" s="1341" t="s">
        <v>1413</v>
      </c>
      <c r="B899" s="1342" t="s">
        <v>72</v>
      </c>
      <c r="C899" s="1343"/>
      <c r="D899" s="1330"/>
      <c r="E899" s="1330"/>
      <c r="F899" s="1346"/>
      <c r="G899" s="1345"/>
      <c r="H899" s="1330"/>
      <c r="I899" s="1330"/>
      <c r="J899" s="1330"/>
      <c r="K899" s="1330"/>
      <c r="L899" s="1331"/>
      <c r="N899" s="1300">
        <v>62</v>
      </c>
      <c r="AB899" s="1221"/>
    </row>
    <row r="900" spans="1:28" ht="18" hidden="1" customHeight="1">
      <c r="A900" s="1371">
        <v>1</v>
      </c>
      <c r="B900" s="1316" t="s">
        <v>2204</v>
      </c>
      <c r="C900" s="1334"/>
      <c r="D900" s="1316" t="s">
        <v>2970</v>
      </c>
      <c r="E900" s="1526"/>
      <c r="F900" s="1336" t="s">
        <v>19</v>
      </c>
      <c r="G900" s="1872">
        <f>H!$I$24</f>
        <v>79171</v>
      </c>
      <c r="H900" s="1872">
        <f>H!$I$28</f>
        <v>23250</v>
      </c>
      <c r="I900" s="1338">
        <f t="shared" ref="I900:I905" si="198">G900+H900</f>
        <v>102421</v>
      </c>
      <c r="J900" s="1338">
        <f t="shared" ref="J900:J905" si="199">E900*G900</f>
        <v>0</v>
      </c>
      <c r="K900" s="1338">
        <f t="shared" ref="K900:K905" si="200">E900*H900</f>
        <v>0</v>
      </c>
      <c r="L900" s="1530">
        <f t="shared" ref="L900:L905" si="201">J900+K900</f>
        <v>0</v>
      </c>
      <c r="AB900" s="1221"/>
    </row>
    <row r="901" spans="1:28" ht="18" hidden="1" customHeight="1">
      <c r="A901" s="1371">
        <f>A900+1</f>
        <v>2</v>
      </c>
      <c r="B901" s="1316" t="s">
        <v>2205</v>
      </c>
      <c r="C901" s="1334"/>
      <c r="D901" s="1316" t="s">
        <v>2971</v>
      </c>
      <c r="E901" s="1526"/>
      <c r="F901" s="1336" t="s">
        <v>19</v>
      </c>
      <c r="G901" s="1872">
        <f>H!$I$38</f>
        <v>90091</v>
      </c>
      <c r="H901" s="1872">
        <f>H!$I$42</f>
        <v>23250</v>
      </c>
      <c r="I901" s="1338">
        <f t="shared" si="198"/>
        <v>113341</v>
      </c>
      <c r="J901" s="1338">
        <f t="shared" si="199"/>
        <v>0</v>
      </c>
      <c r="K901" s="1338">
        <f t="shared" si="200"/>
        <v>0</v>
      </c>
      <c r="L901" s="1530">
        <f t="shared" si="201"/>
        <v>0</v>
      </c>
      <c r="AB901" s="1221"/>
    </row>
    <row r="902" spans="1:28" ht="18" hidden="1" customHeight="1">
      <c r="A902" s="1371">
        <v>2</v>
      </c>
      <c r="B902" s="1316" t="s">
        <v>2206</v>
      </c>
      <c r="C902" s="1334"/>
      <c r="D902" s="1316" t="s">
        <v>2297</v>
      </c>
      <c r="E902" s="1526"/>
      <c r="F902" s="1336" t="s">
        <v>19</v>
      </c>
      <c r="G902" s="1872">
        <f>H!$I$61</f>
        <v>67341</v>
      </c>
      <c r="H902" s="1872">
        <f>H!$I$65</f>
        <v>23250</v>
      </c>
      <c r="I902" s="1338">
        <f t="shared" si="198"/>
        <v>90591</v>
      </c>
      <c r="J902" s="1338">
        <f t="shared" si="199"/>
        <v>0</v>
      </c>
      <c r="K902" s="1338">
        <f t="shared" si="200"/>
        <v>0</v>
      </c>
      <c r="L902" s="1530">
        <f t="shared" si="201"/>
        <v>0</v>
      </c>
      <c r="AB902" s="1221"/>
    </row>
    <row r="903" spans="1:28" ht="18" hidden="1" customHeight="1">
      <c r="A903" s="1371">
        <v>2</v>
      </c>
      <c r="B903" s="1316" t="s">
        <v>2203</v>
      </c>
      <c r="C903" s="1334"/>
      <c r="D903" s="1316" t="s">
        <v>1803</v>
      </c>
      <c r="E903" s="1526"/>
      <c r="F903" s="1336" t="s">
        <v>19</v>
      </c>
      <c r="G903" s="1872">
        <f>H!$I$75</f>
        <v>95005</v>
      </c>
      <c r="H903" s="1872">
        <f>H!$I$79</f>
        <v>23250</v>
      </c>
      <c r="I903" s="1338">
        <f t="shared" si="198"/>
        <v>118255</v>
      </c>
      <c r="J903" s="1338">
        <f t="shared" si="199"/>
        <v>0</v>
      </c>
      <c r="K903" s="1338">
        <f t="shared" si="200"/>
        <v>0</v>
      </c>
      <c r="L903" s="1530">
        <f t="shared" si="201"/>
        <v>0</v>
      </c>
      <c r="AB903" s="1221"/>
    </row>
    <row r="904" spans="1:28" ht="18" hidden="1" customHeight="1">
      <c r="A904" s="1371">
        <v>5</v>
      </c>
      <c r="B904" s="1339" t="s">
        <v>1404</v>
      </c>
      <c r="C904" s="1368"/>
      <c r="D904" s="1316" t="s">
        <v>1405</v>
      </c>
      <c r="E904" s="1526"/>
      <c r="F904" s="1336" t="s">
        <v>22</v>
      </c>
      <c r="G904" s="1872">
        <f>H!$I$47</f>
        <v>13800</v>
      </c>
      <c r="H904" s="1909">
        <f>H!$I$51</f>
        <v>16090</v>
      </c>
      <c r="I904" s="1338">
        <f t="shared" si="198"/>
        <v>29890</v>
      </c>
      <c r="J904" s="1338">
        <f t="shared" si="199"/>
        <v>0</v>
      </c>
      <c r="K904" s="1338">
        <f t="shared" si="200"/>
        <v>0</v>
      </c>
      <c r="L904" s="1530">
        <f t="shared" si="201"/>
        <v>0</v>
      </c>
      <c r="AB904" s="1221"/>
    </row>
    <row r="905" spans="1:28" ht="18" hidden="1" customHeight="1" thickBot="1">
      <c r="A905" s="1371">
        <v>3</v>
      </c>
      <c r="B905" s="1339" t="s">
        <v>170</v>
      </c>
      <c r="C905" s="1368"/>
      <c r="D905" s="1339"/>
      <c r="E905" s="1337"/>
      <c r="F905" s="1336" t="s">
        <v>19</v>
      </c>
      <c r="G905" s="1872">
        <f>PSP!$I$98*2</f>
        <v>62500</v>
      </c>
      <c r="H905" s="1872">
        <f>PSP!$I$102*2</f>
        <v>78720</v>
      </c>
      <c r="I905" s="1338">
        <f t="shared" si="198"/>
        <v>141220</v>
      </c>
      <c r="J905" s="1338">
        <f t="shared" si="199"/>
        <v>0</v>
      </c>
      <c r="K905" s="1338">
        <f t="shared" si="200"/>
        <v>0</v>
      </c>
      <c r="L905" s="1530">
        <f t="shared" si="201"/>
        <v>0</v>
      </c>
      <c r="AB905" s="1221"/>
    </row>
    <row r="906" spans="1:28" ht="18" hidden="1" customHeight="1" thickTop="1" thickBot="1">
      <c r="A906" s="2675" t="str">
        <f>"sub total pekerjaan plafond "&amp;B899&amp;"="</f>
        <v>sub total pekerjaan plafond Lantai Atap=</v>
      </c>
      <c r="B906" s="2676"/>
      <c r="C906" s="2676"/>
      <c r="D906" s="2676"/>
      <c r="E906" s="2676"/>
      <c r="F906" s="2676"/>
      <c r="G906" s="2676"/>
      <c r="H906" s="2356"/>
      <c r="I906" s="2356"/>
      <c r="J906" s="1542">
        <f>SUM(J900:J905)</f>
        <v>0</v>
      </c>
      <c r="K906" s="1542">
        <f>SUM(K900:K905)</f>
        <v>0</v>
      </c>
      <c r="L906" s="1340">
        <f>SUM(L900:L905)</f>
        <v>0</v>
      </c>
      <c r="M906" s="1300">
        <v>1</v>
      </c>
      <c r="N906" s="1300">
        <v>63</v>
      </c>
      <c r="AB906" s="1221"/>
    </row>
    <row r="907" spans="1:28" ht="18" hidden="1" customHeight="1" thickTop="1">
      <c r="A907" s="1341" t="s">
        <v>1010</v>
      </c>
      <c r="B907" s="1342" t="s">
        <v>2617</v>
      </c>
      <c r="C907" s="1343"/>
      <c r="D907" s="1330"/>
      <c r="E907" s="1330"/>
      <c r="F907" s="1346"/>
      <c r="G907" s="1345"/>
      <c r="H907" s="1330"/>
      <c r="I907" s="1330"/>
      <c r="J907" s="1330"/>
      <c r="K907" s="1330"/>
      <c r="L907" s="1331"/>
      <c r="N907" s="1300">
        <v>64</v>
      </c>
      <c r="AB907" s="1221"/>
    </row>
    <row r="908" spans="1:28" ht="18" hidden="1" customHeight="1">
      <c r="A908" s="1371">
        <v>1</v>
      </c>
      <c r="B908" s="1316" t="s">
        <v>2204</v>
      </c>
      <c r="C908" s="1334"/>
      <c r="D908" s="1316" t="s">
        <v>2970</v>
      </c>
      <c r="E908" s="1526"/>
      <c r="F908" s="1336" t="s">
        <v>19</v>
      </c>
      <c r="G908" s="1872">
        <f>H!$I$24</f>
        <v>79171</v>
      </c>
      <c r="H908" s="1872">
        <f>H!$I$28</f>
        <v>23250</v>
      </c>
      <c r="I908" s="1338">
        <f t="shared" ref="I908:I913" si="202">G908+H908</f>
        <v>102421</v>
      </c>
      <c r="J908" s="1338">
        <f t="shared" ref="J908:J913" si="203">E908*G908</f>
        <v>0</v>
      </c>
      <c r="K908" s="1338">
        <f t="shared" ref="K908:K913" si="204">E908*H908</f>
        <v>0</v>
      </c>
      <c r="L908" s="1530">
        <f t="shared" ref="L908:L913" si="205">J908+K908</f>
        <v>0</v>
      </c>
      <c r="AB908" s="1221"/>
    </row>
    <row r="909" spans="1:28" ht="18" hidden="1" customHeight="1">
      <c r="A909" s="1371">
        <f>A908+1</f>
        <v>2</v>
      </c>
      <c r="B909" s="1316" t="s">
        <v>2205</v>
      </c>
      <c r="C909" s="1334"/>
      <c r="D909" s="1316" t="s">
        <v>2971</v>
      </c>
      <c r="E909" s="1526"/>
      <c r="F909" s="1336" t="s">
        <v>19</v>
      </c>
      <c r="G909" s="1872">
        <f>H!$I$38</f>
        <v>90091</v>
      </c>
      <c r="H909" s="1872">
        <f>H!$I$42</f>
        <v>23250</v>
      </c>
      <c r="I909" s="1338">
        <f t="shared" si="202"/>
        <v>113341</v>
      </c>
      <c r="J909" s="1338">
        <f t="shared" si="203"/>
        <v>0</v>
      </c>
      <c r="K909" s="1338">
        <f t="shared" si="204"/>
        <v>0</v>
      </c>
      <c r="L909" s="1530">
        <f t="shared" si="205"/>
        <v>0</v>
      </c>
      <c r="AB909" s="1221"/>
    </row>
    <row r="910" spans="1:28" ht="18" hidden="1" customHeight="1">
      <c r="A910" s="1371">
        <v>3</v>
      </c>
      <c r="B910" s="1316" t="s">
        <v>2206</v>
      </c>
      <c r="C910" s="1334"/>
      <c r="D910" s="1316" t="s">
        <v>2297</v>
      </c>
      <c r="E910" s="1526"/>
      <c r="F910" s="1336" t="s">
        <v>19</v>
      </c>
      <c r="G910" s="1872">
        <f>H!$I$61</f>
        <v>67341</v>
      </c>
      <c r="H910" s="1872">
        <f>H!$I$65</f>
        <v>23250</v>
      </c>
      <c r="I910" s="1338">
        <f t="shared" si="202"/>
        <v>90591</v>
      </c>
      <c r="J910" s="1338">
        <f t="shared" si="203"/>
        <v>0</v>
      </c>
      <c r="K910" s="1338">
        <f t="shared" si="204"/>
        <v>0</v>
      </c>
      <c r="L910" s="1530">
        <f t="shared" si="205"/>
        <v>0</v>
      </c>
      <c r="AB910" s="1221"/>
    </row>
    <row r="911" spans="1:28" ht="18" hidden="1" customHeight="1">
      <c r="A911" s="1371"/>
      <c r="B911" s="1316" t="s">
        <v>2203</v>
      </c>
      <c r="C911" s="1334"/>
      <c r="D911" s="1316" t="s">
        <v>1803</v>
      </c>
      <c r="E911" s="1526"/>
      <c r="F911" s="1336" t="s">
        <v>19</v>
      </c>
      <c r="G911" s="1872">
        <f>H!$I$75</f>
        <v>95005</v>
      </c>
      <c r="H911" s="1872">
        <f>H!$I$79</f>
        <v>23250</v>
      </c>
      <c r="I911" s="1338">
        <f t="shared" si="202"/>
        <v>118255</v>
      </c>
      <c r="J911" s="1338">
        <f t="shared" si="203"/>
        <v>0</v>
      </c>
      <c r="K911" s="1338">
        <f t="shared" si="204"/>
        <v>0</v>
      </c>
      <c r="L911" s="1530">
        <f t="shared" si="205"/>
        <v>0</v>
      </c>
      <c r="AB911" s="1221"/>
    </row>
    <row r="912" spans="1:28" ht="18" hidden="1" customHeight="1">
      <c r="A912" s="1371"/>
      <c r="B912" s="1339" t="s">
        <v>1404</v>
      </c>
      <c r="C912" s="1368"/>
      <c r="D912" s="1316" t="s">
        <v>1405</v>
      </c>
      <c r="E912" s="1526"/>
      <c r="F912" s="1336" t="s">
        <v>22</v>
      </c>
      <c r="G912" s="1872">
        <f>H!$I$47</f>
        <v>13800</v>
      </c>
      <c r="H912" s="1909">
        <f>H!$I$51</f>
        <v>16090</v>
      </c>
      <c r="I912" s="1338">
        <f t="shared" si="202"/>
        <v>29890</v>
      </c>
      <c r="J912" s="1338">
        <f t="shared" si="203"/>
        <v>0</v>
      </c>
      <c r="K912" s="1338">
        <f t="shared" si="204"/>
        <v>0</v>
      </c>
      <c r="L912" s="1530">
        <f t="shared" si="205"/>
        <v>0</v>
      </c>
      <c r="AB912" s="1221"/>
    </row>
    <row r="913" spans="1:28" ht="18" hidden="1" customHeight="1" thickBot="1">
      <c r="A913" s="1371">
        <v>4</v>
      </c>
      <c r="B913" s="1339" t="s">
        <v>170</v>
      </c>
      <c r="C913" s="1368"/>
      <c r="D913" s="1339"/>
      <c r="E913" s="1337"/>
      <c r="F913" s="1336" t="s">
        <v>19</v>
      </c>
      <c r="G913" s="1872">
        <f>PSP!$I$98*2</f>
        <v>62500</v>
      </c>
      <c r="H913" s="1872">
        <f>PSP!$I$102*2</f>
        <v>78720</v>
      </c>
      <c r="I913" s="1338">
        <f t="shared" si="202"/>
        <v>141220</v>
      </c>
      <c r="J913" s="1338">
        <f t="shared" si="203"/>
        <v>0</v>
      </c>
      <c r="K913" s="1338">
        <f t="shared" si="204"/>
        <v>0</v>
      </c>
      <c r="L913" s="1530">
        <f t="shared" si="205"/>
        <v>0</v>
      </c>
      <c r="AB913" s="1221"/>
    </row>
    <row r="914" spans="1:28" ht="18" hidden="1" customHeight="1" thickTop="1" thickBot="1">
      <c r="A914" s="2675" t="str">
        <f>"sub total pekerjaan plafond "&amp;B907&amp;"="</f>
        <v>sub total pekerjaan plafond Lantai 4=</v>
      </c>
      <c r="B914" s="2676"/>
      <c r="C914" s="2676"/>
      <c r="D914" s="2676"/>
      <c r="E914" s="2676"/>
      <c r="F914" s="2676"/>
      <c r="G914" s="2676"/>
      <c r="H914" s="2389"/>
      <c r="I914" s="2389"/>
      <c r="J914" s="1542">
        <f>SUM(J908:J913)</f>
        <v>0</v>
      </c>
      <c r="K914" s="1542">
        <f>SUM(K908:K913)</f>
        <v>0</v>
      </c>
      <c r="L914" s="1340">
        <f>SUM(L908:L913)</f>
        <v>0</v>
      </c>
      <c r="M914" s="1300">
        <v>1</v>
      </c>
      <c r="N914" s="1300">
        <v>65</v>
      </c>
      <c r="AB914" s="1221"/>
    </row>
    <row r="915" spans="1:28" ht="18" customHeight="1" thickTop="1">
      <c r="A915" s="1341" t="s">
        <v>101</v>
      </c>
      <c r="B915" s="1342" t="s">
        <v>98</v>
      </c>
      <c r="C915" s="1343"/>
      <c r="D915" s="1330"/>
      <c r="E915" s="1330"/>
      <c r="F915" s="1346"/>
      <c r="G915" s="1345"/>
      <c r="H915" s="1330"/>
      <c r="I915" s="1330"/>
      <c r="J915" s="1330"/>
      <c r="K915" s="1330"/>
      <c r="L915" s="1331"/>
      <c r="N915" s="1300">
        <v>66</v>
      </c>
      <c r="AB915" s="1583"/>
    </row>
    <row r="916" spans="1:28" ht="18" customHeight="1">
      <c r="A916" s="1363" t="s">
        <v>42</v>
      </c>
      <c r="B916" s="1344" t="s">
        <v>99</v>
      </c>
      <c r="C916" s="1343"/>
      <c r="D916" s="2058"/>
      <c r="E916" s="2058"/>
      <c r="F916" s="1346"/>
      <c r="G916" s="1345"/>
      <c r="H916" s="1351"/>
      <c r="I916" s="1351"/>
      <c r="J916" s="1351"/>
      <c r="K916" s="1351"/>
      <c r="L916" s="1562"/>
      <c r="N916" s="1300">
        <v>67</v>
      </c>
      <c r="AB916" s="1583"/>
    </row>
    <row r="917" spans="1:28" ht="18" customHeight="1">
      <c r="A917" s="1371">
        <v>1</v>
      </c>
      <c r="B917" s="1316" t="s">
        <v>2210</v>
      </c>
      <c r="C917" s="1334"/>
      <c r="D917" s="1333" t="s">
        <v>36</v>
      </c>
      <c r="E917" s="1337">
        <v>44.25</v>
      </c>
      <c r="F917" s="1336" t="s">
        <v>35</v>
      </c>
      <c r="G917" s="1872">
        <v>0</v>
      </c>
      <c r="H917" s="1872">
        <v>0</v>
      </c>
      <c r="I917" s="1338">
        <f t="shared" ref="I917:I930" si="206">G917+H917</f>
        <v>0</v>
      </c>
      <c r="J917" s="1338">
        <f t="shared" ref="J917:J930" si="207">E917*G917</f>
        <v>0</v>
      </c>
      <c r="K917" s="1338">
        <f t="shared" ref="K917:K930" si="208">E917*H917</f>
        <v>0</v>
      </c>
      <c r="L917" s="1530">
        <f t="shared" ref="L917:L930" si="209">J917+K917</f>
        <v>0</v>
      </c>
    </row>
    <row r="918" spans="1:28" ht="18" customHeight="1">
      <c r="A918" s="1371">
        <v>2</v>
      </c>
      <c r="B918" s="1316" t="s">
        <v>2211</v>
      </c>
      <c r="C918" s="1334"/>
      <c r="D918" s="1333" t="s">
        <v>1406</v>
      </c>
      <c r="E918" s="1337">
        <v>22.125</v>
      </c>
      <c r="F918" s="1336" t="s">
        <v>35</v>
      </c>
      <c r="G918" s="1872">
        <v>0</v>
      </c>
      <c r="H918" s="1872">
        <v>0</v>
      </c>
      <c r="I918" s="1338">
        <f t="shared" si="206"/>
        <v>0</v>
      </c>
      <c r="J918" s="1338">
        <f t="shared" si="207"/>
        <v>0</v>
      </c>
      <c r="K918" s="1338">
        <f t="shared" si="208"/>
        <v>0</v>
      </c>
      <c r="L918" s="1530">
        <f t="shared" si="209"/>
        <v>0</v>
      </c>
    </row>
    <row r="919" spans="1:28" ht="18" hidden="1" customHeight="1">
      <c r="A919" s="1371"/>
      <c r="B919" s="1361" t="s">
        <v>1633</v>
      </c>
      <c r="C919" s="1360"/>
      <c r="D919" s="1361" t="s">
        <v>1632</v>
      </c>
      <c r="E919" s="1358">
        <v>0</v>
      </c>
      <c r="F919" s="1336" t="s">
        <v>35</v>
      </c>
      <c r="G919" s="1872">
        <v>0</v>
      </c>
      <c r="H919" s="1872">
        <v>0</v>
      </c>
      <c r="I919" s="1338">
        <f t="shared" si="206"/>
        <v>0</v>
      </c>
      <c r="J919" s="1338">
        <f t="shared" si="207"/>
        <v>0</v>
      </c>
      <c r="K919" s="1338">
        <f t="shared" si="208"/>
        <v>0</v>
      </c>
      <c r="L919" s="1530">
        <f t="shared" si="209"/>
        <v>0</v>
      </c>
    </row>
    <row r="920" spans="1:28" ht="18" hidden="1" customHeight="1">
      <c r="A920" s="1371">
        <v>3</v>
      </c>
      <c r="B920" s="1316" t="s">
        <v>2972</v>
      </c>
      <c r="C920" s="1334"/>
      <c r="D920" s="2307" t="str">
        <f>BAHAN!$C$123</f>
        <v xml:space="preserve">Batu Andesit Bintik 50x50 </v>
      </c>
      <c r="E920" s="1337">
        <v>0</v>
      </c>
      <c r="F920" s="1527" t="s">
        <v>19</v>
      </c>
      <c r="G920" s="1872">
        <v>0</v>
      </c>
      <c r="H920" s="1872">
        <v>0</v>
      </c>
      <c r="I920" s="1338">
        <f t="shared" si="206"/>
        <v>0</v>
      </c>
      <c r="J920" s="1338">
        <f t="shared" si="207"/>
        <v>0</v>
      </c>
      <c r="K920" s="1338">
        <f t="shared" si="208"/>
        <v>0</v>
      </c>
      <c r="L920" s="1530">
        <f t="shared" si="209"/>
        <v>0</v>
      </c>
      <c r="O920" s="1300">
        <v>1</v>
      </c>
      <c r="AB920" s="1583"/>
    </row>
    <row r="921" spans="1:28" ht="18" customHeight="1">
      <c r="A921" s="1371">
        <v>3</v>
      </c>
      <c r="B921" s="1316" t="s">
        <v>2997</v>
      </c>
      <c r="C921" s="1525"/>
      <c r="D921" s="1762" t="str">
        <f>BAHAN!$C$107&amp;" "&amp;BAHAN!$F$107</f>
        <v>Granite Tile 60x60 Ex. Niro Granite Bianco Luna GBL01 Silky White</v>
      </c>
      <c r="E921" s="1337">
        <v>53.3</v>
      </c>
      <c r="F921" s="1527" t="s">
        <v>19</v>
      </c>
      <c r="G921" s="1872">
        <v>0</v>
      </c>
      <c r="H921" s="1872">
        <v>0</v>
      </c>
      <c r="I921" s="1526">
        <f t="shared" si="206"/>
        <v>0</v>
      </c>
      <c r="J921" s="1526">
        <f t="shared" si="207"/>
        <v>0</v>
      </c>
      <c r="K921" s="1526">
        <f t="shared" si="208"/>
        <v>0</v>
      </c>
      <c r="L921" s="1530">
        <f t="shared" si="209"/>
        <v>0</v>
      </c>
      <c r="O921" s="1300">
        <v>2</v>
      </c>
      <c r="AB921" s="1221"/>
    </row>
    <row r="922" spans="1:28" ht="18" customHeight="1">
      <c r="A922" s="1371">
        <v>4</v>
      </c>
      <c r="B922" s="1316" t="s">
        <v>2998</v>
      </c>
      <c r="C922" s="1525"/>
      <c r="D922" s="1762" t="str">
        <f>BAHAN!$C$107&amp;" "&amp;BAHAN!$F$107</f>
        <v>Granite Tile 60x60 Ex. Niro Granite Bianco Luna GBL01 Silky White</v>
      </c>
      <c r="E922" s="1337">
        <v>137.96</v>
      </c>
      <c r="F922" s="1527" t="s">
        <v>19</v>
      </c>
      <c r="G922" s="1872">
        <v>0</v>
      </c>
      <c r="H922" s="1872">
        <v>0</v>
      </c>
      <c r="I922" s="1526">
        <f t="shared" si="206"/>
        <v>0</v>
      </c>
      <c r="J922" s="1526">
        <f t="shared" si="207"/>
        <v>0</v>
      </c>
      <c r="K922" s="1526">
        <f t="shared" si="208"/>
        <v>0</v>
      </c>
      <c r="L922" s="1530">
        <f t="shared" si="209"/>
        <v>0</v>
      </c>
      <c r="AB922" s="1221"/>
    </row>
    <row r="923" spans="1:28" ht="18" customHeight="1">
      <c r="A923" s="1371">
        <v>5</v>
      </c>
      <c r="B923" s="1316" t="s">
        <v>2999</v>
      </c>
      <c r="C923" s="1525"/>
      <c r="D923" s="1762" t="str">
        <f>BAHAN!$C$107&amp;" "&amp;BAHAN!$F$107</f>
        <v>Granite Tile 60x60 Ex. Niro Granite Bianco Luna GBL01 Silky White</v>
      </c>
      <c r="E923" s="1337">
        <v>19.600000000000001</v>
      </c>
      <c r="F923" s="1527" t="s">
        <v>19</v>
      </c>
      <c r="G923" s="1872">
        <v>0</v>
      </c>
      <c r="H923" s="1872">
        <v>0</v>
      </c>
      <c r="I923" s="1526">
        <f t="shared" si="206"/>
        <v>0</v>
      </c>
      <c r="J923" s="1526">
        <f t="shared" si="207"/>
        <v>0</v>
      </c>
      <c r="K923" s="1526">
        <f t="shared" si="208"/>
        <v>0</v>
      </c>
      <c r="L923" s="1530">
        <f t="shared" si="209"/>
        <v>0</v>
      </c>
      <c r="AB923" s="1221"/>
    </row>
    <row r="924" spans="1:28" ht="18" customHeight="1">
      <c r="A924" s="1371">
        <v>6</v>
      </c>
      <c r="B924" s="1316" t="s">
        <v>3001</v>
      </c>
      <c r="C924" s="1525"/>
      <c r="D924" s="1762" t="str">
        <f>BAHAN!$C$107&amp;" "&amp;BAHAN!$F$107</f>
        <v>Granite Tile 60x60 Ex. Niro Granite Bianco Luna GBL01 Silky White</v>
      </c>
      <c r="E924" s="1337">
        <v>20.05</v>
      </c>
      <c r="F924" s="1527" t="s">
        <v>19</v>
      </c>
      <c r="G924" s="1872">
        <v>0</v>
      </c>
      <c r="H924" s="1872">
        <v>0</v>
      </c>
      <c r="I924" s="1526">
        <f t="shared" si="206"/>
        <v>0</v>
      </c>
      <c r="J924" s="1526">
        <f t="shared" si="207"/>
        <v>0</v>
      </c>
      <c r="K924" s="1526">
        <f t="shared" si="208"/>
        <v>0</v>
      </c>
      <c r="L924" s="1530">
        <f t="shared" si="209"/>
        <v>0</v>
      </c>
      <c r="AB924" s="1221"/>
    </row>
    <row r="925" spans="1:28" ht="18" customHeight="1">
      <c r="A925" s="1371">
        <v>7</v>
      </c>
      <c r="B925" s="1316" t="s">
        <v>2929</v>
      </c>
      <c r="C925" s="1525"/>
      <c r="D925" s="1762" t="str">
        <f>BAHAN!$C$120&amp;" "&amp;BAHAN!$F$120</f>
        <v>Keramik 40x40 Ex. KIA Monza Crema</v>
      </c>
      <c r="E925" s="1337">
        <v>8.15</v>
      </c>
      <c r="F925" s="1527" t="s">
        <v>19</v>
      </c>
      <c r="G925" s="1872">
        <v>0</v>
      </c>
      <c r="H925" s="1872">
        <v>0</v>
      </c>
      <c r="I925" s="1526">
        <f t="shared" si="206"/>
        <v>0</v>
      </c>
      <c r="J925" s="1526">
        <f t="shared" si="207"/>
        <v>0</v>
      </c>
      <c r="K925" s="1526">
        <f t="shared" si="208"/>
        <v>0</v>
      </c>
      <c r="L925" s="1530">
        <f t="shared" si="209"/>
        <v>0</v>
      </c>
      <c r="O925" s="1300">
        <v>3</v>
      </c>
      <c r="AB925" s="1221"/>
    </row>
    <row r="926" spans="1:28" ht="18" customHeight="1">
      <c r="A926" s="1371">
        <v>8</v>
      </c>
      <c r="B926" s="1316" t="s">
        <v>2918</v>
      </c>
      <c r="C926" s="1525"/>
      <c r="D926" s="1762" t="str">
        <f>BAHAN!$C$120&amp;" "&amp;BAHAN!$F$120</f>
        <v>Keramik 40x40 Ex. KIA Monza Crema</v>
      </c>
      <c r="E926" s="1337">
        <v>13.4</v>
      </c>
      <c r="F926" s="1527" t="s">
        <v>19</v>
      </c>
      <c r="G926" s="1872">
        <v>0</v>
      </c>
      <c r="H926" s="1872">
        <v>0</v>
      </c>
      <c r="I926" s="1526">
        <f t="shared" si="206"/>
        <v>0</v>
      </c>
      <c r="J926" s="1526">
        <f t="shared" si="207"/>
        <v>0</v>
      </c>
      <c r="K926" s="1526">
        <f t="shared" si="208"/>
        <v>0</v>
      </c>
      <c r="L926" s="1530">
        <f t="shared" si="209"/>
        <v>0</v>
      </c>
      <c r="AB926" s="1221"/>
    </row>
    <row r="927" spans="1:28" ht="18" hidden="1" customHeight="1">
      <c r="A927" s="1371">
        <v>9</v>
      </c>
      <c r="B927" s="1316"/>
      <c r="C927" s="1525"/>
      <c r="D927" s="1762" t="str">
        <f>BAHAN!$C$130&amp;" "&amp;BAHAN!$F$130</f>
        <v xml:space="preserve">Keramik 30x30 Ex.Pool Tile V 4808-7 Mosaic Mozaik Kolam Keramik Kolam Renang </v>
      </c>
      <c r="E927" s="1337"/>
      <c r="F927" s="1527" t="s">
        <v>19</v>
      </c>
      <c r="G927" s="1872">
        <v>0</v>
      </c>
      <c r="H927" s="1872">
        <v>0</v>
      </c>
      <c r="I927" s="1526">
        <f t="shared" si="206"/>
        <v>0</v>
      </c>
      <c r="J927" s="1526">
        <f t="shared" si="207"/>
        <v>0</v>
      </c>
      <c r="K927" s="1526">
        <f t="shared" si="208"/>
        <v>0</v>
      </c>
      <c r="L927" s="1530">
        <f t="shared" si="209"/>
        <v>0</v>
      </c>
      <c r="AB927" s="1221"/>
    </row>
    <row r="928" spans="1:28" ht="18" customHeight="1">
      <c r="A928" s="1371">
        <v>9</v>
      </c>
      <c r="B928" s="1316" t="s">
        <v>3000</v>
      </c>
      <c r="C928" s="1334"/>
      <c r="D928" s="2307" t="str">
        <f>BAHAN!C123&amp;" "&amp;BAHAN!F123</f>
        <v>Batu Andesit Bintik 50x50  Finishing Polished</v>
      </c>
      <c r="E928" s="1337">
        <v>670</v>
      </c>
      <c r="F928" s="1527" t="s">
        <v>19</v>
      </c>
      <c r="G928" s="1872">
        <v>0</v>
      </c>
      <c r="H928" s="1872">
        <v>0</v>
      </c>
      <c r="I928" s="1338">
        <f t="shared" si="206"/>
        <v>0</v>
      </c>
      <c r="J928" s="1338">
        <f t="shared" si="207"/>
        <v>0</v>
      </c>
      <c r="K928" s="1338">
        <f t="shared" si="208"/>
        <v>0</v>
      </c>
      <c r="L928" s="1530">
        <f>J928+K928</f>
        <v>0</v>
      </c>
      <c r="O928" s="1300">
        <v>4</v>
      </c>
      <c r="AB928" s="1583"/>
    </row>
    <row r="929" spans="1:28" ht="18" customHeight="1" thickBot="1">
      <c r="A929" s="1371">
        <v>10</v>
      </c>
      <c r="B929" s="1316" t="s">
        <v>2470</v>
      </c>
      <c r="C929" s="1525"/>
      <c r="D929" s="2307" t="str">
        <f>BAHAN!$C$122&amp;" "&amp;BAHAN!$F$122</f>
        <v>Keramik 30x30 Ex. Roman dBorra Grey G330519</v>
      </c>
      <c r="E929" s="1337">
        <v>21.8</v>
      </c>
      <c r="F929" s="1336" t="s">
        <v>19</v>
      </c>
      <c r="G929" s="1872">
        <v>0</v>
      </c>
      <c r="H929" s="1872">
        <v>0</v>
      </c>
      <c r="I929" s="1526">
        <f t="shared" si="206"/>
        <v>0</v>
      </c>
      <c r="J929" s="1526">
        <f t="shared" si="207"/>
        <v>0</v>
      </c>
      <c r="K929" s="1526">
        <f t="shared" si="208"/>
        <v>0</v>
      </c>
      <c r="L929" s="1530">
        <f t="shared" si="209"/>
        <v>0</v>
      </c>
      <c r="O929" s="1300">
        <v>5</v>
      </c>
    </row>
    <row r="930" spans="1:28" ht="18" hidden="1" customHeight="1" thickBot="1">
      <c r="A930" s="1371">
        <v>11</v>
      </c>
      <c r="B930" s="1804" t="s">
        <v>2826</v>
      </c>
      <c r="C930" s="2279"/>
      <c r="D930" s="2280" t="s">
        <v>2132</v>
      </c>
      <c r="E930" s="1337">
        <f>0*0.05</f>
        <v>0</v>
      </c>
      <c r="F930" s="1336" t="s">
        <v>35</v>
      </c>
      <c r="G930" s="1872">
        <f>D!$I$134</f>
        <v>892522.85714285716</v>
      </c>
      <c r="H930" s="1872">
        <f>D!$I$138</f>
        <v>288100</v>
      </c>
      <c r="I930" s="1338">
        <f t="shared" si="206"/>
        <v>1180622.8571428573</v>
      </c>
      <c r="J930" s="1338">
        <f t="shared" si="207"/>
        <v>0</v>
      </c>
      <c r="K930" s="1338">
        <f t="shared" si="208"/>
        <v>0</v>
      </c>
      <c r="L930" s="1530">
        <f t="shared" si="209"/>
        <v>0</v>
      </c>
      <c r="AB930" s="1221"/>
    </row>
    <row r="931" spans="1:28" ht="18" customHeight="1" thickTop="1" thickBot="1">
      <c r="A931" s="2675" t="str">
        <f>"sub total "&amp;B916&amp;"="</f>
        <v>sub total Pasangan keramik Lantai 1=</v>
      </c>
      <c r="B931" s="2676"/>
      <c r="C931" s="2676"/>
      <c r="D931" s="2676"/>
      <c r="E931" s="2676"/>
      <c r="F931" s="2676"/>
      <c r="G931" s="2676"/>
      <c r="H931" s="1564"/>
      <c r="I931" s="1564"/>
      <c r="J931" s="1542">
        <f>SUM(J917:J930)</f>
        <v>0</v>
      </c>
      <c r="K931" s="1542">
        <f>SUM(K917:K930)</f>
        <v>0</v>
      </c>
      <c r="L931" s="1340">
        <f>SUM(L917:L930)</f>
        <v>0</v>
      </c>
      <c r="M931" s="1300">
        <v>1</v>
      </c>
      <c r="N931" s="1300">
        <v>68</v>
      </c>
    </row>
    <row r="932" spans="1:28" ht="18" hidden="1" customHeight="1" thickTop="1">
      <c r="A932" s="1363" t="s">
        <v>60</v>
      </c>
      <c r="B932" s="1344" t="s">
        <v>3002</v>
      </c>
      <c r="C932" s="1343"/>
      <c r="D932" s="1566"/>
      <c r="E932" s="1345"/>
      <c r="F932" s="1567"/>
      <c r="G932" s="1568"/>
      <c r="H932" s="1569"/>
      <c r="I932" s="1569"/>
      <c r="J932" s="1569"/>
      <c r="K932" s="1569"/>
      <c r="L932" s="1570"/>
      <c r="N932" s="1300">
        <v>69</v>
      </c>
      <c r="AB932" s="1583"/>
    </row>
    <row r="933" spans="1:28" ht="18" hidden="1" customHeight="1">
      <c r="A933" s="1371">
        <v>1</v>
      </c>
      <c r="B933" s="1316" t="s">
        <v>3003</v>
      </c>
      <c r="C933" s="1525"/>
      <c r="D933" s="1762" t="str">
        <f>BAHAN!$C$107&amp;" "&amp;BAHAN!$F$107</f>
        <v>Granite Tile 60x60 Ex. Niro Granite Bianco Luna GBL01 Silky White</v>
      </c>
      <c r="E933" s="1337">
        <v>0</v>
      </c>
      <c r="F933" s="1527" t="s">
        <v>19</v>
      </c>
      <c r="G933" s="1337">
        <f>I!$I$10</f>
        <v>195139</v>
      </c>
      <c r="H933" s="1526">
        <f>I!$I$14</f>
        <v>57490</v>
      </c>
      <c r="I933" s="1526">
        <f t="shared" ref="I933:I938" si="210">G933+H933</f>
        <v>252629</v>
      </c>
      <c r="J933" s="1526">
        <f t="shared" ref="J933:J938" si="211">E933*G933</f>
        <v>0</v>
      </c>
      <c r="K933" s="1526">
        <f t="shared" ref="K933:K938" si="212">E933*H933</f>
        <v>0</v>
      </c>
      <c r="L933" s="1530">
        <f t="shared" ref="L933:L938" si="213">J933+K933</f>
        <v>0</v>
      </c>
      <c r="AB933" s="1221"/>
    </row>
    <row r="934" spans="1:28" ht="18" hidden="1" customHeight="1">
      <c r="A934" s="1371">
        <v>2</v>
      </c>
      <c r="B934" s="1316" t="s">
        <v>3004</v>
      </c>
      <c r="C934" s="1525"/>
      <c r="D934" s="1762" t="str">
        <f>BAHAN!$C$107&amp;" "&amp;BAHAN!$F$107</f>
        <v>Granite Tile 60x60 Ex. Niro Granite Bianco Luna GBL01 Silky White</v>
      </c>
      <c r="E934" s="1337">
        <v>0</v>
      </c>
      <c r="F934" s="1527" t="s">
        <v>19</v>
      </c>
      <c r="G934" s="1337">
        <f>I!$I$10</f>
        <v>195139</v>
      </c>
      <c r="H934" s="1526">
        <f>I!$I$14</f>
        <v>57490</v>
      </c>
      <c r="I934" s="1526">
        <f t="shared" si="210"/>
        <v>252629</v>
      </c>
      <c r="J934" s="1526">
        <f t="shared" si="211"/>
        <v>0</v>
      </c>
      <c r="K934" s="1526">
        <f t="shared" si="212"/>
        <v>0</v>
      </c>
      <c r="L934" s="1530">
        <f t="shared" si="213"/>
        <v>0</v>
      </c>
      <c r="AB934" s="1221"/>
    </row>
    <row r="935" spans="1:28" ht="18" hidden="1" customHeight="1">
      <c r="A935" s="1371">
        <v>3</v>
      </c>
      <c r="B935" s="1316" t="s">
        <v>3005</v>
      </c>
      <c r="C935" s="1525"/>
      <c r="D935" s="1762" t="str">
        <f>BAHAN!$C$107&amp;" "&amp;BAHAN!$F$107</f>
        <v>Granite Tile 60x60 Ex. Niro Granite Bianco Luna GBL01 Silky White</v>
      </c>
      <c r="E935" s="1337">
        <v>0</v>
      </c>
      <c r="F935" s="1527" t="s">
        <v>19</v>
      </c>
      <c r="G935" s="1337">
        <f>I!$I$10</f>
        <v>195139</v>
      </c>
      <c r="H935" s="1526">
        <f>I!$I$14</f>
        <v>57490</v>
      </c>
      <c r="I935" s="1526">
        <f t="shared" si="210"/>
        <v>252629</v>
      </c>
      <c r="J935" s="1526">
        <f t="shared" si="211"/>
        <v>0</v>
      </c>
      <c r="K935" s="1526">
        <f t="shared" si="212"/>
        <v>0</v>
      </c>
      <c r="L935" s="1530">
        <f t="shared" si="213"/>
        <v>0</v>
      </c>
      <c r="AB935" s="1221"/>
    </row>
    <row r="936" spans="1:28" ht="18" hidden="1" customHeight="1">
      <c r="A936" s="1371">
        <v>4</v>
      </c>
      <c r="B936" s="1316" t="s">
        <v>2844</v>
      </c>
      <c r="C936" s="1525"/>
      <c r="D936" s="1762" t="str">
        <f>BAHAN!$C$114&amp;" "&amp;BAHAN!$F$114</f>
        <v>Granite Tile 80x80 Ex. Niro Granite Lux 3.0 GLX83 Carnelia</v>
      </c>
      <c r="E936" s="1337">
        <v>0</v>
      </c>
      <c r="F936" s="1527" t="s">
        <v>19</v>
      </c>
      <c r="G936" s="1337">
        <f>I!$I$42</f>
        <v>252889</v>
      </c>
      <c r="H936" s="1526">
        <f>I!$I$14</f>
        <v>57490</v>
      </c>
      <c r="I936" s="1526">
        <f t="shared" si="210"/>
        <v>310379</v>
      </c>
      <c r="J936" s="1526">
        <f t="shared" si="211"/>
        <v>0</v>
      </c>
      <c r="K936" s="1526">
        <f t="shared" si="212"/>
        <v>0</v>
      </c>
      <c r="L936" s="1530">
        <f t="shared" si="213"/>
        <v>0</v>
      </c>
      <c r="O936" s="1300">
        <v>6</v>
      </c>
      <c r="AB936" s="1221"/>
    </row>
    <row r="937" spans="1:28" ht="18" hidden="1" customHeight="1">
      <c r="A937" s="1371">
        <v>5</v>
      </c>
      <c r="B937" s="1316" t="s">
        <v>2470</v>
      </c>
      <c r="C937" s="1525"/>
      <c r="D937" s="1762" t="str">
        <f>BAHAN!$C$122&amp;" "&amp;BAHAN!$F$122</f>
        <v>Keramik 30x30 Ex. Roman dBorra Grey G330519</v>
      </c>
      <c r="E937" s="1337">
        <v>0</v>
      </c>
      <c r="F937" s="1336" t="s">
        <v>19</v>
      </c>
      <c r="G937" s="1358">
        <f>I!$I$87</f>
        <v>146849.60606060608</v>
      </c>
      <c r="H937" s="1526">
        <f>I!$I$91</f>
        <v>57490</v>
      </c>
      <c r="I937" s="1526">
        <f t="shared" si="210"/>
        <v>204339.60606060608</v>
      </c>
      <c r="J937" s="1526">
        <f t="shared" si="211"/>
        <v>0</v>
      </c>
      <c r="K937" s="1526">
        <f t="shared" si="212"/>
        <v>0</v>
      </c>
      <c r="L937" s="1530">
        <f t="shared" si="213"/>
        <v>0</v>
      </c>
      <c r="P937" s="1300" t="s">
        <v>1411</v>
      </c>
      <c r="AB937" s="1221"/>
    </row>
    <row r="938" spans="1:28" ht="18" hidden="1" customHeight="1" thickBot="1">
      <c r="A938" s="1371">
        <v>6</v>
      </c>
      <c r="B938" s="1316" t="s">
        <v>1411</v>
      </c>
      <c r="C938" s="1334"/>
      <c r="D938" s="1316" t="s">
        <v>2063</v>
      </c>
      <c r="E938" s="1337"/>
      <c r="F938" s="1336" t="s">
        <v>19</v>
      </c>
      <c r="G938" s="1872">
        <f>G!$I$179</f>
        <v>51900</v>
      </c>
      <c r="H938" s="1770">
        <f>G!$I$183</f>
        <v>50400</v>
      </c>
      <c r="I938" s="1338">
        <f t="shared" si="210"/>
        <v>102300</v>
      </c>
      <c r="J938" s="1338">
        <f t="shared" si="211"/>
        <v>0</v>
      </c>
      <c r="K938" s="1338">
        <f t="shared" si="212"/>
        <v>0</v>
      </c>
      <c r="L938" s="1530">
        <f t="shared" si="213"/>
        <v>0</v>
      </c>
      <c r="P938" s="2051">
        <f>SUMIF(B937:B980,#REF!,E937:E980)</f>
        <v>0</v>
      </c>
    </row>
    <row r="939" spans="1:28" ht="18" hidden="1" customHeight="1" thickTop="1" thickBot="1">
      <c r="A939" s="2675" t="str">
        <f>"sub total "&amp;B932&amp;"="</f>
        <v>sub total Pasangan keramik Lantai 2 dan Mezzanine=</v>
      </c>
      <c r="B939" s="2676"/>
      <c r="C939" s="2676"/>
      <c r="D939" s="2676"/>
      <c r="E939" s="2676"/>
      <c r="F939" s="2676"/>
      <c r="G939" s="2676"/>
      <c r="H939" s="1564"/>
      <c r="I939" s="1564"/>
      <c r="J939" s="2067">
        <f>SUM(J933:J938)</f>
        <v>0</v>
      </c>
      <c r="K939" s="2068">
        <f>SUM(K933:K938)</f>
        <v>0</v>
      </c>
      <c r="L939" s="1543">
        <f>SUM(L933:L938)</f>
        <v>0</v>
      </c>
      <c r="M939" s="1300">
        <v>1</v>
      </c>
      <c r="N939" s="1300">
        <v>70</v>
      </c>
    </row>
    <row r="940" spans="1:28" ht="18" hidden="1" customHeight="1" thickTop="1">
      <c r="A940" s="1363" t="s">
        <v>71</v>
      </c>
      <c r="B940" s="1344" t="s">
        <v>2207</v>
      </c>
      <c r="C940" s="1343"/>
      <c r="D940" s="1566"/>
      <c r="E940" s="1345"/>
      <c r="F940" s="1567"/>
      <c r="G940" s="1568"/>
      <c r="H940" s="1569"/>
      <c r="I940" s="1569"/>
      <c r="J940" s="1569"/>
      <c r="K940" s="1569"/>
      <c r="L940" s="1570"/>
      <c r="N940" s="1300">
        <v>71</v>
      </c>
    </row>
    <row r="941" spans="1:28" ht="18" hidden="1" customHeight="1">
      <c r="A941" s="1371">
        <v>1</v>
      </c>
      <c r="B941" s="1316" t="s">
        <v>2832</v>
      </c>
      <c r="C941" s="1525"/>
      <c r="D941" s="1762" t="str">
        <f>BAHAN!$C$107&amp;" "&amp;BAHAN!$F$107</f>
        <v>Granite Tile 60x60 Ex. Niro Granite Bianco Luna GBL01 Silky White</v>
      </c>
      <c r="E941" s="1337">
        <v>0</v>
      </c>
      <c r="F941" s="1527" t="s">
        <v>19</v>
      </c>
      <c r="G941" s="1337">
        <f>I!$I$10</f>
        <v>195139</v>
      </c>
      <c r="H941" s="1526">
        <f>I!$I$14</f>
        <v>57490</v>
      </c>
      <c r="I941" s="1526">
        <f>G941+H941</f>
        <v>252629</v>
      </c>
      <c r="J941" s="1526">
        <f>E941*G941</f>
        <v>0</v>
      </c>
      <c r="K941" s="1526">
        <f>E941*H941</f>
        <v>0</v>
      </c>
      <c r="L941" s="1530">
        <f>J941+K941</f>
        <v>0</v>
      </c>
      <c r="AB941" s="1221"/>
    </row>
    <row r="942" spans="1:28" ht="18" hidden="1" customHeight="1">
      <c r="A942" s="1371">
        <v>2</v>
      </c>
      <c r="B942" s="1316" t="s">
        <v>3006</v>
      </c>
      <c r="C942" s="1334"/>
      <c r="D942" s="1762" t="str">
        <f>BAHAN!$C$119&amp;" "&amp;BAHAN!$F$119</f>
        <v>Keramik 40x40 Ex. KIA Terrazo</v>
      </c>
      <c r="E942" s="1337">
        <v>0</v>
      </c>
      <c r="F942" s="1527" t="s">
        <v>19</v>
      </c>
      <c r="G942" s="1337">
        <f>I!$I$65</f>
        <v>109564</v>
      </c>
      <c r="H942" s="1526">
        <f>I!$I$14</f>
        <v>57490</v>
      </c>
      <c r="I942" s="1338">
        <f>G942+H942</f>
        <v>167054</v>
      </c>
      <c r="J942" s="1338">
        <f>E942*G942</f>
        <v>0</v>
      </c>
      <c r="K942" s="1338">
        <f>E942*H942</f>
        <v>0</v>
      </c>
      <c r="L942" s="1530">
        <f>J942+K942</f>
        <v>0</v>
      </c>
      <c r="O942" s="1300">
        <v>7</v>
      </c>
      <c r="AB942" s="1221"/>
    </row>
    <row r="943" spans="1:28" ht="18" hidden="1" customHeight="1" thickBot="1">
      <c r="A943" s="1371">
        <v>3</v>
      </c>
      <c r="B943" s="1316" t="s">
        <v>1411</v>
      </c>
      <c r="C943" s="1334"/>
      <c r="D943" s="1316" t="s">
        <v>2063</v>
      </c>
      <c r="E943" s="1337">
        <v>0</v>
      </c>
      <c r="F943" s="1336" t="s">
        <v>19</v>
      </c>
      <c r="G943" s="1872">
        <f>G!$I$179</f>
        <v>51900</v>
      </c>
      <c r="H943" s="1770">
        <f>G!$I$183</f>
        <v>50400</v>
      </c>
      <c r="I943" s="1338">
        <f>G943+H943</f>
        <v>102300</v>
      </c>
      <c r="J943" s="1338">
        <f>E943*G943</f>
        <v>0</v>
      </c>
      <c r="K943" s="1338">
        <f>E943*H943</f>
        <v>0</v>
      </c>
      <c r="L943" s="1530">
        <f>J943+K943</f>
        <v>0</v>
      </c>
      <c r="P943" s="1554">
        <f>SUM(E943+E971+E974+E982+E986+E993+E996)</f>
        <v>0</v>
      </c>
      <c r="AB943" s="1221"/>
    </row>
    <row r="944" spans="1:28" ht="18" hidden="1" customHeight="1" thickTop="1" thickBot="1">
      <c r="A944" s="2675" t="str">
        <f>"sub total "&amp;B940&amp;"="</f>
        <v>sub total Pasangan keramik Lantai Atap=</v>
      </c>
      <c r="B944" s="2676"/>
      <c r="C944" s="2676"/>
      <c r="D944" s="2676"/>
      <c r="E944" s="2676"/>
      <c r="F944" s="2676"/>
      <c r="G944" s="2676"/>
      <c r="H944" s="2045"/>
      <c r="I944" s="2045"/>
      <c r="J944" s="1542">
        <f>SUM(J941:J943)</f>
        <v>0</v>
      </c>
      <c r="K944" s="1542">
        <f>SUM(K941:K943)</f>
        <v>0</v>
      </c>
      <c r="L944" s="1340">
        <f>SUM(L941:L943)</f>
        <v>0</v>
      </c>
      <c r="M944" s="1300">
        <v>1</v>
      </c>
      <c r="N944" s="1300">
        <v>72</v>
      </c>
    </row>
    <row r="945" spans="1:28" ht="18" hidden="1" customHeight="1" thickTop="1">
      <c r="A945" s="1363" t="s">
        <v>1413</v>
      </c>
      <c r="B945" s="1344" t="s">
        <v>2207</v>
      </c>
      <c r="C945" s="1343"/>
      <c r="D945" s="1566"/>
      <c r="E945" s="1345"/>
      <c r="F945" s="1567"/>
      <c r="G945" s="1568"/>
      <c r="H945" s="1569"/>
      <c r="I945" s="1569"/>
      <c r="J945" s="1569"/>
      <c r="K945" s="1569"/>
      <c r="L945" s="1570"/>
      <c r="N945" s="1300">
        <v>73</v>
      </c>
      <c r="AB945" s="1221"/>
    </row>
    <row r="946" spans="1:28" ht="18" hidden="1" customHeight="1">
      <c r="A946" s="1371">
        <v>1</v>
      </c>
      <c r="B946" s="1316" t="s">
        <v>2930</v>
      </c>
      <c r="C946" s="1525"/>
      <c r="D946" s="1762" t="str">
        <f>BAHAN!$C$107&amp;" "&amp;BAHAN!$F$107</f>
        <v>Granite Tile 60x60 Ex. Niro Granite Bianco Luna GBL01 Silky White</v>
      </c>
      <c r="E946" s="1337"/>
      <c r="F946" s="1527" t="s">
        <v>19</v>
      </c>
      <c r="G946" s="1337">
        <f>I!$I$10</f>
        <v>195139</v>
      </c>
      <c r="H946" s="1526">
        <f>I!$I$14</f>
        <v>57490</v>
      </c>
      <c r="I946" s="1526">
        <f>G946+H946</f>
        <v>252629</v>
      </c>
      <c r="J946" s="1526">
        <f>E946*G946</f>
        <v>0</v>
      </c>
      <c r="K946" s="1526">
        <f>E946*H946</f>
        <v>0</v>
      </c>
      <c r="L946" s="1530">
        <f>J946+K946</f>
        <v>0</v>
      </c>
      <c r="AB946" s="1221"/>
    </row>
    <row r="947" spans="1:28" ht="18" hidden="1" customHeight="1">
      <c r="A947" s="1371">
        <v>2</v>
      </c>
      <c r="B947" s="1316" t="s">
        <v>2723</v>
      </c>
      <c r="C947" s="1525"/>
      <c r="D947" s="1762" t="str">
        <f>BAHAN!$C$127&amp;" "&amp;BAHAN!$F$127</f>
        <v>Lantai Parket WPC Ex. Lantai WPC KA150K25 C</v>
      </c>
      <c r="E947" s="1337"/>
      <c r="F947" s="1527" t="s">
        <v>19</v>
      </c>
      <c r="G947" s="1337">
        <f>I!$I$208</f>
        <v>612500</v>
      </c>
      <c r="H947" s="1526">
        <f>I!$I$14</f>
        <v>57490</v>
      </c>
      <c r="I947" s="1526">
        <f>G947+H947</f>
        <v>669990</v>
      </c>
      <c r="J947" s="1526">
        <f>E947*G947</f>
        <v>0</v>
      </c>
      <c r="K947" s="1526">
        <f>E947*H947</f>
        <v>0</v>
      </c>
      <c r="L947" s="1530">
        <f>J947+K947</f>
        <v>0</v>
      </c>
      <c r="AB947" s="1221"/>
    </row>
    <row r="948" spans="1:28" ht="18" hidden="1" customHeight="1" thickBot="1">
      <c r="A948" s="1371">
        <v>3</v>
      </c>
      <c r="B948" s="1316" t="s">
        <v>1411</v>
      </c>
      <c r="C948" s="1334"/>
      <c r="D948" s="1316" t="s">
        <v>2063</v>
      </c>
      <c r="E948" s="1337"/>
      <c r="F948" s="1336" t="s">
        <v>19</v>
      </c>
      <c r="G948" s="1872">
        <f>G!$I$179</f>
        <v>51900</v>
      </c>
      <c r="H948" s="1770">
        <f>G!$I$183</f>
        <v>50400</v>
      </c>
      <c r="I948" s="1338">
        <f>G948+H948</f>
        <v>102300</v>
      </c>
      <c r="J948" s="1338">
        <f>E948*G948</f>
        <v>0</v>
      </c>
      <c r="K948" s="1338">
        <f>E948*H948</f>
        <v>0</v>
      </c>
      <c r="L948" s="1530">
        <f>J948+K948</f>
        <v>0</v>
      </c>
      <c r="P948" s="1554">
        <f>SUM(E948+E986+E989+E993+E997+E1004+E1007)</f>
        <v>111</v>
      </c>
      <c r="AB948" s="1221"/>
    </row>
    <row r="949" spans="1:28" ht="18" hidden="1" customHeight="1" thickTop="1" thickBot="1">
      <c r="A949" s="2675" t="str">
        <f>"sub total "&amp;B945&amp;"="</f>
        <v>sub total Pasangan keramik Lantai Atap=</v>
      </c>
      <c r="B949" s="2676"/>
      <c r="C949" s="2676"/>
      <c r="D949" s="2676"/>
      <c r="E949" s="2676"/>
      <c r="F949" s="2676"/>
      <c r="G949" s="2676"/>
      <c r="H949" s="2356"/>
      <c r="I949" s="2356"/>
      <c r="J949" s="1542">
        <f>SUM(J946:J948)</f>
        <v>0</v>
      </c>
      <c r="K949" s="1542">
        <f>SUM(K946:K948)</f>
        <v>0</v>
      </c>
      <c r="L949" s="1340">
        <f>SUM(L946:L948)</f>
        <v>0</v>
      </c>
      <c r="M949" s="1300">
        <v>1</v>
      </c>
      <c r="N949" s="1300">
        <v>74</v>
      </c>
      <c r="AB949" s="1221"/>
    </row>
    <row r="950" spans="1:28" ht="18" hidden="1" customHeight="1" thickTop="1">
      <c r="A950" s="1363" t="s">
        <v>1010</v>
      </c>
      <c r="B950" s="1344" t="s">
        <v>2618</v>
      </c>
      <c r="C950" s="1343"/>
      <c r="D950" s="1566"/>
      <c r="E950" s="1345"/>
      <c r="F950" s="1567"/>
      <c r="G950" s="1568"/>
      <c r="H950" s="1569"/>
      <c r="I950" s="1569"/>
      <c r="J950" s="1569"/>
      <c r="K950" s="1569"/>
      <c r="L950" s="1570"/>
      <c r="N950" s="1300">
        <v>75</v>
      </c>
    </row>
    <row r="951" spans="1:28" ht="18" hidden="1" customHeight="1">
      <c r="A951" s="1371">
        <v>1</v>
      </c>
      <c r="B951" s="1316" t="s">
        <v>2720</v>
      </c>
      <c r="C951" s="1525"/>
      <c r="D951" s="1762" t="str">
        <f>BAHAN!$C$107&amp;" "&amp;BAHAN!$F$107</f>
        <v>Granite Tile 60x60 Ex. Niro Granite Bianco Luna GBL01 Silky White</v>
      </c>
      <c r="E951" s="1337"/>
      <c r="F951" s="1527" t="s">
        <v>19</v>
      </c>
      <c r="G951" s="1337">
        <f>I!$I$10</f>
        <v>195139</v>
      </c>
      <c r="H951" s="1526">
        <f>I!$I$14</f>
        <v>57490</v>
      </c>
      <c r="I951" s="1526">
        <f t="shared" ref="I951:I957" si="214">G951+H951</f>
        <v>252629</v>
      </c>
      <c r="J951" s="1526">
        <f t="shared" ref="J951:J957" si="215">E951*G951</f>
        <v>0</v>
      </c>
      <c r="K951" s="1526">
        <f t="shared" ref="K951:K957" si="216">E951*H951</f>
        <v>0</v>
      </c>
      <c r="L951" s="1530">
        <f t="shared" ref="L951:L957" si="217">J951+K951</f>
        <v>0</v>
      </c>
      <c r="AB951" s="1221"/>
    </row>
    <row r="952" spans="1:28" ht="18" hidden="1" customHeight="1">
      <c r="A952" s="1371">
        <v>2</v>
      </c>
      <c r="B952" s="1316" t="s">
        <v>2721</v>
      </c>
      <c r="C952" s="1525"/>
      <c r="D952" s="1762" t="str">
        <f>BAHAN!$C$107&amp;" "&amp;BAHAN!$F$107</f>
        <v>Granite Tile 60x60 Ex. Niro Granite Bianco Luna GBL01 Silky White</v>
      </c>
      <c r="E952" s="1337"/>
      <c r="F952" s="1527" t="s">
        <v>19</v>
      </c>
      <c r="G952" s="1337">
        <f>I!$I$10</f>
        <v>195139</v>
      </c>
      <c r="H952" s="1526">
        <f>I!$I$14</f>
        <v>57490</v>
      </c>
      <c r="I952" s="1526">
        <f t="shared" si="214"/>
        <v>252629</v>
      </c>
      <c r="J952" s="1526">
        <f t="shared" si="215"/>
        <v>0</v>
      </c>
      <c r="K952" s="1526">
        <f t="shared" si="216"/>
        <v>0</v>
      </c>
      <c r="L952" s="1530">
        <f t="shared" si="217"/>
        <v>0</v>
      </c>
      <c r="AB952" s="1221"/>
    </row>
    <row r="953" spans="1:28" ht="18" hidden="1" customHeight="1">
      <c r="A953" s="1371">
        <v>3</v>
      </c>
      <c r="B953" s="1316" t="s">
        <v>2722</v>
      </c>
      <c r="C953" s="1525"/>
      <c r="D953" s="1762" t="str">
        <f>BAHAN!$C$107&amp;" "&amp;BAHAN!$F$107</f>
        <v>Granite Tile 60x60 Ex. Niro Granite Bianco Luna GBL01 Silky White</v>
      </c>
      <c r="E953" s="1337"/>
      <c r="F953" s="1527" t="s">
        <v>19</v>
      </c>
      <c r="G953" s="1337">
        <f>I!$I$10</f>
        <v>195139</v>
      </c>
      <c r="H953" s="1526">
        <f>I!$I$14</f>
        <v>57490</v>
      </c>
      <c r="I953" s="1526">
        <f t="shared" si="214"/>
        <v>252629</v>
      </c>
      <c r="J953" s="1526">
        <f t="shared" si="215"/>
        <v>0</v>
      </c>
      <c r="K953" s="1526">
        <f t="shared" si="216"/>
        <v>0</v>
      </c>
      <c r="L953" s="1530">
        <f t="shared" si="217"/>
        <v>0</v>
      </c>
      <c r="AB953" s="1221"/>
    </row>
    <row r="954" spans="1:28" ht="18" hidden="1" customHeight="1">
      <c r="A954" s="1371">
        <v>4</v>
      </c>
      <c r="B954" s="1316"/>
      <c r="C954" s="1334"/>
      <c r="D954" s="2307" t="str">
        <f>BAHAN!$C$112&amp;" "&amp;BAHAN!$F$112</f>
        <v>Keramik 60x60 Ex. Essenza Beola Grey</v>
      </c>
      <c r="E954" s="1337"/>
      <c r="F954" s="1527" t="s">
        <v>19</v>
      </c>
      <c r="G954" s="1337">
        <f>I!$I$218</f>
        <v>233122</v>
      </c>
      <c r="H954" s="1526">
        <f>I!$I$14</f>
        <v>57490</v>
      </c>
      <c r="I954" s="1338">
        <f t="shared" si="214"/>
        <v>290612</v>
      </c>
      <c r="J954" s="1338">
        <f t="shared" si="215"/>
        <v>0</v>
      </c>
      <c r="K954" s="1338">
        <f t="shared" si="216"/>
        <v>0</v>
      </c>
      <c r="L954" s="1530">
        <f t="shared" si="217"/>
        <v>0</v>
      </c>
      <c r="AB954" s="1583"/>
    </row>
    <row r="955" spans="1:28" ht="18" hidden="1" customHeight="1">
      <c r="A955" s="1371">
        <v>4</v>
      </c>
      <c r="B955" s="1316" t="s">
        <v>2723</v>
      </c>
      <c r="C955" s="1334"/>
      <c r="D955" s="1762" t="str">
        <f>BAHAN!$C$119&amp;" "&amp;BAHAN!$F$119</f>
        <v>Keramik 40x40 Ex. KIA Terrazo</v>
      </c>
      <c r="E955" s="1337"/>
      <c r="F955" s="1527" t="s">
        <v>19</v>
      </c>
      <c r="G955" s="1337">
        <f>I!$I$65</f>
        <v>109564</v>
      </c>
      <c r="H955" s="1526">
        <f>I!$I$14</f>
        <v>57490</v>
      </c>
      <c r="I955" s="1338">
        <f t="shared" si="214"/>
        <v>167054</v>
      </c>
      <c r="J955" s="1338">
        <f t="shared" si="215"/>
        <v>0</v>
      </c>
      <c r="K955" s="1338">
        <f t="shared" si="216"/>
        <v>0</v>
      </c>
      <c r="L955" s="1530">
        <f t="shared" si="217"/>
        <v>0</v>
      </c>
      <c r="AB955" s="1221"/>
    </row>
    <row r="956" spans="1:28" ht="18" hidden="1" customHeight="1">
      <c r="A956" s="1371">
        <v>5</v>
      </c>
      <c r="B956" s="1316" t="s">
        <v>2470</v>
      </c>
      <c r="C956" s="1525"/>
      <c r="D956" s="1762" t="str">
        <f>BAHAN!$C$122&amp;" "&amp;BAHAN!$F$122</f>
        <v>Keramik 30x30 Ex. Roman dBorra Grey G330519</v>
      </c>
      <c r="E956" s="1337"/>
      <c r="F956" s="1336" t="s">
        <v>19</v>
      </c>
      <c r="G956" s="1358">
        <f>I!$I$87</f>
        <v>146849.60606060608</v>
      </c>
      <c r="H956" s="1526">
        <f>I!$I$91</f>
        <v>57490</v>
      </c>
      <c r="I956" s="1526">
        <f t="shared" si="214"/>
        <v>204339.60606060608</v>
      </c>
      <c r="J956" s="1526">
        <f t="shared" si="215"/>
        <v>0</v>
      </c>
      <c r="K956" s="1526">
        <f t="shared" si="216"/>
        <v>0</v>
      </c>
      <c r="L956" s="1530">
        <f t="shared" si="217"/>
        <v>0</v>
      </c>
      <c r="P956" s="1300" t="s">
        <v>1411</v>
      </c>
      <c r="AB956" s="1221"/>
    </row>
    <row r="957" spans="1:28" ht="18" hidden="1" customHeight="1" thickBot="1">
      <c r="A957" s="1371">
        <v>6</v>
      </c>
      <c r="B957" s="1316" t="s">
        <v>1411</v>
      </c>
      <c r="C957" s="1334"/>
      <c r="D957" s="1316" t="s">
        <v>2063</v>
      </c>
      <c r="E957" s="1337"/>
      <c r="F957" s="1336" t="s">
        <v>19</v>
      </c>
      <c r="G957" s="1872">
        <f>G!$I$179</f>
        <v>51900</v>
      </c>
      <c r="H957" s="1770">
        <f>G!$I$183</f>
        <v>50400</v>
      </c>
      <c r="I957" s="1338">
        <f t="shared" si="214"/>
        <v>102300</v>
      </c>
      <c r="J957" s="1338">
        <f t="shared" si="215"/>
        <v>0</v>
      </c>
      <c r="K957" s="1338">
        <f t="shared" si="216"/>
        <v>0</v>
      </c>
      <c r="L957" s="1530">
        <f t="shared" si="217"/>
        <v>0</v>
      </c>
    </row>
    <row r="958" spans="1:28" ht="18" hidden="1" customHeight="1" thickTop="1" thickBot="1">
      <c r="A958" s="2675" t="str">
        <f>"sub total "&amp;B950&amp;"="</f>
        <v>sub total Pasangan keramik Lantai 4=</v>
      </c>
      <c r="B958" s="2676"/>
      <c r="C958" s="2676"/>
      <c r="D958" s="2676"/>
      <c r="E958" s="2676"/>
      <c r="F958" s="2676"/>
      <c r="G958" s="2676"/>
      <c r="H958" s="1961"/>
      <c r="I958" s="1961"/>
      <c r="J958" s="1542">
        <f>SUM(J951:J957)</f>
        <v>0</v>
      </c>
      <c r="K958" s="1542">
        <f>SUM(K951:K957)</f>
        <v>0</v>
      </c>
      <c r="L958" s="1542">
        <f>SUM(L951:L957)</f>
        <v>0</v>
      </c>
      <c r="M958" s="1300">
        <v>1</v>
      </c>
      <c r="N958" s="1300">
        <v>76</v>
      </c>
    </row>
    <row r="959" spans="1:28" ht="18" hidden="1" customHeight="1" thickTop="1">
      <c r="A959" s="1363" t="s">
        <v>1022</v>
      </c>
      <c r="B959" s="1344" t="s">
        <v>2207</v>
      </c>
      <c r="C959" s="1343"/>
      <c r="D959" s="1566"/>
      <c r="E959" s="1345"/>
      <c r="F959" s="1567"/>
      <c r="G959" s="1568"/>
      <c r="H959" s="1569"/>
      <c r="I959" s="1569"/>
      <c r="J959" s="1569"/>
      <c r="K959" s="1569"/>
      <c r="L959" s="1570"/>
      <c r="N959" s="1300">
        <v>77</v>
      </c>
    </row>
    <row r="960" spans="1:28" ht="18" hidden="1" customHeight="1" thickBot="1">
      <c r="A960" s="1534">
        <v>1</v>
      </c>
      <c r="B960" s="1316" t="s">
        <v>1411</v>
      </c>
      <c r="C960" s="1334"/>
      <c r="D960" s="1316" t="s">
        <v>2063</v>
      </c>
      <c r="E960" s="1337"/>
      <c r="F960" s="1336" t="s">
        <v>19</v>
      </c>
      <c r="G960" s="1872">
        <f>G!$I$179</f>
        <v>51900</v>
      </c>
      <c r="H960" s="1770">
        <f>G!$I$183</f>
        <v>50400</v>
      </c>
      <c r="I960" s="1338">
        <f>G960+H960</f>
        <v>102300</v>
      </c>
      <c r="J960" s="1338">
        <f>E960*G960</f>
        <v>0</v>
      </c>
      <c r="K960" s="1338">
        <f>E960*H960</f>
        <v>0</v>
      </c>
      <c r="L960" s="1530">
        <f>J960+K960</f>
        <v>0</v>
      </c>
    </row>
    <row r="961" spans="1:28" ht="18" hidden="1" customHeight="1" thickTop="1" thickBot="1">
      <c r="A961" s="2675" t="str">
        <f>"sub total "&amp;B959&amp;"="</f>
        <v>sub total Pasangan keramik Lantai Atap=</v>
      </c>
      <c r="B961" s="2676"/>
      <c r="C961" s="2676"/>
      <c r="D961" s="2676"/>
      <c r="E961" s="2676"/>
      <c r="F961" s="2676"/>
      <c r="G961" s="2676"/>
      <c r="H961" s="1662"/>
      <c r="I961" s="1662"/>
      <c r="J961" s="1542">
        <f>SUM(J960:J960)</f>
        <v>0</v>
      </c>
      <c r="K961" s="1542">
        <f>SUM(K960:K960)</f>
        <v>0</v>
      </c>
      <c r="L961" s="1340">
        <f>SUM(L960:L960)</f>
        <v>0</v>
      </c>
      <c r="M961" s="1300">
        <v>1</v>
      </c>
      <c r="N961" s="1300">
        <v>78</v>
      </c>
    </row>
    <row r="962" spans="1:28" ht="18" customHeight="1" thickTop="1">
      <c r="A962" s="1341" t="s">
        <v>1413</v>
      </c>
      <c r="B962" s="1342" t="s">
        <v>1412</v>
      </c>
      <c r="C962" s="1343"/>
      <c r="D962" s="1330"/>
      <c r="E962" s="1330"/>
      <c r="F962" s="1346"/>
      <c r="G962" s="1345"/>
      <c r="H962" s="1330"/>
      <c r="I962" s="1330"/>
      <c r="J962" s="1330"/>
      <c r="K962" s="1330"/>
      <c r="L962" s="1331"/>
      <c r="N962" s="1300">
        <v>79</v>
      </c>
    </row>
    <row r="963" spans="1:28" ht="18" customHeight="1">
      <c r="A963" s="1371">
        <v>1</v>
      </c>
      <c r="B963" s="1373" t="s">
        <v>2245</v>
      </c>
      <c r="C963" s="1381"/>
      <c r="D963" s="1762" t="str">
        <f>BAHAN!$C$104&amp;" "&amp;BAHAN!$F$104</f>
        <v>Keramik Dinding 30x60 Ex. Roman dBritannia Rhombus W63843R</v>
      </c>
      <c r="E963" s="1337">
        <v>124.75</v>
      </c>
      <c r="F963" s="1336" t="s">
        <v>19</v>
      </c>
      <c r="G963" s="1337">
        <v>0</v>
      </c>
      <c r="H963" s="1338">
        <v>0</v>
      </c>
      <c r="I963" s="1338">
        <f>G963+H963</f>
        <v>0</v>
      </c>
      <c r="J963" s="1338">
        <f>E963*G963</f>
        <v>0</v>
      </c>
      <c r="K963" s="1338">
        <f>E963*H963</f>
        <v>0</v>
      </c>
      <c r="L963" s="1530">
        <f>J963+K963</f>
        <v>0</v>
      </c>
    </row>
    <row r="964" spans="1:28" ht="18" customHeight="1">
      <c r="A964" s="1371">
        <v>2</v>
      </c>
      <c r="B964" s="1373" t="s">
        <v>2858</v>
      </c>
      <c r="C964" s="1381"/>
      <c r="D964" s="1762" t="str">
        <f>BAHAN!$C$130&amp;" "&amp;BAHAN!$F$130</f>
        <v xml:space="preserve">Keramik 30x30 Ex.Pool Tile V 4808-7 Mosaic Mozaik Kolam Keramik Kolam Renang </v>
      </c>
      <c r="E964" s="1337">
        <v>20</v>
      </c>
      <c r="F964" s="1336" t="s">
        <v>19</v>
      </c>
      <c r="G964" s="1337">
        <v>0</v>
      </c>
      <c r="H964" s="1338">
        <v>0</v>
      </c>
      <c r="I964" s="1338">
        <f>G964+H964</f>
        <v>0</v>
      </c>
      <c r="J964" s="1338">
        <f>E964*G964</f>
        <v>0</v>
      </c>
      <c r="K964" s="1338">
        <f>E964*H964</f>
        <v>0</v>
      </c>
      <c r="L964" s="1530">
        <f>J964+K964</f>
        <v>0</v>
      </c>
      <c r="AB964" s="1221"/>
    </row>
    <row r="965" spans="1:28" ht="18" customHeight="1" thickBot="1">
      <c r="A965" s="1371">
        <v>3</v>
      </c>
      <c r="B965" s="1316" t="s">
        <v>1411</v>
      </c>
      <c r="C965" s="1334"/>
      <c r="D965" s="1316" t="s">
        <v>1415</v>
      </c>
      <c r="E965" s="1337">
        <v>124.75</v>
      </c>
      <c r="F965" s="1336" t="s">
        <v>19</v>
      </c>
      <c r="G965" s="1337">
        <v>0</v>
      </c>
      <c r="H965" s="1338">
        <v>0</v>
      </c>
      <c r="I965" s="1338">
        <f>G965+H965</f>
        <v>0</v>
      </c>
      <c r="J965" s="1338">
        <f>E965*G965</f>
        <v>0</v>
      </c>
      <c r="K965" s="1338">
        <f>E965*H965</f>
        <v>0</v>
      </c>
      <c r="L965" s="1530">
        <f>J965+K965</f>
        <v>0</v>
      </c>
    </row>
    <row r="966" spans="1:28" ht="18" customHeight="1" thickTop="1" thickBot="1">
      <c r="A966" s="2675" t="str">
        <f>"sub total "&amp;B962&amp;"="</f>
        <v>sub total Pasangan Dinding Keramik Lantai 1=</v>
      </c>
      <c r="B966" s="2676"/>
      <c r="C966" s="2676"/>
      <c r="D966" s="2676"/>
      <c r="E966" s="2676"/>
      <c r="F966" s="2676"/>
      <c r="G966" s="2676"/>
      <c r="H966" s="1564"/>
      <c r="I966" s="1564"/>
      <c r="J966" s="1542">
        <f>SUM(J963:J965)</f>
        <v>0</v>
      </c>
      <c r="K966" s="1542">
        <f>SUM(K963:K965)</f>
        <v>0</v>
      </c>
      <c r="L966" s="1340">
        <f>SUM(L963:L965)</f>
        <v>0</v>
      </c>
      <c r="M966" s="1300">
        <v>1</v>
      </c>
      <c r="N966" s="1300">
        <v>80</v>
      </c>
    </row>
    <row r="967" spans="1:28" ht="18" hidden="1" customHeight="1" thickTop="1">
      <c r="A967" s="1341" t="s">
        <v>1010</v>
      </c>
      <c r="B967" s="1342" t="s">
        <v>1414</v>
      </c>
      <c r="C967" s="1343"/>
      <c r="D967" s="1330"/>
      <c r="E967" s="1330"/>
      <c r="F967" s="1346"/>
      <c r="G967" s="1345"/>
      <c r="H967" s="1330"/>
      <c r="I967" s="1330"/>
      <c r="J967" s="1330"/>
      <c r="K967" s="1330"/>
      <c r="L967" s="1331"/>
      <c r="N967" s="1300">
        <v>81</v>
      </c>
    </row>
    <row r="968" spans="1:28" ht="18" hidden="1" customHeight="1">
      <c r="A968" s="1371">
        <v>1</v>
      </c>
      <c r="B968" s="1373" t="s">
        <v>2245</v>
      </c>
      <c r="C968" s="1381"/>
      <c r="D968" s="1762" t="str">
        <f>BAHAN!$C$104&amp;" "&amp;BAHAN!$F$104</f>
        <v>Keramik Dinding 30x60 Ex. Roman dBritannia Rhombus W63843R</v>
      </c>
      <c r="E968" s="1337">
        <v>0</v>
      </c>
      <c r="F968" s="1336" t="s">
        <v>19</v>
      </c>
      <c r="G968" s="1337">
        <f>E!$I$78</f>
        <v>191081.55555555556</v>
      </c>
      <c r="H968" s="1338">
        <f>E!$I$82</f>
        <v>96534</v>
      </c>
      <c r="I968" s="1338">
        <f>G968+H968</f>
        <v>287615.55555555556</v>
      </c>
      <c r="J968" s="1338">
        <f>E968*G968</f>
        <v>0</v>
      </c>
      <c r="K968" s="1338">
        <f>E968*H968</f>
        <v>0</v>
      </c>
      <c r="L968" s="1530">
        <f>J968+K968</f>
        <v>0</v>
      </c>
    </row>
    <row r="969" spans="1:28" ht="18" hidden="1" customHeight="1" thickBot="1">
      <c r="A969" s="1371">
        <v>2</v>
      </c>
      <c r="B969" s="1316" t="s">
        <v>1411</v>
      </c>
      <c r="C969" s="1334"/>
      <c r="D969" s="1316" t="s">
        <v>1415</v>
      </c>
      <c r="E969" s="1337">
        <f>'DINDING BATA'!$C$5</f>
        <v>0</v>
      </c>
      <c r="F969" s="1336" t="s">
        <v>19</v>
      </c>
      <c r="G969" s="1872">
        <f>G!$I$179</f>
        <v>51900</v>
      </c>
      <c r="H969" s="1770">
        <f>G!$I$183</f>
        <v>50400</v>
      </c>
      <c r="I969" s="1338">
        <f>G969+H969</f>
        <v>102300</v>
      </c>
      <c r="J969" s="1338">
        <f>E969*G969</f>
        <v>0</v>
      </c>
      <c r="K969" s="1338">
        <f>E969*H969</f>
        <v>0</v>
      </c>
      <c r="L969" s="1530">
        <f>J969+K969</f>
        <v>0</v>
      </c>
    </row>
    <row r="970" spans="1:28" ht="18" hidden="1" customHeight="1" thickTop="1" thickBot="1">
      <c r="A970" s="2675" t="str">
        <f>"sub total "&amp;B967&amp;"="</f>
        <v>sub total Pasangan Dinding Keramik Lantai 2=</v>
      </c>
      <c r="B970" s="2676"/>
      <c r="C970" s="2676"/>
      <c r="D970" s="2676"/>
      <c r="E970" s="2676"/>
      <c r="F970" s="2676"/>
      <c r="G970" s="2676"/>
      <c r="H970" s="1564"/>
      <c r="I970" s="1564"/>
      <c r="J970" s="1541">
        <f>SUM(J968:J969)</f>
        <v>0</v>
      </c>
      <c r="K970" s="1541">
        <f>SUM(K968:K969)</f>
        <v>0</v>
      </c>
      <c r="L970" s="1340">
        <f>SUM(L968:L969)</f>
        <v>0</v>
      </c>
      <c r="M970" s="1300">
        <v>1</v>
      </c>
      <c r="N970" s="1300">
        <v>82</v>
      </c>
    </row>
    <row r="971" spans="1:28" ht="18" hidden="1" customHeight="1" thickTop="1">
      <c r="A971" s="1341" t="s">
        <v>1022</v>
      </c>
      <c r="B971" s="1342" t="s">
        <v>3007</v>
      </c>
      <c r="C971" s="1343"/>
      <c r="D971" s="1330"/>
      <c r="E971" s="1330"/>
      <c r="F971" s="1346"/>
      <c r="G971" s="1345"/>
      <c r="H971" s="1330"/>
      <c r="I971" s="1330"/>
      <c r="J971" s="1330"/>
      <c r="K971" s="1330"/>
      <c r="L971" s="1331"/>
      <c r="N971" s="1300">
        <v>83</v>
      </c>
    </row>
    <row r="972" spans="1:28" ht="18" hidden="1" customHeight="1">
      <c r="A972" s="1371">
        <v>1</v>
      </c>
      <c r="B972" s="1373" t="s">
        <v>2245</v>
      </c>
      <c r="C972" s="1381"/>
      <c r="D972" s="1762" t="str">
        <f>BAHAN!$C$104&amp;" "&amp;BAHAN!$F$104</f>
        <v>Keramik Dinding 30x60 Ex. Roman dBritannia Rhombus W63843R</v>
      </c>
      <c r="E972" s="1337"/>
      <c r="F972" s="1336" t="s">
        <v>19</v>
      </c>
      <c r="G972" s="1337">
        <f>E!$I$78</f>
        <v>191081.55555555556</v>
      </c>
      <c r="H972" s="1338">
        <f>E!$I$82</f>
        <v>96534</v>
      </c>
      <c r="I972" s="1338">
        <f>G972+H972</f>
        <v>287615.55555555556</v>
      </c>
      <c r="J972" s="1338">
        <f>E972*G972</f>
        <v>0</v>
      </c>
      <c r="K972" s="1338">
        <f>E972*H972</f>
        <v>0</v>
      </c>
      <c r="L972" s="1530">
        <f>J972+K972</f>
        <v>0</v>
      </c>
      <c r="AB972" s="1221"/>
    </row>
    <row r="973" spans="1:28" ht="18" hidden="1" customHeight="1" thickBot="1">
      <c r="A973" s="1371">
        <v>1</v>
      </c>
      <c r="B973" s="1316" t="s">
        <v>1411</v>
      </c>
      <c r="C973" s="1334"/>
      <c r="D973" s="1316" t="s">
        <v>1415</v>
      </c>
      <c r="E973" s="1337">
        <f>'DINDING BATA'!$D$5</f>
        <v>0</v>
      </c>
      <c r="F973" s="1336" t="s">
        <v>19</v>
      </c>
      <c r="G973" s="1872">
        <f>G!$I$179</f>
        <v>51900</v>
      </c>
      <c r="H973" s="1770">
        <f>G!$I$183</f>
        <v>50400</v>
      </c>
      <c r="I973" s="1338">
        <f>G973+H973</f>
        <v>102300</v>
      </c>
      <c r="J973" s="1338">
        <f>E973*G973</f>
        <v>0</v>
      </c>
      <c r="K973" s="1338">
        <f>E973*H973</f>
        <v>0</v>
      </c>
      <c r="L973" s="1530">
        <f>J973+K973</f>
        <v>0</v>
      </c>
    </row>
    <row r="974" spans="1:28" ht="18" hidden="1" customHeight="1" thickTop="1" thickBot="1">
      <c r="A974" s="2675" t="str">
        <f>"sub total "&amp;B971&amp;"="</f>
        <v>sub total Pasangan Dinding Waterproofing Lantai Atap=</v>
      </c>
      <c r="B974" s="2676"/>
      <c r="C974" s="2676"/>
      <c r="D974" s="2676"/>
      <c r="E974" s="2676"/>
      <c r="F974" s="2676"/>
      <c r="G974" s="2676"/>
      <c r="H974" s="2045"/>
      <c r="I974" s="2045"/>
      <c r="J974" s="1541">
        <f>SUM(J972:J973)</f>
        <v>0</v>
      </c>
      <c r="K974" s="1541">
        <f>SUM(K972:K973)</f>
        <v>0</v>
      </c>
      <c r="L974" s="1340">
        <f>SUM(L972:L973)</f>
        <v>0</v>
      </c>
      <c r="M974" s="1300">
        <v>1</v>
      </c>
      <c r="N974" s="1300">
        <v>82</v>
      </c>
    </row>
    <row r="975" spans="1:28" ht="18" hidden="1" customHeight="1" thickTop="1">
      <c r="A975" s="1341" t="s">
        <v>1031</v>
      </c>
      <c r="B975" s="1342" t="s">
        <v>2208</v>
      </c>
      <c r="C975" s="1343"/>
      <c r="D975" s="1330"/>
      <c r="E975" s="1330"/>
      <c r="F975" s="1346"/>
      <c r="G975" s="1345"/>
      <c r="H975" s="1330"/>
      <c r="I975" s="1330"/>
      <c r="J975" s="1330"/>
      <c r="K975" s="1330"/>
      <c r="L975" s="1331"/>
      <c r="N975" s="1300">
        <v>83</v>
      </c>
      <c r="AB975" s="1221"/>
    </row>
    <row r="976" spans="1:28" ht="18" hidden="1" customHeight="1" thickBot="1">
      <c r="A976" s="1371">
        <v>1</v>
      </c>
      <c r="B976" s="1316" t="s">
        <v>1411</v>
      </c>
      <c r="C976" s="1334"/>
      <c r="D976" s="1316" t="s">
        <v>1415</v>
      </c>
      <c r="E976" s="1337">
        <f>'DINDING BATA'!$E$5</f>
        <v>0</v>
      </c>
      <c r="F976" s="1336" t="s">
        <v>19</v>
      </c>
      <c r="G976" s="1872">
        <f>G!$I$179</f>
        <v>51900</v>
      </c>
      <c r="H976" s="1770">
        <f>G!$I$183</f>
        <v>50400</v>
      </c>
      <c r="I976" s="1338">
        <f>G976+H976</f>
        <v>102300</v>
      </c>
      <c r="J976" s="1338">
        <f>E976*G976</f>
        <v>0</v>
      </c>
      <c r="K976" s="1338">
        <f>E976*H976</f>
        <v>0</v>
      </c>
      <c r="L976" s="1530">
        <f>J976+K976</f>
        <v>0</v>
      </c>
      <c r="AB976" s="1221"/>
    </row>
    <row r="977" spans="1:28" ht="18" hidden="1" customHeight="1" thickTop="1" thickBot="1">
      <c r="A977" s="2675" t="str">
        <f>"sub total "&amp;B975&amp;"="</f>
        <v>sub total Pasangan Dinding Keramik Lantai Atap=</v>
      </c>
      <c r="B977" s="2676"/>
      <c r="C977" s="2676"/>
      <c r="D977" s="2676"/>
      <c r="E977" s="2676"/>
      <c r="F977" s="2676"/>
      <c r="G977" s="2676"/>
      <c r="H977" s="2356"/>
      <c r="I977" s="2356"/>
      <c r="J977" s="1541">
        <f>SUM(J976:J976)</f>
        <v>0</v>
      </c>
      <c r="K977" s="1541">
        <f>SUM(K976:K976)</f>
        <v>0</v>
      </c>
      <c r="L977" s="1340">
        <f>SUM(L976:L976)</f>
        <v>0</v>
      </c>
      <c r="M977" s="1300">
        <v>1</v>
      </c>
      <c r="N977" s="1300">
        <v>84</v>
      </c>
      <c r="AB977" s="1221"/>
    </row>
    <row r="978" spans="1:28" ht="18" hidden="1" customHeight="1" thickTop="1">
      <c r="A978" s="1341" t="s">
        <v>1100</v>
      </c>
      <c r="B978" s="1342" t="s">
        <v>2619</v>
      </c>
      <c r="C978" s="1343"/>
      <c r="D978" s="1330"/>
      <c r="E978" s="1330"/>
      <c r="F978" s="1346"/>
      <c r="G978" s="1345"/>
      <c r="H978" s="1330"/>
      <c r="I978" s="1330"/>
      <c r="J978" s="1330"/>
      <c r="K978" s="1330"/>
      <c r="L978" s="1331"/>
      <c r="N978" s="1300">
        <v>85</v>
      </c>
    </row>
    <row r="979" spans="1:28" ht="18" hidden="1" customHeight="1">
      <c r="A979" s="1371">
        <v>1</v>
      </c>
      <c r="B979" s="1373" t="s">
        <v>2245</v>
      </c>
      <c r="C979" s="1381"/>
      <c r="D979" s="1762" t="str">
        <f>BAHAN!$C$104&amp;" "&amp;BAHAN!$F$104</f>
        <v>Keramik Dinding 30x60 Ex. Roman dBritannia Rhombus W63843R</v>
      </c>
      <c r="E979" s="1337"/>
      <c r="F979" s="1336" t="s">
        <v>19</v>
      </c>
      <c r="G979" s="1337">
        <f>E!$I$78</f>
        <v>191081.55555555556</v>
      </c>
      <c r="H979" s="1338">
        <f>E!$I$82</f>
        <v>96534</v>
      </c>
      <c r="I979" s="1338">
        <f>G979+H979</f>
        <v>287615.55555555556</v>
      </c>
      <c r="J979" s="1338">
        <f>E979*G979</f>
        <v>0</v>
      </c>
      <c r="K979" s="1338">
        <f>E979*H979</f>
        <v>0</v>
      </c>
      <c r="L979" s="1530">
        <f>J979+K979</f>
        <v>0</v>
      </c>
      <c r="AB979" s="1221"/>
    </row>
    <row r="980" spans="1:28" ht="18" hidden="1" customHeight="1" thickBot="1">
      <c r="A980" s="1371">
        <v>2</v>
      </c>
      <c r="B980" s="1316" t="s">
        <v>1411</v>
      </c>
      <c r="C980" s="1334"/>
      <c r="D980" s="1316" t="s">
        <v>1415</v>
      </c>
      <c r="E980" s="1337">
        <f>'DINDING BATA'!$F$5</f>
        <v>0</v>
      </c>
      <c r="F980" s="1336" t="s">
        <v>19</v>
      </c>
      <c r="G980" s="1872">
        <f>G!$I$179</f>
        <v>51900</v>
      </c>
      <c r="H980" s="1770">
        <f>G!$I$183</f>
        <v>50400</v>
      </c>
      <c r="I980" s="1338">
        <f>G980+H980</f>
        <v>102300</v>
      </c>
      <c r="J980" s="1338">
        <f>E980*G980</f>
        <v>0</v>
      </c>
      <c r="K980" s="1338">
        <f>E980*H980</f>
        <v>0</v>
      </c>
      <c r="L980" s="1530">
        <f>J980+K980</f>
        <v>0</v>
      </c>
    </row>
    <row r="981" spans="1:28" ht="18" hidden="1" customHeight="1" thickTop="1" thickBot="1">
      <c r="A981" s="2675" t="str">
        <f>"sub total "&amp;B978&amp;"="</f>
        <v>sub total Pasangan Dinding Keramik Lantai 4=</v>
      </c>
      <c r="B981" s="2676"/>
      <c r="C981" s="2676"/>
      <c r="D981" s="2676"/>
      <c r="E981" s="2676"/>
      <c r="F981" s="2676"/>
      <c r="G981" s="2676"/>
      <c r="H981" s="1961"/>
      <c r="I981" s="1961"/>
      <c r="J981" s="1541">
        <f>SUM(J979:J980)</f>
        <v>0</v>
      </c>
      <c r="K981" s="1541">
        <f>SUM(K979:K980)</f>
        <v>0</v>
      </c>
      <c r="L981" s="1340">
        <f>SUM(L979:L980)</f>
        <v>0</v>
      </c>
      <c r="M981" s="1300">
        <v>1</v>
      </c>
      <c r="N981" s="1300">
        <v>86</v>
      </c>
    </row>
    <row r="982" spans="1:28" ht="18" customHeight="1" thickTop="1">
      <c r="A982" s="1341" t="s">
        <v>1111</v>
      </c>
      <c r="B982" s="1342" t="s">
        <v>2208</v>
      </c>
      <c r="C982" s="1343"/>
      <c r="D982" s="1330"/>
      <c r="E982" s="1330"/>
      <c r="F982" s="1346"/>
      <c r="G982" s="1345"/>
      <c r="H982" s="1330"/>
      <c r="I982" s="1330"/>
      <c r="J982" s="1330"/>
      <c r="K982" s="1330"/>
      <c r="L982" s="1331"/>
      <c r="N982" s="1300">
        <v>87</v>
      </c>
    </row>
    <row r="983" spans="1:28" ht="18" customHeight="1" thickBot="1">
      <c r="A983" s="1371">
        <v>1</v>
      </c>
      <c r="B983" s="1316" t="s">
        <v>1411</v>
      </c>
      <c r="C983" s="1334"/>
      <c r="D983" s="1316" t="s">
        <v>1415</v>
      </c>
      <c r="E983" s="1337">
        <v>167</v>
      </c>
      <c r="F983" s="1336" t="s">
        <v>19</v>
      </c>
      <c r="G983" s="1872">
        <v>0</v>
      </c>
      <c r="H983" s="1770">
        <v>0</v>
      </c>
      <c r="I983" s="1338">
        <f>G983+H983</f>
        <v>0</v>
      </c>
      <c r="J983" s="1338">
        <f>E983*G983</f>
        <v>0</v>
      </c>
      <c r="K983" s="1338">
        <f>E983*H983</f>
        <v>0</v>
      </c>
      <c r="L983" s="1530">
        <f>J983+K983</f>
        <v>0</v>
      </c>
    </row>
    <row r="984" spans="1:28" ht="18" customHeight="1" thickTop="1" thickBot="1">
      <c r="A984" s="2675" t="str">
        <f>"sub total "&amp;B982&amp;"="</f>
        <v>sub total Pasangan Dinding Keramik Lantai Atap=</v>
      </c>
      <c r="B984" s="2676"/>
      <c r="C984" s="2676"/>
      <c r="D984" s="2676"/>
      <c r="E984" s="2676"/>
      <c r="F984" s="2676"/>
      <c r="G984" s="2676"/>
      <c r="H984" s="1868"/>
      <c r="I984" s="1868"/>
      <c r="J984" s="1541">
        <f>SUM(J983:J983)</f>
        <v>0</v>
      </c>
      <c r="K984" s="1541">
        <f>SUM(K983:K983)</f>
        <v>0</v>
      </c>
      <c r="L984" s="1340">
        <f>SUM(L983:L983)</f>
        <v>0</v>
      </c>
      <c r="M984" s="1300">
        <v>1</v>
      </c>
      <c r="N984" s="1300">
        <v>88</v>
      </c>
    </row>
    <row r="985" spans="1:28" ht="18" customHeight="1" thickTop="1">
      <c r="A985" s="1341" t="s">
        <v>116</v>
      </c>
      <c r="B985" s="2638" t="s">
        <v>102</v>
      </c>
      <c r="C985" s="1343"/>
      <c r="D985" s="1330"/>
      <c r="E985" s="1330"/>
      <c r="F985" s="1346"/>
      <c r="G985" s="1345"/>
      <c r="H985" s="1330"/>
      <c r="I985" s="1330"/>
      <c r="J985" s="1330"/>
      <c r="K985" s="1330"/>
      <c r="L985" s="1331"/>
      <c r="N985" s="1300">
        <v>89</v>
      </c>
      <c r="AB985" s="1583"/>
    </row>
    <row r="986" spans="1:28" ht="18" customHeight="1">
      <c r="A986" s="1363" t="s">
        <v>42</v>
      </c>
      <c r="B986" s="1344" t="s">
        <v>3008</v>
      </c>
      <c r="C986" s="1343"/>
      <c r="D986" s="2058"/>
      <c r="E986" s="2058"/>
      <c r="F986" s="1346"/>
      <c r="G986" s="1345"/>
      <c r="H986" s="1351"/>
      <c r="I986" s="1351"/>
      <c r="J986" s="1351"/>
      <c r="K986" s="1351"/>
      <c r="L986" s="1562"/>
      <c r="N986" s="1300">
        <v>90</v>
      </c>
      <c r="P986" s="1300" t="s">
        <v>1568</v>
      </c>
      <c r="AB986" s="1583"/>
    </row>
    <row r="987" spans="1:28" ht="18" customHeight="1">
      <c r="A987" s="1371">
        <v>1</v>
      </c>
      <c r="B987" s="1316" t="s">
        <v>103</v>
      </c>
      <c r="C987" s="1334"/>
      <c r="D987" s="1316" t="s">
        <v>1434</v>
      </c>
      <c r="E987" s="1337">
        <v>1</v>
      </c>
      <c r="F987" s="1336" t="s">
        <v>88</v>
      </c>
      <c r="G987" s="1872">
        <v>0</v>
      </c>
      <c r="H987" s="1872">
        <v>0</v>
      </c>
      <c r="I987" s="1338">
        <f>G987+H987</f>
        <v>0</v>
      </c>
      <c r="J987" s="1338">
        <f>E987*G987</f>
        <v>0</v>
      </c>
      <c r="K987" s="1338">
        <f>E987*H987</f>
        <v>0</v>
      </c>
      <c r="L987" s="1530">
        <f>J987+K987</f>
        <v>0</v>
      </c>
      <c r="P987" s="1939">
        <f>E987+E1030+E1074</f>
        <v>1</v>
      </c>
    </row>
    <row r="988" spans="1:28" ht="18" customHeight="1">
      <c r="A988" s="1367">
        <v>2</v>
      </c>
      <c r="B988" s="1361" t="s">
        <v>1630</v>
      </c>
      <c r="C988" s="1360"/>
      <c r="D988" s="1361" t="s">
        <v>1631</v>
      </c>
      <c r="E988" s="1358">
        <v>1</v>
      </c>
      <c r="F988" s="1362" t="s">
        <v>80</v>
      </c>
      <c r="G988" s="1872">
        <v>0</v>
      </c>
      <c r="H988" s="1872">
        <v>0</v>
      </c>
      <c r="I988" s="1338">
        <f t="shared" ref="I988:I1027" si="218">G988+H988</f>
        <v>0</v>
      </c>
      <c r="J988" s="1338">
        <f t="shared" ref="J988:J1027" si="219">E988*G988</f>
        <v>0</v>
      </c>
      <c r="K988" s="1338">
        <f t="shared" ref="K988:K1027" si="220">E988*H988</f>
        <v>0</v>
      </c>
      <c r="L988" s="1530">
        <f t="shared" ref="L988:L1027" si="221">J988+K988</f>
        <v>0</v>
      </c>
      <c r="P988" s="1939">
        <f>E988+E1031+E1075</f>
        <v>1</v>
      </c>
    </row>
    <row r="989" spans="1:28" ht="18" hidden="1" customHeight="1">
      <c r="A989" s="1371"/>
      <c r="B989" s="1818" t="s">
        <v>2171</v>
      </c>
      <c r="C989" s="1819"/>
      <c r="D989" s="1818" t="s">
        <v>1416</v>
      </c>
      <c r="E989" s="1820"/>
      <c r="F989" s="1821" t="s">
        <v>88</v>
      </c>
      <c r="G989" s="1872">
        <v>0</v>
      </c>
      <c r="H989" s="1872">
        <v>0</v>
      </c>
      <c r="I989" s="1820">
        <f>G989+H989</f>
        <v>0</v>
      </c>
      <c r="J989" s="1820">
        <f>E989*G989</f>
        <v>0</v>
      </c>
      <c r="K989" s="1820">
        <f>E989*H989</f>
        <v>0</v>
      </c>
      <c r="L989" s="1822">
        <f>J989+K989</f>
        <v>0</v>
      </c>
      <c r="P989" s="1939" t="e">
        <f>E989+#REF!+#REF!</f>
        <v>#REF!</v>
      </c>
    </row>
    <row r="990" spans="1:28" ht="18" hidden="1" customHeight="1">
      <c r="A990" s="1367">
        <v>3</v>
      </c>
      <c r="B990" s="1316" t="s">
        <v>2365</v>
      </c>
      <c r="C990" s="1334"/>
      <c r="D990" s="1316" t="s">
        <v>1416</v>
      </c>
      <c r="E990" s="1337"/>
      <c r="F990" s="1336" t="s">
        <v>88</v>
      </c>
      <c r="G990" s="1872">
        <v>0</v>
      </c>
      <c r="H990" s="1872">
        <v>0</v>
      </c>
      <c r="I990" s="1338">
        <f>G990+H990</f>
        <v>0</v>
      </c>
      <c r="J990" s="1338">
        <f>E990*G990</f>
        <v>0</v>
      </c>
      <c r="K990" s="1338">
        <f>E990*H990</f>
        <v>0</v>
      </c>
      <c r="L990" s="1530">
        <f>J990+K990</f>
        <v>0</v>
      </c>
      <c r="P990" s="1939" t="e">
        <f>E990+#REF!+#REF!</f>
        <v>#REF!</v>
      </c>
    </row>
    <row r="991" spans="1:28" ht="18" hidden="1" customHeight="1">
      <c r="A991" s="1371"/>
      <c r="B991" s="1316" t="s">
        <v>2493</v>
      </c>
      <c r="C991" s="1334"/>
      <c r="D991" s="1316" t="s">
        <v>1416</v>
      </c>
      <c r="E991" s="1337"/>
      <c r="F991" s="1336" t="s">
        <v>88</v>
      </c>
      <c r="G991" s="1872">
        <v>0</v>
      </c>
      <c r="H991" s="1872">
        <v>0</v>
      </c>
      <c r="I991" s="1338">
        <f t="shared" si="218"/>
        <v>0</v>
      </c>
      <c r="J991" s="1338">
        <f t="shared" si="219"/>
        <v>0</v>
      </c>
      <c r="K991" s="1338">
        <f t="shared" si="220"/>
        <v>0</v>
      </c>
      <c r="L991" s="1530">
        <f t="shared" si="221"/>
        <v>0</v>
      </c>
      <c r="P991" s="1939" t="e">
        <f>E991+#REF!+#REF!</f>
        <v>#REF!</v>
      </c>
    </row>
    <row r="992" spans="1:28" ht="18" hidden="1" customHeight="1">
      <c r="A992" s="1367"/>
      <c r="B992" s="1316" t="s">
        <v>2358</v>
      </c>
      <c r="C992" s="1334"/>
      <c r="D992" s="1316" t="s">
        <v>1416</v>
      </c>
      <c r="E992" s="1337"/>
      <c r="F992" s="1336" t="s">
        <v>88</v>
      </c>
      <c r="G992" s="1872">
        <v>0</v>
      </c>
      <c r="H992" s="1872">
        <v>0</v>
      </c>
      <c r="I992" s="1338">
        <f t="shared" si="218"/>
        <v>0</v>
      </c>
      <c r="J992" s="1338">
        <f t="shared" si="219"/>
        <v>0</v>
      </c>
      <c r="K992" s="1338">
        <f t="shared" si="220"/>
        <v>0</v>
      </c>
      <c r="L992" s="1530">
        <f t="shared" si="221"/>
        <v>0</v>
      </c>
      <c r="P992" s="1939" t="e">
        <f>E992+#REF!+#REF!</f>
        <v>#REF!</v>
      </c>
    </row>
    <row r="993" spans="1:28" ht="18" hidden="1" customHeight="1">
      <c r="A993" s="1371"/>
      <c r="B993" s="1316" t="s">
        <v>2244</v>
      </c>
      <c r="C993" s="1334"/>
      <c r="D993" s="1316" t="s">
        <v>1416</v>
      </c>
      <c r="E993" s="1337"/>
      <c r="F993" s="1336" t="s">
        <v>88</v>
      </c>
      <c r="G993" s="1872">
        <v>0</v>
      </c>
      <c r="H993" s="1872">
        <v>0</v>
      </c>
      <c r="I993" s="1338">
        <f t="shared" si="218"/>
        <v>0</v>
      </c>
      <c r="J993" s="1338">
        <f t="shared" si="219"/>
        <v>0</v>
      </c>
      <c r="K993" s="1338">
        <f t="shared" si="220"/>
        <v>0</v>
      </c>
      <c r="L993" s="1530">
        <f t="shared" si="221"/>
        <v>0</v>
      </c>
      <c r="P993" s="1939" t="e">
        <f>E993+#REF!+#REF!</f>
        <v>#REF!</v>
      </c>
    </row>
    <row r="994" spans="1:28" ht="18" customHeight="1">
      <c r="A994" s="1367">
        <v>3</v>
      </c>
      <c r="B994" s="1316" t="s">
        <v>2311</v>
      </c>
      <c r="C994" s="1334"/>
      <c r="D994" s="1316" t="s">
        <v>1416</v>
      </c>
      <c r="E994" s="1337">
        <v>1</v>
      </c>
      <c r="F994" s="1336" t="s">
        <v>88</v>
      </c>
      <c r="G994" s="1872">
        <v>0</v>
      </c>
      <c r="H994" s="1872">
        <v>0</v>
      </c>
      <c r="I994" s="1338">
        <f>G994+H994</f>
        <v>0</v>
      </c>
      <c r="J994" s="1338">
        <f>E994*G994</f>
        <v>0</v>
      </c>
      <c r="K994" s="1338">
        <f>E994*H994</f>
        <v>0</v>
      </c>
      <c r="L994" s="1530">
        <f>J994+K994</f>
        <v>0</v>
      </c>
      <c r="P994" s="1939" t="e">
        <f>E994+#REF!+E1085</f>
        <v>#REF!</v>
      </c>
    </row>
    <row r="995" spans="1:28" ht="18" hidden="1" customHeight="1">
      <c r="A995" s="1367"/>
      <c r="B995" s="1316" t="s">
        <v>2471</v>
      </c>
      <c r="C995" s="1334"/>
      <c r="D995" s="1316" t="s">
        <v>1416</v>
      </c>
      <c r="E995" s="1337"/>
      <c r="F995" s="1336" t="s">
        <v>88</v>
      </c>
      <c r="G995" s="1872">
        <v>0</v>
      </c>
      <c r="H995" s="1872">
        <v>0</v>
      </c>
      <c r="I995" s="1338">
        <f>G995+H995</f>
        <v>0</v>
      </c>
      <c r="J995" s="1338">
        <f>E995*G995</f>
        <v>0</v>
      </c>
      <c r="K995" s="1338">
        <f>E995*H995</f>
        <v>0</v>
      </c>
      <c r="L995" s="1530">
        <f>J995+K995</f>
        <v>0</v>
      </c>
      <c r="P995" s="1939">
        <f>E995+E1041+E1086</f>
        <v>0</v>
      </c>
      <c r="AB995" s="1221"/>
    </row>
    <row r="996" spans="1:28" ht="18" hidden="1" customHeight="1">
      <c r="A996" s="1367"/>
      <c r="B996" s="1316" t="s">
        <v>2331</v>
      </c>
      <c r="C996" s="1334"/>
      <c r="D996" s="1316" t="s">
        <v>1416</v>
      </c>
      <c r="E996" s="1337"/>
      <c r="F996" s="1336" t="s">
        <v>88</v>
      </c>
      <c r="G996" s="1872">
        <v>0</v>
      </c>
      <c r="H996" s="1872">
        <v>0</v>
      </c>
      <c r="I996" s="1338">
        <f>G996+H996</f>
        <v>0</v>
      </c>
      <c r="J996" s="1338">
        <f>E996*G996</f>
        <v>0</v>
      </c>
      <c r="K996" s="1338">
        <f>E996*H996</f>
        <v>0</v>
      </c>
      <c r="L996" s="1530">
        <f>J996+K996</f>
        <v>0</v>
      </c>
      <c r="P996" s="1939">
        <f>E996+E1042+E1087</f>
        <v>0</v>
      </c>
      <c r="AB996" s="1221"/>
    </row>
    <row r="997" spans="1:28" ht="18" customHeight="1">
      <c r="A997" s="1367">
        <v>4</v>
      </c>
      <c r="B997" s="1316" t="s">
        <v>2494</v>
      </c>
      <c r="C997" s="1334"/>
      <c r="D997" s="1316" t="s">
        <v>1416</v>
      </c>
      <c r="E997" s="1337">
        <v>1</v>
      </c>
      <c r="F997" s="1336" t="s">
        <v>88</v>
      </c>
      <c r="G997" s="1872">
        <v>0</v>
      </c>
      <c r="H997" s="1872">
        <v>0</v>
      </c>
      <c r="I997" s="1338">
        <f>G997+H997</f>
        <v>0</v>
      </c>
      <c r="J997" s="1338">
        <f>E997*G997</f>
        <v>0</v>
      </c>
      <c r="K997" s="1338">
        <f>E997*H997</f>
        <v>0</v>
      </c>
      <c r="L997" s="1530">
        <f>J997+K997</f>
        <v>0</v>
      </c>
      <c r="P997" s="1939">
        <f>E997+E1043+E1088</f>
        <v>1</v>
      </c>
      <c r="AB997" s="1221"/>
    </row>
    <row r="998" spans="1:28" ht="18" customHeight="1">
      <c r="A998" s="1371">
        <v>5</v>
      </c>
      <c r="B998" s="1316" t="s">
        <v>104</v>
      </c>
      <c r="C998" s="1334"/>
      <c r="D998" s="1316" t="s">
        <v>1435</v>
      </c>
      <c r="E998" s="1337">
        <f>50*1.1</f>
        <v>55.000000000000007</v>
      </c>
      <c r="F998" s="1336" t="s">
        <v>22</v>
      </c>
      <c r="G998" s="1872">
        <v>0</v>
      </c>
      <c r="H998" s="1872">
        <v>0</v>
      </c>
      <c r="I998" s="1338">
        <f t="shared" si="218"/>
        <v>0</v>
      </c>
      <c r="J998" s="1338">
        <f t="shared" si="219"/>
        <v>0</v>
      </c>
      <c r="K998" s="1338">
        <f t="shared" si="220"/>
        <v>0</v>
      </c>
      <c r="L998" s="1530">
        <f t="shared" si="221"/>
        <v>0</v>
      </c>
      <c r="P998" s="1939">
        <f>E998+E1041+E1085</f>
        <v>55.000000000000007</v>
      </c>
    </row>
    <row r="999" spans="1:28" ht="18" customHeight="1">
      <c r="A999" s="1367">
        <v>6</v>
      </c>
      <c r="B999" s="1361" t="s">
        <v>1626</v>
      </c>
      <c r="C999" s="1360"/>
      <c r="D999" s="1361" t="s">
        <v>1628</v>
      </c>
      <c r="E999" s="1358">
        <f>20*1.1</f>
        <v>22</v>
      </c>
      <c r="F999" s="1336" t="s">
        <v>22</v>
      </c>
      <c r="G999" s="1872">
        <v>0</v>
      </c>
      <c r="H999" s="1872">
        <v>0</v>
      </c>
      <c r="I999" s="1338">
        <f t="shared" si="218"/>
        <v>0</v>
      </c>
      <c r="J999" s="1338">
        <f t="shared" si="219"/>
        <v>0</v>
      </c>
      <c r="K999" s="1338">
        <f t="shared" si="220"/>
        <v>0</v>
      </c>
      <c r="L999" s="1530">
        <f t="shared" si="221"/>
        <v>0</v>
      </c>
      <c r="P999" s="1939">
        <f>E999+E1042+E1086</f>
        <v>22</v>
      </c>
    </row>
    <row r="1000" spans="1:28" ht="18" customHeight="1">
      <c r="A1000" s="1371">
        <v>7</v>
      </c>
      <c r="B1000" s="1316" t="s">
        <v>1428</v>
      </c>
      <c r="C1000" s="1334"/>
      <c r="D1000" s="1316" t="s">
        <v>105</v>
      </c>
      <c r="E1000" s="1337">
        <f>LISTRIK!AU11</f>
        <v>232.2</v>
      </c>
      <c r="F1000" s="1336" t="s">
        <v>22</v>
      </c>
      <c r="G1000" s="1872">
        <v>0</v>
      </c>
      <c r="H1000" s="1872">
        <v>0</v>
      </c>
      <c r="I1000" s="1338">
        <f t="shared" si="218"/>
        <v>0</v>
      </c>
      <c r="J1000" s="1338">
        <f t="shared" si="219"/>
        <v>0</v>
      </c>
      <c r="K1000" s="1338">
        <f t="shared" si="220"/>
        <v>0</v>
      </c>
      <c r="L1000" s="1530">
        <f t="shared" si="221"/>
        <v>0</v>
      </c>
      <c r="P1000" s="1554"/>
      <c r="AB1000" s="1583"/>
    </row>
    <row r="1001" spans="1:28" ht="18" customHeight="1">
      <c r="A1001" s="1367">
        <v>8</v>
      </c>
      <c r="B1001" s="1316" t="s">
        <v>1417</v>
      </c>
      <c r="C1001" s="1334"/>
      <c r="D1001" s="1316" t="s">
        <v>106</v>
      </c>
      <c r="E1001" s="1337">
        <f>LISTRIK!AT11</f>
        <v>384.12</v>
      </c>
      <c r="F1001" s="1336" t="s">
        <v>22</v>
      </c>
      <c r="G1001" s="1872">
        <v>0</v>
      </c>
      <c r="H1001" s="1872">
        <v>0</v>
      </c>
      <c r="I1001" s="1338">
        <f t="shared" si="218"/>
        <v>0</v>
      </c>
      <c r="J1001" s="1338">
        <f t="shared" si="219"/>
        <v>0</v>
      </c>
      <c r="K1001" s="1338">
        <f t="shared" si="220"/>
        <v>0</v>
      </c>
      <c r="L1001" s="1530">
        <f t="shared" si="221"/>
        <v>0</v>
      </c>
      <c r="P1001" s="1939"/>
    </row>
    <row r="1002" spans="1:28" ht="18" customHeight="1">
      <c r="A1002" s="1371">
        <v>9</v>
      </c>
      <c r="B1002" s="1316" t="s">
        <v>1418</v>
      </c>
      <c r="C1002" s="1334"/>
      <c r="D1002" s="1316" t="s">
        <v>106</v>
      </c>
      <c r="E1002" s="1337">
        <f>LISTRIK!AS11</f>
        <v>381.05</v>
      </c>
      <c r="F1002" s="1336" t="s">
        <v>22</v>
      </c>
      <c r="G1002" s="1872">
        <v>0</v>
      </c>
      <c r="H1002" s="1872">
        <v>0</v>
      </c>
      <c r="I1002" s="1338">
        <f t="shared" si="218"/>
        <v>0</v>
      </c>
      <c r="J1002" s="1338">
        <f t="shared" si="219"/>
        <v>0</v>
      </c>
      <c r="K1002" s="1338">
        <f t="shared" si="220"/>
        <v>0</v>
      </c>
      <c r="L1002" s="1530">
        <f t="shared" si="221"/>
        <v>0</v>
      </c>
      <c r="P1002" s="1939"/>
    </row>
    <row r="1003" spans="1:28" ht="18" customHeight="1">
      <c r="A1003" s="1367">
        <v>10</v>
      </c>
      <c r="B1003" s="1316" t="s">
        <v>1474</v>
      </c>
      <c r="C1003" s="1334"/>
      <c r="D1003" s="1316" t="str">
        <f>BAHAN!$F$314</f>
        <v>Philips Lampu LED 18 Watt Coolday Light</v>
      </c>
      <c r="E1003" s="1574">
        <v>8</v>
      </c>
      <c r="F1003" s="1336" t="s">
        <v>88</v>
      </c>
      <c r="G1003" s="1872">
        <v>0</v>
      </c>
      <c r="H1003" s="1872">
        <v>0</v>
      </c>
      <c r="I1003" s="1338">
        <f t="shared" si="218"/>
        <v>0</v>
      </c>
      <c r="J1003" s="1338">
        <f t="shared" si="219"/>
        <v>0</v>
      </c>
      <c r="K1003" s="1338">
        <f t="shared" si="220"/>
        <v>0</v>
      </c>
      <c r="L1003" s="1530">
        <f t="shared" si="221"/>
        <v>0</v>
      </c>
      <c r="P1003" s="1939"/>
    </row>
    <row r="1004" spans="1:28" ht="18" customHeight="1">
      <c r="A1004" s="1371">
        <v>11</v>
      </c>
      <c r="B1004" s="1316" t="s">
        <v>107</v>
      </c>
      <c r="C1004" s="1334"/>
      <c r="D1004" s="1316" t="str">
        <f>BAHAN!$F$315</f>
        <v>Philips LED Downlight Eridani 5W</v>
      </c>
      <c r="E1004" s="1574">
        <v>110</v>
      </c>
      <c r="F1004" s="1336" t="s">
        <v>88</v>
      </c>
      <c r="G1004" s="1872">
        <v>0</v>
      </c>
      <c r="H1004" s="1872">
        <v>0</v>
      </c>
      <c r="I1004" s="1338">
        <f t="shared" si="218"/>
        <v>0</v>
      </c>
      <c r="J1004" s="1338">
        <f t="shared" si="219"/>
        <v>0</v>
      </c>
      <c r="K1004" s="1338">
        <f t="shared" si="220"/>
        <v>0</v>
      </c>
      <c r="L1004" s="1530">
        <f t="shared" si="221"/>
        <v>0</v>
      </c>
      <c r="P1004" s="1939"/>
    </row>
    <row r="1005" spans="1:28" ht="18" customHeight="1">
      <c r="A1005" s="1367">
        <v>12</v>
      </c>
      <c r="B1005" s="1316" t="s">
        <v>1475</v>
      </c>
      <c r="C1005" s="1334"/>
      <c r="D1005" s="1316" t="str">
        <f>BAHAN!$F$313</f>
        <v>Philips Lampu LED 12 Watt Coolday Light</v>
      </c>
      <c r="E1005" s="1574">
        <v>1</v>
      </c>
      <c r="F1005" s="1336" t="s">
        <v>88</v>
      </c>
      <c r="G1005" s="1872">
        <v>0</v>
      </c>
      <c r="H1005" s="1872">
        <v>0</v>
      </c>
      <c r="I1005" s="1338">
        <f t="shared" si="218"/>
        <v>0</v>
      </c>
      <c r="J1005" s="1338">
        <f t="shared" si="219"/>
        <v>0</v>
      </c>
      <c r="K1005" s="1338">
        <f t="shared" si="220"/>
        <v>0</v>
      </c>
      <c r="L1005" s="1530">
        <f t="shared" si="221"/>
        <v>0</v>
      </c>
      <c r="P1005" s="1939"/>
    </row>
    <row r="1006" spans="1:28" ht="18" customHeight="1">
      <c r="A1006" s="1367">
        <v>13</v>
      </c>
      <c r="B1006" s="1316" t="s">
        <v>1473</v>
      </c>
      <c r="C1006" s="1334"/>
      <c r="D1006" s="1316" t="s">
        <v>1484</v>
      </c>
      <c r="E1006" s="1574">
        <v>13</v>
      </c>
      <c r="F1006" s="1336" t="s">
        <v>88</v>
      </c>
      <c r="G1006" s="1872">
        <v>0</v>
      </c>
      <c r="H1006" s="1872">
        <v>0</v>
      </c>
      <c r="I1006" s="1338">
        <f t="shared" si="218"/>
        <v>0</v>
      </c>
      <c r="J1006" s="1338">
        <f t="shared" si="219"/>
        <v>0</v>
      </c>
      <c r="K1006" s="1338">
        <f t="shared" si="220"/>
        <v>0</v>
      </c>
      <c r="L1006" s="1530">
        <f t="shared" si="221"/>
        <v>0</v>
      </c>
      <c r="P1006" s="1939">
        <f t="shared" ref="P1006:P1014" si="222">E1006+E1049+E1093</f>
        <v>13</v>
      </c>
    </row>
    <row r="1007" spans="1:28" ht="18" hidden="1" customHeight="1">
      <c r="A1007" s="1367">
        <v>13</v>
      </c>
      <c r="B1007" s="1316" t="s">
        <v>897</v>
      </c>
      <c r="C1007" s="1334"/>
      <c r="D1007" s="1316" t="s">
        <v>1197</v>
      </c>
      <c r="E1007" s="1337"/>
      <c r="F1007" s="1336" t="s">
        <v>88</v>
      </c>
      <c r="G1007" s="1872">
        <v>0</v>
      </c>
      <c r="H1007" s="1872">
        <v>0</v>
      </c>
      <c r="I1007" s="1338">
        <f t="shared" si="218"/>
        <v>0</v>
      </c>
      <c r="J1007" s="1338">
        <f t="shared" si="219"/>
        <v>0</v>
      </c>
      <c r="K1007" s="1338">
        <f t="shared" si="220"/>
        <v>0</v>
      </c>
      <c r="L1007" s="1530">
        <f t="shared" si="221"/>
        <v>0</v>
      </c>
      <c r="P1007" s="1939">
        <f t="shared" si="222"/>
        <v>0</v>
      </c>
    </row>
    <row r="1008" spans="1:28" ht="18" customHeight="1">
      <c r="A1008" s="1367">
        <v>14</v>
      </c>
      <c r="B1008" s="1316" t="s">
        <v>183</v>
      </c>
      <c r="C1008" s="1334"/>
      <c r="D1008" s="1316" t="str">
        <f>BAHAN!$F$329</f>
        <v>Ex. Eglare Lampu Gantung Hias Cyrstal 6l</v>
      </c>
      <c r="E1008" s="1337">
        <v>14</v>
      </c>
      <c r="F1008" s="1336" t="s">
        <v>88</v>
      </c>
      <c r="G1008" s="1872">
        <v>0</v>
      </c>
      <c r="H1008" s="1872">
        <v>0</v>
      </c>
      <c r="I1008" s="1338">
        <f t="shared" si="218"/>
        <v>0</v>
      </c>
      <c r="J1008" s="1338">
        <f t="shared" si="219"/>
        <v>0</v>
      </c>
      <c r="K1008" s="1338">
        <f t="shared" si="220"/>
        <v>0</v>
      </c>
      <c r="L1008" s="1530">
        <f t="shared" si="221"/>
        <v>0</v>
      </c>
      <c r="P1008" s="1939">
        <f t="shared" si="222"/>
        <v>14</v>
      </c>
    </row>
    <row r="1009" spans="1:19" ht="18" customHeight="1">
      <c r="A1009" s="1367">
        <v>15</v>
      </c>
      <c r="B1009" s="1316" t="s">
        <v>208</v>
      </c>
      <c r="C1009" s="1334"/>
      <c r="D1009" s="1316" t="s">
        <v>1198</v>
      </c>
      <c r="E1009" s="1337">
        <v>16</v>
      </c>
      <c r="F1009" s="1336" t="s">
        <v>88</v>
      </c>
      <c r="G1009" s="1872">
        <v>0</v>
      </c>
      <c r="H1009" s="1872">
        <v>0</v>
      </c>
      <c r="I1009" s="1338">
        <f t="shared" si="218"/>
        <v>0</v>
      </c>
      <c r="J1009" s="1338">
        <f t="shared" si="219"/>
        <v>0</v>
      </c>
      <c r="K1009" s="1338">
        <f t="shared" si="220"/>
        <v>0</v>
      </c>
      <c r="L1009" s="1530">
        <f t="shared" si="221"/>
        <v>0</v>
      </c>
      <c r="P1009" s="1939">
        <f t="shared" si="222"/>
        <v>16</v>
      </c>
    </row>
    <row r="1010" spans="1:19" ht="18" customHeight="1">
      <c r="A1010" s="1367">
        <v>16</v>
      </c>
      <c r="B1010" s="1316" t="s">
        <v>1512</v>
      </c>
      <c r="C1010" s="1334"/>
      <c r="D1010" s="1316" t="str">
        <f>BAHAN!$F$316</f>
        <v>Waterway W1033 12Watt</v>
      </c>
      <c r="E1010" s="1337">
        <v>6</v>
      </c>
      <c r="F1010" s="1336" t="s">
        <v>88</v>
      </c>
      <c r="G1010" s="1872">
        <v>0</v>
      </c>
      <c r="H1010" s="1872">
        <v>0</v>
      </c>
      <c r="I1010" s="1338">
        <f t="shared" si="218"/>
        <v>0</v>
      </c>
      <c r="J1010" s="1338">
        <f t="shared" si="219"/>
        <v>0</v>
      </c>
      <c r="K1010" s="1338">
        <f t="shared" si="220"/>
        <v>0</v>
      </c>
      <c r="L1010" s="1530">
        <f t="shared" si="221"/>
        <v>0</v>
      </c>
      <c r="P1010" s="1939">
        <f t="shared" si="222"/>
        <v>6</v>
      </c>
    </row>
    <row r="1011" spans="1:19" ht="18" customHeight="1">
      <c r="A1011" s="1367">
        <v>17</v>
      </c>
      <c r="B1011" s="1301" t="s">
        <v>1596</v>
      </c>
      <c r="C1011" s="1360"/>
      <c r="D1011" s="1361" t="s">
        <v>1595</v>
      </c>
      <c r="E1011" s="1358">
        <v>39</v>
      </c>
      <c r="F1011" s="1362" t="s">
        <v>88</v>
      </c>
      <c r="G1011" s="1872">
        <v>0</v>
      </c>
      <c r="H1011" s="1872">
        <v>0</v>
      </c>
      <c r="I1011" s="1338">
        <f t="shared" si="218"/>
        <v>0</v>
      </c>
      <c r="J1011" s="1338">
        <f t="shared" si="219"/>
        <v>0</v>
      </c>
      <c r="K1011" s="1338">
        <f t="shared" si="220"/>
        <v>0</v>
      </c>
      <c r="L1011" s="1530">
        <f t="shared" si="221"/>
        <v>0</v>
      </c>
      <c r="P1011" s="1939">
        <f t="shared" si="222"/>
        <v>39</v>
      </c>
    </row>
    <row r="1012" spans="1:19" ht="18" customHeight="1">
      <c r="A1012" s="1371">
        <v>18</v>
      </c>
      <c r="B1012" s="1302" t="s">
        <v>1667</v>
      </c>
      <c r="C1012" s="1384"/>
      <c r="D1012" s="1383" t="s">
        <v>1668</v>
      </c>
      <c r="E1012" s="1385">
        <v>257.45999999999998</v>
      </c>
      <c r="F1012" s="1386" t="s">
        <v>129</v>
      </c>
      <c r="G1012" s="1872">
        <v>0</v>
      </c>
      <c r="H1012" s="1872">
        <v>0</v>
      </c>
      <c r="I1012" s="1338">
        <f t="shared" si="218"/>
        <v>0</v>
      </c>
      <c r="J1012" s="1338">
        <f t="shared" si="219"/>
        <v>0</v>
      </c>
      <c r="K1012" s="1338">
        <f t="shared" si="220"/>
        <v>0</v>
      </c>
      <c r="L1012" s="1530">
        <f t="shared" si="221"/>
        <v>0</v>
      </c>
      <c r="P1012" s="1939">
        <f t="shared" si="222"/>
        <v>257.45999999999998</v>
      </c>
    </row>
    <row r="1013" spans="1:19" ht="18" hidden="1" customHeight="1">
      <c r="A1013" s="1367"/>
      <c r="B1013" s="1302" t="s">
        <v>2607</v>
      </c>
      <c r="C1013" s="1384"/>
      <c r="D1013" s="1383" t="str">
        <f>BAHAN!F341</f>
        <v>Philips downlight LED Meson Kotak 59465 13w Putih</v>
      </c>
      <c r="E1013" s="1385"/>
      <c r="F1013" s="1386" t="s">
        <v>88</v>
      </c>
      <c r="G1013" s="1872">
        <v>0</v>
      </c>
      <c r="H1013" s="1872">
        <v>0</v>
      </c>
      <c r="I1013" s="1338">
        <f>G1013+H1013</f>
        <v>0</v>
      </c>
      <c r="J1013" s="1338">
        <f>E1013*G1013</f>
        <v>0</v>
      </c>
      <c r="K1013" s="1338">
        <f>E1013*H1013</f>
        <v>0</v>
      </c>
      <c r="L1013" s="1530">
        <f>J1013+K1013</f>
        <v>0</v>
      </c>
      <c r="P1013" s="1939">
        <f t="shared" si="222"/>
        <v>0</v>
      </c>
    </row>
    <row r="1014" spans="1:19" ht="18" hidden="1" customHeight="1">
      <c r="A1014" s="1371">
        <v>18</v>
      </c>
      <c r="B1014" s="1302" t="s">
        <v>2326</v>
      </c>
      <c r="C1014" s="1384"/>
      <c r="D1014" s="1383" t="s">
        <v>2330</v>
      </c>
      <c r="E1014" s="1385">
        <v>0</v>
      </c>
      <c r="F1014" s="1386" t="s">
        <v>88</v>
      </c>
      <c r="G1014" s="1872">
        <v>0</v>
      </c>
      <c r="H1014" s="1872">
        <v>0</v>
      </c>
      <c r="I1014" s="1338">
        <f>G1014+H1014</f>
        <v>0</v>
      </c>
      <c r="J1014" s="1338">
        <f>E1014*G1014</f>
        <v>0</v>
      </c>
      <c r="K1014" s="1338">
        <f>E1014*H1014</f>
        <v>0</v>
      </c>
      <c r="L1014" s="1530">
        <f>J1014+K1014</f>
        <v>0</v>
      </c>
      <c r="P1014" s="1939">
        <f t="shared" si="222"/>
        <v>0</v>
      </c>
    </row>
    <row r="1015" spans="1:19" ht="18" customHeight="1">
      <c r="A1015" s="1367">
        <v>19</v>
      </c>
      <c r="B1015" s="1316" t="s">
        <v>108</v>
      </c>
      <c r="C1015" s="1334"/>
      <c r="D1015" s="1316" t="s">
        <v>109</v>
      </c>
      <c r="E1015" s="1337">
        <v>87</v>
      </c>
      <c r="F1015" s="1336" t="s">
        <v>88</v>
      </c>
      <c r="G1015" s="1872">
        <v>0</v>
      </c>
      <c r="H1015" s="1872">
        <v>0</v>
      </c>
      <c r="I1015" s="1338">
        <f t="shared" si="218"/>
        <v>0</v>
      </c>
      <c r="J1015" s="1338">
        <f t="shared" si="219"/>
        <v>0</v>
      </c>
      <c r="K1015" s="1338">
        <f t="shared" si="220"/>
        <v>0</v>
      </c>
      <c r="L1015" s="1530">
        <f t="shared" si="221"/>
        <v>0</v>
      </c>
      <c r="P1015" s="1939">
        <f>E1015+E1059+E1102+E1145</f>
        <v>87</v>
      </c>
    </row>
    <row r="1016" spans="1:19" ht="18" customHeight="1">
      <c r="A1016" s="1371">
        <v>20</v>
      </c>
      <c r="B1016" s="1361" t="s">
        <v>1624</v>
      </c>
      <c r="C1016" s="1360"/>
      <c r="D1016" s="1316" t="s">
        <v>109</v>
      </c>
      <c r="E1016" s="1358">
        <v>1</v>
      </c>
      <c r="F1016" s="1362" t="s">
        <v>88</v>
      </c>
      <c r="G1016" s="1872">
        <v>0</v>
      </c>
      <c r="H1016" s="1872">
        <v>0</v>
      </c>
      <c r="I1016" s="1338">
        <f t="shared" si="218"/>
        <v>0</v>
      </c>
      <c r="J1016" s="1338">
        <f t="shared" si="219"/>
        <v>0</v>
      </c>
      <c r="K1016" s="1338">
        <f t="shared" si="220"/>
        <v>0</v>
      </c>
      <c r="L1016" s="1530">
        <f t="shared" si="221"/>
        <v>0</v>
      </c>
      <c r="P1016" s="1939">
        <f>E1016+E1060+E1103</f>
        <v>1</v>
      </c>
    </row>
    <row r="1017" spans="1:19" ht="18" customHeight="1">
      <c r="A1017" s="1367">
        <v>21</v>
      </c>
      <c r="B1017" s="1361" t="s">
        <v>2172</v>
      </c>
      <c r="C1017" s="1360"/>
      <c r="D1017" s="1316" t="s">
        <v>109</v>
      </c>
      <c r="E1017" s="1358">
        <v>1</v>
      </c>
      <c r="F1017" s="1362" t="s">
        <v>88</v>
      </c>
      <c r="G1017" s="1872">
        <v>0</v>
      </c>
      <c r="H1017" s="1872">
        <v>0</v>
      </c>
      <c r="I1017" s="1338">
        <f t="shared" si="218"/>
        <v>0</v>
      </c>
      <c r="J1017" s="1338">
        <f t="shared" si="219"/>
        <v>0</v>
      </c>
      <c r="K1017" s="1338">
        <f t="shared" si="220"/>
        <v>0</v>
      </c>
      <c r="L1017" s="1530">
        <f t="shared" si="221"/>
        <v>0</v>
      </c>
      <c r="P1017" s="1939">
        <f>E1017+E1061+E1104</f>
        <v>1</v>
      </c>
    </row>
    <row r="1018" spans="1:19" ht="18" customHeight="1">
      <c r="A1018" s="1371">
        <v>22</v>
      </c>
      <c r="B1018" s="1316" t="s">
        <v>110</v>
      </c>
      <c r="C1018" s="1334"/>
      <c r="D1018" s="1316" t="s">
        <v>109</v>
      </c>
      <c r="E1018" s="1337">
        <v>8</v>
      </c>
      <c r="F1018" s="1336" t="s">
        <v>88</v>
      </c>
      <c r="G1018" s="1872">
        <v>0</v>
      </c>
      <c r="H1018" s="1872">
        <v>0</v>
      </c>
      <c r="I1018" s="1338">
        <f t="shared" si="218"/>
        <v>0</v>
      </c>
      <c r="J1018" s="1338">
        <f t="shared" si="219"/>
        <v>0</v>
      </c>
      <c r="K1018" s="1338">
        <f t="shared" si="220"/>
        <v>0</v>
      </c>
      <c r="L1018" s="1530">
        <f t="shared" si="221"/>
        <v>0</v>
      </c>
      <c r="P1018" s="1939">
        <f t="shared" ref="P1018:P1025" si="223">E1018+E1062+E1105+E1148</f>
        <v>8</v>
      </c>
    </row>
    <row r="1019" spans="1:19" ht="18" customHeight="1">
      <c r="A1019" s="1367">
        <v>23</v>
      </c>
      <c r="B1019" s="1316" t="s">
        <v>111</v>
      </c>
      <c r="C1019" s="1334"/>
      <c r="D1019" s="1316" t="s">
        <v>109</v>
      </c>
      <c r="E1019" s="1337">
        <v>6</v>
      </c>
      <c r="F1019" s="1336" t="s">
        <v>88</v>
      </c>
      <c r="G1019" s="1872">
        <v>0</v>
      </c>
      <c r="H1019" s="1872">
        <v>0</v>
      </c>
      <c r="I1019" s="1338">
        <f t="shared" si="218"/>
        <v>0</v>
      </c>
      <c r="J1019" s="1338">
        <f t="shared" si="219"/>
        <v>0</v>
      </c>
      <c r="K1019" s="1338">
        <f t="shared" si="220"/>
        <v>0</v>
      </c>
      <c r="L1019" s="1530">
        <f t="shared" si="221"/>
        <v>0</v>
      </c>
      <c r="P1019" s="1939">
        <f t="shared" si="223"/>
        <v>6</v>
      </c>
      <c r="R1019" s="1554">
        <f>E1019</f>
        <v>6</v>
      </c>
      <c r="S1019" s="1554">
        <f>R1019</f>
        <v>6</v>
      </c>
    </row>
    <row r="1020" spans="1:19" ht="18" customHeight="1">
      <c r="A1020" s="1371">
        <v>24</v>
      </c>
      <c r="B1020" s="1316" t="s">
        <v>112</v>
      </c>
      <c r="C1020" s="1334"/>
      <c r="D1020" s="1316" t="s">
        <v>109</v>
      </c>
      <c r="E1020" s="1337">
        <v>13</v>
      </c>
      <c r="F1020" s="1336" t="s">
        <v>88</v>
      </c>
      <c r="G1020" s="1872">
        <v>0</v>
      </c>
      <c r="H1020" s="1872">
        <v>0</v>
      </c>
      <c r="I1020" s="1338">
        <f t="shared" si="218"/>
        <v>0</v>
      </c>
      <c r="J1020" s="1338">
        <f t="shared" si="219"/>
        <v>0</v>
      </c>
      <c r="K1020" s="1338">
        <f t="shared" si="220"/>
        <v>0</v>
      </c>
      <c r="L1020" s="1530">
        <f t="shared" si="221"/>
        <v>0</v>
      </c>
      <c r="P1020" s="1939">
        <f t="shared" si="223"/>
        <v>13</v>
      </c>
      <c r="R1020" s="1554">
        <f t="shared" ref="R1020:R1027" si="224">E1020</f>
        <v>13</v>
      </c>
      <c r="S1020" s="2066">
        <f>R1020*2</f>
        <v>26</v>
      </c>
    </row>
    <row r="1021" spans="1:19" ht="18" customHeight="1">
      <c r="A1021" s="1367">
        <v>25</v>
      </c>
      <c r="B1021" s="1316" t="s">
        <v>1421</v>
      </c>
      <c r="C1021" s="1334"/>
      <c r="D1021" s="1316" t="s">
        <v>109</v>
      </c>
      <c r="E1021" s="1337">
        <v>13</v>
      </c>
      <c r="F1021" s="1336" t="s">
        <v>88</v>
      </c>
      <c r="G1021" s="1872">
        <v>0</v>
      </c>
      <c r="H1021" s="1872">
        <v>0</v>
      </c>
      <c r="I1021" s="1338">
        <f t="shared" si="218"/>
        <v>0</v>
      </c>
      <c r="J1021" s="1338">
        <f t="shared" si="219"/>
        <v>0</v>
      </c>
      <c r="K1021" s="1338">
        <f t="shared" si="220"/>
        <v>0</v>
      </c>
      <c r="L1021" s="1530">
        <f t="shared" si="221"/>
        <v>0</v>
      </c>
      <c r="P1021" s="1939">
        <f t="shared" si="223"/>
        <v>13</v>
      </c>
      <c r="R1021" s="1554">
        <f t="shared" si="224"/>
        <v>13</v>
      </c>
      <c r="S1021" s="2066">
        <f>R1021*3</f>
        <v>39</v>
      </c>
    </row>
    <row r="1022" spans="1:19" ht="18" customHeight="1">
      <c r="A1022" s="1371">
        <v>26</v>
      </c>
      <c r="B1022" s="1388" t="s">
        <v>1537</v>
      </c>
      <c r="C1022" s="1389"/>
      <c r="D1022" s="1316" t="s">
        <v>1535</v>
      </c>
      <c r="E1022" s="1365">
        <v>10</v>
      </c>
      <c r="F1022" s="1366" t="s">
        <v>88</v>
      </c>
      <c r="G1022" s="1872">
        <v>0</v>
      </c>
      <c r="H1022" s="1872">
        <v>0</v>
      </c>
      <c r="I1022" s="1338">
        <f t="shared" si="218"/>
        <v>0</v>
      </c>
      <c r="J1022" s="1338">
        <f t="shared" si="219"/>
        <v>0</v>
      </c>
      <c r="K1022" s="1338">
        <f t="shared" si="220"/>
        <v>0</v>
      </c>
      <c r="L1022" s="1530">
        <f t="shared" si="221"/>
        <v>0</v>
      </c>
      <c r="P1022" s="1939">
        <f t="shared" si="223"/>
        <v>10</v>
      </c>
      <c r="R1022" s="1554">
        <f t="shared" si="224"/>
        <v>10</v>
      </c>
      <c r="S1022" s="2066">
        <f>R1022*4</f>
        <v>40</v>
      </c>
    </row>
    <row r="1023" spans="1:19" ht="18" hidden="1" customHeight="1">
      <c r="A1023" s="1367">
        <v>26</v>
      </c>
      <c r="B1023" s="1316" t="s">
        <v>1673</v>
      </c>
      <c r="C1023" s="1334"/>
      <c r="D1023" s="1316" t="s">
        <v>109</v>
      </c>
      <c r="E1023" s="1385">
        <v>0</v>
      </c>
      <c r="F1023" s="1386" t="s">
        <v>88</v>
      </c>
      <c r="G1023" s="1872">
        <v>0</v>
      </c>
      <c r="H1023" s="1872">
        <v>0</v>
      </c>
      <c r="I1023" s="1338">
        <f t="shared" si="218"/>
        <v>0</v>
      </c>
      <c r="J1023" s="1338">
        <f t="shared" si="219"/>
        <v>0</v>
      </c>
      <c r="K1023" s="1338">
        <f t="shared" si="220"/>
        <v>0</v>
      </c>
      <c r="L1023" s="1530">
        <f t="shared" si="221"/>
        <v>0</v>
      </c>
      <c r="P1023" s="1939">
        <f t="shared" si="223"/>
        <v>0</v>
      </c>
      <c r="R1023" s="1554">
        <f t="shared" si="224"/>
        <v>0</v>
      </c>
      <c r="S1023" s="1554">
        <f>R1023</f>
        <v>0</v>
      </c>
    </row>
    <row r="1024" spans="1:19" ht="18" hidden="1" customHeight="1">
      <c r="A1024" s="1371"/>
      <c r="B1024" s="1316" t="s">
        <v>1534</v>
      </c>
      <c r="C1024" s="1334"/>
      <c r="D1024" s="1316" t="s">
        <v>109</v>
      </c>
      <c r="E1024" s="1337"/>
      <c r="F1024" s="1336" t="s">
        <v>88</v>
      </c>
      <c r="G1024" s="1872">
        <v>0</v>
      </c>
      <c r="H1024" s="1872">
        <v>0</v>
      </c>
      <c r="I1024" s="1338">
        <f t="shared" si="218"/>
        <v>0</v>
      </c>
      <c r="J1024" s="1338">
        <f t="shared" si="219"/>
        <v>0</v>
      </c>
      <c r="K1024" s="1338">
        <f t="shared" si="220"/>
        <v>0</v>
      </c>
      <c r="L1024" s="1530">
        <f t="shared" si="221"/>
        <v>0</v>
      </c>
      <c r="P1024" s="1939">
        <f t="shared" si="223"/>
        <v>0</v>
      </c>
      <c r="R1024" s="1554">
        <f t="shared" si="224"/>
        <v>0</v>
      </c>
    </row>
    <row r="1025" spans="1:28" ht="18" hidden="1" customHeight="1">
      <c r="A1025" s="1367"/>
      <c r="B1025" s="1316" t="s">
        <v>1676</v>
      </c>
      <c r="C1025" s="1334"/>
      <c r="D1025" s="1316" t="s">
        <v>1535</v>
      </c>
      <c r="E1025" s="1385"/>
      <c r="F1025" s="1390" t="s">
        <v>88</v>
      </c>
      <c r="G1025" s="1872">
        <v>0</v>
      </c>
      <c r="H1025" s="1872">
        <v>0</v>
      </c>
      <c r="I1025" s="1338">
        <f t="shared" si="218"/>
        <v>0</v>
      </c>
      <c r="J1025" s="1338">
        <f t="shared" si="219"/>
        <v>0</v>
      </c>
      <c r="K1025" s="1338">
        <f t="shared" si="220"/>
        <v>0</v>
      </c>
      <c r="L1025" s="1530">
        <f t="shared" si="221"/>
        <v>0</v>
      </c>
      <c r="P1025" s="1939">
        <f t="shared" si="223"/>
        <v>0</v>
      </c>
      <c r="R1025" s="1554">
        <f t="shared" si="224"/>
        <v>0</v>
      </c>
    </row>
    <row r="1026" spans="1:28" ht="18" hidden="1" customHeight="1">
      <c r="A1026" s="1371"/>
      <c r="B1026" s="1339" t="s">
        <v>206</v>
      </c>
      <c r="C1026" s="1368"/>
      <c r="D1026" s="1339" t="s">
        <v>207</v>
      </c>
      <c r="E1026" s="1337"/>
      <c r="F1026" s="1380" t="s">
        <v>154</v>
      </c>
      <c r="G1026" s="1872">
        <v>0</v>
      </c>
      <c r="H1026" s="1872">
        <v>0</v>
      </c>
      <c r="I1026" s="1338">
        <f t="shared" si="218"/>
        <v>0</v>
      </c>
      <c r="J1026" s="1338">
        <f t="shared" si="219"/>
        <v>0</v>
      </c>
      <c r="K1026" s="1338">
        <f t="shared" si="220"/>
        <v>0</v>
      </c>
      <c r="L1026" s="1530">
        <f t="shared" si="221"/>
        <v>0</v>
      </c>
      <c r="P1026" s="1939">
        <f>E1026+E1070+E1113</f>
        <v>0</v>
      </c>
      <c r="R1026" s="1300">
        <f t="shared" si="224"/>
        <v>0</v>
      </c>
    </row>
    <row r="1027" spans="1:28" ht="18" customHeight="1" thickBot="1">
      <c r="A1027" s="1367">
        <v>27</v>
      </c>
      <c r="B1027" s="1316" t="s">
        <v>903</v>
      </c>
      <c r="C1027" s="1334"/>
      <c r="D1027" s="1316" t="s">
        <v>1420</v>
      </c>
      <c r="E1027" s="1337">
        <v>8</v>
      </c>
      <c r="F1027" s="1336" t="s">
        <v>88</v>
      </c>
      <c r="G1027" s="1872">
        <v>0</v>
      </c>
      <c r="H1027" s="1872">
        <v>0</v>
      </c>
      <c r="I1027" s="1338">
        <f t="shared" si="218"/>
        <v>0</v>
      </c>
      <c r="J1027" s="1338">
        <f t="shared" si="219"/>
        <v>0</v>
      </c>
      <c r="K1027" s="1338">
        <f t="shared" si="220"/>
        <v>0</v>
      </c>
      <c r="L1027" s="1530">
        <f t="shared" si="221"/>
        <v>0</v>
      </c>
      <c r="P1027" s="1939">
        <f>E1027+E1071+E1114+E1157</f>
        <v>8</v>
      </c>
      <c r="R1027" s="1300">
        <f t="shared" si="224"/>
        <v>8</v>
      </c>
      <c r="S1027" s="2239">
        <f>SUM(S1019:S1023)</f>
        <v>111</v>
      </c>
      <c r="T1027" s="2066">
        <f>S1027-17</f>
        <v>94</v>
      </c>
    </row>
    <row r="1028" spans="1:28" ht="18" customHeight="1" thickTop="1" thickBot="1">
      <c r="A1028" s="2675" t="s">
        <v>113</v>
      </c>
      <c r="B1028" s="2676"/>
      <c r="C1028" s="2676"/>
      <c r="D1028" s="2676"/>
      <c r="E1028" s="2676"/>
      <c r="F1028" s="2676"/>
      <c r="G1028" s="2676"/>
      <c r="H1028" s="1551"/>
      <c r="I1028" s="1551"/>
      <c r="J1028" s="1541">
        <f>SUM(J987:J1027)</f>
        <v>0</v>
      </c>
      <c r="K1028" s="1541">
        <f>SUM(K987:K1027)</f>
        <v>0</v>
      </c>
      <c r="L1028" s="1340">
        <f>SUM(L987:L1027)</f>
        <v>0</v>
      </c>
      <c r="M1028" s="1300">
        <v>1</v>
      </c>
      <c r="N1028" s="1300">
        <v>91</v>
      </c>
    </row>
    <row r="1029" spans="1:28" ht="18" hidden="1" customHeight="1" thickTop="1">
      <c r="A1029" s="1363" t="s">
        <v>60</v>
      </c>
      <c r="B1029" s="1344" t="s">
        <v>61</v>
      </c>
      <c r="C1029" s="1343"/>
      <c r="D1029" s="1330"/>
      <c r="E1029" s="1330"/>
      <c r="F1029" s="1346"/>
      <c r="G1029" s="1345"/>
      <c r="H1029" s="1330"/>
      <c r="I1029" s="1330"/>
      <c r="J1029" s="1330"/>
      <c r="K1029" s="1330"/>
      <c r="L1029" s="1331"/>
      <c r="N1029" s="1300">
        <v>92</v>
      </c>
    </row>
    <row r="1030" spans="1:28" ht="18" hidden="1" customHeight="1">
      <c r="A1030" s="1371">
        <v>1</v>
      </c>
      <c r="B1030" s="1316" t="s">
        <v>103</v>
      </c>
      <c r="C1030" s="1334"/>
      <c r="D1030" s="1316" t="s">
        <v>1434</v>
      </c>
      <c r="E1030" s="1337">
        <v>0</v>
      </c>
      <c r="F1030" s="1336" t="s">
        <v>88</v>
      </c>
      <c r="G1030" s="1872">
        <f>P!$J$265</f>
        <v>42000</v>
      </c>
      <c r="H1030" s="1872">
        <f>P!$J$269</f>
        <v>59394</v>
      </c>
      <c r="I1030" s="1338">
        <f t="shared" ref="I1030:I1071" si="225">G1030+H1030</f>
        <v>101394</v>
      </c>
      <c r="J1030" s="1338">
        <f t="shared" ref="J1030:J1071" si="226">E1030*G1030</f>
        <v>0</v>
      </c>
      <c r="K1030" s="1338">
        <f t="shared" ref="K1030:K1071" si="227">E1030*H1030</f>
        <v>0</v>
      </c>
      <c r="L1030" s="1530">
        <f t="shared" ref="L1030:L1071" si="228">J1030+K1030</f>
        <v>0</v>
      </c>
    </row>
    <row r="1031" spans="1:28" ht="18" hidden="1" customHeight="1">
      <c r="A1031" s="1367"/>
      <c r="B1031" s="1361" t="s">
        <v>1630</v>
      </c>
      <c r="C1031" s="1360"/>
      <c r="D1031" s="1361" t="s">
        <v>1631</v>
      </c>
      <c r="E1031" s="1358"/>
      <c r="F1031" s="1362" t="s">
        <v>80</v>
      </c>
      <c r="G1031" s="1872">
        <v>3750000</v>
      </c>
      <c r="H1031" s="1872">
        <v>0</v>
      </c>
      <c r="I1031" s="1338">
        <f t="shared" si="225"/>
        <v>3750000</v>
      </c>
      <c r="J1031" s="1338">
        <f t="shared" si="226"/>
        <v>0</v>
      </c>
      <c r="K1031" s="1338">
        <f t="shared" si="227"/>
        <v>0</v>
      </c>
      <c r="L1031" s="1530">
        <f t="shared" si="228"/>
        <v>0</v>
      </c>
    </row>
    <row r="1032" spans="1:28" ht="18" hidden="1" customHeight="1">
      <c r="A1032" s="1371"/>
      <c r="B1032" s="1818" t="s">
        <v>2171</v>
      </c>
      <c r="C1032" s="1819"/>
      <c r="D1032" s="1818" t="s">
        <v>1416</v>
      </c>
      <c r="E1032" s="1820"/>
      <c r="F1032" s="1821" t="s">
        <v>88</v>
      </c>
      <c r="G1032" s="1872">
        <f>P!$J$274</f>
        <v>68812.800000000003</v>
      </c>
      <c r="H1032" s="1872">
        <f>P!$J$278</f>
        <v>33092.627999999997</v>
      </c>
      <c r="I1032" s="1820">
        <f t="shared" si="225"/>
        <v>101905.428</v>
      </c>
      <c r="J1032" s="1820">
        <f t="shared" si="226"/>
        <v>0</v>
      </c>
      <c r="K1032" s="1820">
        <f t="shared" si="227"/>
        <v>0</v>
      </c>
      <c r="L1032" s="1822">
        <f t="shared" si="228"/>
        <v>0</v>
      </c>
      <c r="P1032" s="1939" t="e">
        <f>E1032+#REF!+E1209</f>
        <v>#REF!</v>
      </c>
      <c r="AB1032" s="1221"/>
    </row>
    <row r="1033" spans="1:28" ht="18" hidden="1" customHeight="1">
      <c r="A1033" s="1367">
        <v>2</v>
      </c>
      <c r="B1033" s="1316" t="s">
        <v>2365</v>
      </c>
      <c r="C1033" s="1334"/>
      <c r="D1033" s="1316" t="s">
        <v>1416</v>
      </c>
      <c r="E1033" s="1337">
        <v>0</v>
      </c>
      <c r="F1033" s="1336" t="s">
        <v>88</v>
      </c>
      <c r="G1033" s="1358">
        <f>P!$J$283</f>
        <v>68812.800000000003</v>
      </c>
      <c r="H1033" s="1872">
        <f>P!$J$278</f>
        <v>33092.627999999997</v>
      </c>
      <c r="I1033" s="1338">
        <f t="shared" si="225"/>
        <v>101905.428</v>
      </c>
      <c r="J1033" s="1338">
        <f t="shared" si="226"/>
        <v>0</v>
      </c>
      <c r="K1033" s="1338">
        <f t="shared" si="227"/>
        <v>0</v>
      </c>
      <c r="L1033" s="1530">
        <f t="shared" si="228"/>
        <v>0</v>
      </c>
      <c r="P1033" s="1939" t="e">
        <f>E1033+#REF!+E1210</f>
        <v>#REF!</v>
      </c>
      <c r="AB1033" s="1221"/>
    </row>
    <row r="1034" spans="1:28" ht="18" hidden="1" customHeight="1">
      <c r="A1034" s="1371"/>
      <c r="B1034" s="1316" t="s">
        <v>2493</v>
      </c>
      <c r="C1034" s="1334"/>
      <c r="D1034" s="1316" t="s">
        <v>1416</v>
      </c>
      <c r="E1034" s="1337"/>
      <c r="F1034" s="1336" t="s">
        <v>88</v>
      </c>
      <c r="G1034" s="1358">
        <f>P!$J$292</f>
        <v>53160.800000000003</v>
      </c>
      <c r="H1034" s="1820">
        <f>P!$J$314</f>
        <v>33092.627999999997</v>
      </c>
      <c r="I1034" s="1338">
        <f t="shared" si="225"/>
        <v>86253.428</v>
      </c>
      <c r="J1034" s="1338">
        <f t="shared" si="226"/>
        <v>0</v>
      </c>
      <c r="K1034" s="1338">
        <f t="shared" si="227"/>
        <v>0</v>
      </c>
      <c r="L1034" s="1530">
        <f t="shared" si="228"/>
        <v>0</v>
      </c>
      <c r="P1034" s="1939" t="e">
        <f>E1034+#REF!+E1211</f>
        <v>#REF!</v>
      </c>
      <c r="AB1034" s="1221"/>
    </row>
    <row r="1035" spans="1:28" ht="18" hidden="1" customHeight="1">
      <c r="A1035" s="1367"/>
      <c r="B1035" s="1316" t="s">
        <v>2358</v>
      </c>
      <c r="C1035" s="1334"/>
      <c r="D1035" s="1316" t="s">
        <v>1416</v>
      </c>
      <c r="E1035" s="1337"/>
      <c r="F1035" s="1336" t="s">
        <v>88</v>
      </c>
      <c r="G1035" s="1358">
        <f>P!$J$301</f>
        <v>53160.800000000003</v>
      </c>
      <c r="H1035" s="1872">
        <f>P!$J$278</f>
        <v>33092.627999999997</v>
      </c>
      <c r="I1035" s="1338">
        <f t="shared" si="225"/>
        <v>86253.428</v>
      </c>
      <c r="J1035" s="1338">
        <f t="shared" si="226"/>
        <v>0</v>
      </c>
      <c r="K1035" s="1338">
        <f t="shared" si="227"/>
        <v>0</v>
      </c>
      <c r="L1035" s="1530">
        <f t="shared" si="228"/>
        <v>0</v>
      </c>
      <c r="P1035" s="1939" t="e">
        <f>E1035+#REF!+E1212</f>
        <v>#REF!</v>
      </c>
      <c r="AB1035" s="1221"/>
    </row>
    <row r="1036" spans="1:28" ht="18" hidden="1" customHeight="1">
      <c r="A1036" s="1371"/>
      <c r="B1036" s="1316" t="s">
        <v>2244</v>
      </c>
      <c r="C1036" s="1334"/>
      <c r="D1036" s="1316" t="s">
        <v>1416</v>
      </c>
      <c r="E1036" s="1337"/>
      <c r="F1036" s="1336" t="s">
        <v>88</v>
      </c>
      <c r="G1036" s="1358">
        <f>P!$J$310</f>
        <v>53160.800000000003</v>
      </c>
      <c r="H1036" s="1872">
        <f>P!$J$278</f>
        <v>33092.627999999997</v>
      </c>
      <c r="I1036" s="1338">
        <f t="shared" si="225"/>
        <v>86253.428</v>
      </c>
      <c r="J1036" s="1338">
        <f t="shared" si="226"/>
        <v>0</v>
      </c>
      <c r="K1036" s="1338">
        <f t="shared" si="227"/>
        <v>0</v>
      </c>
      <c r="L1036" s="1530">
        <f t="shared" si="228"/>
        <v>0</v>
      </c>
      <c r="P1036" s="1939" t="e">
        <f>E1036+#REF!+E1213</f>
        <v>#REF!</v>
      </c>
      <c r="AB1036" s="1221"/>
    </row>
    <row r="1037" spans="1:28" ht="18" hidden="1" customHeight="1">
      <c r="A1037" s="1367">
        <v>3</v>
      </c>
      <c r="B1037" s="1316" t="s">
        <v>2311</v>
      </c>
      <c r="C1037" s="1334"/>
      <c r="D1037" s="1316" t="s">
        <v>1416</v>
      </c>
      <c r="E1037" s="1337">
        <v>0</v>
      </c>
      <c r="F1037" s="1336" t="s">
        <v>88</v>
      </c>
      <c r="G1037" s="1358">
        <f>P!$J$319</f>
        <v>53160.800000000003</v>
      </c>
      <c r="H1037" s="1872">
        <f>P!$J$278</f>
        <v>33092.627999999997</v>
      </c>
      <c r="I1037" s="1338">
        <f t="shared" si="225"/>
        <v>86253.428</v>
      </c>
      <c r="J1037" s="1338">
        <f t="shared" si="226"/>
        <v>0</v>
      </c>
      <c r="K1037" s="1338">
        <f t="shared" si="227"/>
        <v>0</v>
      </c>
      <c r="L1037" s="1530">
        <f t="shared" si="228"/>
        <v>0</v>
      </c>
      <c r="P1037" s="1939" t="e">
        <f>E1037+#REF!+E1214</f>
        <v>#REF!</v>
      </c>
      <c r="AB1037" s="1221"/>
    </row>
    <row r="1038" spans="1:28" ht="18" hidden="1" customHeight="1">
      <c r="A1038" s="1367"/>
      <c r="B1038" s="1316" t="s">
        <v>2471</v>
      </c>
      <c r="C1038" s="1334"/>
      <c r="D1038" s="1316" t="s">
        <v>1416</v>
      </c>
      <c r="E1038" s="1337"/>
      <c r="F1038" s="1336" t="s">
        <v>88</v>
      </c>
      <c r="G1038" s="1358">
        <f>P!$J$328</f>
        <v>58657.8</v>
      </c>
      <c r="H1038" s="1872">
        <f>P!$J$278</f>
        <v>33092.627999999997</v>
      </c>
      <c r="I1038" s="1338">
        <f t="shared" si="225"/>
        <v>91750.428</v>
      </c>
      <c r="J1038" s="1338">
        <f t="shared" si="226"/>
        <v>0</v>
      </c>
      <c r="K1038" s="1338">
        <f t="shared" si="227"/>
        <v>0</v>
      </c>
      <c r="L1038" s="1530">
        <f t="shared" si="228"/>
        <v>0</v>
      </c>
      <c r="P1038" s="1939">
        <f>E1038+E1089+E1215</f>
        <v>534.79999999999995</v>
      </c>
      <c r="AB1038" s="1221"/>
    </row>
    <row r="1039" spans="1:28" ht="18" hidden="1" customHeight="1">
      <c r="A1039" s="1367">
        <v>4</v>
      </c>
      <c r="B1039" s="1316" t="s">
        <v>2331</v>
      </c>
      <c r="C1039" s="1334"/>
      <c r="D1039" s="1316" t="s">
        <v>1416</v>
      </c>
      <c r="E1039" s="1337">
        <v>0</v>
      </c>
      <c r="F1039" s="1336" t="s">
        <v>88</v>
      </c>
      <c r="G1039" s="1358">
        <f>P!$J$337</f>
        <v>61164.800000000003</v>
      </c>
      <c r="H1039" s="1872">
        <f>P!$J$278</f>
        <v>33092.627999999997</v>
      </c>
      <c r="I1039" s="1338">
        <f t="shared" si="225"/>
        <v>94257.428</v>
      </c>
      <c r="J1039" s="1338">
        <f t="shared" si="226"/>
        <v>0</v>
      </c>
      <c r="K1039" s="1338">
        <f t="shared" si="227"/>
        <v>0</v>
      </c>
      <c r="L1039" s="1530">
        <f t="shared" si="228"/>
        <v>0</v>
      </c>
      <c r="P1039" s="1939">
        <f>E1039+E1090+E1216</f>
        <v>0</v>
      </c>
      <c r="AB1039" s="1221"/>
    </row>
    <row r="1040" spans="1:28" ht="18" hidden="1" customHeight="1">
      <c r="A1040" s="1367"/>
      <c r="B1040" s="1316" t="s">
        <v>2494</v>
      </c>
      <c r="C1040" s="1334"/>
      <c r="D1040" s="1316" t="s">
        <v>1416</v>
      </c>
      <c r="E1040" s="1337"/>
      <c r="F1040" s="1336" t="s">
        <v>88</v>
      </c>
      <c r="G1040" s="1358">
        <f>P!$J$346</f>
        <v>73130.8</v>
      </c>
      <c r="H1040" s="1872">
        <f>P!$J$278</f>
        <v>33092.627999999997</v>
      </c>
      <c r="I1040" s="1338">
        <f t="shared" si="225"/>
        <v>106223.428</v>
      </c>
      <c r="J1040" s="1338">
        <f t="shared" si="226"/>
        <v>0</v>
      </c>
      <c r="K1040" s="1338">
        <f t="shared" si="227"/>
        <v>0</v>
      </c>
      <c r="L1040" s="1530">
        <f t="shared" si="228"/>
        <v>0</v>
      </c>
      <c r="P1040" s="1939">
        <f>E1040+E1091+E1217</f>
        <v>0</v>
      </c>
      <c r="AB1040" s="1221"/>
    </row>
    <row r="1041" spans="1:16" ht="18" hidden="1" customHeight="1">
      <c r="A1041" s="1371"/>
      <c r="B1041" s="1316" t="s">
        <v>104</v>
      </c>
      <c r="C1041" s="1334"/>
      <c r="D1041" s="1316" t="s">
        <v>1435</v>
      </c>
      <c r="E1041" s="1337"/>
      <c r="F1041" s="1336" t="s">
        <v>22</v>
      </c>
      <c r="G1041" s="1872">
        <f>P!$J$256</f>
        <v>16385.900000000001</v>
      </c>
      <c r="H1041" s="1872">
        <f>P!$J$260</f>
        <v>48100</v>
      </c>
      <c r="I1041" s="1338">
        <f t="shared" si="225"/>
        <v>64485.9</v>
      </c>
      <c r="J1041" s="1338">
        <f t="shared" si="226"/>
        <v>0</v>
      </c>
      <c r="K1041" s="1338">
        <f t="shared" si="227"/>
        <v>0</v>
      </c>
      <c r="L1041" s="1530">
        <f t="shared" si="228"/>
        <v>0</v>
      </c>
    </row>
    <row r="1042" spans="1:16" ht="18" hidden="1" customHeight="1">
      <c r="A1042" s="1367"/>
      <c r="B1042" s="1361" t="s">
        <v>1626</v>
      </c>
      <c r="C1042" s="1360"/>
      <c r="D1042" s="1361" t="s">
        <v>1628</v>
      </c>
      <c r="E1042" s="1358"/>
      <c r="F1042" s="1336" t="s">
        <v>22</v>
      </c>
      <c r="G1042" s="1872">
        <v>30000</v>
      </c>
      <c r="H1042" s="1872">
        <v>30000</v>
      </c>
      <c r="I1042" s="1338">
        <f t="shared" si="225"/>
        <v>60000</v>
      </c>
      <c r="J1042" s="1338">
        <f t="shared" si="226"/>
        <v>0</v>
      </c>
      <c r="K1042" s="1338">
        <f t="shared" si="227"/>
        <v>0</v>
      </c>
      <c r="L1042" s="1530">
        <f t="shared" si="228"/>
        <v>0</v>
      </c>
    </row>
    <row r="1043" spans="1:16" ht="18" hidden="1" customHeight="1">
      <c r="A1043" s="1371">
        <v>5</v>
      </c>
      <c r="B1043" s="1316" t="s">
        <v>1428</v>
      </c>
      <c r="C1043" s="1334"/>
      <c r="D1043" s="1316" t="s">
        <v>105</v>
      </c>
      <c r="E1043" s="1337">
        <v>0</v>
      </c>
      <c r="F1043" s="1336" t="s">
        <v>22</v>
      </c>
      <c r="G1043" s="1872">
        <f>P!$J$28</f>
        <v>13985.398399999998</v>
      </c>
      <c r="H1043" s="1913">
        <f>P!$J$32</f>
        <v>48100</v>
      </c>
      <c r="I1043" s="1338">
        <f t="shared" si="225"/>
        <v>62085.398399999998</v>
      </c>
      <c r="J1043" s="1338">
        <f t="shared" si="226"/>
        <v>0</v>
      </c>
      <c r="K1043" s="1338">
        <f t="shared" si="227"/>
        <v>0</v>
      </c>
      <c r="L1043" s="1530">
        <f t="shared" si="228"/>
        <v>0</v>
      </c>
    </row>
    <row r="1044" spans="1:16" ht="18" hidden="1" customHeight="1">
      <c r="A1044" s="1367">
        <v>6</v>
      </c>
      <c r="B1044" s="1316" t="s">
        <v>1417</v>
      </c>
      <c r="C1044" s="1334"/>
      <c r="D1044" s="1316" t="s">
        <v>106</v>
      </c>
      <c r="E1044" s="1337">
        <v>0</v>
      </c>
      <c r="F1044" s="1336" t="s">
        <v>22</v>
      </c>
      <c r="G1044" s="1872">
        <f>P!$J$8</f>
        <v>11150.623624999998</v>
      </c>
      <c r="H1044" s="1913">
        <f>P!$J$12</f>
        <v>48100</v>
      </c>
      <c r="I1044" s="1338">
        <f t="shared" si="225"/>
        <v>59250.623625</v>
      </c>
      <c r="J1044" s="1338">
        <f t="shared" si="226"/>
        <v>0</v>
      </c>
      <c r="K1044" s="1338">
        <f t="shared" si="227"/>
        <v>0</v>
      </c>
      <c r="L1044" s="1530">
        <f t="shared" si="228"/>
        <v>0</v>
      </c>
    </row>
    <row r="1045" spans="1:16" ht="18" hidden="1" customHeight="1">
      <c r="A1045" s="1371">
        <v>7</v>
      </c>
      <c r="B1045" s="1316" t="s">
        <v>1418</v>
      </c>
      <c r="C1045" s="1334"/>
      <c r="D1045" s="1316" t="s">
        <v>106</v>
      </c>
      <c r="E1045" s="1337">
        <v>0</v>
      </c>
      <c r="F1045" s="1336" t="s">
        <v>22</v>
      </c>
      <c r="G1045" s="1872">
        <f>P!$J$18</f>
        <v>13995.68</v>
      </c>
      <c r="H1045" s="1913">
        <f>P!$J$22</f>
        <v>48100</v>
      </c>
      <c r="I1045" s="1338">
        <f t="shared" si="225"/>
        <v>62095.68</v>
      </c>
      <c r="J1045" s="1338">
        <f t="shared" si="226"/>
        <v>0</v>
      </c>
      <c r="K1045" s="1338">
        <f t="shared" si="227"/>
        <v>0</v>
      </c>
      <c r="L1045" s="1530">
        <f t="shared" si="228"/>
        <v>0</v>
      </c>
    </row>
    <row r="1046" spans="1:16" ht="18" hidden="1" customHeight="1">
      <c r="A1046" s="1367"/>
      <c r="B1046" s="1316" t="s">
        <v>1474</v>
      </c>
      <c r="C1046" s="1334"/>
      <c r="D1046" s="1316" t="s">
        <v>1476</v>
      </c>
      <c r="E1046" s="1337"/>
      <c r="F1046" s="1336" t="s">
        <v>88</v>
      </c>
      <c r="G1046" s="1872">
        <f>P!$J$183</f>
        <v>183750</v>
      </c>
      <c r="H1046" s="1913">
        <f>P!$J$187</f>
        <v>59394</v>
      </c>
      <c r="I1046" s="1338">
        <f t="shared" si="225"/>
        <v>243144</v>
      </c>
      <c r="J1046" s="1338">
        <f t="shared" si="226"/>
        <v>0</v>
      </c>
      <c r="K1046" s="1338">
        <f t="shared" si="227"/>
        <v>0</v>
      </c>
      <c r="L1046" s="1530">
        <f t="shared" si="228"/>
        <v>0</v>
      </c>
    </row>
    <row r="1047" spans="1:16" ht="18" hidden="1" customHeight="1">
      <c r="A1047" s="1371">
        <v>8</v>
      </c>
      <c r="B1047" s="1316" t="s">
        <v>107</v>
      </c>
      <c r="C1047" s="1334"/>
      <c r="D1047" s="1316" t="str">
        <f>BAHAN!$F$315</f>
        <v>Philips LED Downlight Eridani 5W</v>
      </c>
      <c r="E1047" s="1337">
        <v>0</v>
      </c>
      <c r="F1047" s="1336" t="s">
        <v>88</v>
      </c>
      <c r="G1047" s="1872">
        <f>P!$J$165</f>
        <v>60900</v>
      </c>
      <c r="H1047" s="1913">
        <f>P!$J$169</f>
        <v>59394</v>
      </c>
      <c r="I1047" s="1338">
        <f t="shared" si="225"/>
        <v>120294</v>
      </c>
      <c r="J1047" s="1338">
        <f t="shared" si="226"/>
        <v>0</v>
      </c>
      <c r="K1047" s="1338">
        <f t="shared" si="227"/>
        <v>0</v>
      </c>
      <c r="L1047" s="1530">
        <f t="shared" si="228"/>
        <v>0</v>
      </c>
    </row>
    <row r="1048" spans="1:16" ht="18" hidden="1" customHeight="1">
      <c r="A1048" s="1367">
        <v>9</v>
      </c>
      <c r="B1048" s="1316" t="s">
        <v>1475</v>
      </c>
      <c r="C1048" s="1334"/>
      <c r="D1048" s="1316" t="str">
        <f>BAHAN!$F$313</f>
        <v>Philips Lampu LED 12 Watt Coolday Light</v>
      </c>
      <c r="E1048" s="1337">
        <v>0</v>
      </c>
      <c r="F1048" s="1336" t="s">
        <v>88</v>
      </c>
      <c r="G1048" s="1872">
        <f>P!$J$174</f>
        <v>146790</v>
      </c>
      <c r="H1048" s="1913">
        <f>P!$J$178</f>
        <v>59394</v>
      </c>
      <c r="I1048" s="1338">
        <f t="shared" si="225"/>
        <v>206184</v>
      </c>
      <c r="J1048" s="1338">
        <f t="shared" si="226"/>
        <v>0</v>
      </c>
      <c r="K1048" s="1338">
        <f t="shared" si="227"/>
        <v>0</v>
      </c>
      <c r="L1048" s="1530">
        <f t="shared" si="228"/>
        <v>0</v>
      </c>
    </row>
    <row r="1049" spans="1:16" ht="18" hidden="1" customHeight="1">
      <c r="A1049" s="1371">
        <v>10</v>
      </c>
      <c r="B1049" s="1316" t="s">
        <v>1473</v>
      </c>
      <c r="C1049" s="1334"/>
      <c r="D1049" s="1316" t="s">
        <v>1484</v>
      </c>
      <c r="E1049" s="1337">
        <v>0</v>
      </c>
      <c r="F1049" s="1336" t="s">
        <v>88</v>
      </c>
      <c r="G1049" s="1872">
        <f>P!$J$210</f>
        <v>182700</v>
      </c>
      <c r="H1049" s="1913">
        <f>P!$J$214</f>
        <v>59394</v>
      </c>
      <c r="I1049" s="1338">
        <f t="shared" si="225"/>
        <v>242094</v>
      </c>
      <c r="J1049" s="1338">
        <f t="shared" si="226"/>
        <v>0</v>
      </c>
      <c r="K1049" s="1338">
        <f t="shared" si="227"/>
        <v>0</v>
      </c>
      <c r="L1049" s="1530">
        <f t="shared" si="228"/>
        <v>0</v>
      </c>
    </row>
    <row r="1050" spans="1:16" ht="18" hidden="1" customHeight="1">
      <c r="A1050" s="1367"/>
      <c r="B1050" s="1316" t="s">
        <v>897</v>
      </c>
      <c r="C1050" s="1334"/>
      <c r="D1050" s="1316" t="s">
        <v>1197</v>
      </c>
      <c r="E1050" s="1337"/>
      <c r="F1050" s="1336" t="s">
        <v>88</v>
      </c>
      <c r="G1050" s="1872">
        <f>P!$J$192</f>
        <v>182700</v>
      </c>
      <c r="H1050" s="1913">
        <f>P!$J$196</f>
        <v>59394</v>
      </c>
      <c r="I1050" s="1338">
        <f t="shared" si="225"/>
        <v>242094</v>
      </c>
      <c r="J1050" s="1338">
        <f t="shared" si="226"/>
        <v>0</v>
      </c>
      <c r="K1050" s="1338">
        <f t="shared" si="227"/>
        <v>0</v>
      </c>
      <c r="L1050" s="1530">
        <f t="shared" si="228"/>
        <v>0</v>
      </c>
    </row>
    <row r="1051" spans="1:16" ht="18" hidden="1" customHeight="1">
      <c r="A1051" s="1371">
        <v>11</v>
      </c>
      <c r="B1051" s="1316" t="s">
        <v>183</v>
      </c>
      <c r="C1051" s="1334"/>
      <c r="D1051" s="1316" t="str">
        <f>BAHAN!$F$329</f>
        <v>Ex. Eglare Lampu Gantung Hias Cyrstal 6l</v>
      </c>
      <c r="E1051" s="1337">
        <v>0</v>
      </c>
      <c r="F1051" s="1336" t="s">
        <v>88</v>
      </c>
      <c r="G1051" s="1913">
        <f>P!$J$246</f>
        <v>1836765</v>
      </c>
      <c r="H1051" s="1913">
        <f>P!$J$196</f>
        <v>59394</v>
      </c>
      <c r="I1051" s="1338">
        <f t="shared" si="225"/>
        <v>1896159</v>
      </c>
      <c r="J1051" s="1338">
        <f t="shared" si="226"/>
        <v>0</v>
      </c>
      <c r="K1051" s="1338">
        <f t="shared" si="227"/>
        <v>0</v>
      </c>
      <c r="L1051" s="1530">
        <f t="shared" si="228"/>
        <v>0</v>
      </c>
    </row>
    <row r="1052" spans="1:16" ht="18" hidden="1" customHeight="1">
      <c r="A1052" s="1367">
        <v>12</v>
      </c>
      <c r="B1052" s="1316" t="s">
        <v>208</v>
      </c>
      <c r="C1052" s="1334"/>
      <c r="D1052" s="1316" t="s">
        <v>1198</v>
      </c>
      <c r="E1052" s="1337">
        <v>0</v>
      </c>
      <c r="F1052" s="1336" t="s">
        <v>88</v>
      </c>
      <c r="G1052" s="1913">
        <f>P!$J$201</f>
        <v>52395</v>
      </c>
      <c r="H1052" s="1913">
        <f>P!$J$196</f>
        <v>59394</v>
      </c>
      <c r="I1052" s="1338">
        <f t="shared" si="225"/>
        <v>111789</v>
      </c>
      <c r="J1052" s="1338">
        <f t="shared" si="226"/>
        <v>0</v>
      </c>
      <c r="K1052" s="1338">
        <f t="shared" si="227"/>
        <v>0</v>
      </c>
      <c r="L1052" s="1530">
        <f t="shared" si="228"/>
        <v>0</v>
      </c>
    </row>
    <row r="1053" spans="1:16" ht="18" hidden="1" customHeight="1">
      <c r="A1053" s="1371"/>
      <c r="B1053" s="1316" t="s">
        <v>1512</v>
      </c>
      <c r="C1053" s="1334"/>
      <c r="D1053" s="1316" t="s">
        <v>1513</v>
      </c>
      <c r="E1053" s="1337"/>
      <c r="F1053" s="1336" t="s">
        <v>88</v>
      </c>
      <c r="G1053" s="1913">
        <f>P!$J$219</f>
        <v>648375</v>
      </c>
      <c r="H1053" s="1913">
        <f>P!$J$196</f>
        <v>59394</v>
      </c>
      <c r="I1053" s="1338">
        <f t="shared" si="225"/>
        <v>707769</v>
      </c>
      <c r="J1053" s="1338">
        <f t="shared" si="226"/>
        <v>0</v>
      </c>
      <c r="K1053" s="1338">
        <f t="shared" si="227"/>
        <v>0</v>
      </c>
      <c r="L1053" s="1530">
        <f t="shared" si="228"/>
        <v>0</v>
      </c>
    </row>
    <row r="1054" spans="1:16" ht="18" hidden="1" customHeight="1">
      <c r="A1054" s="1367"/>
      <c r="B1054" s="1301" t="s">
        <v>1596</v>
      </c>
      <c r="C1054" s="1360"/>
      <c r="D1054" s="1361" t="s">
        <v>1595</v>
      </c>
      <c r="E1054" s="1358"/>
      <c r="F1054" s="1362" t="s">
        <v>88</v>
      </c>
      <c r="G1054" s="1913">
        <f>P!$J$156</f>
        <v>330750</v>
      </c>
      <c r="H1054" s="1913">
        <f>P!$J$196</f>
        <v>59394</v>
      </c>
      <c r="I1054" s="1338">
        <f t="shared" si="225"/>
        <v>390144</v>
      </c>
      <c r="J1054" s="1338">
        <f t="shared" si="226"/>
        <v>0</v>
      </c>
      <c r="K1054" s="1338">
        <f t="shared" si="227"/>
        <v>0</v>
      </c>
      <c r="L1054" s="1530">
        <f t="shared" si="228"/>
        <v>0</v>
      </c>
    </row>
    <row r="1055" spans="1:16" ht="18" hidden="1" customHeight="1">
      <c r="A1055" s="1371">
        <v>13</v>
      </c>
      <c r="B1055" s="1302" t="s">
        <v>1667</v>
      </c>
      <c r="C1055" s="1384"/>
      <c r="D1055" s="1383" t="s">
        <v>1668</v>
      </c>
      <c r="E1055" s="1385">
        <v>0</v>
      </c>
      <c r="F1055" s="1386" t="s">
        <v>129</v>
      </c>
      <c r="G1055" s="1913">
        <f>P!$J$409</f>
        <v>16590</v>
      </c>
      <c r="H1055" s="1913">
        <f>P!$J$413</f>
        <v>33092.627999999997</v>
      </c>
      <c r="I1055" s="1338">
        <f t="shared" si="225"/>
        <v>49682.627999999997</v>
      </c>
      <c r="J1055" s="1338">
        <f t="shared" si="226"/>
        <v>0</v>
      </c>
      <c r="K1055" s="1338">
        <f t="shared" si="227"/>
        <v>0</v>
      </c>
      <c r="L1055" s="1530">
        <f t="shared" si="228"/>
        <v>0</v>
      </c>
    </row>
    <row r="1056" spans="1:16" ht="18" hidden="1" customHeight="1">
      <c r="A1056" s="1371"/>
      <c r="B1056" s="1302" t="s">
        <v>2323</v>
      </c>
      <c r="C1056" s="1384"/>
      <c r="D1056" s="1383" t="s">
        <v>2324</v>
      </c>
      <c r="E1056" s="1385"/>
      <c r="F1056" s="1386" t="s">
        <v>88</v>
      </c>
      <c r="G1056" s="1913">
        <f>P!$J$418</f>
        <v>103950</v>
      </c>
      <c r="H1056" s="1913">
        <f>P!$J$422</f>
        <v>33092.627999999997</v>
      </c>
      <c r="I1056" s="1338">
        <f t="shared" si="225"/>
        <v>137042.628</v>
      </c>
      <c r="J1056" s="1338">
        <f t="shared" si="226"/>
        <v>0</v>
      </c>
      <c r="K1056" s="1338">
        <f t="shared" si="227"/>
        <v>0</v>
      </c>
      <c r="L1056" s="1530">
        <f t="shared" si="228"/>
        <v>0</v>
      </c>
      <c r="P1056" s="1939">
        <f>E1056+E1103+E1226</f>
        <v>0</v>
      </c>
    </row>
    <row r="1057" spans="1:28" ht="18" hidden="1" customHeight="1">
      <c r="A1057" s="1367"/>
      <c r="B1057" s="1302" t="s">
        <v>2420</v>
      </c>
      <c r="C1057" s="1384"/>
      <c r="D1057" s="1383" t="s">
        <v>2420</v>
      </c>
      <c r="E1057" s="1385"/>
      <c r="F1057" s="1386" t="s">
        <v>88</v>
      </c>
      <c r="G1057" s="1913">
        <f>BAHAN!$E$340</f>
        <v>179000</v>
      </c>
      <c r="H1057" s="1913">
        <f>P!$J$440</f>
        <v>33092.627999999997</v>
      </c>
      <c r="I1057" s="1338">
        <f t="shared" si="225"/>
        <v>212092.628</v>
      </c>
      <c r="J1057" s="1338">
        <f t="shared" si="226"/>
        <v>0</v>
      </c>
      <c r="K1057" s="1338">
        <f t="shared" si="227"/>
        <v>0</v>
      </c>
      <c r="L1057" s="1530">
        <f t="shared" si="228"/>
        <v>0</v>
      </c>
      <c r="P1057" s="1939">
        <f>E1057+E1104+E1228</f>
        <v>0</v>
      </c>
    </row>
    <row r="1058" spans="1:28" ht="18" hidden="1" customHeight="1">
      <c r="A1058" s="1371"/>
      <c r="B1058" s="1302" t="s">
        <v>2326</v>
      </c>
      <c r="C1058" s="1384"/>
      <c r="D1058" s="1383" t="s">
        <v>2330</v>
      </c>
      <c r="E1058" s="1385"/>
      <c r="F1058" s="1386" t="s">
        <v>88</v>
      </c>
      <c r="G1058" s="1913">
        <f>P!$J$427</f>
        <v>69300</v>
      </c>
      <c r="H1058" s="1913">
        <f>P!$J$431</f>
        <v>33092.627999999997</v>
      </c>
      <c r="I1058" s="1338">
        <f t="shared" si="225"/>
        <v>102392.628</v>
      </c>
      <c r="J1058" s="1338">
        <f t="shared" si="226"/>
        <v>0</v>
      </c>
      <c r="K1058" s="1338">
        <f t="shared" si="227"/>
        <v>0</v>
      </c>
      <c r="L1058" s="1530">
        <f t="shared" si="228"/>
        <v>0</v>
      </c>
      <c r="P1058" s="1939">
        <f>E1058+E1186+E1261</f>
        <v>0</v>
      </c>
      <c r="AB1058" s="1221"/>
    </row>
    <row r="1059" spans="1:28" ht="18" hidden="1" customHeight="1">
      <c r="A1059" s="1371">
        <v>14</v>
      </c>
      <c r="B1059" s="1316" t="s">
        <v>108</v>
      </c>
      <c r="C1059" s="1334"/>
      <c r="D1059" s="1316" t="s">
        <v>109</v>
      </c>
      <c r="E1059" s="1337">
        <v>0</v>
      </c>
      <c r="F1059" s="1336" t="s">
        <v>88</v>
      </c>
      <c r="G1059" s="1913">
        <f>P!$J$75</f>
        <v>18235.349999999999</v>
      </c>
      <c r="H1059" s="1872">
        <f>P!$J$79</f>
        <v>12992</v>
      </c>
      <c r="I1059" s="1338">
        <f t="shared" si="225"/>
        <v>31227.35</v>
      </c>
      <c r="J1059" s="1338">
        <f t="shared" si="226"/>
        <v>0</v>
      </c>
      <c r="K1059" s="1338">
        <f t="shared" si="227"/>
        <v>0</v>
      </c>
      <c r="L1059" s="1530">
        <f t="shared" si="228"/>
        <v>0</v>
      </c>
    </row>
    <row r="1060" spans="1:28" ht="18" hidden="1" customHeight="1">
      <c r="A1060" s="1367"/>
      <c r="B1060" s="1361" t="s">
        <v>1624</v>
      </c>
      <c r="C1060" s="1360"/>
      <c r="D1060" s="1316" t="s">
        <v>109</v>
      </c>
      <c r="E1060" s="1358"/>
      <c r="F1060" s="1362" t="s">
        <v>88</v>
      </c>
      <c r="G1060" s="1913">
        <f>P!$J$102</f>
        <v>33285</v>
      </c>
      <c r="H1060" s="1872">
        <f>P!$J$106</f>
        <v>12992</v>
      </c>
      <c r="I1060" s="1338">
        <f t="shared" si="225"/>
        <v>46277</v>
      </c>
      <c r="J1060" s="1338">
        <f t="shared" si="226"/>
        <v>0</v>
      </c>
      <c r="K1060" s="1338">
        <f t="shared" si="227"/>
        <v>0</v>
      </c>
      <c r="L1060" s="1530">
        <f t="shared" si="228"/>
        <v>0</v>
      </c>
    </row>
    <row r="1061" spans="1:28" ht="18" hidden="1" customHeight="1">
      <c r="A1061" s="1371"/>
      <c r="B1061" s="1361" t="s">
        <v>2172</v>
      </c>
      <c r="C1061" s="1360"/>
      <c r="D1061" s="1316" t="s">
        <v>109</v>
      </c>
      <c r="E1061" s="1358"/>
      <c r="F1061" s="1362" t="s">
        <v>88</v>
      </c>
      <c r="G1061" s="1913">
        <f>P!$J$84</f>
        <v>68250</v>
      </c>
      <c r="H1061" s="1872">
        <f>P!$J$88</f>
        <v>12992</v>
      </c>
      <c r="I1061" s="1338">
        <f t="shared" si="225"/>
        <v>81242</v>
      </c>
      <c r="J1061" s="1338">
        <f t="shared" si="226"/>
        <v>0</v>
      </c>
      <c r="K1061" s="1338">
        <f t="shared" si="227"/>
        <v>0</v>
      </c>
      <c r="L1061" s="1530">
        <f t="shared" si="228"/>
        <v>0</v>
      </c>
    </row>
    <row r="1062" spans="1:28" ht="18" hidden="1" customHeight="1">
      <c r="A1062" s="1367">
        <v>15</v>
      </c>
      <c r="B1062" s="1316" t="s">
        <v>110</v>
      </c>
      <c r="C1062" s="1334"/>
      <c r="D1062" s="1316" t="s">
        <v>109</v>
      </c>
      <c r="E1062" s="1337">
        <v>0</v>
      </c>
      <c r="F1062" s="1336" t="s">
        <v>88</v>
      </c>
      <c r="G1062" s="1913">
        <f>P!$J$111</f>
        <v>52104.15</v>
      </c>
      <c r="H1062" s="1872">
        <f>P!$J$115</f>
        <v>12992</v>
      </c>
      <c r="I1062" s="1338">
        <f t="shared" si="225"/>
        <v>65096.15</v>
      </c>
      <c r="J1062" s="1338">
        <f t="shared" si="226"/>
        <v>0</v>
      </c>
      <c r="K1062" s="1338">
        <f t="shared" si="227"/>
        <v>0</v>
      </c>
      <c r="L1062" s="1530">
        <f t="shared" si="228"/>
        <v>0</v>
      </c>
      <c r="Q1062" s="1300">
        <v>10</v>
      </c>
    </row>
    <row r="1063" spans="1:28" ht="18" hidden="1" customHeight="1">
      <c r="A1063" s="1371">
        <v>16</v>
      </c>
      <c r="B1063" s="1316" t="s">
        <v>111</v>
      </c>
      <c r="C1063" s="1334"/>
      <c r="D1063" s="1316" t="s">
        <v>109</v>
      </c>
      <c r="E1063" s="1337">
        <v>0</v>
      </c>
      <c r="F1063" s="1336" t="s">
        <v>88</v>
      </c>
      <c r="G1063" s="1913">
        <f>P!$J$120</f>
        <v>10363.5</v>
      </c>
      <c r="H1063" s="1872">
        <f>P!$J$124</f>
        <v>12992</v>
      </c>
      <c r="I1063" s="1338">
        <f t="shared" si="225"/>
        <v>23355.5</v>
      </c>
      <c r="J1063" s="1338">
        <f t="shared" si="226"/>
        <v>0</v>
      </c>
      <c r="K1063" s="1338">
        <f t="shared" si="227"/>
        <v>0</v>
      </c>
      <c r="L1063" s="1530">
        <f t="shared" si="228"/>
        <v>0</v>
      </c>
      <c r="Q1063" s="1554">
        <f>E1063</f>
        <v>0</v>
      </c>
      <c r="R1063" s="1554">
        <f>Q1063</f>
        <v>0</v>
      </c>
    </row>
    <row r="1064" spans="1:28" ht="18" hidden="1" customHeight="1">
      <c r="A1064" s="1367">
        <v>17</v>
      </c>
      <c r="B1064" s="1316" t="s">
        <v>112</v>
      </c>
      <c r="C1064" s="1334"/>
      <c r="D1064" s="1316" t="s">
        <v>109</v>
      </c>
      <c r="E1064" s="1337">
        <v>0</v>
      </c>
      <c r="F1064" s="1336" t="s">
        <v>88</v>
      </c>
      <c r="G1064" s="1913">
        <f>P!$J$129</f>
        <v>14082.6</v>
      </c>
      <c r="H1064" s="1872">
        <f>P!$J$133</f>
        <v>12992</v>
      </c>
      <c r="I1064" s="1338">
        <f t="shared" si="225"/>
        <v>27074.6</v>
      </c>
      <c r="J1064" s="1338">
        <f t="shared" si="226"/>
        <v>0</v>
      </c>
      <c r="K1064" s="1338">
        <f t="shared" si="227"/>
        <v>0</v>
      </c>
      <c r="L1064" s="1530">
        <f t="shared" si="228"/>
        <v>0</v>
      </c>
      <c r="Q1064" s="1554">
        <f t="shared" ref="Q1064:Q1071" si="229">E1064</f>
        <v>0</v>
      </c>
      <c r="R1064" s="2066">
        <f>Q1064*2</f>
        <v>0</v>
      </c>
    </row>
    <row r="1065" spans="1:28" ht="18" hidden="1" customHeight="1">
      <c r="A1065" s="1371">
        <v>18</v>
      </c>
      <c r="B1065" s="1316" t="s">
        <v>1421</v>
      </c>
      <c r="C1065" s="1334"/>
      <c r="D1065" s="1316" t="s">
        <v>109</v>
      </c>
      <c r="E1065" s="1337">
        <v>0</v>
      </c>
      <c r="F1065" s="1336" t="s">
        <v>88</v>
      </c>
      <c r="G1065" s="1913">
        <f>P!$J$138</f>
        <v>18367.650000000001</v>
      </c>
      <c r="H1065" s="1872">
        <f>P!$J$142</f>
        <v>12992</v>
      </c>
      <c r="I1065" s="1338">
        <f t="shared" si="225"/>
        <v>31359.65</v>
      </c>
      <c r="J1065" s="1338">
        <f t="shared" si="226"/>
        <v>0</v>
      </c>
      <c r="K1065" s="1338">
        <f t="shared" si="227"/>
        <v>0</v>
      </c>
      <c r="L1065" s="1530">
        <f t="shared" si="228"/>
        <v>0</v>
      </c>
      <c r="Q1065" s="1554">
        <f t="shared" si="229"/>
        <v>0</v>
      </c>
      <c r="R1065" s="2066">
        <f>Q1065*3</f>
        <v>0</v>
      </c>
    </row>
    <row r="1066" spans="1:28" ht="18" hidden="1" customHeight="1">
      <c r="A1066" s="1367">
        <v>19</v>
      </c>
      <c r="B1066" s="1388" t="s">
        <v>1537</v>
      </c>
      <c r="C1066" s="1389"/>
      <c r="D1066" s="1316" t="s">
        <v>1535</v>
      </c>
      <c r="E1066" s="1365">
        <v>0</v>
      </c>
      <c r="F1066" s="1366" t="s">
        <v>88</v>
      </c>
      <c r="G1066" s="1913">
        <f>P!$J$147</f>
        <v>77307.3</v>
      </c>
      <c r="H1066" s="1872">
        <f>P!$J$151</f>
        <v>10540</v>
      </c>
      <c r="I1066" s="1338">
        <f t="shared" si="225"/>
        <v>87847.3</v>
      </c>
      <c r="J1066" s="1338">
        <f t="shared" si="226"/>
        <v>0</v>
      </c>
      <c r="K1066" s="1338">
        <f t="shared" si="227"/>
        <v>0</v>
      </c>
      <c r="L1066" s="1530">
        <f t="shared" si="228"/>
        <v>0</v>
      </c>
      <c r="Q1066" s="1554">
        <f t="shared" si="229"/>
        <v>0</v>
      </c>
      <c r="R1066" s="2066">
        <f>Q1066*4</f>
        <v>0</v>
      </c>
    </row>
    <row r="1067" spans="1:28" ht="18" hidden="1" customHeight="1">
      <c r="A1067" s="1371">
        <v>20</v>
      </c>
      <c r="B1067" s="1316" t="s">
        <v>1673</v>
      </c>
      <c r="C1067" s="1334"/>
      <c r="D1067" s="1316" t="s">
        <v>109</v>
      </c>
      <c r="E1067" s="1385">
        <v>0</v>
      </c>
      <c r="F1067" s="1386" t="s">
        <v>88</v>
      </c>
      <c r="G1067" s="1913">
        <f>P!$J$391</f>
        <v>24612</v>
      </c>
      <c r="H1067" s="1872">
        <f>P!$J$395</f>
        <v>8915.9500000000007</v>
      </c>
      <c r="I1067" s="1338">
        <f t="shared" si="225"/>
        <v>33527.949999999997</v>
      </c>
      <c r="J1067" s="1338">
        <f t="shared" si="226"/>
        <v>0</v>
      </c>
      <c r="K1067" s="1338">
        <f t="shared" si="227"/>
        <v>0</v>
      </c>
      <c r="L1067" s="1530">
        <f t="shared" si="228"/>
        <v>0</v>
      </c>
      <c r="Q1067" s="1554">
        <f t="shared" si="229"/>
        <v>0</v>
      </c>
      <c r="R1067" s="1554">
        <f>Q1067</f>
        <v>0</v>
      </c>
    </row>
    <row r="1068" spans="1:28" ht="18" hidden="1" customHeight="1">
      <c r="A1068" s="1367"/>
      <c r="B1068" s="1316" t="s">
        <v>1534</v>
      </c>
      <c r="C1068" s="1334"/>
      <c r="D1068" s="1316" t="s">
        <v>1535</v>
      </c>
      <c r="E1068" s="1337"/>
      <c r="F1068" s="1336" t="s">
        <v>88</v>
      </c>
      <c r="G1068" s="1913">
        <f>P!$J$382</f>
        <v>33030.9</v>
      </c>
      <c r="H1068" s="1872">
        <f>P!$J$386</f>
        <v>8915.9500000000007</v>
      </c>
      <c r="I1068" s="1338">
        <f t="shared" si="225"/>
        <v>41946.850000000006</v>
      </c>
      <c r="J1068" s="1338">
        <f t="shared" si="226"/>
        <v>0</v>
      </c>
      <c r="K1068" s="1338">
        <f t="shared" si="227"/>
        <v>0</v>
      </c>
      <c r="L1068" s="1530">
        <f t="shared" si="228"/>
        <v>0</v>
      </c>
      <c r="Q1068" s="1554">
        <f t="shared" si="229"/>
        <v>0</v>
      </c>
    </row>
    <row r="1069" spans="1:28" ht="18" hidden="1" customHeight="1">
      <c r="A1069" s="1371"/>
      <c r="B1069" s="1316" t="s">
        <v>1676</v>
      </c>
      <c r="C1069" s="1334"/>
      <c r="D1069" s="1316" t="s">
        <v>109</v>
      </c>
      <c r="E1069" s="1385"/>
      <c r="F1069" s="1390" t="s">
        <v>88</v>
      </c>
      <c r="G1069" s="1913">
        <f>P!$J$373</f>
        <v>43335.6</v>
      </c>
      <c r="H1069" s="1872">
        <f>P!$J$377</f>
        <v>8915.9500000000007</v>
      </c>
      <c r="I1069" s="1338">
        <f t="shared" si="225"/>
        <v>52251.55</v>
      </c>
      <c r="J1069" s="1338">
        <f t="shared" si="226"/>
        <v>0</v>
      </c>
      <c r="K1069" s="1338">
        <f t="shared" si="227"/>
        <v>0</v>
      </c>
      <c r="L1069" s="1530">
        <f t="shared" si="228"/>
        <v>0</v>
      </c>
      <c r="Q1069" s="1554">
        <f t="shared" si="229"/>
        <v>0</v>
      </c>
    </row>
    <row r="1070" spans="1:28" ht="18" hidden="1" customHeight="1">
      <c r="A1070" s="1367"/>
      <c r="B1070" s="1339" t="s">
        <v>206</v>
      </c>
      <c r="C1070" s="1368"/>
      <c r="D1070" s="1339" t="s">
        <v>207</v>
      </c>
      <c r="E1070" s="1337"/>
      <c r="F1070" s="1380" t="s">
        <v>154</v>
      </c>
      <c r="G1070" s="1913">
        <v>3000000</v>
      </c>
      <c r="H1070" s="1872">
        <v>0</v>
      </c>
      <c r="I1070" s="1338">
        <f t="shared" si="225"/>
        <v>3000000</v>
      </c>
      <c r="J1070" s="1338">
        <f t="shared" si="226"/>
        <v>0</v>
      </c>
      <c r="K1070" s="1338">
        <f t="shared" si="227"/>
        <v>0</v>
      </c>
      <c r="L1070" s="1530">
        <f t="shared" si="228"/>
        <v>0</v>
      </c>
      <c r="Q1070" s="1300">
        <f t="shared" si="229"/>
        <v>0</v>
      </c>
      <c r="R1070" s="1554">
        <f>SUM(R1063:R1067)</f>
        <v>0</v>
      </c>
      <c r="S1070" s="2066">
        <f>R1070-12</f>
        <v>-12</v>
      </c>
    </row>
    <row r="1071" spans="1:28" ht="18" hidden="1" customHeight="1" thickBot="1">
      <c r="A1071" s="1371">
        <v>21</v>
      </c>
      <c r="B1071" s="1316" t="s">
        <v>903</v>
      </c>
      <c r="C1071" s="1334"/>
      <c r="D1071" s="1316" t="s">
        <v>1420</v>
      </c>
      <c r="E1071" s="1337">
        <v>0</v>
      </c>
      <c r="F1071" s="1336" t="s">
        <v>88</v>
      </c>
      <c r="G1071" s="1913">
        <f>P!$J$228</f>
        <v>267750</v>
      </c>
      <c r="H1071" s="1872">
        <f>P!$J$232</f>
        <v>59394</v>
      </c>
      <c r="I1071" s="1338">
        <f t="shared" si="225"/>
        <v>327144</v>
      </c>
      <c r="J1071" s="1338">
        <f t="shared" si="226"/>
        <v>0</v>
      </c>
      <c r="K1071" s="1338">
        <f t="shared" si="227"/>
        <v>0</v>
      </c>
      <c r="L1071" s="1530">
        <f t="shared" si="228"/>
        <v>0</v>
      </c>
      <c r="Q1071" s="1300">
        <f t="shared" si="229"/>
        <v>0</v>
      </c>
    </row>
    <row r="1072" spans="1:28" ht="18" hidden="1" customHeight="1" thickTop="1" thickBot="1">
      <c r="A1072" s="2675" t="s">
        <v>113</v>
      </c>
      <c r="B1072" s="2676"/>
      <c r="C1072" s="2676"/>
      <c r="D1072" s="2676"/>
      <c r="E1072" s="2676"/>
      <c r="F1072" s="2676"/>
      <c r="G1072" s="2676"/>
      <c r="H1072" s="1551"/>
      <c r="I1072" s="1551"/>
      <c r="J1072" s="1541">
        <f>SUM(J1030:J1071)</f>
        <v>0</v>
      </c>
      <c r="K1072" s="1541">
        <f>SUM(K1030:K1071)</f>
        <v>0</v>
      </c>
      <c r="L1072" s="1340">
        <f>SUM(L1030:L1071)</f>
        <v>0</v>
      </c>
      <c r="M1072" s="1300">
        <v>1</v>
      </c>
      <c r="N1072" s="1300">
        <v>93</v>
      </c>
    </row>
    <row r="1073" spans="1:28" ht="18" hidden="1" customHeight="1" thickTop="1">
      <c r="A1073" s="1363" t="s">
        <v>71</v>
      </c>
      <c r="B1073" s="1344" t="s">
        <v>72</v>
      </c>
      <c r="C1073" s="1343"/>
      <c r="D1073" s="1330"/>
      <c r="E1073" s="1330"/>
      <c r="F1073" s="1346"/>
      <c r="G1073" s="1345"/>
      <c r="H1073" s="1330"/>
      <c r="I1073" s="1330"/>
      <c r="J1073" s="1330"/>
      <c r="K1073" s="1330"/>
      <c r="L1073" s="1331"/>
      <c r="N1073" s="1300">
        <v>94</v>
      </c>
    </row>
    <row r="1074" spans="1:28" ht="18" hidden="1" customHeight="1">
      <c r="A1074" s="1371">
        <v>1</v>
      </c>
      <c r="B1074" s="1316" t="s">
        <v>103</v>
      </c>
      <c r="C1074" s="1334"/>
      <c r="D1074" s="1316" t="s">
        <v>1434</v>
      </c>
      <c r="E1074" s="1337">
        <v>0</v>
      </c>
      <c r="F1074" s="1336" t="s">
        <v>88</v>
      </c>
      <c r="G1074" s="1872">
        <f>P!$J$265</f>
        <v>42000</v>
      </c>
      <c r="H1074" s="1872">
        <f>P!$J$269</f>
        <v>59394</v>
      </c>
      <c r="I1074" s="1338">
        <f t="shared" ref="I1074:I1114" si="230">G1074+H1074</f>
        <v>101394</v>
      </c>
      <c r="J1074" s="1338">
        <f t="shared" ref="J1074:J1114" si="231">E1074*G1074</f>
        <v>0</v>
      </c>
      <c r="K1074" s="1338">
        <f t="shared" ref="K1074:K1114" si="232">E1074*H1074</f>
        <v>0</v>
      </c>
      <c r="L1074" s="1530">
        <f t="shared" ref="L1074:L1114" si="233">J1074+K1074</f>
        <v>0</v>
      </c>
    </row>
    <row r="1075" spans="1:28" ht="18" hidden="1" customHeight="1">
      <c r="A1075" s="1367"/>
      <c r="B1075" s="1361" t="s">
        <v>1630</v>
      </c>
      <c r="C1075" s="1360"/>
      <c r="D1075" s="1361" t="s">
        <v>1631</v>
      </c>
      <c r="E1075" s="1358"/>
      <c r="F1075" s="1362" t="s">
        <v>80</v>
      </c>
      <c r="G1075" s="1872">
        <v>3750000</v>
      </c>
      <c r="H1075" s="1872">
        <v>0</v>
      </c>
      <c r="I1075" s="1338">
        <f t="shared" si="230"/>
        <v>3750000</v>
      </c>
      <c r="J1075" s="1338">
        <f t="shared" si="231"/>
        <v>0</v>
      </c>
      <c r="K1075" s="1338">
        <f t="shared" si="232"/>
        <v>0</v>
      </c>
      <c r="L1075" s="1530">
        <f t="shared" si="233"/>
        <v>0</v>
      </c>
    </row>
    <row r="1076" spans="1:28" ht="18" hidden="1" customHeight="1">
      <c r="A1076" s="1371"/>
      <c r="B1076" s="1818" t="s">
        <v>2171</v>
      </c>
      <c r="C1076" s="1819"/>
      <c r="D1076" s="1818" t="s">
        <v>1416</v>
      </c>
      <c r="E1076" s="1820"/>
      <c r="F1076" s="1821" t="s">
        <v>88</v>
      </c>
      <c r="G1076" s="1872">
        <f>P!$J$274</f>
        <v>68812.800000000003</v>
      </c>
      <c r="H1076" s="1872">
        <f>P!$J$278</f>
        <v>33092.627999999997</v>
      </c>
      <c r="I1076" s="1820">
        <f t="shared" si="230"/>
        <v>101905.428</v>
      </c>
      <c r="J1076" s="1820">
        <f t="shared" si="231"/>
        <v>0</v>
      </c>
      <c r="K1076" s="1820">
        <f t="shared" si="232"/>
        <v>0</v>
      </c>
      <c r="L1076" s="1822">
        <f t="shared" si="233"/>
        <v>0</v>
      </c>
      <c r="P1076" s="1939" t="e">
        <f>E1076+#REF!+E1280</f>
        <v>#REF!</v>
      </c>
      <c r="AB1076" s="1221"/>
    </row>
    <row r="1077" spans="1:28" ht="18" hidden="1" customHeight="1">
      <c r="A1077" s="1367">
        <v>2</v>
      </c>
      <c r="B1077" s="1316" t="s">
        <v>2365</v>
      </c>
      <c r="C1077" s="1334"/>
      <c r="D1077" s="1316" t="s">
        <v>1416</v>
      </c>
      <c r="E1077" s="1337">
        <v>0</v>
      </c>
      <c r="F1077" s="1336" t="s">
        <v>88</v>
      </c>
      <c r="G1077" s="1358">
        <f>P!$J$283</f>
        <v>68812.800000000003</v>
      </c>
      <c r="H1077" s="1872">
        <f>P!$J$278</f>
        <v>33092.627999999997</v>
      </c>
      <c r="I1077" s="1338">
        <f t="shared" si="230"/>
        <v>101905.428</v>
      </c>
      <c r="J1077" s="1338">
        <f t="shared" si="231"/>
        <v>0</v>
      </c>
      <c r="K1077" s="1338">
        <f t="shared" si="232"/>
        <v>0</v>
      </c>
      <c r="L1077" s="1530">
        <f t="shared" si="233"/>
        <v>0</v>
      </c>
      <c r="P1077" s="1939" t="e">
        <f>E1077+#REF!+E1281</f>
        <v>#REF!</v>
      </c>
      <c r="AB1077" s="1221"/>
    </row>
    <row r="1078" spans="1:28" ht="18" hidden="1" customHeight="1">
      <c r="A1078" s="1371"/>
      <c r="B1078" s="1316" t="s">
        <v>2493</v>
      </c>
      <c r="C1078" s="1334"/>
      <c r="D1078" s="1316" t="s">
        <v>1416</v>
      </c>
      <c r="E1078" s="1337"/>
      <c r="F1078" s="1336" t="s">
        <v>88</v>
      </c>
      <c r="G1078" s="1358">
        <f>P!$J$292</f>
        <v>53160.800000000003</v>
      </c>
      <c r="H1078" s="1820">
        <f>P!$J$314</f>
        <v>33092.627999999997</v>
      </c>
      <c r="I1078" s="1338">
        <f t="shared" si="230"/>
        <v>86253.428</v>
      </c>
      <c r="J1078" s="1338">
        <f t="shared" si="231"/>
        <v>0</v>
      </c>
      <c r="K1078" s="1338">
        <f t="shared" si="232"/>
        <v>0</v>
      </c>
      <c r="L1078" s="1530">
        <f t="shared" si="233"/>
        <v>0</v>
      </c>
      <c r="P1078" s="1939" t="e">
        <f>E1078+#REF!+E1282</f>
        <v>#REF!</v>
      </c>
      <c r="AB1078" s="1221"/>
    </row>
    <row r="1079" spans="1:28" ht="18" hidden="1" customHeight="1">
      <c r="A1079" s="1367"/>
      <c r="B1079" s="1316" t="s">
        <v>2358</v>
      </c>
      <c r="C1079" s="1334"/>
      <c r="D1079" s="1316" t="s">
        <v>1416</v>
      </c>
      <c r="E1079" s="1337"/>
      <c r="F1079" s="1336" t="s">
        <v>88</v>
      </c>
      <c r="G1079" s="1358">
        <f>P!$J$301</f>
        <v>53160.800000000003</v>
      </c>
      <c r="H1079" s="1872">
        <f>P!$J$278</f>
        <v>33092.627999999997</v>
      </c>
      <c r="I1079" s="1338">
        <f t="shared" si="230"/>
        <v>86253.428</v>
      </c>
      <c r="J1079" s="1338">
        <f t="shared" si="231"/>
        <v>0</v>
      </c>
      <c r="K1079" s="1338">
        <f t="shared" si="232"/>
        <v>0</v>
      </c>
      <c r="L1079" s="1530">
        <f t="shared" si="233"/>
        <v>0</v>
      </c>
      <c r="P1079" s="1939" t="e">
        <f>E1079+#REF!+E1283</f>
        <v>#REF!</v>
      </c>
      <c r="AB1079" s="1221"/>
    </row>
    <row r="1080" spans="1:28" ht="18" hidden="1" customHeight="1">
      <c r="A1080" s="1371"/>
      <c r="B1080" s="1316" t="s">
        <v>2244</v>
      </c>
      <c r="C1080" s="1334"/>
      <c r="D1080" s="1316" t="s">
        <v>1416</v>
      </c>
      <c r="E1080" s="1337"/>
      <c r="F1080" s="1336" t="s">
        <v>88</v>
      </c>
      <c r="G1080" s="1358">
        <f>P!$J$310</f>
        <v>53160.800000000003</v>
      </c>
      <c r="H1080" s="1872">
        <f>P!$J$278</f>
        <v>33092.627999999997</v>
      </c>
      <c r="I1080" s="1338">
        <f t="shared" si="230"/>
        <v>86253.428</v>
      </c>
      <c r="J1080" s="1338">
        <f t="shared" si="231"/>
        <v>0</v>
      </c>
      <c r="K1080" s="1338">
        <f t="shared" si="232"/>
        <v>0</v>
      </c>
      <c r="L1080" s="1530">
        <f t="shared" si="233"/>
        <v>0</v>
      </c>
      <c r="P1080" s="1939" t="e">
        <f>E1080+#REF!+E1287</f>
        <v>#REF!</v>
      </c>
      <c r="AB1080" s="1221"/>
    </row>
    <row r="1081" spans="1:28" ht="18" hidden="1" customHeight="1">
      <c r="A1081" s="1367"/>
      <c r="B1081" s="1316" t="s">
        <v>2311</v>
      </c>
      <c r="C1081" s="1334"/>
      <c r="D1081" s="1316" t="s">
        <v>1416</v>
      </c>
      <c r="E1081" s="1337"/>
      <c r="F1081" s="1336" t="s">
        <v>88</v>
      </c>
      <c r="G1081" s="1358">
        <f>P!$J$319</f>
        <v>53160.800000000003</v>
      </c>
      <c r="H1081" s="1872">
        <f>P!$J$278</f>
        <v>33092.627999999997</v>
      </c>
      <c r="I1081" s="1338">
        <f t="shared" si="230"/>
        <v>86253.428</v>
      </c>
      <c r="J1081" s="1338">
        <f t="shared" si="231"/>
        <v>0</v>
      </c>
      <c r="K1081" s="1338">
        <f t="shared" si="232"/>
        <v>0</v>
      </c>
      <c r="L1081" s="1530">
        <f t="shared" si="233"/>
        <v>0</v>
      </c>
      <c r="P1081" s="1939" t="e">
        <f>E1081+#REF!+E1289</f>
        <v>#REF!</v>
      </c>
      <c r="AB1081" s="1221"/>
    </row>
    <row r="1082" spans="1:28" ht="18" hidden="1" customHeight="1">
      <c r="A1082" s="1367"/>
      <c r="B1082" s="1316" t="s">
        <v>2471</v>
      </c>
      <c r="C1082" s="1334"/>
      <c r="D1082" s="1316" t="s">
        <v>1416</v>
      </c>
      <c r="E1082" s="1337"/>
      <c r="F1082" s="1336" t="s">
        <v>88</v>
      </c>
      <c r="G1082" s="1358">
        <f>P!$J$328</f>
        <v>58657.8</v>
      </c>
      <c r="H1082" s="1872">
        <f>P!$J$278</f>
        <v>33092.627999999997</v>
      </c>
      <c r="I1082" s="1338">
        <f t="shared" si="230"/>
        <v>91750.428</v>
      </c>
      <c r="J1082" s="1338">
        <f t="shared" si="231"/>
        <v>0</v>
      </c>
      <c r="K1082" s="1338">
        <f t="shared" si="232"/>
        <v>0</v>
      </c>
      <c r="L1082" s="1530">
        <f t="shared" si="233"/>
        <v>0</v>
      </c>
      <c r="P1082" s="1939">
        <f>E1082+E1218+E1290</f>
        <v>0</v>
      </c>
      <c r="AB1082" s="1221"/>
    </row>
    <row r="1083" spans="1:28" ht="18" hidden="1" customHeight="1">
      <c r="A1083" s="1367"/>
      <c r="B1083" s="1316" t="s">
        <v>2331</v>
      </c>
      <c r="C1083" s="1334"/>
      <c r="D1083" s="1316" t="s">
        <v>1416</v>
      </c>
      <c r="E1083" s="1337"/>
      <c r="F1083" s="1336" t="s">
        <v>88</v>
      </c>
      <c r="G1083" s="1358">
        <f>P!$J$337</f>
        <v>61164.800000000003</v>
      </c>
      <c r="H1083" s="1872">
        <f>P!$J$278</f>
        <v>33092.627999999997</v>
      </c>
      <c r="I1083" s="1338">
        <f t="shared" si="230"/>
        <v>94257.428</v>
      </c>
      <c r="J1083" s="1338">
        <f t="shared" si="231"/>
        <v>0</v>
      </c>
      <c r="K1083" s="1338">
        <f t="shared" si="232"/>
        <v>0</v>
      </c>
      <c r="L1083" s="1530">
        <f t="shared" si="233"/>
        <v>0</v>
      </c>
      <c r="P1083" s="1939">
        <f>E1083+E1219+E1291</f>
        <v>0</v>
      </c>
      <c r="AB1083" s="1221"/>
    </row>
    <row r="1084" spans="1:28" ht="18" hidden="1" customHeight="1">
      <c r="A1084" s="1367"/>
      <c r="B1084" s="1316" t="s">
        <v>2494</v>
      </c>
      <c r="C1084" s="1334"/>
      <c r="D1084" s="1316" t="s">
        <v>1416</v>
      </c>
      <c r="E1084" s="1337"/>
      <c r="F1084" s="1336" t="s">
        <v>88</v>
      </c>
      <c r="G1084" s="1358">
        <f>P!$J$346</f>
        <v>73130.8</v>
      </c>
      <c r="H1084" s="1872">
        <f>P!$J$278</f>
        <v>33092.627999999997</v>
      </c>
      <c r="I1084" s="1338">
        <f t="shared" si="230"/>
        <v>106223.428</v>
      </c>
      <c r="J1084" s="1338">
        <f t="shared" si="231"/>
        <v>0</v>
      </c>
      <c r="K1084" s="1338">
        <f t="shared" si="232"/>
        <v>0</v>
      </c>
      <c r="L1084" s="1530">
        <f t="shared" si="233"/>
        <v>0</v>
      </c>
      <c r="P1084" s="1939">
        <f>E1084+E1220+E1292</f>
        <v>0</v>
      </c>
      <c r="AB1084" s="1221"/>
    </row>
    <row r="1085" spans="1:28" ht="18" hidden="1" customHeight="1">
      <c r="A1085" s="1367"/>
      <c r="B1085" s="1316" t="s">
        <v>104</v>
      </c>
      <c r="C1085" s="1334"/>
      <c r="D1085" s="1316" t="s">
        <v>1435</v>
      </c>
      <c r="E1085" s="1337"/>
      <c r="F1085" s="1336" t="s">
        <v>22</v>
      </c>
      <c r="G1085" s="1872">
        <f>P!$J$256</f>
        <v>16385.900000000001</v>
      </c>
      <c r="H1085" s="1872">
        <f>P!$J$260</f>
        <v>48100</v>
      </c>
      <c r="I1085" s="1338">
        <f t="shared" si="230"/>
        <v>64485.9</v>
      </c>
      <c r="J1085" s="1338">
        <f t="shared" si="231"/>
        <v>0</v>
      </c>
      <c r="K1085" s="1338">
        <f t="shared" si="232"/>
        <v>0</v>
      </c>
      <c r="L1085" s="1530">
        <f t="shared" si="233"/>
        <v>0</v>
      </c>
    </row>
    <row r="1086" spans="1:28" ht="18" hidden="1" customHeight="1">
      <c r="A1086" s="1371"/>
      <c r="B1086" s="1361" t="s">
        <v>1626</v>
      </c>
      <c r="C1086" s="1360"/>
      <c r="D1086" s="1361" t="s">
        <v>1628</v>
      </c>
      <c r="E1086" s="1358"/>
      <c r="F1086" s="1336" t="s">
        <v>22</v>
      </c>
      <c r="G1086" s="1872">
        <v>30000</v>
      </c>
      <c r="H1086" s="1872">
        <v>30000</v>
      </c>
      <c r="I1086" s="1338">
        <f t="shared" si="230"/>
        <v>60000</v>
      </c>
      <c r="J1086" s="1338">
        <f t="shared" si="231"/>
        <v>0</v>
      </c>
      <c r="K1086" s="1338">
        <f t="shared" si="232"/>
        <v>0</v>
      </c>
      <c r="L1086" s="1530">
        <f t="shared" si="233"/>
        <v>0</v>
      </c>
    </row>
    <row r="1087" spans="1:28" ht="18" hidden="1" customHeight="1">
      <c r="A1087" s="1367">
        <v>3</v>
      </c>
      <c r="B1087" s="1316" t="s">
        <v>1428</v>
      </c>
      <c r="C1087" s="1334"/>
      <c r="D1087" s="1316" t="s">
        <v>105</v>
      </c>
      <c r="E1087" s="1337">
        <v>0</v>
      </c>
      <c r="F1087" s="1336" t="s">
        <v>22</v>
      </c>
      <c r="G1087" s="1872">
        <f>P!$J$28</f>
        <v>13985.398399999998</v>
      </c>
      <c r="H1087" s="1913">
        <f>P!$J$32</f>
        <v>48100</v>
      </c>
      <c r="I1087" s="1338">
        <f t="shared" si="230"/>
        <v>62085.398399999998</v>
      </c>
      <c r="J1087" s="1338">
        <f t="shared" si="231"/>
        <v>0</v>
      </c>
      <c r="K1087" s="1338">
        <f t="shared" si="232"/>
        <v>0</v>
      </c>
      <c r="L1087" s="1530">
        <f t="shared" si="233"/>
        <v>0</v>
      </c>
    </row>
    <row r="1088" spans="1:28" ht="18" hidden="1" customHeight="1">
      <c r="A1088" s="1371">
        <v>4</v>
      </c>
      <c r="B1088" s="1316" t="s">
        <v>1417</v>
      </c>
      <c r="C1088" s="1334"/>
      <c r="D1088" s="1316" t="s">
        <v>106</v>
      </c>
      <c r="E1088" s="1337">
        <v>0</v>
      </c>
      <c r="F1088" s="1336" t="s">
        <v>22</v>
      </c>
      <c r="G1088" s="1872">
        <f>P!$J$8</f>
        <v>11150.623624999998</v>
      </c>
      <c r="H1088" s="1913">
        <f>P!$J$12</f>
        <v>48100</v>
      </c>
      <c r="I1088" s="1338">
        <f t="shared" si="230"/>
        <v>59250.623625</v>
      </c>
      <c r="J1088" s="1338">
        <f t="shared" si="231"/>
        <v>0</v>
      </c>
      <c r="K1088" s="1338">
        <f t="shared" si="232"/>
        <v>0</v>
      </c>
      <c r="L1088" s="1530">
        <f t="shared" si="233"/>
        <v>0</v>
      </c>
    </row>
    <row r="1089" spans="1:16" ht="18" hidden="1" customHeight="1">
      <c r="A1089" s="1367">
        <v>5</v>
      </c>
      <c r="B1089" s="1316" t="s">
        <v>1418</v>
      </c>
      <c r="C1089" s="1334"/>
      <c r="D1089" s="1316" t="s">
        <v>106</v>
      </c>
      <c r="E1089" s="1337">
        <v>0</v>
      </c>
      <c r="F1089" s="1336" t="s">
        <v>22</v>
      </c>
      <c r="G1089" s="1872">
        <f>P!$J$18</f>
        <v>13995.68</v>
      </c>
      <c r="H1089" s="1913">
        <f>P!$J$22</f>
        <v>48100</v>
      </c>
      <c r="I1089" s="1338">
        <f t="shared" si="230"/>
        <v>62095.68</v>
      </c>
      <c r="J1089" s="1338">
        <f t="shared" si="231"/>
        <v>0</v>
      </c>
      <c r="K1089" s="1338">
        <f t="shared" si="232"/>
        <v>0</v>
      </c>
      <c r="L1089" s="1530">
        <f t="shared" si="233"/>
        <v>0</v>
      </c>
    </row>
    <row r="1090" spans="1:16" ht="18" hidden="1" customHeight="1">
      <c r="A1090" s="1371">
        <v>6</v>
      </c>
      <c r="B1090" s="1316" t="s">
        <v>1474</v>
      </c>
      <c r="C1090" s="1334"/>
      <c r="D1090" s="1316" t="str">
        <f>BAHAN!$F$314</f>
        <v>Philips Lampu LED 18 Watt Coolday Light</v>
      </c>
      <c r="E1090" s="1337">
        <v>0</v>
      </c>
      <c r="F1090" s="1336" t="s">
        <v>88</v>
      </c>
      <c r="G1090" s="1872">
        <f>P!$J$183</f>
        <v>183750</v>
      </c>
      <c r="H1090" s="1913">
        <f>P!$J$187</f>
        <v>59394</v>
      </c>
      <c r="I1090" s="1338">
        <f t="shared" si="230"/>
        <v>243144</v>
      </c>
      <c r="J1090" s="1338">
        <f t="shared" si="231"/>
        <v>0</v>
      </c>
      <c r="K1090" s="1338">
        <f t="shared" si="232"/>
        <v>0</v>
      </c>
      <c r="L1090" s="1530">
        <f t="shared" si="233"/>
        <v>0</v>
      </c>
    </row>
    <row r="1091" spans="1:16" ht="18" hidden="1" customHeight="1">
      <c r="A1091" s="1367">
        <v>7</v>
      </c>
      <c r="B1091" s="1316" t="s">
        <v>107</v>
      </c>
      <c r="C1091" s="1334"/>
      <c r="D1091" s="1316" t="str">
        <f>BAHAN!$F$315</f>
        <v>Philips LED Downlight Eridani 5W</v>
      </c>
      <c r="E1091" s="1337">
        <v>0</v>
      </c>
      <c r="F1091" s="1336" t="s">
        <v>88</v>
      </c>
      <c r="G1091" s="1872">
        <f>P!$J$165</f>
        <v>60900</v>
      </c>
      <c r="H1091" s="1913">
        <f>P!$J$169</f>
        <v>59394</v>
      </c>
      <c r="I1091" s="1338">
        <f t="shared" si="230"/>
        <v>120294</v>
      </c>
      <c r="J1091" s="1338">
        <f t="shared" si="231"/>
        <v>0</v>
      </c>
      <c r="K1091" s="1338">
        <f t="shared" si="232"/>
        <v>0</v>
      </c>
      <c r="L1091" s="1530">
        <f t="shared" si="233"/>
        <v>0</v>
      </c>
    </row>
    <row r="1092" spans="1:16" ht="18" hidden="1" customHeight="1">
      <c r="A1092" s="1371"/>
      <c r="B1092" s="1316" t="s">
        <v>1475</v>
      </c>
      <c r="C1092" s="1334"/>
      <c r="D1092" s="1316" t="str">
        <f>BAHAN!$F$313</f>
        <v>Philips Lampu LED 12 Watt Coolday Light</v>
      </c>
      <c r="E1092" s="1337"/>
      <c r="F1092" s="1336" t="s">
        <v>88</v>
      </c>
      <c r="G1092" s="1872">
        <f>P!$J$174</f>
        <v>146790</v>
      </c>
      <c r="H1092" s="1913">
        <f>P!$J$178</f>
        <v>59394</v>
      </c>
      <c r="I1092" s="1338">
        <f t="shared" si="230"/>
        <v>206184</v>
      </c>
      <c r="J1092" s="1338">
        <f t="shared" si="231"/>
        <v>0</v>
      </c>
      <c r="K1092" s="1338">
        <f t="shared" si="232"/>
        <v>0</v>
      </c>
      <c r="L1092" s="1530">
        <f t="shared" si="233"/>
        <v>0</v>
      </c>
    </row>
    <row r="1093" spans="1:16" ht="18" hidden="1" customHeight="1">
      <c r="A1093" s="1367"/>
      <c r="B1093" s="1316" t="s">
        <v>1473</v>
      </c>
      <c r="C1093" s="1334"/>
      <c r="D1093" s="1316" t="s">
        <v>1484</v>
      </c>
      <c r="E1093" s="1337"/>
      <c r="F1093" s="1336" t="s">
        <v>88</v>
      </c>
      <c r="G1093" s="1872">
        <f>P!$J$210</f>
        <v>182700</v>
      </c>
      <c r="H1093" s="1913">
        <f>P!$J$214</f>
        <v>59394</v>
      </c>
      <c r="I1093" s="1338">
        <f t="shared" si="230"/>
        <v>242094</v>
      </c>
      <c r="J1093" s="1338">
        <f t="shared" si="231"/>
        <v>0</v>
      </c>
      <c r="K1093" s="1338">
        <f t="shared" si="232"/>
        <v>0</v>
      </c>
      <c r="L1093" s="1530">
        <f t="shared" si="233"/>
        <v>0</v>
      </c>
    </row>
    <row r="1094" spans="1:16" ht="18" hidden="1" customHeight="1">
      <c r="A1094" s="1371"/>
      <c r="B1094" s="1316" t="s">
        <v>897</v>
      </c>
      <c r="C1094" s="1334"/>
      <c r="D1094" s="1316" t="s">
        <v>1197</v>
      </c>
      <c r="E1094" s="1337"/>
      <c r="F1094" s="1336" t="s">
        <v>88</v>
      </c>
      <c r="G1094" s="1872">
        <f>P!$J$192</f>
        <v>182700</v>
      </c>
      <c r="H1094" s="1913">
        <f>P!$J$196</f>
        <v>59394</v>
      </c>
      <c r="I1094" s="1338">
        <f t="shared" si="230"/>
        <v>242094</v>
      </c>
      <c r="J1094" s="1338">
        <f t="shared" si="231"/>
        <v>0</v>
      </c>
      <c r="K1094" s="1338">
        <f t="shared" si="232"/>
        <v>0</v>
      </c>
      <c r="L1094" s="1530">
        <f t="shared" si="233"/>
        <v>0</v>
      </c>
    </row>
    <row r="1095" spans="1:16" ht="18" hidden="1" customHeight="1">
      <c r="A1095" s="1371"/>
      <c r="B1095" s="1316" t="s">
        <v>183</v>
      </c>
      <c r="C1095" s="1334"/>
      <c r="D1095" s="1316" t="str">
        <f>BAHAN!$F$329</f>
        <v>Ex. Eglare Lampu Gantung Hias Cyrstal 6l</v>
      </c>
      <c r="E1095" s="1337"/>
      <c r="F1095" s="1336" t="s">
        <v>88</v>
      </c>
      <c r="G1095" s="1913">
        <f>P!$J$246</f>
        <v>1836765</v>
      </c>
      <c r="H1095" s="1913">
        <f>P!$J$196</f>
        <v>59394</v>
      </c>
      <c r="I1095" s="1338">
        <f t="shared" si="230"/>
        <v>1896159</v>
      </c>
      <c r="J1095" s="1338">
        <f t="shared" si="231"/>
        <v>0</v>
      </c>
      <c r="K1095" s="1338">
        <f t="shared" si="232"/>
        <v>0</v>
      </c>
      <c r="L1095" s="1530">
        <f t="shared" si="233"/>
        <v>0</v>
      </c>
    </row>
    <row r="1096" spans="1:16" ht="18" hidden="1" customHeight="1">
      <c r="A1096" s="1367"/>
      <c r="B1096" s="1316" t="s">
        <v>208</v>
      </c>
      <c r="C1096" s="1334"/>
      <c r="D1096" s="1316" t="s">
        <v>1198</v>
      </c>
      <c r="E1096" s="1337"/>
      <c r="F1096" s="1336" t="s">
        <v>88</v>
      </c>
      <c r="G1096" s="1913">
        <f>P!$J$201</f>
        <v>52395</v>
      </c>
      <c r="H1096" s="1913">
        <f>P!$J$196</f>
        <v>59394</v>
      </c>
      <c r="I1096" s="1338">
        <f t="shared" si="230"/>
        <v>111789</v>
      </c>
      <c r="J1096" s="1338">
        <f t="shared" si="231"/>
        <v>0</v>
      </c>
      <c r="K1096" s="1338">
        <f t="shared" si="232"/>
        <v>0</v>
      </c>
      <c r="L1096" s="1530">
        <f t="shared" si="233"/>
        <v>0</v>
      </c>
    </row>
    <row r="1097" spans="1:16" ht="18" hidden="1" customHeight="1">
      <c r="A1097" s="1371"/>
      <c r="B1097" s="1316" t="s">
        <v>1512</v>
      </c>
      <c r="C1097" s="1334"/>
      <c r="D1097" s="1316" t="s">
        <v>1513</v>
      </c>
      <c r="E1097" s="1337"/>
      <c r="F1097" s="1336" t="s">
        <v>88</v>
      </c>
      <c r="G1097" s="1913">
        <f>P!$J$219</f>
        <v>648375</v>
      </c>
      <c r="H1097" s="1913">
        <f>P!$J$196</f>
        <v>59394</v>
      </c>
      <c r="I1097" s="1338">
        <f t="shared" si="230"/>
        <v>707769</v>
      </c>
      <c r="J1097" s="1338">
        <f t="shared" si="231"/>
        <v>0</v>
      </c>
      <c r="K1097" s="1338">
        <f t="shared" si="232"/>
        <v>0</v>
      </c>
      <c r="L1097" s="1530">
        <f t="shared" si="233"/>
        <v>0</v>
      </c>
    </row>
    <row r="1098" spans="1:16" ht="18" hidden="1" customHeight="1">
      <c r="A1098" s="1367"/>
      <c r="B1098" s="1301" t="s">
        <v>1596</v>
      </c>
      <c r="C1098" s="1360"/>
      <c r="D1098" s="1361" t="s">
        <v>1595</v>
      </c>
      <c r="E1098" s="1358"/>
      <c r="F1098" s="1362" t="s">
        <v>88</v>
      </c>
      <c r="G1098" s="1913">
        <f>P!$J$156</f>
        <v>330750</v>
      </c>
      <c r="H1098" s="1913">
        <f>P!$J$196</f>
        <v>59394</v>
      </c>
      <c r="I1098" s="1338">
        <f t="shared" si="230"/>
        <v>390144</v>
      </c>
      <c r="J1098" s="1338">
        <f t="shared" si="231"/>
        <v>0</v>
      </c>
      <c r="K1098" s="1338">
        <f t="shared" si="232"/>
        <v>0</v>
      </c>
      <c r="L1098" s="1530">
        <f t="shared" si="233"/>
        <v>0</v>
      </c>
    </row>
    <row r="1099" spans="1:16" ht="18" hidden="1" customHeight="1">
      <c r="A1099" s="1371"/>
      <c r="B1099" s="1302" t="s">
        <v>1667</v>
      </c>
      <c r="C1099" s="1384"/>
      <c r="D1099" s="1383" t="s">
        <v>1668</v>
      </c>
      <c r="E1099" s="1385"/>
      <c r="F1099" s="1386" t="s">
        <v>129</v>
      </c>
      <c r="G1099" s="1913">
        <f>P!$J$409</f>
        <v>16590</v>
      </c>
      <c r="H1099" s="1913">
        <f>P!$J$413</f>
        <v>33092.627999999997</v>
      </c>
      <c r="I1099" s="1338">
        <f t="shared" si="230"/>
        <v>49682.627999999997</v>
      </c>
      <c r="J1099" s="1338">
        <f t="shared" si="231"/>
        <v>0</v>
      </c>
      <c r="K1099" s="1338">
        <f t="shared" si="232"/>
        <v>0</v>
      </c>
      <c r="L1099" s="1530">
        <f t="shared" si="233"/>
        <v>0</v>
      </c>
    </row>
    <row r="1100" spans="1:16" ht="18" hidden="1" customHeight="1">
      <c r="A1100" s="1371"/>
      <c r="B1100" s="1302" t="s">
        <v>2323</v>
      </c>
      <c r="C1100" s="1384"/>
      <c r="D1100" s="1383" t="s">
        <v>2324</v>
      </c>
      <c r="E1100" s="1385"/>
      <c r="F1100" s="1386" t="s">
        <v>88</v>
      </c>
      <c r="G1100" s="1913">
        <f>P!$J$418</f>
        <v>103950</v>
      </c>
      <c r="H1100" s="1913">
        <f>P!$J$422</f>
        <v>33092.627999999997</v>
      </c>
      <c r="I1100" s="1338">
        <f t="shared" si="230"/>
        <v>137042.628</v>
      </c>
      <c r="J1100" s="1338">
        <f t="shared" si="231"/>
        <v>0</v>
      </c>
      <c r="K1100" s="1338">
        <f t="shared" si="232"/>
        <v>0</v>
      </c>
      <c r="L1100" s="1530">
        <f t="shared" si="233"/>
        <v>0</v>
      </c>
      <c r="P1100" s="1939">
        <f>E1100+E1227+E1302</f>
        <v>0</v>
      </c>
    </row>
    <row r="1101" spans="1:16" ht="18" hidden="1" customHeight="1">
      <c r="A1101" s="1371"/>
      <c r="B1101" s="1302" t="s">
        <v>2326</v>
      </c>
      <c r="C1101" s="1384"/>
      <c r="D1101" s="1383" t="s">
        <v>2330</v>
      </c>
      <c r="E1101" s="1385"/>
      <c r="F1101" s="1386" t="s">
        <v>88</v>
      </c>
      <c r="G1101" s="1913">
        <f>P!$J$427</f>
        <v>69300</v>
      </c>
      <c r="H1101" s="1913">
        <f>P!$J$431</f>
        <v>33092.627999999997</v>
      </c>
      <c r="I1101" s="1338">
        <f t="shared" si="230"/>
        <v>102392.628</v>
      </c>
      <c r="J1101" s="1338">
        <f t="shared" si="231"/>
        <v>0</v>
      </c>
      <c r="K1101" s="1338">
        <f t="shared" si="232"/>
        <v>0</v>
      </c>
      <c r="L1101" s="1530">
        <f t="shared" si="233"/>
        <v>0</v>
      </c>
      <c r="P1101" s="1939">
        <f>E1101+E1229+E1305</f>
        <v>0</v>
      </c>
    </row>
    <row r="1102" spans="1:16" ht="18" hidden="1" customHeight="1">
      <c r="A1102" s="1371">
        <v>8</v>
      </c>
      <c r="B1102" s="1316" t="s">
        <v>108</v>
      </c>
      <c r="C1102" s="1334"/>
      <c r="D1102" s="1316" t="s">
        <v>109</v>
      </c>
      <c r="E1102" s="1337">
        <v>0</v>
      </c>
      <c r="F1102" s="1336" t="s">
        <v>88</v>
      </c>
      <c r="G1102" s="1913">
        <f>P!$J$75</f>
        <v>18235.349999999999</v>
      </c>
      <c r="H1102" s="1872">
        <f>P!$J$79</f>
        <v>12992</v>
      </c>
      <c r="I1102" s="1338">
        <f t="shared" si="230"/>
        <v>31227.35</v>
      </c>
      <c r="J1102" s="1338">
        <f t="shared" si="231"/>
        <v>0</v>
      </c>
      <c r="K1102" s="1338">
        <f t="shared" si="232"/>
        <v>0</v>
      </c>
      <c r="L1102" s="1530">
        <f t="shared" si="233"/>
        <v>0</v>
      </c>
    </row>
    <row r="1103" spans="1:16" ht="18" hidden="1" customHeight="1">
      <c r="A1103" s="1371"/>
      <c r="B1103" s="1361" t="s">
        <v>1624</v>
      </c>
      <c r="C1103" s="1360"/>
      <c r="D1103" s="1316" t="s">
        <v>109</v>
      </c>
      <c r="E1103" s="1358"/>
      <c r="F1103" s="1362" t="s">
        <v>88</v>
      </c>
      <c r="G1103" s="1913">
        <f>P!$J$102</f>
        <v>33285</v>
      </c>
      <c r="H1103" s="1872">
        <f>P!$J$106</f>
        <v>12992</v>
      </c>
      <c r="I1103" s="1338">
        <f t="shared" si="230"/>
        <v>46277</v>
      </c>
      <c r="J1103" s="1338">
        <f t="shared" si="231"/>
        <v>0</v>
      </c>
      <c r="K1103" s="1338">
        <f t="shared" si="232"/>
        <v>0</v>
      </c>
      <c r="L1103" s="1530">
        <f t="shared" si="233"/>
        <v>0</v>
      </c>
    </row>
    <row r="1104" spans="1:16" ht="18" hidden="1" customHeight="1">
      <c r="A1104" s="1371">
        <v>9</v>
      </c>
      <c r="B1104" s="1361" t="s">
        <v>2172</v>
      </c>
      <c r="C1104" s="1360"/>
      <c r="D1104" s="1316" t="s">
        <v>109</v>
      </c>
      <c r="E1104" s="1358">
        <v>0</v>
      </c>
      <c r="F1104" s="1362" t="s">
        <v>88</v>
      </c>
      <c r="G1104" s="1913">
        <f>P!$J$84</f>
        <v>68250</v>
      </c>
      <c r="H1104" s="1872">
        <f>P!$J$88</f>
        <v>12992</v>
      </c>
      <c r="I1104" s="1338">
        <f t="shared" si="230"/>
        <v>81242</v>
      </c>
      <c r="J1104" s="1338">
        <f t="shared" si="231"/>
        <v>0</v>
      </c>
      <c r="K1104" s="1338">
        <f t="shared" si="232"/>
        <v>0</v>
      </c>
      <c r="L1104" s="1530">
        <f t="shared" si="233"/>
        <v>0</v>
      </c>
    </row>
    <row r="1105" spans="1:28" ht="18" hidden="1" customHeight="1">
      <c r="A1105" s="1371"/>
      <c r="B1105" s="1316" t="s">
        <v>110</v>
      </c>
      <c r="C1105" s="1334"/>
      <c r="D1105" s="1316" t="s">
        <v>109</v>
      </c>
      <c r="E1105" s="1337"/>
      <c r="F1105" s="1336" t="s">
        <v>88</v>
      </c>
      <c r="G1105" s="1913">
        <f>P!$J$111</f>
        <v>52104.15</v>
      </c>
      <c r="H1105" s="1872">
        <f>P!$J$115</f>
        <v>12992</v>
      </c>
      <c r="I1105" s="1338">
        <f t="shared" si="230"/>
        <v>65096.15</v>
      </c>
      <c r="J1105" s="1338">
        <f t="shared" si="231"/>
        <v>0</v>
      </c>
      <c r="K1105" s="1338">
        <f t="shared" si="232"/>
        <v>0</v>
      </c>
      <c r="L1105" s="1530">
        <f t="shared" si="233"/>
        <v>0</v>
      </c>
    </row>
    <row r="1106" spans="1:28" ht="18" hidden="1" customHeight="1">
      <c r="A1106" s="1371">
        <v>10</v>
      </c>
      <c r="B1106" s="1316" t="s">
        <v>111</v>
      </c>
      <c r="C1106" s="1334"/>
      <c r="D1106" s="1316" t="s">
        <v>109</v>
      </c>
      <c r="E1106" s="1337">
        <v>0</v>
      </c>
      <c r="F1106" s="1336" t="s">
        <v>88</v>
      </c>
      <c r="G1106" s="1913">
        <f>P!$J$120</f>
        <v>10363.5</v>
      </c>
      <c r="H1106" s="1872">
        <f>P!$J$124</f>
        <v>12992</v>
      </c>
      <c r="I1106" s="1338">
        <f t="shared" si="230"/>
        <v>23355.5</v>
      </c>
      <c r="J1106" s="1338">
        <f t="shared" si="231"/>
        <v>0</v>
      </c>
      <c r="K1106" s="1338">
        <f t="shared" si="232"/>
        <v>0</v>
      </c>
      <c r="L1106" s="1530">
        <f t="shared" si="233"/>
        <v>0</v>
      </c>
    </row>
    <row r="1107" spans="1:28" ht="18" hidden="1" customHeight="1">
      <c r="A1107" s="1371"/>
      <c r="B1107" s="1316" t="s">
        <v>112</v>
      </c>
      <c r="C1107" s="1334"/>
      <c r="D1107" s="1316" t="s">
        <v>109</v>
      </c>
      <c r="E1107" s="1337">
        <v>0</v>
      </c>
      <c r="F1107" s="1336" t="s">
        <v>88</v>
      </c>
      <c r="G1107" s="1913">
        <f>P!$J$129</f>
        <v>14082.6</v>
      </c>
      <c r="H1107" s="1872">
        <f>P!$J$133</f>
        <v>12992</v>
      </c>
      <c r="I1107" s="1338">
        <f t="shared" si="230"/>
        <v>27074.6</v>
      </c>
      <c r="J1107" s="1338">
        <f t="shared" si="231"/>
        <v>0</v>
      </c>
      <c r="K1107" s="1338">
        <f t="shared" si="232"/>
        <v>0</v>
      </c>
      <c r="L1107" s="1530">
        <f t="shared" si="233"/>
        <v>0</v>
      </c>
    </row>
    <row r="1108" spans="1:28" ht="18" hidden="1" customHeight="1">
      <c r="A1108" s="1371">
        <v>11</v>
      </c>
      <c r="B1108" s="1316" t="s">
        <v>1421</v>
      </c>
      <c r="C1108" s="1334"/>
      <c r="D1108" s="1316" t="s">
        <v>109</v>
      </c>
      <c r="E1108" s="1337">
        <v>0</v>
      </c>
      <c r="F1108" s="1336" t="s">
        <v>88</v>
      </c>
      <c r="G1108" s="1913">
        <f>P!$J$138</f>
        <v>18367.650000000001</v>
      </c>
      <c r="H1108" s="1872">
        <f>P!$J$142</f>
        <v>12992</v>
      </c>
      <c r="I1108" s="1338">
        <f t="shared" si="230"/>
        <v>31359.65</v>
      </c>
      <c r="J1108" s="1338">
        <f t="shared" si="231"/>
        <v>0</v>
      </c>
      <c r="K1108" s="1338">
        <f t="shared" si="232"/>
        <v>0</v>
      </c>
      <c r="L1108" s="1530">
        <f t="shared" si="233"/>
        <v>0</v>
      </c>
    </row>
    <row r="1109" spans="1:28" ht="18" hidden="1" customHeight="1">
      <c r="A1109" s="1371"/>
      <c r="B1109" s="1388" t="s">
        <v>1537</v>
      </c>
      <c r="C1109" s="1389"/>
      <c r="D1109" s="1316" t="s">
        <v>1535</v>
      </c>
      <c r="E1109" s="1365">
        <v>0</v>
      </c>
      <c r="F1109" s="1366" t="s">
        <v>88</v>
      </c>
      <c r="G1109" s="1913">
        <f>P!$J$147</f>
        <v>77307.3</v>
      </c>
      <c r="H1109" s="1872">
        <f>P!$J$151</f>
        <v>10540</v>
      </c>
      <c r="I1109" s="1338">
        <f t="shared" si="230"/>
        <v>87847.3</v>
      </c>
      <c r="J1109" s="1338">
        <f t="shared" si="231"/>
        <v>0</v>
      </c>
      <c r="K1109" s="1338">
        <f t="shared" si="232"/>
        <v>0</v>
      </c>
      <c r="L1109" s="1530">
        <f t="shared" si="233"/>
        <v>0</v>
      </c>
    </row>
    <row r="1110" spans="1:28" ht="18" hidden="1" customHeight="1">
      <c r="A1110" s="1371">
        <v>12</v>
      </c>
      <c r="B1110" s="1316" t="s">
        <v>1673</v>
      </c>
      <c r="C1110" s="1334"/>
      <c r="D1110" s="1316" t="s">
        <v>109</v>
      </c>
      <c r="E1110" s="1385">
        <v>0</v>
      </c>
      <c r="F1110" s="1386" t="s">
        <v>88</v>
      </c>
      <c r="G1110" s="1913">
        <f>P!$J$391</f>
        <v>24612</v>
      </c>
      <c r="H1110" s="1872">
        <f>P!$J$395</f>
        <v>8915.9500000000007</v>
      </c>
      <c r="I1110" s="1338">
        <f t="shared" si="230"/>
        <v>33527.949999999997</v>
      </c>
      <c r="J1110" s="1338">
        <f t="shared" si="231"/>
        <v>0</v>
      </c>
      <c r="K1110" s="1338">
        <f t="shared" si="232"/>
        <v>0</v>
      </c>
      <c r="L1110" s="1530">
        <f t="shared" si="233"/>
        <v>0</v>
      </c>
    </row>
    <row r="1111" spans="1:28" ht="18" hidden="1" customHeight="1">
      <c r="A1111" s="1371"/>
      <c r="B1111" s="1316" t="s">
        <v>1534</v>
      </c>
      <c r="C1111" s="1334"/>
      <c r="D1111" s="1316" t="s">
        <v>1535</v>
      </c>
      <c r="E1111" s="1337"/>
      <c r="F1111" s="1336" t="s">
        <v>88</v>
      </c>
      <c r="G1111" s="1913">
        <f>P!$J$382</f>
        <v>33030.9</v>
      </c>
      <c r="H1111" s="1872">
        <f>P!$J$386</f>
        <v>8915.9500000000007</v>
      </c>
      <c r="I1111" s="1338">
        <f t="shared" si="230"/>
        <v>41946.850000000006</v>
      </c>
      <c r="J1111" s="1338">
        <f t="shared" si="231"/>
        <v>0</v>
      </c>
      <c r="K1111" s="1338">
        <f t="shared" si="232"/>
        <v>0</v>
      </c>
      <c r="L1111" s="1530">
        <f t="shared" si="233"/>
        <v>0</v>
      </c>
    </row>
    <row r="1112" spans="1:28" ht="18" hidden="1" customHeight="1">
      <c r="A1112" s="1371"/>
      <c r="B1112" s="1316" t="s">
        <v>1676</v>
      </c>
      <c r="C1112" s="1334"/>
      <c r="D1112" s="1316" t="s">
        <v>109</v>
      </c>
      <c r="E1112" s="1385"/>
      <c r="F1112" s="1390" t="s">
        <v>88</v>
      </c>
      <c r="G1112" s="1913">
        <f>P!$J$373</f>
        <v>43335.6</v>
      </c>
      <c r="H1112" s="1872">
        <f>P!$J$377</f>
        <v>8915.9500000000007</v>
      </c>
      <c r="I1112" s="1338">
        <f t="shared" si="230"/>
        <v>52251.55</v>
      </c>
      <c r="J1112" s="1338">
        <f t="shared" si="231"/>
        <v>0</v>
      </c>
      <c r="K1112" s="1338">
        <f t="shared" si="232"/>
        <v>0</v>
      </c>
      <c r="L1112" s="1530">
        <f t="shared" si="233"/>
        <v>0</v>
      </c>
    </row>
    <row r="1113" spans="1:28" ht="18" hidden="1" customHeight="1">
      <c r="A1113" s="1371"/>
      <c r="B1113" s="1339" t="s">
        <v>206</v>
      </c>
      <c r="C1113" s="1368"/>
      <c r="D1113" s="1339" t="s">
        <v>207</v>
      </c>
      <c r="E1113" s="1337"/>
      <c r="F1113" s="1380" t="s">
        <v>154</v>
      </c>
      <c r="G1113" s="1913">
        <v>3500000</v>
      </c>
      <c r="H1113" s="1872">
        <v>0</v>
      </c>
      <c r="I1113" s="1338">
        <f t="shared" si="230"/>
        <v>3500000</v>
      </c>
      <c r="J1113" s="1338">
        <f t="shared" si="231"/>
        <v>0</v>
      </c>
      <c r="K1113" s="1338">
        <f t="shared" si="232"/>
        <v>0</v>
      </c>
      <c r="L1113" s="1530">
        <f t="shared" si="233"/>
        <v>0</v>
      </c>
    </row>
    <row r="1114" spans="1:28" ht="18" hidden="1" customHeight="1" thickBot="1">
      <c r="A1114" s="1371"/>
      <c r="B1114" s="1316" t="s">
        <v>903</v>
      </c>
      <c r="C1114" s="1334"/>
      <c r="D1114" s="1316" t="s">
        <v>1420</v>
      </c>
      <c r="E1114" s="1337"/>
      <c r="F1114" s="1336" t="s">
        <v>88</v>
      </c>
      <c r="G1114" s="1913">
        <f>P!$J$228</f>
        <v>267750</v>
      </c>
      <c r="H1114" s="1872">
        <f>P!$J$232</f>
        <v>59394</v>
      </c>
      <c r="I1114" s="1338">
        <f t="shared" si="230"/>
        <v>327144</v>
      </c>
      <c r="J1114" s="1338">
        <f t="shared" si="231"/>
        <v>0</v>
      </c>
      <c r="K1114" s="1338">
        <f t="shared" si="232"/>
        <v>0</v>
      </c>
      <c r="L1114" s="1530">
        <f t="shared" si="233"/>
        <v>0</v>
      </c>
    </row>
    <row r="1115" spans="1:28" ht="18" hidden="1" customHeight="1" thickTop="1" thickBot="1">
      <c r="A1115" s="2675" t="s">
        <v>113</v>
      </c>
      <c r="B1115" s="2676"/>
      <c r="C1115" s="2676"/>
      <c r="D1115" s="2676"/>
      <c r="E1115" s="2676"/>
      <c r="F1115" s="2676"/>
      <c r="G1115" s="2676"/>
      <c r="H1115" s="1961"/>
      <c r="I1115" s="1961"/>
      <c r="J1115" s="1541">
        <f>SUM(J1074:J1114)</f>
        <v>0</v>
      </c>
      <c r="K1115" s="1541">
        <f>SUM(K1074:K1114)</f>
        <v>0</v>
      </c>
      <c r="L1115" s="1340">
        <f>SUM(L1074:L1114)</f>
        <v>0</v>
      </c>
      <c r="M1115" s="1300">
        <v>1</v>
      </c>
      <c r="N1115" s="1300">
        <v>95</v>
      </c>
    </row>
    <row r="1116" spans="1:28" ht="18" hidden="1" customHeight="1" thickTop="1">
      <c r="A1116" s="1363" t="s">
        <v>1413</v>
      </c>
      <c r="B1116" s="1344" t="s">
        <v>72</v>
      </c>
      <c r="C1116" s="1343"/>
      <c r="D1116" s="1330"/>
      <c r="E1116" s="1330"/>
      <c r="F1116" s="1346"/>
      <c r="G1116" s="1345"/>
      <c r="H1116" s="1330"/>
      <c r="I1116" s="1330"/>
      <c r="J1116" s="1330"/>
      <c r="K1116" s="1330"/>
      <c r="L1116" s="1331"/>
      <c r="N1116" s="1300">
        <v>96</v>
      </c>
      <c r="AB1116" s="1221"/>
    </row>
    <row r="1117" spans="1:28" ht="18" hidden="1" customHeight="1">
      <c r="A1117" s="1371"/>
      <c r="B1117" s="1316" t="s">
        <v>103</v>
      </c>
      <c r="C1117" s="1334"/>
      <c r="D1117" s="1316" t="s">
        <v>1434</v>
      </c>
      <c r="E1117" s="1337"/>
      <c r="F1117" s="1336" t="s">
        <v>88</v>
      </c>
      <c r="G1117" s="1872">
        <f>P!$J$265</f>
        <v>42000</v>
      </c>
      <c r="H1117" s="1872">
        <f>P!$J$269</f>
        <v>59394</v>
      </c>
      <c r="I1117" s="1338">
        <f t="shared" ref="I1117:I1157" si="234">G1117+H1117</f>
        <v>101394</v>
      </c>
      <c r="J1117" s="1338">
        <f t="shared" ref="J1117:J1157" si="235">E1117*G1117</f>
        <v>0</v>
      </c>
      <c r="K1117" s="1338">
        <f t="shared" ref="K1117:K1157" si="236">E1117*H1117</f>
        <v>0</v>
      </c>
      <c r="L1117" s="1530">
        <f t="shared" ref="L1117:L1157" si="237">J1117+K1117</f>
        <v>0</v>
      </c>
      <c r="AB1117" s="1221"/>
    </row>
    <row r="1118" spans="1:28" ht="18" hidden="1" customHeight="1">
      <c r="A1118" s="1367"/>
      <c r="B1118" s="1361" t="s">
        <v>1630</v>
      </c>
      <c r="C1118" s="1360"/>
      <c r="D1118" s="1361" t="s">
        <v>1631</v>
      </c>
      <c r="E1118" s="1358"/>
      <c r="F1118" s="1362" t="s">
        <v>80</v>
      </c>
      <c r="G1118" s="1872">
        <v>3750000</v>
      </c>
      <c r="H1118" s="1872">
        <v>0</v>
      </c>
      <c r="I1118" s="1338">
        <f t="shared" si="234"/>
        <v>3750000</v>
      </c>
      <c r="J1118" s="1338">
        <f t="shared" si="235"/>
        <v>0</v>
      </c>
      <c r="K1118" s="1338">
        <f t="shared" si="236"/>
        <v>0</v>
      </c>
      <c r="L1118" s="1530">
        <f t="shared" si="237"/>
        <v>0</v>
      </c>
      <c r="AB1118" s="1221"/>
    </row>
    <row r="1119" spans="1:28" ht="18" hidden="1" customHeight="1">
      <c r="A1119" s="1371"/>
      <c r="B1119" s="1818" t="s">
        <v>2171</v>
      </c>
      <c r="C1119" s="1819"/>
      <c r="D1119" s="1818" t="s">
        <v>1416</v>
      </c>
      <c r="E1119" s="1820"/>
      <c r="F1119" s="1821" t="s">
        <v>88</v>
      </c>
      <c r="G1119" s="1872">
        <f>P!$J$274</f>
        <v>68812.800000000003</v>
      </c>
      <c r="H1119" s="1872">
        <f>P!$J$278</f>
        <v>33092.627999999997</v>
      </c>
      <c r="I1119" s="1820">
        <f t="shared" si="234"/>
        <v>101905.428</v>
      </c>
      <c r="J1119" s="1820">
        <f t="shared" si="235"/>
        <v>0</v>
      </c>
      <c r="K1119" s="1820">
        <f t="shared" si="236"/>
        <v>0</v>
      </c>
      <c r="L1119" s="1822">
        <f t="shared" si="237"/>
        <v>0</v>
      </c>
      <c r="P1119" s="1939" t="e">
        <f>E1119+#REF!+E1325</f>
        <v>#REF!</v>
      </c>
      <c r="AB1119" s="1221"/>
    </row>
    <row r="1120" spans="1:28" ht="18" hidden="1" customHeight="1">
      <c r="A1120" s="1367">
        <v>1</v>
      </c>
      <c r="B1120" s="1316" t="s">
        <v>2365</v>
      </c>
      <c r="C1120" s="1334"/>
      <c r="D1120" s="1316" t="s">
        <v>1416</v>
      </c>
      <c r="E1120" s="1337"/>
      <c r="F1120" s="1336" t="s">
        <v>88</v>
      </c>
      <c r="G1120" s="1358">
        <f>P!$J$283</f>
        <v>68812.800000000003</v>
      </c>
      <c r="H1120" s="1872">
        <f>P!$J$278</f>
        <v>33092.627999999997</v>
      </c>
      <c r="I1120" s="1338">
        <f t="shared" si="234"/>
        <v>101905.428</v>
      </c>
      <c r="J1120" s="1338">
        <f t="shared" si="235"/>
        <v>0</v>
      </c>
      <c r="K1120" s="1338">
        <f t="shared" si="236"/>
        <v>0</v>
      </c>
      <c r="L1120" s="1530">
        <f t="shared" si="237"/>
        <v>0</v>
      </c>
      <c r="P1120" s="1939" t="e">
        <f>E1120+#REF!+E1326</f>
        <v>#REF!</v>
      </c>
      <c r="AB1120" s="1221"/>
    </row>
    <row r="1121" spans="1:28" ht="18" hidden="1" customHeight="1">
      <c r="A1121" s="1371">
        <v>2</v>
      </c>
      <c r="B1121" s="1316" t="s">
        <v>2493</v>
      </c>
      <c r="C1121" s="1334"/>
      <c r="D1121" s="1316" t="s">
        <v>1416</v>
      </c>
      <c r="E1121" s="1337"/>
      <c r="F1121" s="1336" t="s">
        <v>88</v>
      </c>
      <c r="G1121" s="1358">
        <f>P!$J$292</f>
        <v>53160.800000000003</v>
      </c>
      <c r="H1121" s="1820">
        <f>P!$J$314</f>
        <v>33092.627999999997</v>
      </c>
      <c r="I1121" s="1338">
        <f t="shared" si="234"/>
        <v>86253.428</v>
      </c>
      <c r="J1121" s="1338">
        <f t="shared" si="235"/>
        <v>0</v>
      </c>
      <c r="K1121" s="1338">
        <f t="shared" si="236"/>
        <v>0</v>
      </c>
      <c r="L1121" s="1530">
        <f t="shared" si="237"/>
        <v>0</v>
      </c>
      <c r="P1121" s="1939" t="e">
        <f>E1121+#REF!+E1327</f>
        <v>#REF!</v>
      </c>
      <c r="AB1121" s="1221"/>
    </row>
    <row r="1122" spans="1:28" ht="18" hidden="1" customHeight="1">
      <c r="A1122" s="1367"/>
      <c r="B1122" s="1316" t="s">
        <v>2358</v>
      </c>
      <c r="C1122" s="1334"/>
      <c r="D1122" s="1316" t="s">
        <v>1416</v>
      </c>
      <c r="E1122" s="1337"/>
      <c r="F1122" s="1336" t="s">
        <v>88</v>
      </c>
      <c r="G1122" s="1358">
        <f>P!$J$301</f>
        <v>53160.800000000003</v>
      </c>
      <c r="H1122" s="1872">
        <f>P!$J$278</f>
        <v>33092.627999999997</v>
      </c>
      <c r="I1122" s="1338">
        <f t="shared" si="234"/>
        <v>86253.428</v>
      </c>
      <c r="J1122" s="1338">
        <f t="shared" si="235"/>
        <v>0</v>
      </c>
      <c r="K1122" s="1338">
        <f t="shared" si="236"/>
        <v>0</v>
      </c>
      <c r="L1122" s="1530">
        <f t="shared" si="237"/>
        <v>0</v>
      </c>
      <c r="P1122" s="1939" t="e">
        <f>E1122+#REF!+E1328</f>
        <v>#REF!</v>
      </c>
      <c r="AB1122" s="1221"/>
    </row>
    <row r="1123" spans="1:28" ht="18" hidden="1" customHeight="1">
      <c r="A1123" s="1371"/>
      <c r="B1123" s="1316" t="s">
        <v>2244</v>
      </c>
      <c r="C1123" s="1334"/>
      <c r="D1123" s="1316" t="s">
        <v>1416</v>
      </c>
      <c r="E1123" s="1337"/>
      <c r="F1123" s="1336" t="s">
        <v>88</v>
      </c>
      <c r="G1123" s="1358">
        <f>P!$J$310</f>
        <v>53160.800000000003</v>
      </c>
      <c r="H1123" s="1872">
        <f>P!$J$278</f>
        <v>33092.627999999997</v>
      </c>
      <c r="I1123" s="1338">
        <f t="shared" si="234"/>
        <v>86253.428</v>
      </c>
      <c r="J1123" s="1338">
        <f t="shared" si="235"/>
        <v>0</v>
      </c>
      <c r="K1123" s="1338">
        <f t="shared" si="236"/>
        <v>0</v>
      </c>
      <c r="L1123" s="1530">
        <f t="shared" si="237"/>
        <v>0</v>
      </c>
      <c r="P1123" s="1939" t="e">
        <f>E1123+#REF!+E1331</f>
        <v>#REF!</v>
      </c>
      <c r="AB1123" s="1221"/>
    </row>
    <row r="1124" spans="1:28" ht="18" hidden="1" customHeight="1">
      <c r="A1124" s="1367"/>
      <c r="B1124" s="1316" t="s">
        <v>2311</v>
      </c>
      <c r="C1124" s="1334"/>
      <c r="D1124" s="1316" t="s">
        <v>1416</v>
      </c>
      <c r="E1124" s="1337"/>
      <c r="F1124" s="1336" t="s">
        <v>88</v>
      </c>
      <c r="G1124" s="1358">
        <f>P!$J$319</f>
        <v>53160.800000000003</v>
      </c>
      <c r="H1124" s="1872">
        <f>P!$J$278</f>
        <v>33092.627999999997</v>
      </c>
      <c r="I1124" s="1338">
        <f t="shared" si="234"/>
        <v>86253.428</v>
      </c>
      <c r="J1124" s="1338">
        <f t="shared" si="235"/>
        <v>0</v>
      </c>
      <c r="K1124" s="1338">
        <f t="shared" si="236"/>
        <v>0</v>
      </c>
      <c r="L1124" s="1530">
        <f t="shared" si="237"/>
        <v>0</v>
      </c>
      <c r="P1124" s="1939" t="e">
        <f>E1124+#REF!+E1332</f>
        <v>#REF!</v>
      </c>
      <c r="AB1124" s="1221"/>
    </row>
    <row r="1125" spans="1:28" ht="18" hidden="1" customHeight="1">
      <c r="A1125" s="1367"/>
      <c r="B1125" s="1316" t="s">
        <v>2471</v>
      </c>
      <c r="C1125" s="1334"/>
      <c r="D1125" s="1316" t="s">
        <v>1416</v>
      </c>
      <c r="E1125" s="1337"/>
      <c r="F1125" s="1336" t="s">
        <v>88</v>
      </c>
      <c r="G1125" s="1358">
        <f>P!$J$328</f>
        <v>58657.8</v>
      </c>
      <c r="H1125" s="1872">
        <f>P!$J$278</f>
        <v>33092.627999999997</v>
      </c>
      <c r="I1125" s="1338">
        <f t="shared" si="234"/>
        <v>91750.428</v>
      </c>
      <c r="J1125" s="1338">
        <f t="shared" si="235"/>
        <v>0</v>
      </c>
      <c r="K1125" s="1338">
        <f t="shared" si="236"/>
        <v>0</v>
      </c>
      <c r="L1125" s="1530">
        <f t="shared" si="237"/>
        <v>0</v>
      </c>
      <c r="P1125" s="1939">
        <f>E1125+E1276+E1333</f>
        <v>0</v>
      </c>
      <c r="AB1125" s="1221"/>
    </row>
    <row r="1126" spans="1:28" ht="18" hidden="1" customHeight="1">
      <c r="A1126" s="1367"/>
      <c r="B1126" s="1316" t="s">
        <v>2331</v>
      </c>
      <c r="C1126" s="1334"/>
      <c r="D1126" s="1316" t="s">
        <v>1416</v>
      </c>
      <c r="E1126" s="1337"/>
      <c r="F1126" s="1336" t="s">
        <v>88</v>
      </c>
      <c r="G1126" s="1358">
        <f>P!$J$337</f>
        <v>61164.800000000003</v>
      </c>
      <c r="H1126" s="1872">
        <f>P!$J$278</f>
        <v>33092.627999999997</v>
      </c>
      <c r="I1126" s="1338">
        <f t="shared" si="234"/>
        <v>94257.428</v>
      </c>
      <c r="J1126" s="1338">
        <f t="shared" si="235"/>
        <v>0</v>
      </c>
      <c r="K1126" s="1338">
        <f t="shared" si="236"/>
        <v>0</v>
      </c>
      <c r="L1126" s="1530">
        <f t="shared" si="237"/>
        <v>0</v>
      </c>
      <c r="P1126" s="1939">
        <f>E1126+E1279+E1334</f>
        <v>0</v>
      </c>
      <c r="AB1126" s="1221"/>
    </row>
    <row r="1127" spans="1:28" ht="18" hidden="1" customHeight="1">
      <c r="A1127" s="1367"/>
      <c r="B1127" s="1316" t="s">
        <v>2494</v>
      </c>
      <c r="C1127" s="1334"/>
      <c r="D1127" s="1316" t="s">
        <v>1416</v>
      </c>
      <c r="E1127" s="1337"/>
      <c r="F1127" s="1336" t="s">
        <v>88</v>
      </c>
      <c r="G1127" s="1358">
        <f>P!$J$346</f>
        <v>73130.8</v>
      </c>
      <c r="H1127" s="1872">
        <f>P!$J$278</f>
        <v>33092.627999999997</v>
      </c>
      <c r="I1127" s="1338">
        <f t="shared" si="234"/>
        <v>106223.428</v>
      </c>
      <c r="J1127" s="1338">
        <f t="shared" si="235"/>
        <v>0</v>
      </c>
      <c r="K1127" s="1338">
        <f t="shared" si="236"/>
        <v>0</v>
      </c>
      <c r="L1127" s="1530">
        <f t="shared" si="237"/>
        <v>0</v>
      </c>
      <c r="P1127" s="1939">
        <f>E1127+E1280+E1335</f>
        <v>0</v>
      </c>
      <c r="AB1127" s="1221"/>
    </row>
    <row r="1128" spans="1:28" ht="18" hidden="1" customHeight="1">
      <c r="A1128" s="1367"/>
      <c r="B1128" s="1316" t="s">
        <v>104</v>
      </c>
      <c r="C1128" s="1334"/>
      <c r="D1128" s="1316" t="s">
        <v>1435</v>
      </c>
      <c r="E1128" s="1337"/>
      <c r="F1128" s="1336" t="s">
        <v>22</v>
      </c>
      <c r="G1128" s="1872">
        <f>P!$J$256</f>
        <v>16385.900000000001</v>
      </c>
      <c r="H1128" s="1872">
        <f>P!$J$260</f>
        <v>48100</v>
      </c>
      <c r="I1128" s="1338">
        <f t="shared" si="234"/>
        <v>64485.9</v>
      </c>
      <c r="J1128" s="1338">
        <f t="shared" si="235"/>
        <v>0</v>
      </c>
      <c r="K1128" s="1338">
        <f t="shared" si="236"/>
        <v>0</v>
      </c>
      <c r="L1128" s="1530">
        <f t="shared" si="237"/>
        <v>0</v>
      </c>
      <c r="AB1128" s="1221"/>
    </row>
    <row r="1129" spans="1:28" ht="18" hidden="1" customHeight="1">
      <c r="A1129" s="1371"/>
      <c r="B1129" s="1361" t="s">
        <v>1626</v>
      </c>
      <c r="C1129" s="1360"/>
      <c r="D1129" s="1361" t="s">
        <v>1628</v>
      </c>
      <c r="E1129" s="1358"/>
      <c r="F1129" s="1336" t="s">
        <v>22</v>
      </c>
      <c r="G1129" s="1872">
        <v>30000</v>
      </c>
      <c r="H1129" s="1872">
        <v>30000</v>
      </c>
      <c r="I1129" s="1338">
        <f t="shared" si="234"/>
        <v>60000</v>
      </c>
      <c r="J1129" s="1338">
        <f t="shared" si="235"/>
        <v>0</v>
      </c>
      <c r="K1129" s="1338">
        <f t="shared" si="236"/>
        <v>0</v>
      </c>
      <c r="L1129" s="1530">
        <f t="shared" si="237"/>
        <v>0</v>
      </c>
      <c r="AB1129" s="1221"/>
    </row>
    <row r="1130" spans="1:28" ht="18" hidden="1" customHeight="1">
      <c r="A1130" s="1367">
        <v>3</v>
      </c>
      <c r="B1130" s="1316" t="s">
        <v>1428</v>
      </c>
      <c r="C1130" s="1334"/>
      <c r="D1130" s="1316" t="s">
        <v>105</v>
      </c>
      <c r="E1130" s="1337"/>
      <c r="F1130" s="1336" t="s">
        <v>22</v>
      </c>
      <c r="G1130" s="1872">
        <f>P!$J$28</f>
        <v>13985.398399999998</v>
      </c>
      <c r="H1130" s="1913">
        <f>P!$J$32</f>
        <v>48100</v>
      </c>
      <c r="I1130" s="1338">
        <f t="shared" si="234"/>
        <v>62085.398399999998</v>
      </c>
      <c r="J1130" s="1338">
        <f t="shared" si="235"/>
        <v>0</v>
      </c>
      <c r="K1130" s="1338">
        <f t="shared" si="236"/>
        <v>0</v>
      </c>
      <c r="L1130" s="1530">
        <f t="shared" si="237"/>
        <v>0</v>
      </c>
      <c r="AB1130" s="1221"/>
    </row>
    <row r="1131" spans="1:28" ht="18" hidden="1" customHeight="1">
      <c r="A1131" s="1371">
        <v>4</v>
      </c>
      <c r="B1131" s="1316" t="s">
        <v>1417</v>
      </c>
      <c r="C1131" s="1334"/>
      <c r="D1131" s="1316" t="s">
        <v>106</v>
      </c>
      <c r="E1131" s="1337"/>
      <c r="F1131" s="1336" t="s">
        <v>22</v>
      </c>
      <c r="G1131" s="1872">
        <f>P!$J$8</f>
        <v>11150.623624999998</v>
      </c>
      <c r="H1131" s="1913">
        <f>P!$J$12</f>
        <v>48100</v>
      </c>
      <c r="I1131" s="1338">
        <f t="shared" si="234"/>
        <v>59250.623625</v>
      </c>
      <c r="J1131" s="1338">
        <f t="shared" si="235"/>
        <v>0</v>
      </c>
      <c r="K1131" s="1338">
        <f t="shared" si="236"/>
        <v>0</v>
      </c>
      <c r="L1131" s="1530">
        <f t="shared" si="237"/>
        <v>0</v>
      </c>
      <c r="AB1131" s="1221"/>
    </row>
    <row r="1132" spans="1:28" ht="18" hidden="1" customHeight="1">
      <c r="A1132" s="1367">
        <v>5</v>
      </c>
      <c r="B1132" s="1316" t="s">
        <v>1418</v>
      </c>
      <c r="C1132" s="1334"/>
      <c r="D1132" s="1316" t="s">
        <v>106</v>
      </c>
      <c r="E1132" s="1337"/>
      <c r="F1132" s="1336" t="s">
        <v>22</v>
      </c>
      <c r="G1132" s="1872">
        <f>P!$J$18</f>
        <v>13995.68</v>
      </c>
      <c r="H1132" s="1913">
        <f>P!$J$22</f>
        <v>48100</v>
      </c>
      <c r="I1132" s="1338">
        <f t="shared" si="234"/>
        <v>62095.68</v>
      </c>
      <c r="J1132" s="1338">
        <f t="shared" si="235"/>
        <v>0</v>
      </c>
      <c r="K1132" s="1338">
        <f t="shared" si="236"/>
        <v>0</v>
      </c>
      <c r="L1132" s="1530">
        <f t="shared" si="237"/>
        <v>0</v>
      </c>
      <c r="AB1132" s="1221"/>
    </row>
    <row r="1133" spans="1:28" ht="18" hidden="1" customHeight="1">
      <c r="A1133" s="1371"/>
      <c r="B1133" s="1316" t="s">
        <v>1474</v>
      </c>
      <c r="C1133" s="1334"/>
      <c r="D1133" s="1316" t="str">
        <f>BAHAN!$F$314</f>
        <v>Philips Lampu LED 18 Watt Coolday Light</v>
      </c>
      <c r="E1133" s="1337"/>
      <c r="F1133" s="1336" t="s">
        <v>88</v>
      </c>
      <c r="G1133" s="1872">
        <f>P!$J$183</f>
        <v>183750</v>
      </c>
      <c r="H1133" s="1913">
        <f>P!$J$187</f>
        <v>59394</v>
      </c>
      <c r="I1133" s="1338">
        <f t="shared" si="234"/>
        <v>243144</v>
      </c>
      <c r="J1133" s="1338">
        <f t="shared" si="235"/>
        <v>0</v>
      </c>
      <c r="K1133" s="1338">
        <f t="shared" si="236"/>
        <v>0</v>
      </c>
      <c r="L1133" s="1530">
        <f t="shared" si="237"/>
        <v>0</v>
      </c>
      <c r="AB1133" s="1221"/>
    </row>
    <row r="1134" spans="1:28" ht="18" hidden="1" customHeight="1">
      <c r="A1134" s="1367">
        <v>6</v>
      </c>
      <c r="B1134" s="1316" t="s">
        <v>107</v>
      </c>
      <c r="C1134" s="1334"/>
      <c r="D1134" s="1316" t="str">
        <f>BAHAN!$F$315</f>
        <v>Philips LED Downlight Eridani 5W</v>
      </c>
      <c r="E1134" s="1337"/>
      <c r="F1134" s="1336" t="s">
        <v>88</v>
      </c>
      <c r="G1134" s="1872">
        <f>P!$J$165</f>
        <v>60900</v>
      </c>
      <c r="H1134" s="1913">
        <f>P!$J$169</f>
        <v>59394</v>
      </c>
      <c r="I1134" s="1338">
        <f t="shared" si="234"/>
        <v>120294</v>
      </c>
      <c r="J1134" s="1338">
        <f t="shared" si="235"/>
        <v>0</v>
      </c>
      <c r="K1134" s="1338">
        <f t="shared" si="236"/>
        <v>0</v>
      </c>
      <c r="L1134" s="1530">
        <f t="shared" si="237"/>
        <v>0</v>
      </c>
      <c r="AB1134" s="1221"/>
    </row>
    <row r="1135" spans="1:28" ht="18" hidden="1" customHeight="1">
      <c r="A1135" s="1371"/>
      <c r="B1135" s="1316" t="s">
        <v>1475</v>
      </c>
      <c r="C1135" s="1334"/>
      <c r="D1135" s="1316" t="str">
        <f>BAHAN!$F$313</f>
        <v>Philips Lampu LED 12 Watt Coolday Light</v>
      </c>
      <c r="E1135" s="1337"/>
      <c r="F1135" s="1336" t="s">
        <v>88</v>
      </c>
      <c r="G1135" s="1872">
        <f>P!$J$174</f>
        <v>146790</v>
      </c>
      <c r="H1135" s="1913">
        <f>P!$J$178</f>
        <v>59394</v>
      </c>
      <c r="I1135" s="1338">
        <f t="shared" si="234"/>
        <v>206184</v>
      </c>
      <c r="J1135" s="1338">
        <f t="shared" si="235"/>
        <v>0</v>
      </c>
      <c r="K1135" s="1338">
        <f t="shared" si="236"/>
        <v>0</v>
      </c>
      <c r="L1135" s="1530">
        <f t="shared" si="237"/>
        <v>0</v>
      </c>
      <c r="AB1135" s="1221"/>
    </row>
    <row r="1136" spans="1:28" ht="18" hidden="1" customHeight="1">
      <c r="A1136" s="1367"/>
      <c r="B1136" s="1316" t="s">
        <v>1473</v>
      </c>
      <c r="C1136" s="1334"/>
      <c r="D1136" s="1316" t="s">
        <v>1484</v>
      </c>
      <c r="E1136" s="1337"/>
      <c r="F1136" s="1336" t="s">
        <v>88</v>
      </c>
      <c r="G1136" s="1872">
        <f>P!$J$210</f>
        <v>182700</v>
      </c>
      <c r="H1136" s="1913">
        <f>P!$J$214</f>
        <v>59394</v>
      </c>
      <c r="I1136" s="1338">
        <f t="shared" si="234"/>
        <v>242094</v>
      </c>
      <c r="J1136" s="1338">
        <f t="shared" si="235"/>
        <v>0</v>
      </c>
      <c r="K1136" s="1338">
        <f t="shared" si="236"/>
        <v>0</v>
      </c>
      <c r="L1136" s="1530">
        <f t="shared" si="237"/>
        <v>0</v>
      </c>
      <c r="AB1136" s="1221"/>
    </row>
    <row r="1137" spans="1:28" ht="18" hidden="1" customHeight="1">
      <c r="A1137" s="1371"/>
      <c r="B1137" s="1316" t="s">
        <v>897</v>
      </c>
      <c r="C1137" s="1334"/>
      <c r="D1137" s="1316" t="s">
        <v>1197</v>
      </c>
      <c r="E1137" s="1337"/>
      <c r="F1137" s="1336" t="s">
        <v>88</v>
      </c>
      <c r="G1137" s="1872">
        <f>P!$J$192</f>
        <v>182700</v>
      </c>
      <c r="H1137" s="1913">
        <f>P!$J$196</f>
        <v>59394</v>
      </c>
      <c r="I1137" s="1338">
        <f t="shared" si="234"/>
        <v>242094</v>
      </c>
      <c r="J1137" s="1338">
        <f t="shared" si="235"/>
        <v>0</v>
      </c>
      <c r="K1137" s="1338">
        <f t="shared" si="236"/>
        <v>0</v>
      </c>
      <c r="L1137" s="1530">
        <f t="shared" si="237"/>
        <v>0</v>
      </c>
      <c r="AB1137" s="1221"/>
    </row>
    <row r="1138" spans="1:28" ht="18" hidden="1" customHeight="1">
      <c r="A1138" s="1371"/>
      <c r="B1138" s="1316" t="s">
        <v>183</v>
      </c>
      <c r="C1138" s="1334"/>
      <c r="D1138" s="1316" t="str">
        <f>BAHAN!$F$329</f>
        <v>Ex. Eglare Lampu Gantung Hias Cyrstal 6l</v>
      </c>
      <c r="E1138" s="1337"/>
      <c r="F1138" s="1336" t="s">
        <v>88</v>
      </c>
      <c r="G1138" s="1913">
        <f>P!$J$246</f>
        <v>1836765</v>
      </c>
      <c r="H1138" s="1913">
        <f>P!$J$196</f>
        <v>59394</v>
      </c>
      <c r="I1138" s="1338">
        <f t="shared" si="234"/>
        <v>1896159</v>
      </c>
      <c r="J1138" s="1338">
        <f t="shared" si="235"/>
        <v>0</v>
      </c>
      <c r="K1138" s="1338">
        <f t="shared" si="236"/>
        <v>0</v>
      </c>
      <c r="L1138" s="1530">
        <f t="shared" si="237"/>
        <v>0</v>
      </c>
      <c r="AB1138" s="1221"/>
    </row>
    <row r="1139" spans="1:28" ht="18" hidden="1" customHeight="1">
      <c r="A1139" s="1367"/>
      <c r="B1139" s="1316" t="s">
        <v>208</v>
      </c>
      <c r="C1139" s="1334"/>
      <c r="D1139" s="1316" t="s">
        <v>1198</v>
      </c>
      <c r="E1139" s="1337"/>
      <c r="F1139" s="1336" t="s">
        <v>88</v>
      </c>
      <c r="G1139" s="1913">
        <f>P!$J$201</f>
        <v>52395</v>
      </c>
      <c r="H1139" s="1913">
        <f>P!$J$196</f>
        <v>59394</v>
      </c>
      <c r="I1139" s="1338">
        <f t="shared" si="234"/>
        <v>111789</v>
      </c>
      <c r="J1139" s="1338">
        <f t="shared" si="235"/>
        <v>0</v>
      </c>
      <c r="K1139" s="1338">
        <f t="shared" si="236"/>
        <v>0</v>
      </c>
      <c r="L1139" s="1530">
        <f t="shared" si="237"/>
        <v>0</v>
      </c>
      <c r="AB1139" s="1221"/>
    </row>
    <row r="1140" spans="1:28" ht="18" hidden="1" customHeight="1">
      <c r="A1140" s="1371"/>
      <c r="B1140" s="1316" t="s">
        <v>1512</v>
      </c>
      <c r="C1140" s="1334"/>
      <c r="D1140" s="1316" t="s">
        <v>1513</v>
      </c>
      <c r="E1140" s="1337"/>
      <c r="F1140" s="1336" t="s">
        <v>88</v>
      </c>
      <c r="G1140" s="1913">
        <f>P!$J$219</f>
        <v>648375</v>
      </c>
      <c r="H1140" s="1913">
        <f>P!$J$196</f>
        <v>59394</v>
      </c>
      <c r="I1140" s="1338">
        <f t="shared" si="234"/>
        <v>707769</v>
      </c>
      <c r="J1140" s="1338">
        <f t="shared" si="235"/>
        <v>0</v>
      </c>
      <c r="K1140" s="1338">
        <f t="shared" si="236"/>
        <v>0</v>
      </c>
      <c r="L1140" s="1530">
        <f t="shared" si="237"/>
        <v>0</v>
      </c>
      <c r="AB1140" s="1221"/>
    </row>
    <row r="1141" spans="1:28" ht="18" hidden="1" customHeight="1">
      <c r="A1141" s="1367">
        <v>7</v>
      </c>
      <c r="B1141" s="1301" t="s">
        <v>1596</v>
      </c>
      <c r="C1141" s="1360"/>
      <c r="D1141" s="1361" t="s">
        <v>1595</v>
      </c>
      <c r="E1141" s="1358"/>
      <c r="F1141" s="1362" t="s">
        <v>88</v>
      </c>
      <c r="G1141" s="1913">
        <f>P!$J$156</f>
        <v>330750</v>
      </c>
      <c r="H1141" s="1913">
        <f>P!$J$196</f>
        <v>59394</v>
      </c>
      <c r="I1141" s="1338">
        <f t="shared" si="234"/>
        <v>390144</v>
      </c>
      <c r="J1141" s="1338">
        <f t="shared" si="235"/>
        <v>0</v>
      </c>
      <c r="K1141" s="1338">
        <f t="shared" si="236"/>
        <v>0</v>
      </c>
      <c r="L1141" s="1530">
        <f t="shared" si="237"/>
        <v>0</v>
      </c>
      <c r="AB1141" s="1221"/>
    </row>
    <row r="1142" spans="1:28" ht="18" hidden="1" customHeight="1">
      <c r="A1142" s="1371"/>
      <c r="B1142" s="1302" t="s">
        <v>1667</v>
      </c>
      <c r="C1142" s="1384"/>
      <c r="D1142" s="1383" t="s">
        <v>1668</v>
      </c>
      <c r="E1142" s="1385"/>
      <c r="F1142" s="1386" t="s">
        <v>129</v>
      </c>
      <c r="G1142" s="1913">
        <f>P!$J$409</f>
        <v>16590</v>
      </c>
      <c r="H1142" s="1913">
        <f>P!$J$413</f>
        <v>33092.627999999997</v>
      </c>
      <c r="I1142" s="1338">
        <f t="shared" si="234"/>
        <v>49682.627999999997</v>
      </c>
      <c r="J1142" s="1338">
        <f t="shared" si="235"/>
        <v>0</v>
      </c>
      <c r="K1142" s="1338">
        <f t="shared" si="236"/>
        <v>0</v>
      </c>
      <c r="L1142" s="1530">
        <f t="shared" si="237"/>
        <v>0</v>
      </c>
      <c r="AB1142" s="1221"/>
    </row>
    <row r="1143" spans="1:28" ht="18" hidden="1" customHeight="1">
      <c r="A1143" s="1371"/>
      <c r="B1143" s="1302" t="s">
        <v>2323</v>
      </c>
      <c r="C1143" s="1384"/>
      <c r="D1143" s="1383" t="s">
        <v>2324</v>
      </c>
      <c r="E1143" s="1385"/>
      <c r="F1143" s="1386" t="s">
        <v>88</v>
      </c>
      <c r="G1143" s="1913">
        <f>P!$J$418</f>
        <v>103950</v>
      </c>
      <c r="H1143" s="1913">
        <f>P!$J$422</f>
        <v>33092.627999999997</v>
      </c>
      <c r="I1143" s="1338">
        <f t="shared" si="234"/>
        <v>137042.628</v>
      </c>
      <c r="J1143" s="1338">
        <f t="shared" si="235"/>
        <v>0</v>
      </c>
      <c r="K1143" s="1338">
        <f t="shared" si="236"/>
        <v>0</v>
      </c>
      <c r="L1143" s="1530">
        <f t="shared" si="237"/>
        <v>0</v>
      </c>
      <c r="P1143" s="1939">
        <f>E1143+E1289+E1345</f>
        <v>0</v>
      </c>
      <c r="AB1143" s="1221"/>
    </row>
    <row r="1144" spans="1:28" ht="18" hidden="1" customHeight="1">
      <c r="A1144" s="1371"/>
      <c r="B1144" s="1302" t="s">
        <v>2326</v>
      </c>
      <c r="C1144" s="1384"/>
      <c r="D1144" s="1383" t="s">
        <v>2330</v>
      </c>
      <c r="E1144" s="1385"/>
      <c r="F1144" s="1386" t="s">
        <v>88</v>
      </c>
      <c r="G1144" s="1913">
        <f>P!$J$427</f>
        <v>69300</v>
      </c>
      <c r="H1144" s="1913">
        <f>P!$J$431</f>
        <v>33092.627999999997</v>
      </c>
      <c r="I1144" s="1338">
        <f t="shared" si="234"/>
        <v>102392.628</v>
      </c>
      <c r="J1144" s="1338">
        <f t="shared" si="235"/>
        <v>0</v>
      </c>
      <c r="K1144" s="1338">
        <f t="shared" si="236"/>
        <v>0</v>
      </c>
      <c r="L1144" s="1530">
        <f t="shared" si="237"/>
        <v>0</v>
      </c>
      <c r="P1144" s="1939">
        <f>E1144+E1291+E1348</f>
        <v>0</v>
      </c>
      <c r="AB1144" s="1221"/>
    </row>
    <row r="1145" spans="1:28" ht="18" hidden="1" customHeight="1">
      <c r="A1145" s="1371">
        <v>8</v>
      </c>
      <c r="B1145" s="1316" t="s">
        <v>108</v>
      </c>
      <c r="C1145" s="1334"/>
      <c r="D1145" s="1316" t="s">
        <v>109</v>
      </c>
      <c r="E1145" s="1337"/>
      <c r="F1145" s="1336" t="s">
        <v>88</v>
      </c>
      <c r="G1145" s="1913">
        <f>P!$J$75</f>
        <v>18235.349999999999</v>
      </c>
      <c r="H1145" s="1872">
        <f>P!$J$79</f>
        <v>12992</v>
      </c>
      <c r="I1145" s="1338">
        <f t="shared" si="234"/>
        <v>31227.35</v>
      </c>
      <c r="J1145" s="1338">
        <f t="shared" si="235"/>
        <v>0</v>
      </c>
      <c r="K1145" s="1338">
        <f t="shared" si="236"/>
        <v>0</v>
      </c>
      <c r="L1145" s="1530">
        <f t="shared" si="237"/>
        <v>0</v>
      </c>
      <c r="AB1145" s="1221"/>
    </row>
    <row r="1146" spans="1:28" ht="18" hidden="1" customHeight="1">
      <c r="A1146" s="1371"/>
      <c r="B1146" s="1361" t="s">
        <v>1624</v>
      </c>
      <c r="C1146" s="1360"/>
      <c r="D1146" s="1316" t="s">
        <v>109</v>
      </c>
      <c r="E1146" s="1358"/>
      <c r="F1146" s="1362" t="s">
        <v>88</v>
      </c>
      <c r="G1146" s="1913">
        <f>P!$J$102</f>
        <v>33285</v>
      </c>
      <c r="H1146" s="1872">
        <f>P!$J$106</f>
        <v>12992</v>
      </c>
      <c r="I1146" s="1338">
        <f t="shared" si="234"/>
        <v>46277</v>
      </c>
      <c r="J1146" s="1338">
        <f t="shared" si="235"/>
        <v>0</v>
      </c>
      <c r="K1146" s="1338">
        <f t="shared" si="236"/>
        <v>0</v>
      </c>
      <c r="L1146" s="1530">
        <f t="shared" si="237"/>
        <v>0</v>
      </c>
      <c r="AB1146" s="1221"/>
    </row>
    <row r="1147" spans="1:28" ht="18" hidden="1" customHeight="1">
      <c r="A1147" s="1371"/>
      <c r="B1147" s="1361" t="s">
        <v>2172</v>
      </c>
      <c r="C1147" s="1360"/>
      <c r="D1147" s="1316" t="s">
        <v>109</v>
      </c>
      <c r="E1147" s="1358"/>
      <c r="F1147" s="1362" t="s">
        <v>88</v>
      </c>
      <c r="G1147" s="1913">
        <v>37500</v>
      </c>
      <c r="H1147" s="1872">
        <f>P!$J$88</f>
        <v>12992</v>
      </c>
      <c r="I1147" s="1338">
        <f t="shared" si="234"/>
        <v>50492</v>
      </c>
      <c r="J1147" s="1338">
        <f t="shared" si="235"/>
        <v>0</v>
      </c>
      <c r="K1147" s="1338">
        <f t="shared" si="236"/>
        <v>0</v>
      </c>
      <c r="L1147" s="1530">
        <f t="shared" si="237"/>
        <v>0</v>
      </c>
      <c r="AB1147" s="1221"/>
    </row>
    <row r="1148" spans="1:28" ht="18" hidden="1" customHeight="1">
      <c r="A1148" s="1371"/>
      <c r="B1148" s="1316" t="s">
        <v>110</v>
      </c>
      <c r="C1148" s="1334"/>
      <c r="D1148" s="1316" t="s">
        <v>109</v>
      </c>
      <c r="E1148" s="1337"/>
      <c r="F1148" s="1336" t="s">
        <v>88</v>
      </c>
      <c r="G1148" s="1913">
        <f>P!$J$111</f>
        <v>52104.15</v>
      </c>
      <c r="H1148" s="1872">
        <f>P!$J$115</f>
        <v>12992</v>
      </c>
      <c r="I1148" s="1338">
        <f t="shared" si="234"/>
        <v>65096.15</v>
      </c>
      <c r="J1148" s="1338">
        <f t="shared" si="235"/>
        <v>0</v>
      </c>
      <c r="K1148" s="1338">
        <f t="shared" si="236"/>
        <v>0</v>
      </c>
      <c r="L1148" s="1530">
        <f t="shared" si="237"/>
        <v>0</v>
      </c>
      <c r="AB1148" s="1221"/>
    </row>
    <row r="1149" spans="1:28" ht="18" hidden="1" customHeight="1">
      <c r="A1149" s="1371">
        <v>9</v>
      </c>
      <c r="B1149" s="1316" t="s">
        <v>111</v>
      </c>
      <c r="C1149" s="1334"/>
      <c r="D1149" s="1316" t="s">
        <v>109</v>
      </c>
      <c r="E1149" s="1337"/>
      <c r="F1149" s="1336" t="s">
        <v>88</v>
      </c>
      <c r="G1149" s="1913">
        <f>P!$J$120</f>
        <v>10363.5</v>
      </c>
      <c r="H1149" s="1872">
        <f>P!$J$124</f>
        <v>12992</v>
      </c>
      <c r="I1149" s="1338">
        <f t="shared" si="234"/>
        <v>23355.5</v>
      </c>
      <c r="J1149" s="1338">
        <f t="shared" si="235"/>
        <v>0</v>
      </c>
      <c r="K1149" s="1338">
        <f t="shared" si="236"/>
        <v>0</v>
      </c>
      <c r="L1149" s="1530">
        <f t="shared" si="237"/>
        <v>0</v>
      </c>
      <c r="AB1149" s="1221"/>
    </row>
    <row r="1150" spans="1:28" ht="18" hidden="1" customHeight="1">
      <c r="A1150" s="1371">
        <v>10</v>
      </c>
      <c r="B1150" s="1316" t="s">
        <v>112</v>
      </c>
      <c r="C1150" s="1334"/>
      <c r="D1150" s="1316" t="s">
        <v>109</v>
      </c>
      <c r="E1150" s="1337"/>
      <c r="F1150" s="1336" t="s">
        <v>88</v>
      </c>
      <c r="G1150" s="1913">
        <f>P!$J$129</f>
        <v>14082.6</v>
      </c>
      <c r="H1150" s="1872">
        <f>P!$J$133</f>
        <v>12992</v>
      </c>
      <c r="I1150" s="1338">
        <f t="shared" si="234"/>
        <v>27074.6</v>
      </c>
      <c r="J1150" s="1338">
        <f t="shared" si="235"/>
        <v>0</v>
      </c>
      <c r="K1150" s="1338">
        <f t="shared" si="236"/>
        <v>0</v>
      </c>
      <c r="L1150" s="1530">
        <f t="shared" si="237"/>
        <v>0</v>
      </c>
      <c r="AB1150" s="1221"/>
    </row>
    <row r="1151" spans="1:28" ht="18" hidden="1" customHeight="1">
      <c r="A1151" s="1371"/>
      <c r="B1151" s="1316" t="s">
        <v>1421</v>
      </c>
      <c r="C1151" s="1334"/>
      <c r="D1151" s="1316" t="s">
        <v>109</v>
      </c>
      <c r="E1151" s="1337"/>
      <c r="F1151" s="1336" t="s">
        <v>88</v>
      </c>
      <c r="G1151" s="1913">
        <f>P!$J$138</f>
        <v>18367.650000000001</v>
      </c>
      <c r="H1151" s="1872">
        <f>P!$J$142</f>
        <v>12992</v>
      </c>
      <c r="I1151" s="1338">
        <f t="shared" si="234"/>
        <v>31359.65</v>
      </c>
      <c r="J1151" s="1338">
        <f t="shared" si="235"/>
        <v>0</v>
      </c>
      <c r="K1151" s="1338">
        <f t="shared" si="236"/>
        <v>0</v>
      </c>
      <c r="L1151" s="1530">
        <f t="shared" si="237"/>
        <v>0</v>
      </c>
      <c r="AB1151" s="1221"/>
    </row>
    <row r="1152" spans="1:28" ht="18" hidden="1" customHeight="1">
      <c r="A1152" s="1371"/>
      <c r="B1152" s="1388" t="s">
        <v>1537</v>
      </c>
      <c r="C1152" s="1389"/>
      <c r="D1152" s="1316" t="s">
        <v>1535</v>
      </c>
      <c r="E1152" s="1365"/>
      <c r="F1152" s="1366" t="s">
        <v>88</v>
      </c>
      <c r="G1152" s="1913">
        <f>P!$J$147</f>
        <v>77307.3</v>
      </c>
      <c r="H1152" s="1872">
        <f>P!$J$151</f>
        <v>10540</v>
      </c>
      <c r="I1152" s="1338">
        <f t="shared" si="234"/>
        <v>87847.3</v>
      </c>
      <c r="J1152" s="1338">
        <f t="shared" si="235"/>
        <v>0</v>
      </c>
      <c r="K1152" s="1338">
        <f t="shared" si="236"/>
        <v>0</v>
      </c>
      <c r="L1152" s="1530">
        <f t="shared" si="237"/>
        <v>0</v>
      </c>
      <c r="AB1152" s="1221"/>
    </row>
    <row r="1153" spans="1:28" ht="18" hidden="1" customHeight="1">
      <c r="A1153" s="1371"/>
      <c r="B1153" s="1316" t="s">
        <v>1673</v>
      </c>
      <c r="C1153" s="1334"/>
      <c r="D1153" s="1316" t="s">
        <v>109</v>
      </c>
      <c r="E1153" s="1385"/>
      <c r="F1153" s="1386" t="s">
        <v>88</v>
      </c>
      <c r="G1153" s="1913">
        <f>P!$J$391</f>
        <v>24612</v>
      </c>
      <c r="H1153" s="1872">
        <f>P!$J$395</f>
        <v>8915.9500000000007</v>
      </c>
      <c r="I1153" s="1338">
        <f t="shared" si="234"/>
        <v>33527.949999999997</v>
      </c>
      <c r="J1153" s="1338">
        <f t="shared" si="235"/>
        <v>0</v>
      </c>
      <c r="K1153" s="1338">
        <f t="shared" si="236"/>
        <v>0</v>
      </c>
      <c r="L1153" s="1530">
        <f t="shared" si="237"/>
        <v>0</v>
      </c>
      <c r="AB1153" s="1221"/>
    </row>
    <row r="1154" spans="1:28" ht="18" hidden="1" customHeight="1">
      <c r="A1154" s="1371"/>
      <c r="B1154" s="1316" t="s">
        <v>1534</v>
      </c>
      <c r="C1154" s="1334"/>
      <c r="D1154" s="1316" t="s">
        <v>1535</v>
      </c>
      <c r="E1154" s="1337"/>
      <c r="F1154" s="1336" t="s">
        <v>88</v>
      </c>
      <c r="G1154" s="1913">
        <f>P!$J$382</f>
        <v>33030.9</v>
      </c>
      <c r="H1154" s="1872">
        <f>P!$J$386</f>
        <v>8915.9500000000007</v>
      </c>
      <c r="I1154" s="1338">
        <f t="shared" si="234"/>
        <v>41946.850000000006</v>
      </c>
      <c r="J1154" s="1338">
        <f t="shared" si="235"/>
        <v>0</v>
      </c>
      <c r="K1154" s="1338">
        <f t="shared" si="236"/>
        <v>0</v>
      </c>
      <c r="L1154" s="1530">
        <f t="shared" si="237"/>
        <v>0</v>
      </c>
      <c r="AB1154" s="1221"/>
    </row>
    <row r="1155" spans="1:28" ht="18" hidden="1" customHeight="1">
      <c r="A1155" s="1371"/>
      <c r="B1155" s="1316" t="s">
        <v>1676</v>
      </c>
      <c r="C1155" s="1334"/>
      <c r="D1155" s="1316" t="s">
        <v>109</v>
      </c>
      <c r="E1155" s="1385"/>
      <c r="F1155" s="1390" t="s">
        <v>88</v>
      </c>
      <c r="G1155" s="1913">
        <f>P!$J$373</f>
        <v>43335.6</v>
      </c>
      <c r="H1155" s="1872">
        <f>P!$J$377</f>
        <v>8915.9500000000007</v>
      </c>
      <c r="I1155" s="1338">
        <f t="shared" si="234"/>
        <v>52251.55</v>
      </c>
      <c r="J1155" s="1338">
        <f t="shared" si="235"/>
        <v>0</v>
      </c>
      <c r="K1155" s="1338">
        <f t="shared" si="236"/>
        <v>0</v>
      </c>
      <c r="L1155" s="1530">
        <f t="shared" si="237"/>
        <v>0</v>
      </c>
      <c r="AB1155" s="1221"/>
    </row>
    <row r="1156" spans="1:28" ht="18" hidden="1" customHeight="1">
      <c r="A1156" s="1371"/>
      <c r="B1156" s="1339" t="s">
        <v>206</v>
      </c>
      <c r="C1156" s="1368"/>
      <c r="D1156" s="1339" t="s">
        <v>207</v>
      </c>
      <c r="E1156" s="1337"/>
      <c r="F1156" s="1380" t="s">
        <v>154</v>
      </c>
      <c r="G1156" s="1913">
        <v>3000000</v>
      </c>
      <c r="H1156" s="1872">
        <v>0</v>
      </c>
      <c r="I1156" s="1338">
        <f t="shared" si="234"/>
        <v>3000000</v>
      </c>
      <c r="J1156" s="1338">
        <f t="shared" si="235"/>
        <v>0</v>
      </c>
      <c r="K1156" s="1338">
        <f t="shared" si="236"/>
        <v>0</v>
      </c>
      <c r="L1156" s="1530">
        <f t="shared" si="237"/>
        <v>0</v>
      </c>
      <c r="AB1156" s="1221"/>
    </row>
    <row r="1157" spans="1:28" ht="18" hidden="1" customHeight="1" thickBot="1">
      <c r="A1157" s="1371"/>
      <c r="B1157" s="1316" t="s">
        <v>903</v>
      </c>
      <c r="C1157" s="1334"/>
      <c r="D1157" s="1316" t="s">
        <v>1420</v>
      </c>
      <c r="E1157" s="1337"/>
      <c r="F1157" s="1336" t="s">
        <v>88</v>
      </c>
      <c r="G1157" s="1913">
        <f>P!$J$228</f>
        <v>267750</v>
      </c>
      <c r="H1157" s="1872">
        <f>P!$J$232</f>
        <v>59394</v>
      </c>
      <c r="I1157" s="1338">
        <f t="shared" si="234"/>
        <v>327144</v>
      </c>
      <c r="J1157" s="1338">
        <f t="shared" si="235"/>
        <v>0</v>
      </c>
      <c r="K1157" s="1338">
        <f t="shared" si="236"/>
        <v>0</v>
      </c>
      <c r="L1157" s="1530">
        <f t="shared" si="237"/>
        <v>0</v>
      </c>
      <c r="AB1157" s="1221"/>
    </row>
    <row r="1158" spans="1:28" ht="18" hidden="1" customHeight="1" thickTop="1" thickBot="1">
      <c r="A1158" s="2675" t="s">
        <v>113</v>
      </c>
      <c r="B1158" s="2676"/>
      <c r="C1158" s="2676"/>
      <c r="D1158" s="2676"/>
      <c r="E1158" s="2676"/>
      <c r="F1158" s="2676"/>
      <c r="G1158" s="2676"/>
      <c r="H1158" s="2374"/>
      <c r="I1158" s="2374"/>
      <c r="J1158" s="1541">
        <f>SUM(J1117:J1157)</f>
        <v>0</v>
      </c>
      <c r="K1158" s="1541">
        <f>SUM(K1117:K1157)</f>
        <v>0</v>
      </c>
      <c r="L1158" s="1340">
        <f>SUM(L1117:L1157)</f>
        <v>0</v>
      </c>
      <c r="M1158" s="1300">
        <v>1</v>
      </c>
      <c r="N1158" s="1300">
        <v>97</v>
      </c>
      <c r="AB1158" s="1221"/>
    </row>
    <row r="1159" spans="1:28" ht="18" hidden="1" customHeight="1" thickTop="1">
      <c r="A1159" s="1363" t="s">
        <v>1010</v>
      </c>
      <c r="B1159" s="1344" t="s">
        <v>2617</v>
      </c>
      <c r="C1159" s="1343"/>
      <c r="D1159" s="1330"/>
      <c r="E1159" s="1330"/>
      <c r="F1159" s="1346"/>
      <c r="G1159" s="1345"/>
      <c r="H1159" s="1330"/>
      <c r="I1159" s="1330"/>
      <c r="J1159" s="1330"/>
      <c r="K1159" s="1330"/>
      <c r="L1159" s="1331"/>
      <c r="N1159" s="1300">
        <v>98</v>
      </c>
      <c r="AB1159" s="1221"/>
    </row>
    <row r="1160" spans="1:28" ht="18" hidden="1" customHeight="1">
      <c r="A1160" s="1371">
        <v>1</v>
      </c>
      <c r="B1160" s="1316" t="s">
        <v>103</v>
      </c>
      <c r="C1160" s="1334"/>
      <c r="D1160" s="1316" t="s">
        <v>1434</v>
      </c>
      <c r="E1160" s="1337"/>
      <c r="F1160" s="1336" t="s">
        <v>88</v>
      </c>
      <c r="G1160" s="1872">
        <f>P!$J$265</f>
        <v>42000</v>
      </c>
      <c r="H1160" s="1872">
        <f>P!$J$269</f>
        <v>59394</v>
      </c>
      <c r="I1160" s="1338">
        <f t="shared" ref="I1160:I1200" si="238">G1160+H1160</f>
        <v>101394</v>
      </c>
      <c r="J1160" s="1338">
        <f t="shared" ref="J1160:J1200" si="239">E1160*G1160</f>
        <v>0</v>
      </c>
      <c r="K1160" s="1338">
        <f t="shared" ref="K1160:K1200" si="240">E1160*H1160</f>
        <v>0</v>
      </c>
      <c r="L1160" s="1530">
        <f t="shared" ref="L1160:L1200" si="241">J1160+K1160</f>
        <v>0</v>
      </c>
      <c r="AB1160" s="1221"/>
    </row>
    <row r="1161" spans="1:28" ht="18" hidden="1" customHeight="1">
      <c r="A1161" s="1367"/>
      <c r="B1161" s="1361" t="s">
        <v>1630</v>
      </c>
      <c r="C1161" s="1360"/>
      <c r="D1161" s="1361" t="s">
        <v>1631</v>
      </c>
      <c r="E1161" s="1358"/>
      <c r="F1161" s="1362" t="s">
        <v>80</v>
      </c>
      <c r="G1161" s="1872">
        <v>3750000</v>
      </c>
      <c r="H1161" s="1872">
        <v>0</v>
      </c>
      <c r="I1161" s="1338">
        <f t="shared" si="238"/>
        <v>3750000</v>
      </c>
      <c r="J1161" s="1338">
        <f t="shared" si="239"/>
        <v>0</v>
      </c>
      <c r="K1161" s="1338">
        <f t="shared" si="240"/>
        <v>0</v>
      </c>
      <c r="L1161" s="1530">
        <f t="shared" si="241"/>
        <v>0</v>
      </c>
      <c r="AB1161" s="1221"/>
    </row>
    <row r="1162" spans="1:28" ht="18" hidden="1" customHeight="1">
      <c r="A1162" s="1371"/>
      <c r="B1162" s="1818" t="s">
        <v>2171</v>
      </c>
      <c r="C1162" s="1819"/>
      <c r="D1162" s="1818" t="s">
        <v>1416</v>
      </c>
      <c r="E1162" s="1820"/>
      <c r="F1162" s="1821" t="s">
        <v>88</v>
      </c>
      <c r="G1162" s="1872">
        <f>P!$J$274</f>
        <v>68812.800000000003</v>
      </c>
      <c r="H1162" s="1872">
        <f>P!$J$278</f>
        <v>33092.627999999997</v>
      </c>
      <c r="I1162" s="1820">
        <f t="shared" si="238"/>
        <v>101905.428</v>
      </c>
      <c r="J1162" s="1820">
        <f t="shared" si="239"/>
        <v>0</v>
      </c>
      <c r="K1162" s="1820">
        <f t="shared" si="240"/>
        <v>0</v>
      </c>
      <c r="L1162" s="1822">
        <f t="shared" si="241"/>
        <v>0</v>
      </c>
      <c r="P1162" s="1939" t="e">
        <f>E1162+#REF!+E1368</f>
        <v>#REF!</v>
      </c>
      <c r="AB1162" s="1221"/>
    </row>
    <row r="1163" spans="1:28" ht="18" hidden="1" customHeight="1">
      <c r="A1163" s="1367">
        <v>2</v>
      </c>
      <c r="B1163" s="1316" t="s">
        <v>2365</v>
      </c>
      <c r="C1163" s="1334"/>
      <c r="D1163" s="1316" t="s">
        <v>1416</v>
      </c>
      <c r="E1163" s="1337"/>
      <c r="F1163" s="1336" t="s">
        <v>88</v>
      </c>
      <c r="G1163" s="1358">
        <f>P!$J$283</f>
        <v>68812.800000000003</v>
      </c>
      <c r="H1163" s="1872">
        <f>P!$J$278</f>
        <v>33092.627999999997</v>
      </c>
      <c r="I1163" s="1338">
        <f t="shared" si="238"/>
        <v>101905.428</v>
      </c>
      <c r="J1163" s="1338">
        <f t="shared" si="239"/>
        <v>0</v>
      </c>
      <c r="K1163" s="1338">
        <f t="shared" si="240"/>
        <v>0</v>
      </c>
      <c r="L1163" s="1530">
        <f t="shared" si="241"/>
        <v>0</v>
      </c>
      <c r="P1163" s="1939" t="e">
        <f>E1163+#REF!+E1369</f>
        <v>#REF!</v>
      </c>
      <c r="AB1163" s="1221"/>
    </row>
    <row r="1164" spans="1:28" ht="18" hidden="1" customHeight="1">
      <c r="A1164" s="1371"/>
      <c r="B1164" s="1316" t="s">
        <v>2493</v>
      </c>
      <c r="C1164" s="1334"/>
      <c r="D1164" s="1316" t="s">
        <v>1416</v>
      </c>
      <c r="E1164" s="1337"/>
      <c r="F1164" s="1336" t="s">
        <v>88</v>
      </c>
      <c r="G1164" s="1358">
        <f>P!$J$292</f>
        <v>53160.800000000003</v>
      </c>
      <c r="H1164" s="1820">
        <f>P!$J$314</f>
        <v>33092.627999999997</v>
      </c>
      <c r="I1164" s="1338">
        <f t="shared" si="238"/>
        <v>86253.428</v>
      </c>
      <c r="J1164" s="1338">
        <f t="shared" si="239"/>
        <v>0</v>
      </c>
      <c r="K1164" s="1338">
        <f t="shared" si="240"/>
        <v>0</v>
      </c>
      <c r="L1164" s="1530">
        <f t="shared" si="241"/>
        <v>0</v>
      </c>
      <c r="P1164" s="1939" t="e">
        <f>E1164+#REF!+E1370</f>
        <v>#REF!</v>
      </c>
      <c r="AB1164" s="1221"/>
    </row>
    <row r="1165" spans="1:28" ht="18" hidden="1" customHeight="1">
      <c r="A1165" s="1367">
        <v>3</v>
      </c>
      <c r="B1165" s="1316" t="s">
        <v>2358</v>
      </c>
      <c r="C1165" s="1334"/>
      <c r="D1165" s="1316" t="s">
        <v>1416</v>
      </c>
      <c r="E1165" s="1337"/>
      <c r="F1165" s="1336" t="s">
        <v>88</v>
      </c>
      <c r="G1165" s="1358">
        <f>P!$J$301</f>
        <v>53160.800000000003</v>
      </c>
      <c r="H1165" s="1872">
        <f>P!$J$278</f>
        <v>33092.627999999997</v>
      </c>
      <c r="I1165" s="1338">
        <f t="shared" si="238"/>
        <v>86253.428</v>
      </c>
      <c r="J1165" s="1338">
        <f t="shared" si="239"/>
        <v>0</v>
      </c>
      <c r="K1165" s="1338">
        <f t="shared" si="240"/>
        <v>0</v>
      </c>
      <c r="L1165" s="1530">
        <f t="shared" si="241"/>
        <v>0</v>
      </c>
      <c r="P1165" s="1939" t="e">
        <f>E1165+#REF!+E1371</f>
        <v>#REF!</v>
      </c>
      <c r="AB1165" s="1221"/>
    </row>
    <row r="1166" spans="1:28" ht="18" hidden="1" customHeight="1">
      <c r="A1166" s="1371"/>
      <c r="B1166" s="1316" t="s">
        <v>2244</v>
      </c>
      <c r="C1166" s="1334"/>
      <c r="D1166" s="1316" t="s">
        <v>1416</v>
      </c>
      <c r="E1166" s="1337"/>
      <c r="F1166" s="1336" t="s">
        <v>88</v>
      </c>
      <c r="G1166" s="1358">
        <f>P!$J$310</f>
        <v>53160.800000000003</v>
      </c>
      <c r="H1166" s="1872">
        <f>P!$J$278</f>
        <v>33092.627999999997</v>
      </c>
      <c r="I1166" s="1338">
        <f t="shared" si="238"/>
        <v>86253.428</v>
      </c>
      <c r="J1166" s="1338">
        <f t="shared" si="239"/>
        <v>0</v>
      </c>
      <c r="K1166" s="1338">
        <f t="shared" si="240"/>
        <v>0</v>
      </c>
      <c r="L1166" s="1530">
        <f t="shared" si="241"/>
        <v>0</v>
      </c>
      <c r="P1166" s="1939" t="e">
        <f>E1166+#REF!+E1374</f>
        <v>#REF!</v>
      </c>
      <c r="AB1166" s="1221"/>
    </row>
    <row r="1167" spans="1:28" ht="18" hidden="1" customHeight="1">
      <c r="A1167" s="1367"/>
      <c r="B1167" s="1316" t="s">
        <v>2311</v>
      </c>
      <c r="C1167" s="1334"/>
      <c r="D1167" s="1316" t="s">
        <v>1416</v>
      </c>
      <c r="E1167" s="1337"/>
      <c r="F1167" s="1336" t="s">
        <v>88</v>
      </c>
      <c r="G1167" s="1358">
        <f>P!$J$319</f>
        <v>53160.800000000003</v>
      </c>
      <c r="H1167" s="1872">
        <f>P!$J$278</f>
        <v>33092.627999999997</v>
      </c>
      <c r="I1167" s="1338">
        <f t="shared" si="238"/>
        <v>86253.428</v>
      </c>
      <c r="J1167" s="1338">
        <f t="shared" si="239"/>
        <v>0</v>
      </c>
      <c r="K1167" s="1338">
        <f t="shared" si="240"/>
        <v>0</v>
      </c>
      <c r="L1167" s="1530">
        <f t="shared" si="241"/>
        <v>0</v>
      </c>
      <c r="P1167" s="1939" t="e">
        <f>E1167+#REF!+E1375</f>
        <v>#REF!</v>
      </c>
      <c r="AB1167" s="1221"/>
    </row>
    <row r="1168" spans="1:28" ht="18" hidden="1" customHeight="1">
      <c r="A1168" s="1367"/>
      <c r="B1168" s="1316" t="s">
        <v>2471</v>
      </c>
      <c r="C1168" s="1334"/>
      <c r="D1168" s="1316" t="s">
        <v>1416</v>
      </c>
      <c r="E1168" s="1337"/>
      <c r="F1168" s="1336" t="s">
        <v>88</v>
      </c>
      <c r="G1168" s="1358">
        <f>P!$J$328</f>
        <v>58657.8</v>
      </c>
      <c r="H1168" s="1872">
        <f>P!$J$278</f>
        <v>33092.627999999997</v>
      </c>
      <c r="I1168" s="1338">
        <f t="shared" si="238"/>
        <v>91750.428</v>
      </c>
      <c r="J1168" s="1338">
        <f t="shared" si="239"/>
        <v>0</v>
      </c>
      <c r="K1168" s="1338">
        <f t="shared" si="240"/>
        <v>0</v>
      </c>
      <c r="L1168" s="1530">
        <f t="shared" si="241"/>
        <v>0</v>
      </c>
      <c r="P1168" s="1939">
        <f>E1168+E1323+E1376</f>
        <v>0</v>
      </c>
      <c r="AB1168" s="1221"/>
    </row>
    <row r="1169" spans="1:28" ht="18" hidden="1" customHeight="1">
      <c r="A1169" s="1367"/>
      <c r="B1169" s="1316" t="s">
        <v>2331</v>
      </c>
      <c r="C1169" s="1334"/>
      <c r="D1169" s="1316" t="s">
        <v>1416</v>
      </c>
      <c r="E1169" s="1337"/>
      <c r="F1169" s="1336" t="s">
        <v>88</v>
      </c>
      <c r="G1169" s="1358">
        <f>P!$J$337</f>
        <v>61164.800000000003</v>
      </c>
      <c r="H1169" s="1872">
        <f>P!$J$278</f>
        <v>33092.627999999997</v>
      </c>
      <c r="I1169" s="1338">
        <f t="shared" si="238"/>
        <v>94257.428</v>
      </c>
      <c r="J1169" s="1338">
        <f t="shared" si="239"/>
        <v>0</v>
      </c>
      <c r="K1169" s="1338">
        <f t="shared" si="240"/>
        <v>0</v>
      </c>
      <c r="L1169" s="1530">
        <f t="shared" si="241"/>
        <v>0</v>
      </c>
      <c r="P1169" s="1939">
        <f>E1169+E1324+E1377</f>
        <v>0</v>
      </c>
      <c r="AB1169" s="1221"/>
    </row>
    <row r="1170" spans="1:28" ht="18" hidden="1" customHeight="1">
      <c r="A1170" s="1367"/>
      <c r="B1170" s="1316" t="s">
        <v>2494</v>
      </c>
      <c r="C1170" s="1334"/>
      <c r="D1170" s="1316" t="s">
        <v>1416</v>
      </c>
      <c r="E1170" s="1337"/>
      <c r="F1170" s="1336" t="s">
        <v>88</v>
      </c>
      <c r="G1170" s="1358">
        <f>P!$J$346</f>
        <v>73130.8</v>
      </c>
      <c r="H1170" s="1872">
        <f>P!$J$278</f>
        <v>33092.627999999997</v>
      </c>
      <c r="I1170" s="1338">
        <f t="shared" si="238"/>
        <v>106223.428</v>
      </c>
      <c r="J1170" s="1338">
        <f t="shared" si="239"/>
        <v>0</v>
      </c>
      <c r="K1170" s="1338">
        <f t="shared" si="240"/>
        <v>0</v>
      </c>
      <c r="L1170" s="1530">
        <f t="shared" si="241"/>
        <v>0</v>
      </c>
      <c r="P1170" s="1939">
        <f>E1170+E1325+E1378</f>
        <v>0</v>
      </c>
      <c r="AB1170" s="1221"/>
    </row>
    <row r="1171" spans="1:28" ht="18" hidden="1" customHeight="1">
      <c r="A1171" s="1367"/>
      <c r="B1171" s="1316" t="s">
        <v>104</v>
      </c>
      <c r="C1171" s="1334"/>
      <c r="D1171" s="1316" t="s">
        <v>1435</v>
      </c>
      <c r="E1171" s="1337"/>
      <c r="F1171" s="1336" t="s">
        <v>22</v>
      </c>
      <c r="G1171" s="1872">
        <f>P!$J$256</f>
        <v>16385.900000000001</v>
      </c>
      <c r="H1171" s="1872">
        <f>P!$J$260</f>
        <v>48100</v>
      </c>
      <c r="I1171" s="1338">
        <f t="shared" si="238"/>
        <v>64485.9</v>
      </c>
      <c r="J1171" s="1338">
        <f t="shared" si="239"/>
        <v>0</v>
      </c>
      <c r="K1171" s="1338">
        <f t="shared" si="240"/>
        <v>0</v>
      </c>
      <c r="L1171" s="1530">
        <f t="shared" si="241"/>
        <v>0</v>
      </c>
      <c r="AB1171" s="1221"/>
    </row>
    <row r="1172" spans="1:28" ht="18" hidden="1" customHeight="1">
      <c r="A1172" s="1371"/>
      <c r="B1172" s="1361" t="s">
        <v>1626</v>
      </c>
      <c r="C1172" s="1360"/>
      <c r="D1172" s="1361" t="s">
        <v>1628</v>
      </c>
      <c r="E1172" s="1358"/>
      <c r="F1172" s="1336" t="s">
        <v>22</v>
      </c>
      <c r="G1172" s="1872">
        <v>30000</v>
      </c>
      <c r="H1172" s="1872">
        <v>30000</v>
      </c>
      <c r="I1172" s="1338">
        <f t="shared" si="238"/>
        <v>60000</v>
      </c>
      <c r="J1172" s="1338">
        <f t="shared" si="239"/>
        <v>0</v>
      </c>
      <c r="K1172" s="1338">
        <f t="shared" si="240"/>
        <v>0</v>
      </c>
      <c r="L1172" s="1530">
        <f t="shared" si="241"/>
        <v>0</v>
      </c>
      <c r="AB1172" s="1221"/>
    </row>
    <row r="1173" spans="1:28" ht="18" hidden="1" customHeight="1">
      <c r="A1173" s="1367">
        <v>4</v>
      </c>
      <c r="B1173" s="1316" t="s">
        <v>1428</v>
      </c>
      <c r="C1173" s="1334"/>
      <c r="D1173" s="1316" t="s">
        <v>105</v>
      </c>
      <c r="E1173" s="1337"/>
      <c r="F1173" s="1336" t="s">
        <v>22</v>
      </c>
      <c r="G1173" s="1872">
        <f>P!$J$28</f>
        <v>13985.398399999998</v>
      </c>
      <c r="H1173" s="1913">
        <f>P!$J$32</f>
        <v>48100</v>
      </c>
      <c r="I1173" s="1338">
        <f t="shared" si="238"/>
        <v>62085.398399999998</v>
      </c>
      <c r="J1173" s="1338">
        <f t="shared" si="239"/>
        <v>0</v>
      </c>
      <c r="K1173" s="1338">
        <f t="shared" si="240"/>
        <v>0</v>
      </c>
      <c r="L1173" s="1530">
        <f t="shared" si="241"/>
        <v>0</v>
      </c>
      <c r="AB1173" s="1221"/>
    </row>
    <row r="1174" spans="1:28" ht="18" hidden="1" customHeight="1">
      <c r="A1174" s="1371">
        <v>5</v>
      </c>
      <c r="B1174" s="1316" t="s">
        <v>1417</v>
      </c>
      <c r="C1174" s="1334"/>
      <c r="D1174" s="1316" t="s">
        <v>106</v>
      </c>
      <c r="E1174" s="1337"/>
      <c r="F1174" s="1336" t="s">
        <v>22</v>
      </c>
      <c r="G1174" s="1872">
        <f>P!$J$8</f>
        <v>11150.623624999998</v>
      </c>
      <c r="H1174" s="1913">
        <f>P!$J$12</f>
        <v>48100</v>
      </c>
      <c r="I1174" s="1338">
        <f t="shared" si="238"/>
        <v>59250.623625</v>
      </c>
      <c r="J1174" s="1338">
        <f t="shared" si="239"/>
        <v>0</v>
      </c>
      <c r="K1174" s="1338">
        <f t="shared" si="240"/>
        <v>0</v>
      </c>
      <c r="L1174" s="1530">
        <f t="shared" si="241"/>
        <v>0</v>
      </c>
      <c r="AB1174" s="1221"/>
    </row>
    <row r="1175" spans="1:28" ht="18" hidden="1" customHeight="1">
      <c r="A1175" s="1367">
        <v>6</v>
      </c>
      <c r="B1175" s="1316" t="s">
        <v>1418</v>
      </c>
      <c r="C1175" s="1334"/>
      <c r="D1175" s="1316" t="s">
        <v>106</v>
      </c>
      <c r="E1175" s="1337"/>
      <c r="F1175" s="1336" t="s">
        <v>22</v>
      </c>
      <c r="G1175" s="1872">
        <f>P!$J$18</f>
        <v>13995.68</v>
      </c>
      <c r="H1175" s="1913">
        <f>P!$J$22</f>
        <v>48100</v>
      </c>
      <c r="I1175" s="1338">
        <f t="shared" si="238"/>
        <v>62095.68</v>
      </c>
      <c r="J1175" s="1338">
        <f t="shared" si="239"/>
        <v>0</v>
      </c>
      <c r="K1175" s="1338">
        <f t="shared" si="240"/>
        <v>0</v>
      </c>
      <c r="L1175" s="1530">
        <f t="shared" si="241"/>
        <v>0</v>
      </c>
      <c r="AB1175" s="1221"/>
    </row>
    <row r="1176" spans="1:28" ht="18" hidden="1" customHeight="1">
      <c r="A1176" s="1371">
        <v>5</v>
      </c>
      <c r="B1176" s="1316" t="s">
        <v>1474</v>
      </c>
      <c r="C1176" s="1334"/>
      <c r="D1176" s="1316" t="str">
        <f>BAHAN!$F$314</f>
        <v>Philips Lampu LED 18 Watt Coolday Light</v>
      </c>
      <c r="E1176" s="1337"/>
      <c r="F1176" s="1336" t="s">
        <v>88</v>
      </c>
      <c r="G1176" s="1872">
        <f>P!$J$183</f>
        <v>183750</v>
      </c>
      <c r="H1176" s="1913">
        <f>P!$J$187</f>
        <v>59394</v>
      </c>
      <c r="I1176" s="1338">
        <f t="shared" si="238"/>
        <v>243144</v>
      </c>
      <c r="J1176" s="1338">
        <f t="shared" si="239"/>
        <v>0</v>
      </c>
      <c r="K1176" s="1338">
        <f t="shared" si="240"/>
        <v>0</v>
      </c>
      <c r="L1176" s="1530">
        <f t="shared" si="241"/>
        <v>0</v>
      </c>
      <c r="AB1176" s="1221"/>
    </row>
    <row r="1177" spans="1:28" ht="18" hidden="1" customHeight="1">
      <c r="A1177" s="1367">
        <v>7</v>
      </c>
      <c r="B1177" s="1316" t="s">
        <v>107</v>
      </c>
      <c r="C1177" s="1334"/>
      <c r="D1177" s="1316" t="str">
        <f>BAHAN!$F$315</f>
        <v>Philips LED Downlight Eridani 5W</v>
      </c>
      <c r="E1177" s="1337"/>
      <c r="F1177" s="1336" t="s">
        <v>88</v>
      </c>
      <c r="G1177" s="1872">
        <f>P!$J$165</f>
        <v>60900</v>
      </c>
      <c r="H1177" s="1913">
        <f>P!$J$169</f>
        <v>59394</v>
      </c>
      <c r="I1177" s="1338">
        <f t="shared" si="238"/>
        <v>120294</v>
      </c>
      <c r="J1177" s="1338">
        <f t="shared" si="239"/>
        <v>0</v>
      </c>
      <c r="K1177" s="1338">
        <f t="shared" si="240"/>
        <v>0</v>
      </c>
      <c r="L1177" s="1530">
        <f t="shared" si="241"/>
        <v>0</v>
      </c>
      <c r="AB1177" s="1221"/>
    </row>
    <row r="1178" spans="1:28" ht="18" hidden="1" customHeight="1">
      <c r="A1178" s="1371">
        <v>8</v>
      </c>
      <c r="B1178" s="1316" t="s">
        <v>1475</v>
      </c>
      <c r="C1178" s="1334"/>
      <c r="D1178" s="1316" t="str">
        <f>BAHAN!$F$313</f>
        <v>Philips Lampu LED 12 Watt Coolday Light</v>
      </c>
      <c r="E1178" s="1337"/>
      <c r="F1178" s="1336" t="s">
        <v>88</v>
      </c>
      <c r="G1178" s="1872">
        <f>P!$J$174</f>
        <v>146790</v>
      </c>
      <c r="H1178" s="1913">
        <f>P!$J$178</f>
        <v>59394</v>
      </c>
      <c r="I1178" s="1338">
        <f t="shared" si="238"/>
        <v>206184</v>
      </c>
      <c r="J1178" s="1338">
        <f t="shared" si="239"/>
        <v>0</v>
      </c>
      <c r="K1178" s="1338">
        <f t="shared" si="240"/>
        <v>0</v>
      </c>
      <c r="L1178" s="1530">
        <f t="shared" si="241"/>
        <v>0</v>
      </c>
      <c r="AB1178" s="1221"/>
    </row>
    <row r="1179" spans="1:28" ht="18" hidden="1" customHeight="1">
      <c r="A1179" s="1367"/>
      <c r="B1179" s="1316" t="s">
        <v>1473</v>
      </c>
      <c r="C1179" s="1334"/>
      <c r="D1179" s="1316" t="s">
        <v>1484</v>
      </c>
      <c r="E1179" s="1337"/>
      <c r="F1179" s="1336" t="s">
        <v>88</v>
      </c>
      <c r="G1179" s="1872">
        <f>P!$J$210</f>
        <v>182700</v>
      </c>
      <c r="H1179" s="1913">
        <f>P!$J$214</f>
        <v>59394</v>
      </c>
      <c r="I1179" s="1338">
        <f t="shared" si="238"/>
        <v>242094</v>
      </c>
      <c r="J1179" s="1338">
        <f t="shared" si="239"/>
        <v>0</v>
      </c>
      <c r="K1179" s="1338">
        <f t="shared" si="240"/>
        <v>0</v>
      </c>
      <c r="L1179" s="1530">
        <f t="shared" si="241"/>
        <v>0</v>
      </c>
      <c r="AB1179" s="1221"/>
    </row>
    <row r="1180" spans="1:28" ht="18" hidden="1" customHeight="1">
      <c r="A1180" s="1371"/>
      <c r="B1180" s="1316" t="s">
        <v>897</v>
      </c>
      <c r="C1180" s="1334"/>
      <c r="D1180" s="1316" t="s">
        <v>1197</v>
      </c>
      <c r="E1180" s="1337"/>
      <c r="F1180" s="1336" t="s">
        <v>88</v>
      </c>
      <c r="G1180" s="1872">
        <f>P!$J$192</f>
        <v>182700</v>
      </c>
      <c r="H1180" s="1913">
        <f>P!$J$196</f>
        <v>59394</v>
      </c>
      <c r="I1180" s="1338">
        <f t="shared" si="238"/>
        <v>242094</v>
      </c>
      <c r="J1180" s="1338">
        <f t="shared" si="239"/>
        <v>0</v>
      </c>
      <c r="K1180" s="1338">
        <f t="shared" si="240"/>
        <v>0</v>
      </c>
      <c r="L1180" s="1530">
        <f t="shared" si="241"/>
        <v>0</v>
      </c>
      <c r="AB1180" s="1221"/>
    </row>
    <row r="1181" spans="1:28" ht="18" hidden="1" customHeight="1">
      <c r="A1181" s="1371"/>
      <c r="B1181" s="1316" t="s">
        <v>183</v>
      </c>
      <c r="C1181" s="1334"/>
      <c r="D1181" s="1316" t="str">
        <f>BAHAN!$F$329</f>
        <v>Ex. Eglare Lampu Gantung Hias Cyrstal 6l</v>
      </c>
      <c r="E1181" s="1337"/>
      <c r="F1181" s="1336" t="s">
        <v>88</v>
      </c>
      <c r="G1181" s="1913">
        <f>P!$J$246</f>
        <v>1836765</v>
      </c>
      <c r="H1181" s="1913">
        <f>P!$J$196</f>
        <v>59394</v>
      </c>
      <c r="I1181" s="1338">
        <f t="shared" si="238"/>
        <v>1896159</v>
      </c>
      <c r="J1181" s="1338">
        <f t="shared" si="239"/>
        <v>0</v>
      </c>
      <c r="K1181" s="1338">
        <f t="shared" si="240"/>
        <v>0</v>
      </c>
      <c r="L1181" s="1530">
        <f t="shared" si="241"/>
        <v>0</v>
      </c>
      <c r="AB1181" s="1221"/>
    </row>
    <row r="1182" spans="1:28" ht="18" hidden="1" customHeight="1">
      <c r="A1182" s="1367"/>
      <c r="B1182" s="1316" t="s">
        <v>208</v>
      </c>
      <c r="C1182" s="1334"/>
      <c r="D1182" s="1316" t="s">
        <v>1198</v>
      </c>
      <c r="E1182" s="1337"/>
      <c r="F1182" s="1336" t="s">
        <v>88</v>
      </c>
      <c r="G1182" s="1913">
        <f>P!$J$201</f>
        <v>52395</v>
      </c>
      <c r="H1182" s="1913">
        <f>P!$J$196</f>
        <v>59394</v>
      </c>
      <c r="I1182" s="1338">
        <f t="shared" si="238"/>
        <v>111789</v>
      </c>
      <c r="J1182" s="1338">
        <f t="shared" si="239"/>
        <v>0</v>
      </c>
      <c r="K1182" s="1338">
        <f t="shared" si="240"/>
        <v>0</v>
      </c>
      <c r="L1182" s="1530">
        <f t="shared" si="241"/>
        <v>0</v>
      </c>
      <c r="AB1182" s="1221"/>
    </row>
    <row r="1183" spans="1:28" ht="18" hidden="1" customHeight="1">
      <c r="A1183" s="1371"/>
      <c r="B1183" s="1316" t="s">
        <v>1512</v>
      </c>
      <c r="C1183" s="1334"/>
      <c r="D1183" s="1316" t="s">
        <v>1513</v>
      </c>
      <c r="E1183" s="1337"/>
      <c r="F1183" s="1336" t="s">
        <v>88</v>
      </c>
      <c r="G1183" s="1913">
        <f>P!$J$219</f>
        <v>648375</v>
      </c>
      <c r="H1183" s="1913">
        <f>P!$J$196</f>
        <v>59394</v>
      </c>
      <c r="I1183" s="1338">
        <f t="shared" si="238"/>
        <v>707769</v>
      </c>
      <c r="J1183" s="1338">
        <f t="shared" si="239"/>
        <v>0</v>
      </c>
      <c r="K1183" s="1338">
        <f t="shared" si="240"/>
        <v>0</v>
      </c>
      <c r="L1183" s="1530">
        <f t="shared" si="241"/>
        <v>0</v>
      </c>
      <c r="AB1183" s="1221"/>
    </row>
    <row r="1184" spans="1:28" ht="18" hidden="1" customHeight="1">
      <c r="A1184" s="1367">
        <v>9</v>
      </c>
      <c r="B1184" s="1301" t="s">
        <v>1596</v>
      </c>
      <c r="C1184" s="1360"/>
      <c r="D1184" s="1361" t="s">
        <v>1595</v>
      </c>
      <c r="E1184" s="1358"/>
      <c r="F1184" s="1362" t="s">
        <v>88</v>
      </c>
      <c r="G1184" s="1913">
        <f>P!$J$156</f>
        <v>330750</v>
      </c>
      <c r="H1184" s="1913">
        <f>P!$J$196</f>
        <v>59394</v>
      </c>
      <c r="I1184" s="1338">
        <f t="shared" si="238"/>
        <v>390144</v>
      </c>
      <c r="J1184" s="1338">
        <f t="shared" si="239"/>
        <v>0</v>
      </c>
      <c r="K1184" s="1338">
        <f t="shared" si="240"/>
        <v>0</v>
      </c>
      <c r="L1184" s="1530">
        <f t="shared" si="241"/>
        <v>0</v>
      </c>
      <c r="AB1184" s="1221"/>
    </row>
    <row r="1185" spans="1:28" ht="18" hidden="1" customHeight="1">
      <c r="A1185" s="1371"/>
      <c r="B1185" s="1302" t="s">
        <v>1667</v>
      </c>
      <c r="C1185" s="1384"/>
      <c r="D1185" s="1383" t="s">
        <v>1668</v>
      </c>
      <c r="E1185" s="1385"/>
      <c r="F1185" s="1386" t="s">
        <v>129</v>
      </c>
      <c r="G1185" s="1913">
        <f>P!$J$409</f>
        <v>16590</v>
      </c>
      <c r="H1185" s="1913">
        <f>P!$J$413</f>
        <v>33092.627999999997</v>
      </c>
      <c r="I1185" s="1338">
        <f t="shared" si="238"/>
        <v>49682.627999999997</v>
      </c>
      <c r="J1185" s="1338">
        <f t="shared" si="239"/>
        <v>0</v>
      </c>
      <c r="K1185" s="1338">
        <f t="shared" si="240"/>
        <v>0</v>
      </c>
      <c r="L1185" s="1530">
        <f t="shared" si="241"/>
        <v>0</v>
      </c>
      <c r="AB1185" s="1221"/>
    </row>
    <row r="1186" spans="1:28" ht="18" hidden="1" customHeight="1">
      <c r="A1186" s="1371"/>
      <c r="B1186" s="1302" t="s">
        <v>2323</v>
      </c>
      <c r="C1186" s="1384"/>
      <c r="D1186" s="1383" t="s">
        <v>2324</v>
      </c>
      <c r="E1186" s="1385"/>
      <c r="F1186" s="1386" t="s">
        <v>88</v>
      </c>
      <c r="G1186" s="1913">
        <f>P!$J$418</f>
        <v>103950</v>
      </c>
      <c r="H1186" s="1913">
        <f>P!$J$422</f>
        <v>33092.627999999997</v>
      </c>
      <c r="I1186" s="1338">
        <f t="shared" si="238"/>
        <v>137042.628</v>
      </c>
      <c r="J1186" s="1338">
        <f t="shared" si="239"/>
        <v>0</v>
      </c>
      <c r="K1186" s="1338">
        <f t="shared" si="240"/>
        <v>0</v>
      </c>
      <c r="L1186" s="1530">
        <f t="shared" si="241"/>
        <v>0</v>
      </c>
      <c r="P1186" s="1939">
        <f>E1186+E1332+E1388</f>
        <v>0</v>
      </c>
      <c r="AB1186" s="1221"/>
    </row>
    <row r="1187" spans="1:28" ht="18" hidden="1" customHeight="1">
      <c r="A1187" s="1371"/>
      <c r="B1187" s="1302" t="s">
        <v>2326</v>
      </c>
      <c r="C1187" s="1384"/>
      <c r="D1187" s="1383" t="s">
        <v>2330</v>
      </c>
      <c r="E1187" s="1385"/>
      <c r="F1187" s="1386" t="s">
        <v>88</v>
      </c>
      <c r="G1187" s="1913">
        <f>P!$J$427</f>
        <v>69300</v>
      </c>
      <c r="H1187" s="1913">
        <f>P!$J$431</f>
        <v>33092.627999999997</v>
      </c>
      <c r="I1187" s="1338">
        <f t="shared" si="238"/>
        <v>102392.628</v>
      </c>
      <c r="J1187" s="1338">
        <f t="shared" si="239"/>
        <v>0</v>
      </c>
      <c r="K1187" s="1338">
        <f t="shared" si="240"/>
        <v>0</v>
      </c>
      <c r="L1187" s="1530">
        <f t="shared" si="241"/>
        <v>0</v>
      </c>
      <c r="P1187" s="1939">
        <f>E1187+E1334+E1391</f>
        <v>0</v>
      </c>
      <c r="AB1187" s="1221"/>
    </row>
    <row r="1188" spans="1:28" ht="18" hidden="1" customHeight="1">
      <c r="A1188" s="1371">
        <v>10</v>
      </c>
      <c r="B1188" s="1316" t="s">
        <v>108</v>
      </c>
      <c r="C1188" s="1334"/>
      <c r="D1188" s="1316" t="s">
        <v>109</v>
      </c>
      <c r="E1188" s="1337"/>
      <c r="F1188" s="1336" t="s">
        <v>88</v>
      </c>
      <c r="G1188" s="1913">
        <f>P!$J$75</f>
        <v>18235.349999999999</v>
      </c>
      <c r="H1188" s="1872">
        <f>P!$J$79</f>
        <v>12992</v>
      </c>
      <c r="I1188" s="1338">
        <f t="shared" si="238"/>
        <v>31227.35</v>
      </c>
      <c r="J1188" s="1338">
        <f t="shared" si="239"/>
        <v>0</v>
      </c>
      <c r="K1188" s="1338">
        <f t="shared" si="240"/>
        <v>0</v>
      </c>
      <c r="L1188" s="1530">
        <f t="shared" si="241"/>
        <v>0</v>
      </c>
      <c r="AB1188" s="1221"/>
    </row>
    <row r="1189" spans="1:28" ht="18" hidden="1" customHeight="1">
      <c r="A1189" s="1371"/>
      <c r="B1189" s="1361" t="s">
        <v>1624</v>
      </c>
      <c r="C1189" s="1360"/>
      <c r="D1189" s="1316" t="s">
        <v>109</v>
      </c>
      <c r="E1189" s="1358"/>
      <c r="F1189" s="1362" t="s">
        <v>88</v>
      </c>
      <c r="G1189" s="1913">
        <f>P!$J$75</f>
        <v>18235.349999999999</v>
      </c>
      <c r="H1189" s="1872">
        <f>P!$J$106</f>
        <v>12992</v>
      </c>
      <c r="I1189" s="1338">
        <f t="shared" si="238"/>
        <v>31227.35</v>
      </c>
      <c r="J1189" s="1338">
        <f t="shared" si="239"/>
        <v>0</v>
      </c>
      <c r="K1189" s="1338">
        <f t="shared" si="240"/>
        <v>0</v>
      </c>
      <c r="L1189" s="1530">
        <f t="shared" si="241"/>
        <v>0</v>
      </c>
      <c r="AB1189" s="1221"/>
    </row>
    <row r="1190" spans="1:28" ht="18" hidden="1" customHeight="1">
      <c r="A1190" s="1371">
        <v>11</v>
      </c>
      <c r="B1190" s="1361" t="s">
        <v>2172</v>
      </c>
      <c r="C1190" s="1360"/>
      <c r="D1190" s="1316" t="s">
        <v>109</v>
      </c>
      <c r="E1190" s="1358"/>
      <c r="F1190" s="1362" t="s">
        <v>88</v>
      </c>
      <c r="G1190" s="1913">
        <f>P!$J$84</f>
        <v>68250</v>
      </c>
      <c r="H1190" s="1872">
        <f>P!$J$88</f>
        <v>12992</v>
      </c>
      <c r="I1190" s="1338">
        <f t="shared" si="238"/>
        <v>81242</v>
      </c>
      <c r="J1190" s="1338">
        <f t="shared" si="239"/>
        <v>0</v>
      </c>
      <c r="K1190" s="1338">
        <f t="shared" si="240"/>
        <v>0</v>
      </c>
      <c r="L1190" s="1530">
        <f t="shared" si="241"/>
        <v>0</v>
      </c>
      <c r="AB1190" s="1221"/>
    </row>
    <row r="1191" spans="1:28" ht="18" hidden="1" customHeight="1">
      <c r="A1191" s="1371">
        <v>12</v>
      </c>
      <c r="B1191" s="1316" t="s">
        <v>110</v>
      </c>
      <c r="C1191" s="1334"/>
      <c r="D1191" s="1316" t="s">
        <v>109</v>
      </c>
      <c r="E1191" s="1337"/>
      <c r="F1191" s="1336" t="s">
        <v>88</v>
      </c>
      <c r="G1191" s="1913">
        <f>P!$J$111</f>
        <v>52104.15</v>
      </c>
      <c r="H1191" s="1872">
        <f>P!$J$115</f>
        <v>12992</v>
      </c>
      <c r="I1191" s="1338">
        <f t="shared" si="238"/>
        <v>65096.15</v>
      </c>
      <c r="J1191" s="1338">
        <f t="shared" si="239"/>
        <v>0</v>
      </c>
      <c r="K1191" s="1338">
        <f t="shared" si="240"/>
        <v>0</v>
      </c>
      <c r="L1191" s="1530">
        <f t="shared" si="241"/>
        <v>0</v>
      </c>
      <c r="AB1191" s="1221"/>
    </row>
    <row r="1192" spans="1:28" ht="18" hidden="1" customHeight="1">
      <c r="A1192" s="1371">
        <v>13</v>
      </c>
      <c r="B1192" s="1316" t="s">
        <v>111</v>
      </c>
      <c r="C1192" s="1334"/>
      <c r="D1192" s="1316" t="s">
        <v>109</v>
      </c>
      <c r="E1192" s="1337"/>
      <c r="F1192" s="1336" t="s">
        <v>88</v>
      </c>
      <c r="G1192" s="1913">
        <f>P!$J$120</f>
        <v>10363.5</v>
      </c>
      <c r="H1192" s="1872">
        <f>P!$J$124</f>
        <v>12992</v>
      </c>
      <c r="I1192" s="1338">
        <f t="shared" si="238"/>
        <v>23355.5</v>
      </c>
      <c r="J1192" s="1338">
        <f t="shared" si="239"/>
        <v>0</v>
      </c>
      <c r="K1192" s="1338">
        <f t="shared" si="240"/>
        <v>0</v>
      </c>
      <c r="L1192" s="1530">
        <f t="shared" si="241"/>
        <v>0</v>
      </c>
      <c r="AB1192" s="1221"/>
    </row>
    <row r="1193" spans="1:28" ht="18" hidden="1" customHeight="1">
      <c r="A1193" s="1371">
        <v>14</v>
      </c>
      <c r="B1193" s="1316" t="s">
        <v>112</v>
      </c>
      <c r="C1193" s="1334"/>
      <c r="D1193" s="1316" t="s">
        <v>109</v>
      </c>
      <c r="E1193" s="1337"/>
      <c r="F1193" s="1336" t="s">
        <v>88</v>
      </c>
      <c r="G1193" s="1913">
        <f>P!$J$129</f>
        <v>14082.6</v>
      </c>
      <c r="H1193" s="1872">
        <f>P!$J$133</f>
        <v>12992</v>
      </c>
      <c r="I1193" s="1338">
        <f t="shared" si="238"/>
        <v>27074.6</v>
      </c>
      <c r="J1193" s="1338">
        <f t="shared" si="239"/>
        <v>0</v>
      </c>
      <c r="K1193" s="1338">
        <f t="shared" si="240"/>
        <v>0</v>
      </c>
      <c r="L1193" s="1530">
        <f t="shared" si="241"/>
        <v>0</v>
      </c>
      <c r="AB1193" s="1221"/>
    </row>
    <row r="1194" spans="1:28" ht="18" hidden="1" customHeight="1">
      <c r="A1194" s="1371">
        <v>15</v>
      </c>
      <c r="B1194" s="1316" t="s">
        <v>1421</v>
      </c>
      <c r="C1194" s="1334"/>
      <c r="D1194" s="1316" t="s">
        <v>109</v>
      </c>
      <c r="E1194" s="1337"/>
      <c r="F1194" s="1336" t="s">
        <v>88</v>
      </c>
      <c r="G1194" s="1913">
        <f>P!$J$138</f>
        <v>18367.650000000001</v>
      </c>
      <c r="H1194" s="1872">
        <f>P!$J$142</f>
        <v>12992</v>
      </c>
      <c r="I1194" s="1338">
        <f t="shared" si="238"/>
        <v>31359.65</v>
      </c>
      <c r="J1194" s="1338">
        <f t="shared" si="239"/>
        <v>0</v>
      </c>
      <c r="K1194" s="1338">
        <f t="shared" si="240"/>
        <v>0</v>
      </c>
      <c r="L1194" s="1530">
        <f t="shared" si="241"/>
        <v>0</v>
      </c>
      <c r="AB1194" s="1221"/>
    </row>
    <row r="1195" spans="1:28" ht="18" hidden="1" customHeight="1">
      <c r="A1195" s="1371"/>
      <c r="B1195" s="1388" t="s">
        <v>1537</v>
      </c>
      <c r="C1195" s="1389"/>
      <c r="D1195" s="1316" t="s">
        <v>1535</v>
      </c>
      <c r="E1195" s="1365"/>
      <c r="F1195" s="1366" t="s">
        <v>88</v>
      </c>
      <c r="G1195" s="1913">
        <f>P!$J$147</f>
        <v>77307.3</v>
      </c>
      <c r="H1195" s="1872">
        <f>P!$J$151</f>
        <v>10540</v>
      </c>
      <c r="I1195" s="1338">
        <f t="shared" si="238"/>
        <v>87847.3</v>
      </c>
      <c r="J1195" s="1338">
        <f t="shared" si="239"/>
        <v>0</v>
      </c>
      <c r="K1195" s="1338">
        <f t="shared" si="240"/>
        <v>0</v>
      </c>
      <c r="L1195" s="1530">
        <f t="shared" si="241"/>
        <v>0</v>
      </c>
      <c r="AB1195" s="1221"/>
    </row>
    <row r="1196" spans="1:28" ht="18" hidden="1" customHeight="1">
      <c r="A1196" s="1371">
        <v>16</v>
      </c>
      <c r="B1196" s="1316" t="s">
        <v>1673</v>
      </c>
      <c r="C1196" s="1334"/>
      <c r="D1196" s="1316" t="s">
        <v>109</v>
      </c>
      <c r="E1196" s="1385"/>
      <c r="F1196" s="1386" t="s">
        <v>88</v>
      </c>
      <c r="G1196" s="1913">
        <f>P!$J$391</f>
        <v>24612</v>
      </c>
      <c r="H1196" s="1872">
        <f>P!$J$395</f>
        <v>8915.9500000000007</v>
      </c>
      <c r="I1196" s="1338">
        <f t="shared" si="238"/>
        <v>33527.949999999997</v>
      </c>
      <c r="J1196" s="1338">
        <f t="shared" si="239"/>
        <v>0</v>
      </c>
      <c r="K1196" s="1338">
        <f t="shared" si="240"/>
        <v>0</v>
      </c>
      <c r="L1196" s="1530">
        <f t="shared" si="241"/>
        <v>0</v>
      </c>
      <c r="AB1196" s="1221"/>
    </row>
    <row r="1197" spans="1:28" ht="18" hidden="1" customHeight="1">
      <c r="A1197" s="1371"/>
      <c r="B1197" s="1316" t="s">
        <v>1534</v>
      </c>
      <c r="C1197" s="1334"/>
      <c r="D1197" s="1316" t="s">
        <v>1535</v>
      </c>
      <c r="E1197" s="1337"/>
      <c r="F1197" s="1336" t="s">
        <v>88</v>
      </c>
      <c r="G1197" s="1913">
        <f>P!$J$382</f>
        <v>33030.9</v>
      </c>
      <c r="H1197" s="1872">
        <f>P!$J$386</f>
        <v>8915.9500000000007</v>
      </c>
      <c r="I1197" s="1338">
        <f t="shared" si="238"/>
        <v>41946.850000000006</v>
      </c>
      <c r="J1197" s="1338">
        <f t="shared" si="239"/>
        <v>0</v>
      </c>
      <c r="K1197" s="1338">
        <f t="shared" si="240"/>
        <v>0</v>
      </c>
      <c r="L1197" s="1530">
        <f t="shared" si="241"/>
        <v>0</v>
      </c>
      <c r="AB1197" s="1221"/>
    </row>
    <row r="1198" spans="1:28" ht="18" hidden="1" customHeight="1">
      <c r="A1198" s="1371"/>
      <c r="B1198" s="1316" t="s">
        <v>1676</v>
      </c>
      <c r="C1198" s="1334"/>
      <c r="D1198" s="1316" t="s">
        <v>109</v>
      </c>
      <c r="E1198" s="1385"/>
      <c r="F1198" s="1390" t="s">
        <v>88</v>
      </c>
      <c r="G1198" s="1913">
        <f>P!$J$373</f>
        <v>43335.6</v>
      </c>
      <c r="H1198" s="1872">
        <f>P!$J$377</f>
        <v>8915.9500000000007</v>
      </c>
      <c r="I1198" s="1338">
        <f t="shared" si="238"/>
        <v>52251.55</v>
      </c>
      <c r="J1198" s="1338">
        <f t="shared" si="239"/>
        <v>0</v>
      </c>
      <c r="K1198" s="1338">
        <f t="shared" si="240"/>
        <v>0</v>
      </c>
      <c r="L1198" s="1530">
        <f t="shared" si="241"/>
        <v>0</v>
      </c>
      <c r="AB1198" s="1221"/>
    </row>
    <row r="1199" spans="1:28" ht="18" hidden="1" customHeight="1">
      <c r="A1199" s="1371"/>
      <c r="B1199" s="1339" t="s">
        <v>206</v>
      </c>
      <c r="C1199" s="1368"/>
      <c r="D1199" s="1339" t="s">
        <v>207</v>
      </c>
      <c r="E1199" s="1337"/>
      <c r="F1199" s="1380" t="s">
        <v>154</v>
      </c>
      <c r="G1199" s="1913">
        <v>3000000</v>
      </c>
      <c r="H1199" s="1872">
        <v>0</v>
      </c>
      <c r="I1199" s="1338">
        <f t="shared" si="238"/>
        <v>3000000</v>
      </c>
      <c r="J1199" s="1338">
        <f t="shared" si="239"/>
        <v>0</v>
      </c>
      <c r="K1199" s="1338">
        <f t="shared" si="240"/>
        <v>0</v>
      </c>
      <c r="L1199" s="1530">
        <f t="shared" si="241"/>
        <v>0</v>
      </c>
      <c r="AB1199" s="1221"/>
    </row>
    <row r="1200" spans="1:28" ht="18" hidden="1" customHeight="1" thickBot="1">
      <c r="A1200" s="1371">
        <v>17</v>
      </c>
      <c r="B1200" s="1316" t="s">
        <v>903</v>
      </c>
      <c r="C1200" s="1334"/>
      <c r="D1200" s="1316" t="s">
        <v>1420</v>
      </c>
      <c r="E1200" s="1337"/>
      <c r="F1200" s="1336" t="s">
        <v>88</v>
      </c>
      <c r="G1200" s="1913">
        <f>P!$J$228</f>
        <v>267750</v>
      </c>
      <c r="H1200" s="1872">
        <f>P!$J$232</f>
        <v>59394</v>
      </c>
      <c r="I1200" s="1338">
        <f t="shared" si="238"/>
        <v>327144</v>
      </c>
      <c r="J1200" s="1338">
        <f t="shared" si="239"/>
        <v>0</v>
      </c>
      <c r="K1200" s="1338">
        <f t="shared" si="240"/>
        <v>0</v>
      </c>
      <c r="L1200" s="1530">
        <f t="shared" si="241"/>
        <v>0</v>
      </c>
      <c r="AB1200" s="1221"/>
    </row>
    <row r="1201" spans="1:28" ht="18" hidden="1" customHeight="1" thickTop="1" thickBot="1">
      <c r="A1201" s="2675" t="s">
        <v>113</v>
      </c>
      <c r="B1201" s="2676"/>
      <c r="C1201" s="2676"/>
      <c r="D1201" s="2676"/>
      <c r="E1201" s="2676"/>
      <c r="F1201" s="2676"/>
      <c r="G1201" s="2676"/>
      <c r="H1201" s="2425"/>
      <c r="I1201" s="2425"/>
      <c r="J1201" s="1541">
        <f>SUM(J1160:J1200)</f>
        <v>0</v>
      </c>
      <c r="K1201" s="1541">
        <f>SUM(K1160:K1200)</f>
        <v>0</v>
      </c>
      <c r="L1201" s="1340">
        <f>SUM(L1160:L1200)</f>
        <v>0</v>
      </c>
      <c r="M1201" s="1300">
        <v>1</v>
      </c>
      <c r="N1201" s="1300">
        <v>99</v>
      </c>
      <c r="AB1201" s="1221"/>
    </row>
    <row r="1202" spans="1:28" ht="18" customHeight="1" thickTop="1">
      <c r="A1202" s="1341" t="s">
        <v>1413</v>
      </c>
      <c r="B1202" s="1342" t="s">
        <v>114</v>
      </c>
      <c r="C1202" s="1343"/>
      <c r="D1202" s="1330"/>
      <c r="E1202" s="1330"/>
      <c r="F1202" s="1346"/>
      <c r="G1202" s="1345"/>
      <c r="H1202" s="1330"/>
      <c r="I1202" s="1330"/>
      <c r="J1202" s="1330"/>
      <c r="K1202" s="1330"/>
      <c r="L1202" s="1331"/>
      <c r="N1202" s="1300">
        <v>100</v>
      </c>
    </row>
    <row r="1203" spans="1:28" ht="18" hidden="1" customHeight="1">
      <c r="A1203" s="1371">
        <v>1</v>
      </c>
      <c r="B1203" s="1373" t="s">
        <v>1419</v>
      </c>
      <c r="C1203" s="1381"/>
      <c r="D1203" s="1373" t="s">
        <v>1431</v>
      </c>
      <c r="E1203" s="1382">
        <v>0</v>
      </c>
      <c r="F1203" s="1336" t="s">
        <v>22</v>
      </c>
      <c r="G1203" s="1913">
        <f>P!$J$48</f>
        <v>4578.125</v>
      </c>
      <c r="H1203" s="1913">
        <f>P!$J$52</f>
        <v>48100</v>
      </c>
      <c r="I1203" s="1338">
        <f t="shared" ref="I1203:I1208" si="242">G1203+H1203</f>
        <v>52678.125</v>
      </c>
      <c r="J1203" s="1338">
        <f t="shared" ref="J1203:J1208" si="243">E1203*G1203</f>
        <v>0</v>
      </c>
      <c r="K1203" s="1338">
        <f t="shared" ref="K1203:K1208" si="244">E1203*H1203</f>
        <v>0</v>
      </c>
      <c r="L1203" s="1530">
        <f t="shared" ref="L1203:L1208" si="245">J1203+K1203</f>
        <v>0</v>
      </c>
    </row>
    <row r="1204" spans="1:28" ht="18" hidden="1" customHeight="1">
      <c r="A1204" s="1367">
        <v>2</v>
      </c>
      <c r="B1204" s="1361" t="s">
        <v>1629</v>
      </c>
      <c r="C1204" s="1360"/>
      <c r="D1204" s="1361"/>
      <c r="E1204" s="1382">
        <v>0</v>
      </c>
      <c r="F1204" s="1336" t="s">
        <v>22</v>
      </c>
      <c r="G1204" s="1913">
        <v>22500</v>
      </c>
      <c r="H1204" s="1913">
        <v>22500</v>
      </c>
      <c r="I1204" s="1338">
        <f t="shared" si="242"/>
        <v>45000</v>
      </c>
      <c r="J1204" s="1338">
        <f t="shared" si="243"/>
        <v>0</v>
      </c>
      <c r="K1204" s="1338">
        <f t="shared" si="244"/>
        <v>0</v>
      </c>
      <c r="L1204" s="1530">
        <f t="shared" si="245"/>
        <v>0</v>
      </c>
    </row>
    <row r="1205" spans="1:28" ht="18" customHeight="1">
      <c r="A1205" s="1371">
        <v>1</v>
      </c>
      <c r="B1205" s="1373" t="s">
        <v>1429</v>
      </c>
      <c r="C1205" s="1381"/>
      <c r="D1205" s="1373" t="s">
        <v>1430</v>
      </c>
      <c r="E1205" s="1382">
        <v>40</v>
      </c>
      <c r="F1205" s="1336" t="s">
        <v>22</v>
      </c>
      <c r="G1205" s="1913">
        <v>0</v>
      </c>
      <c r="H1205" s="1913">
        <v>0</v>
      </c>
      <c r="I1205" s="1338">
        <f t="shared" si="242"/>
        <v>0</v>
      </c>
      <c r="J1205" s="1338">
        <f t="shared" si="243"/>
        <v>0</v>
      </c>
      <c r="K1205" s="1338">
        <f t="shared" si="244"/>
        <v>0</v>
      </c>
      <c r="L1205" s="1530">
        <f t="shared" si="245"/>
        <v>0</v>
      </c>
    </row>
    <row r="1206" spans="1:28" ht="18" hidden="1" customHeight="1">
      <c r="A1206" s="1371">
        <v>4</v>
      </c>
      <c r="B1206" s="1373" t="s">
        <v>1444</v>
      </c>
      <c r="C1206" s="1381"/>
      <c r="D1206" s="1373" t="s">
        <v>1450</v>
      </c>
      <c r="E1206" s="1337">
        <v>0</v>
      </c>
      <c r="F1206" s="1336" t="s">
        <v>88</v>
      </c>
      <c r="G1206" s="1913">
        <f>P!$J$355</f>
        <v>57750</v>
      </c>
      <c r="H1206" s="1872">
        <f>P!$J$359</f>
        <v>33092.627999999997</v>
      </c>
      <c r="I1206" s="1338">
        <f t="shared" si="242"/>
        <v>90842.627999999997</v>
      </c>
      <c r="J1206" s="1338">
        <f t="shared" si="243"/>
        <v>0</v>
      </c>
      <c r="K1206" s="1338">
        <f t="shared" si="244"/>
        <v>0</v>
      </c>
      <c r="L1206" s="1530">
        <f t="shared" si="245"/>
        <v>0</v>
      </c>
    </row>
    <row r="1207" spans="1:28" ht="18" hidden="1" customHeight="1">
      <c r="A1207" s="1371">
        <v>2</v>
      </c>
      <c r="B1207" s="1316" t="s">
        <v>2064</v>
      </c>
      <c r="C1207" s="1334"/>
      <c r="D1207" s="1316"/>
      <c r="E1207" s="1337">
        <v>0</v>
      </c>
      <c r="F1207" s="1336" t="s">
        <v>88</v>
      </c>
      <c r="G1207" s="1913">
        <f>P!$J$237</f>
        <v>168000</v>
      </c>
      <c r="H1207" s="1872">
        <f>P!$J$241</f>
        <v>59394</v>
      </c>
      <c r="I1207" s="1338">
        <f t="shared" si="242"/>
        <v>227394</v>
      </c>
      <c r="J1207" s="1338">
        <f t="shared" si="243"/>
        <v>0</v>
      </c>
      <c r="K1207" s="1338">
        <f t="shared" si="244"/>
        <v>0</v>
      </c>
      <c r="L1207" s="1530">
        <f t="shared" si="245"/>
        <v>0</v>
      </c>
    </row>
    <row r="1208" spans="1:28" ht="18" customHeight="1" thickBot="1">
      <c r="A1208" s="1371">
        <v>2</v>
      </c>
      <c r="B1208" s="1339" t="s">
        <v>1445</v>
      </c>
      <c r="C1208" s="1368"/>
      <c r="D1208" s="1339" t="s">
        <v>2209</v>
      </c>
      <c r="E1208" s="1337">
        <v>5</v>
      </c>
      <c r="F1208" s="1336" t="s">
        <v>88</v>
      </c>
      <c r="G1208" s="1913">
        <v>0</v>
      </c>
      <c r="H1208" s="1770">
        <v>0</v>
      </c>
      <c r="I1208" s="1338">
        <f t="shared" si="242"/>
        <v>0</v>
      </c>
      <c r="J1208" s="1338">
        <f t="shared" si="243"/>
        <v>0</v>
      </c>
      <c r="K1208" s="1338">
        <f t="shared" si="244"/>
        <v>0</v>
      </c>
      <c r="L1208" s="1530">
        <f t="shared" si="245"/>
        <v>0</v>
      </c>
    </row>
    <row r="1209" spans="1:28" ht="18" customHeight="1" thickTop="1" thickBot="1">
      <c r="A1209" s="2675" t="s">
        <v>115</v>
      </c>
      <c r="B1209" s="2676"/>
      <c r="C1209" s="2676"/>
      <c r="D1209" s="2676"/>
      <c r="E1209" s="2676"/>
      <c r="F1209" s="2676"/>
      <c r="G1209" s="2676"/>
      <c r="H1209" s="1551"/>
      <c r="I1209" s="1551"/>
      <c r="J1209" s="1541">
        <f>SUM(J1203:J1208)</f>
        <v>0</v>
      </c>
      <c r="K1209" s="1541">
        <f>SUM(K1203:K1208)</f>
        <v>0</v>
      </c>
      <c r="L1209" s="1340">
        <f>SUM(L1203:L1208)</f>
        <v>0</v>
      </c>
      <c r="M1209" s="1300">
        <v>1</v>
      </c>
      <c r="N1209" s="1300">
        <v>101</v>
      </c>
    </row>
    <row r="1210" spans="1:28" ht="18" customHeight="1" thickTop="1">
      <c r="A1210" s="1341" t="s">
        <v>122</v>
      </c>
      <c r="B1210" s="2638" t="s">
        <v>117</v>
      </c>
      <c r="C1210" s="1343"/>
      <c r="D1210" s="1330"/>
      <c r="E1210" s="1330"/>
      <c r="F1210" s="1346"/>
      <c r="G1210" s="2573"/>
      <c r="H1210" s="2574"/>
      <c r="I1210" s="2574"/>
      <c r="J1210" s="2574"/>
      <c r="K1210" s="2574"/>
      <c r="L1210" s="2575"/>
      <c r="N1210" s="1300">
        <v>102</v>
      </c>
      <c r="AB1210" s="2576"/>
    </row>
    <row r="1211" spans="1:28" ht="18" customHeight="1">
      <c r="A1211" s="1363" t="s">
        <v>42</v>
      </c>
      <c r="B1211" s="1344" t="s">
        <v>74</v>
      </c>
      <c r="C1211" s="1343"/>
      <c r="D1211" s="2058"/>
      <c r="E1211" s="2058"/>
      <c r="F1211" s="1346"/>
      <c r="G1211" s="1345"/>
      <c r="H1211" s="1351"/>
      <c r="I1211" s="1351"/>
      <c r="J1211" s="1351"/>
      <c r="K1211" s="1351"/>
      <c r="L1211" s="1562"/>
      <c r="N1211" s="1300">
        <v>103</v>
      </c>
      <c r="P1211" s="1300" t="s">
        <v>1568</v>
      </c>
    </row>
    <row r="1212" spans="1:28" ht="18" hidden="1" customHeight="1">
      <c r="A1212" s="1371">
        <v>1</v>
      </c>
      <c r="B1212" s="1316" t="s">
        <v>1451</v>
      </c>
      <c r="C1212" s="1334"/>
      <c r="D1212" s="1316"/>
      <c r="E1212" s="1337">
        <v>0</v>
      </c>
      <c r="F1212" s="1336" t="s">
        <v>19</v>
      </c>
      <c r="G1212" s="1913">
        <f>N!$I$7</f>
        <v>1325</v>
      </c>
      <c r="H1212" s="1872">
        <f>N!$I$9</f>
        <v>20850</v>
      </c>
      <c r="I1212" s="1338">
        <f>G1212+H1212</f>
        <v>22175</v>
      </c>
      <c r="J1212" s="1338">
        <f>E1212*G1212</f>
        <v>0</v>
      </c>
      <c r="K1212" s="1338">
        <f>E1212*H1212</f>
        <v>0</v>
      </c>
      <c r="L1212" s="1530">
        <f>J1212+K1212</f>
        <v>0</v>
      </c>
    </row>
    <row r="1213" spans="1:28" ht="18" customHeight="1">
      <c r="A1213" s="1371">
        <v>1</v>
      </c>
      <c r="B1213" s="1316" t="s">
        <v>118</v>
      </c>
      <c r="C1213" s="1334"/>
      <c r="D1213" s="1316" t="s">
        <v>2838</v>
      </c>
      <c r="E1213" s="1337">
        <f>'DINDING BATA'!$B$3</f>
        <v>1356.4880000000003</v>
      </c>
      <c r="F1213" s="1336" t="s">
        <v>19</v>
      </c>
      <c r="G1213" s="1913">
        <v>0</v>
      </c>
      <c r="H1213" s="1872">
        <v>0</v>
      </c>
      <c r="I1213" s="1338">
        <f>G1213+H1213</f>
        <v>0</v>
      </c>
      <c r="J1213" s="1338">
        <f>E1213*G1213</f>
        <v>0</v>
      </c>
      <c r="K1213" s="1338">
        <f>E1213*H1213</f>
        <v>0</v>
      </c>
      <c r="L1213" s="1530">
        <f>J1213+K1213</f>
        <v>0</v>
      </c>
      <c r="P1213" s="1939">
        <f>E1213+E1220+E1241+E1227</f>
        <v>1356.4880000000003</v>
      </c>
    </row>
    <row r="1214" spans="1:28" ht="18" customHeight="1">
      <c r="A1214" s="1371">
        <f>A1213+1</f>
        <v>2</v>
      </c>
      <c r="B1214" s="1876" t="s">
        <v>119</v>
      </c>
      <c r="C1214" s="1334"/>
      <c r="D1214" s="1316" t="s">
        <v>2838</v>
      </c>
      <c r="E1214" s="1337">
        <f>'DINDING BATA'!$B$4</f>
        <v>425.11199999999997</v>
      </c>
      <c r="F1214" s="1336" t="s">
        <v>19</v>
      </c>
      <c r="G1214" s="1913">
        <v>0</v>
      </c>
      <c r="H1214" s="1872">
        <v>0</v>
      </c>
      <c r="I1214" s="1338">
        <f>G1214+H1214</f>
        <v>0</v>
      </c>
      <c r="J1214" s="1338">
        <f>E1214*G1214</f>
        <v>0</v>
      </c>
      <c r="K1214" s="1338">
        <f>E1214*H1214</f>
        <v>0</v>
      </c>
      <c r="L1214" s="1530">
        <f>J1214+K1214</f>
        <v>0</v>
      </c>
      <c r="P1214" s="1939">
        <f>E1214+E1221+E1242+E1228</f>
        <v>425.11199999999997</v>
      </c>
    </row>
    <row r="1215" spans="1:28" ht="18" customHeight="1" thickBot="1">
      <c r="A1215" s="1371">
        <f>A1214+1</f>
        <v>3</v>
      </c>
      <c r="B1215" s="1316" t="s">
        <v>120</v>
      </c>
      <c r="C1215" s="1334"/>
      <c r="D1215" s="1316" t="s">
        <v>2838</v>
      </c>
      <c r="E1215" s="1337">
        <f>SUM(E876:E878)</f>
        <v>534.79999999999995</v>
      </c>
      <c r="F1215" s="1336" t="s">
        <v>19</v>
      </c>
      <c r="G1215" s="1913">
        <v>0</v>
      </c>
      <c r="H1215" s="1872">
        <v>0</v>
      </c>
      <c r="I1215" s="1338">
        <f>G1215+H1215</f>
        <v>0</v>
      </c>
      <c r="J1215" s="1338">
        <f>E1215*G1215</f>
        <v>0</v>
      </c>
      <c r="K1215" s="1338">
        <f>E1215*H1215</f>
        <v>0</v>
      </c>
      <c r="L1215" s="1530">
        <f>J1215+K1215</f>
        <v>0</v>
      </c>
      <c r="P1215" s="1939">
        <f>E1215+E1222+E1229</f>
        <v>534.79999999999995</v>
      </c>
    </row>
    <row r="1216" spans="1:28" ht="18" hidden="1" customHeight="1" thickBot="1">
      <c r="A1216" s="1371">
        <f>A1215+1</f>
        <v>4</v>
      </c>
      <c r="B1216" s="1316" t="s">
        <v>121</v>
      </c>
      <c r="C1216" s="1334"/>
      <c r="D1216" s="1316" t="s">
        <v>209</v>
      </c>
      <c r="E1216" s="1337">
        <f>$E$880</f>
        <v>0</v>
      </c>
      <c r="F1216" s="1336" t="s">
        <v>22</v>
      </c>
      <c r="G1216" s="1913">
        <f>N!$I$95</f>
        <v>33340</v>
      </c>
      <c r="H1216" s="1770">
        <f>N!$I$99</f>
        <v>14321</v>
      </c>
      <c r="I1216" s="1338">
        <f>G1216+H1216</f>
        <v>47661</v>
      </c>
      <c r="J1216" s="1338">
        <f>E1216*G1216</f>
        <v>0</v>
      </c>
      <c r="K1216" s="1338">
        <f>E1216*H1216</f>
        <v>0</v>
      </c>
      <c r="L1216" s="1530">
        <f>J1216+K1216</f>
        <v>0</v>
      </c>
      <c r="P1216" s="1939">
        <f>(E1216+E1223+E1230)/10</f>
        <v>0</v>
      </c>
    </row>
    <row r="1217" spans="1:28" ht="18" customHeight="1" thickTop="1" thickBot="1">
      <c r="A1217" s="2675" t="str">
        <f>"Sub Total pekerjaan pengecatan "&amp;B1211&amp;"="</f>
        <v>Sub Total pekerjaan pengecatan Lantai 1=</v>
      </c>
      <c r="B1217" s="2676"/>
      <c r="C1217" s="2676"/>
      <c r="D1217" s="2676"/>
      <c r="E1217" s="2676"/>
      <c r="F1217" s="2676"/>
      <c r="G1217" s="2676"/>
      <c r="H1217" s="1564"/>
      <c r="I1217" s="1564"/>
      <c r="J1217" s="1541">
        <f>SUM(J1212:J1216)</f>
        <v>0</v>
      </c>
      <c r="K1217" s="1541">
        <f>SUM(K1212:K1216)</f>
        <v>0</v>
      </c>
      <c r="L1217" s="1340">
        <f>SUM(L1212:L1216)</f>
        <v>0</v>
      </c>
      <c r="M1217" s="1300">
        <v>1</v>
      </c>
      <c r="N1217" s="1300">
        <v>104</v>
      </c>
    </row>
    <row r="1218" spans="1:28" ht="18" hidden="1" customHeight="1" thickTop="1">
      <c r="A1218" s="1363" t="s">
        <v>60</v>
      </c>
      <c r="B1218" s="1344" t="s">
        <v>61</v>
      </c>
      <c r="C1218" s="1343"/>
      <c r="D1218" s="1330"/>
      <c r="E1218" s="1330"/>
      <c r="F1218" s="1346"/>
      <c r="G1218" s="1345"/>
      <c r="H1218" s="1330"/>
      <c r="I1218" s="1330"/>
      <c r="J1218" s="1330"/>
      <c r="K1218" s="1330"/>
      <c r="L1218" s="1331"/>
      <c r="N1218" s="1300">
        <v>105</v>
      </c>
    </row>
    <row r="1219" spans="1:28" ht="18" hidden="1" customHeight="1">
      <c r="A1219" s="1371">
        <v>1</v>
      </c>
      <c r="B1219" s="1316" t="s">
        <v>1451</v>
      </c>
      <c r="C1219" s="1334"/>
      <c r="D1219" s="1316"/>
      <c r="E1219" s="1337">
        <v>0</v>
      </c>
      <c r="F1219" s="1336" t="s">
        <v>19</v>
      </c>
      <c r="G1219" s="1913">
        <f>N!$I$7</f>
        <v>1325</v>
      </c>
      <c r="H1219" s="1872">
        <f>N!$I$9</f>
        <v>20850</v>
      </c>
      <c r="I1219" s="1338">
        <f>G1219+H1219</f>
        <v>22175</v>
      </c>
      <c r="J1219" s="1338">
        <f>E1219*G1219</f>
        <v>0</v>
      </c>
      <c r="K1219" s="1338">
        <f>E1219*H1219</f>
        <v>0</v>
      </c>
      <c r="L1219" s="1530">
        <f>J1219+K1219</f>
        <v>0</v>
      </c>
    </row>
    <row r="1220" spans="1:28" ht="18" hidden="1" customHeight="1">
      <c r="A1220" s="1371">
        <v>1</v>
      </c>
      <c r="B1220" s="1316" t="s">
        <v>118</v>
      </c>
      <c r="C1220" s="1334"/>
      <c r="D1220" s="1316" t="s">
        <v>2838</v>
      </c>
      <c r="E1220" s="1526">
        <f>'DINDING BATA'!$C$3</f>
        <v>0</v>
      </c>
      <c r="F1220" s="1336" t="s">
        <v>19</v>
      </c>
      <c r="G1220" s="1913">
        <f>N!$I$55</f>
        <v>27332.9</v>
      </c>
      <c r="H1220" s="1872">
        <f>N!$I$59</f>
        <v>14321</v>
      </c>
      <c r="I1220" s="1338">
        <f>G1220+H1220</f>
        <v>41653.9</v>
      </c>
      <c r="J1220" s="1338">
        <f>E1220*G1220</f>
        <v>0</v>
      </c>
      <c r="K1220" s="1338">
        <f>E1220*H1220</f>
        <v>0</v>
      </c>
      <c r="L1220" s="1530">
        <f>J1220+K1220</f>
        <v>0</v>
      </c>
    </row>
    <row r="1221" spans="1:28" ht="18" hidden="1" customHeight="1">
      <c r="A1221" s="1371">
        <f>A1220+1</f>
        <v>2</v>
      </c>
      <c r="B1221" s="1316" t="s">
        <v>119</v>
      </c>
      <c r="C1221" s="1334"/>
      <c r="D1221" s="1316" t="s">
        <v>2838</v>
      </c>
      <c r="E1221" s="1526">
        <f>'DINDING BATA'!$C$4</f>
        <v>0</v>
      </c>
      <c r="F1221" s="1336" t="s">
        <v>19</v>
      </c>
      <c r="G1221" s="1913">
        <f>N!$I$74</f>
        <v>29874.400000000001</v>
      </c>
      <c r="H1221" s="1872">
        <f>N!$I$78</f>
        <v>14321</v>
      </c>
      <c r="I1221" s="1338">
        <f>G1221+H1221</f>
        <v>44195.4</v>
      </c>
      <c r="J1221" s="1338">
        <f>E1221*G1221</f>
        <v>0</v>
      </c>
      <c r="K1221" s="1338">
        <f>E1221*H1221</f>
        <v>0</v>
      </c>
      <c r="L1221" s="1530">
        <f>J1221+K1221</f>
        <v>0</v>
      </c>
    </row>
    <row r="1222" spans="1:28" ht="18" hidden="1" customHeight="1">
      <c r="A1222" s="1371">
        <f>A1221+1</f>
        <v>3</v>
      </c>
      <c r="B1222" s="1316" t="s">
        <v>120</v>
      </c>
      <c r="C1222" s="1334"/>
      <c r="D1222" s="1316" t="s">
        <v>2838</v>
      </c>
      <c r="E1222" s="1526">
        <f>SUM(E884:E886)</f>
        <v>0</v>
      </c>
      <c r="F1222" s="1336" t="s">
        <v>19</v>
      </c>
      <c r="G1222" s="1913">
        <f>N!$I$95</f>
        <v>33340</v>
      </c>
      <c r="H1222" s="1872">
        <f>N!$I$99</f>
        <v>14321</v>
      </c>
      <c r="I1222" s="1338">
        <f>G1222+H1222</f>
        <v>47661</v>
      </c>
      <c r="J1222" s="1338">
        <f>E1222*G1222</f>
        <v>0</v>
      </c>
      <c r="K1222" s="1338">
        <f>E1222*H1222</f>
        <v>0</v>
      </c>
      <c r="L1222" s="1530">
        <f>J1222+K1222</f>
        <v>0</v>
      </c>
    </row>
    <row r="1223" spans="1:28" ht="18" hidden="1" customHeight="1" thickBot="1">
      <c r="A1223" s="1371">
        <f>A1222+1</f>
        <v>4</v>
      </c>
      <c r="B1223" s="1316" t="s">
        <v>121</v>
      </c>
      <c r="C1223" s="1334"/>
      <c r="D1223" s="1316" t="s">
        <v>209</v>
      </c>
      <c r="E1223" s="1526">
        <f>$E$888</f>
        <v>0</v>
      </c>
      <c r="F1223" s="1336" t="s">
        <v>22</v>
      </c>
      <c r="G1223" s="1913">
        <f>N!$I$95</f>
        <v>33340</v>
      </c>
      <c r="H1223" s="1770">
        <f>N!$I$99</f>
        <v>14321</v>
      </c>
      <c r="I1223" s="1338">
        <f>G1223+H1223</f>
        <v>47661</v>
      </c>
      <c r="J1223" s="1338">
        <f>E1223*G1223</f>
        <v>0</v>
      </c>
      <c r="K1223" s="1338">
        <f>E1223*H1223</f>
        <v>0</v>
      </c>
      <c r="L1223" s="1530">
        <f>J1223+K1223</f>
        <v>0</v>
      </c>
    </row>
    <row r="1224" spans="1:28" ht="18" hidden="1" customHeight="1" thickTop="1" thickBot="1">
      <c r="A1224" s="2675" t="str">
        <f>"Sub Total pekerjaan pengecatan "&amp;B1218&amp;"="</f>
        <v>Sub Total pekerjaan pengecatan Lantai 2=</v>
      </c>
      <c r="B1224" s="2676"/>
      <c r="C1224" s="2676"/>
      <c r="D1224" s="2676"/>
      <c r="E1224" s="2676"/>
      <c r="F1224" s="2676"/>
      <c r="G1224" s="2676"/>
      <c r="H1224" s="1564"/>
      <c r="I1224" s="1564"/>
      <c r="J1224" s="1541">
        <f>SUM(J1219:J1223)</f>
        <v>0</v>
      </c>
      <c r="K1224" s="1541">
        <f>SUM(K1219:K1223)</f>
        <v>0</v>
      </c>
      <c r="L1224" s="1340">
        <f>SUM(L1219:L1223)</f>
        <v>0</v>
      </c>
      <c r="M1224" s="1300">
        <v>1</v>
      </c>
      <c r="N1224" s="1300">
        <v>106</v>
      </c>
    </row>
    <row r="1225" spans="1:28" ht="18" hidden="1" customHeight="1" thickTop="1">
      <c r="A1225" s="1363" t="s">
        <v>71</v>
      </c>
      <c r="B1225" s="1344" t="s">
        <v>72</v>
      </c>
      <c r="C1225" s="1343"/>
      <c r="D1225" s="1330"/>
      <c r="E1225" s="1330"/>
      <c r="F1225" s="1346"/>
      <c r="G1225" s="1345"/>
      <c r="H1225" s="1330"/>
      <c r="I1225" s="1330"/>
      <c r="J1225" s="1330"/>
      <c r="K1225" s="1330"/>
      <c r="L1225" s="1331"/>
      <c r="N1225" s="1300">
        <v>107</v>
      </c>
    </row>
    <row r="1226" spans="1:28" ht="18" hidden="1" customHeight="1">
      <c r="A1226" s="1371">
        <v>1</v>
      </c>
      <c r="B1226" s="1316" t="s">
        <v>1451</v>
      </c>
      <c r="C1226" s="1334"/>
      <c r="D1226" s="1316"/>
      <c r="E1226" s="1337">
        <v>0</v>
      </c>
      <c r="F1226" s="1336" t="s">
        <v>19</v>
      </c>
      <c r="G1226" s="1913">
        <f>N!$I$7</f>
        <v>1325</v>
      </c>
      <c r="H1226" s="1872">
        <f>N!$I$9</f>
        <v>20850</v>
      </c>
      <c r="I1226" s="1338">
        <f>G1226+H1226</f>
        <v>22175</v>
      </c>
      <c r="J1226" s="1338">
        <f>E1226*G1226</f>
        <v>0</v>
      </c>
      <c r="K1226" s="1338">
        <f>E1226*H1226</f>
        <v>0</v>
      </c>
      <c r="L1226" s="1530">
        <f>J1226+K1226</f>
        <v>0</v>
      </c>
    </row>
    <row r="1227" spans="1:28" ht="18" hidden="1" customHeight="1">
      <c r="A1227" s="1371">
        <v>1</v>
      </c>
      <c r="B1227" s="1316" t="s">
        <v>118</v>
      </c>
      <c r="C1227" s="1334"/>
      <c r="D1227" s="1316" t="s">
        <v>2838</v>
      </c>
      <c r="E1227" s="1526">
        <f>'DINDING BATA'!$D$3</f>
        <v>0</v>
      </c>
      <c r="F1227" s="1336" t="s">
        <v>19</v>
      </c>
      <c r="G1227" s="1913">
        <f>N!$I$55</f>
        <v>27332.9</v>
      </c>
      <c r="H1227" s="1872">
        <f>N!$I$59</f>
        <v>14321</v>
      </c>
      <c r="I1227" s="1338">
        <f>G1227+H1227</f>
        <v>41653.9</v>
      </c>
      <c r="J1227" s="1338">
        <f>E1227*G1227</f>
        <v>0</v>
      </c>
      <c r="K1227" s="1338">
        <f>E1227*H1227</f>
        <v>0</v>
      </c>
      <c r="L1227" s="1530">
        <f>J1227+K1227</f>
        <v>0</v>
      </c>
    </row>
    <row r="1228" spans="1:28" ht="18" hidden="1" customHeight="1">
      <c r="A1228" s="1371">
        <v>2</v>
      </c>
      <c r="B1228" s="1316" t="s">
        <v>119</v>
      </c>
      <c r="C1228" s="1334"/>
      <c r="D1228" s="1316" t="s">
        <v>2838</v>
      </c>
      <c r="E1228" s="1526">
        <f>'DINDING BATA'!$D$4</f>
        <v>0</v>
      </c>
      <c r="F1228" s="1336" t="s">
        <v>19</v>
      </c>
      <c r="G1228" s="1913">
        <f>N!$I$74</f>
        <v>29874.400000000001</v>
      </c>
      <c r="H1228" s="1872">
        <f>N!$I$78</f>
        <v>14321</v>
      </c>
      <c r="I1228" s="1338">
        <f>G1228+H1228</f>
        <v>44195.4</v>
      </c>
      <c r="J1228" s="1338">
        <f>E1228*G1228</f>
        <v>0</v>
      </c>
      <c r="K1228" s="1338">
        <f>E1228*H1228</f>
        <v>0</v>
      </c>
      <c r="L1228" s="1530">
        <f>J1228+K1228</f>
        <v>0</v>
      </c>
    </row>
    <row r="1229" spans="1:28" ht="18" hidden="1" customHeight="1">
      <c r="A1229" s="1371">
        <v>3</v>
      </c>
      <c r="B1229" s="1316" t="s">
        <v>120</v>
      </c>
      <c r="C1229" s="1334"/>
      <c r="D1229" s="1316" t="s">
        <v>2838</v>
      </c>
      <c r="E1229" s="1526">
        <f>SUM(E892:E894)</f>
        <v>0</v>
      </c>
      <c r="F1229" s="1336" t="s">
        <v>19</v>
      </c>
      <c r="G1229" s="1913">
        <f>N!$I$95</f>
        <v>33340</v>
      </c>
      <c r="H1229" s="1872">
        <f>N!$I$99</f>
        <v>14321</v>
      </c>
      <c r="I1229" s="1338">
        <f>G1229+H1229</f>
        <v>47661</v>
      </c>
      <c r="J1229" s="1338">
        <f>E1229*G1229</f>
        <v>0</v>
      </c>
      <c r="K1229" s="1338">
        <f>E1229*H1229</f>
        <v>0</v>
      </c>
      <c r="L1229" s="1530">
        <f>J1229+K1229</f>
        <v>0</v>
      </c>
    </row>
    <row r="1230" spans="1:28" ht="18" hidden="1" customHeight="1" thickBot="1">
      <c r="A1230" s="1371">
        <f>A1229+1</f>
        <v>4</v>
      </c>
      <c r="B1230" s="1316" t="s">
        <v>121</v>
      </c>
      <c r="C1230" s="1334"/>
      <c r="D1230" s="1316" t="s">
        <v>209</v>
      </c>
      <c r="E1230" s="1526">
        <f>$E$896</f>
        <v>0</v>
      </c>
      <c r="F1230" s="1336" t="s">
        <v>22</v>
      </c>
      <c r="G1230" s="1913">
        <f>N!$I$95</f>
        <v>33340</v>
      </c>
      <c r="H1230" s="1770">
        <f>N!$I$99</f>
        <v>14321</v>
      </c>
      <c r="I1230" s="1338">
        <f>G1230+H1230</f>
        <v>47661</v>
      </c>
      <c r="J1230" s="1338">
        <f>E1230*G1230</f>
        <v>0</v>
      </c>
      <c r="K1230" s="1338">
        <f>E1230*H1230</f>
        <v>0</v>
      </c>
      <c r="L1230" s="1530">
        <f>J1230+K1230</f>
        <v>0</v>
      </c>
    </row>
    <row r="1231" spans="1:28" ht="18" hidden="1" customHeight="1" thickTop="1" thickBot="1">
      <c r="A1231" s="2675" t="str">
        <f>"Sub Total pekerjaan pengecatan "&amp;B1225&amp;"="</f>
        <v>Sub Total pekerjaan pengecatan Lantai Atap=</v>
      </c>
      <c r="B1231" s="2676"/>
      <c r="C1231" s="2676"/>
      <c r="D1231" s="2676"/>
      <c r="E1231" s="2676"/>
      <c r="F1231" s="2676"/>
      <c r="G1231" s="2676"/>
      <c r="H1231" s="1961"/>
      <c r="I1231" s="1961"/>
      <c r="J1231" s="1542">
        <f>SUM(J1226:J1230)</f>
        <v>0</v>
      </c>
      <c r="K1231" s="1542">
        <f>SUM(K1226:K1230)</f>
        <v>0</v>
      </c>
      <c r="L1231" s="1543">
        <f>SUM(L1226:L1230)</f>
        <v>0</v>
      </c>
      <c r="M1231" s="1300">
        <v>1</v>
      </c>
      <c r="N1231" s="1300">
        <v>108</v>
      </c>
    </row>
    <row r="1232" spans="1:28" ht="18" hidden="1" customHeight="1" thickTop="1">
      <c r="A1232" s="1363" t="s">
        <v>1413</v>
      </c>
      <c r="B1232" s="1344" t="s">
        <v>72</v>
      </c>
      <c r="C1232" s="1343"/>
      <c r="D1232" s="1330"/>
      <c r="E1232" s="1330"/>
      <c r="F1232" s="1346"/>
      <c r="G1232" s="1345"/>
      <c r="H1232" s="1330"/>
      <c r="I1232" s="1330"/>
      <c r="J1232" s="1330"/>
      <c r="K1232" s="1330"/>
      <c r="L1232" s="1331"/>
      <c r="N1232" s="1300">
        <v>109</v>
      </c>
      <c r="AB1232" s="1221"/>
    </row>
    <row r="1233" spans="1:28" ht="18" hidden="1" customHeight="1">
      <c r="A1233" s="1371">
        <v>1</v>
      </c>
      <c r="B1233" s="1316" t="s">
        <v>1451</v>
      </c>
      <c r="C1233" s="1334"/>
      <c r="D1233" s="1316"/>
      <c r="E1233" s="1337">
        <v>0</v>
      </c>
      <c r="F1233" s="1336" t="s">
        <v>19</v>
      </c>
      <c r="G1233" s="1913">
        <f>N!$I$7</f>
        <v>1325</v>
      </c>
      <c r="H1233" s="1872">
        <f>N!$I$9</f>
        <v>20850</v>
      </c>
      <c r="I1233" s="1338">
        <f>G1233+H1233</f>
        <v>22175</v>
      </c>
      <c r="J1233" s="1338">
        <f>E1233*G1233</f>
        <v>0</v>
      </c>
      <c r="K1233" s="1338">
        <f>E1233*H1233</f>
        <v>0</v>
      </c>
      <c r="L1233" s="1530">
        <f>J1233+K1233</f>
        <v>0</v>
      </c>
      <c r="U1233" s="1526"/>
      <c r="V1233" s="1526"/>
      <c r="W1233" s="1526"/>
      <c r="AB1233" s="1221"/>
    </row>
    <row r="1234" spans="1:28" ht="18" hidden="1" customHeight="1">
      <c r="A1234" s="1371">
        <v>1</v>
      </c>
      <c r="B1234" s="1316" t="s">
        <v>118</v>
      </c>
      <c r="C1234" s="1334"/>
      <c r="D1234" s="1316" t="s">
        <v>2838</v>
      </c>
      <c r="E1234" s="1526">
        <f>'DINDING BATA'!$E$3</f>
        <v>0</v>
      </c>
      <c r="F1234" s="1336" t="s">
        <v>19</v>
      </c>
      <c r="G1234" s="1913">
        <f>N!$I$55</f>
        <v>27332.9</v>
      </c>
      <c r="H1234" s="1872">
        <f>N!$I$59</f>
        <v>14321</v>
      </c>
      <c r="I1234" s="1338">
        <f>G1234+H1234</f>
        <v>41653.9</v>
      </c>
      <c r="J1234" s="1338">
        <f>E1234*G1234</f>
        <v>0</v>
      </c>
      <c r="K1234" s="1338">
        <f>E1234*H1234</f>
        <v>0</v>
      </c>
      <c r="L1234" s="1530">
        <f>J1234+K1234</f>
        <v>0</v>
      </c>
      <c r="U1234" s="1526"/>
      <c r="V1234" s="1526"/>
      <c r="W1234" s="1526"/>
      <c r="AB1234" s="1221"/>
    </row>
    <row r="1235" spans="1:28" ht="18" hidden="1" customHeight="1">
      <c r="A1235" s="1371">
        <v>2</v>
      </c>
      <c r="B1235" s="1316" t="s">
        <v>119</v>
      </c>
      <c r="C1235" s="1334"/>
      <c r="D1235" s="1316" t="s">
        <v>2838</v>
      </c>
      <c r="E1235" s="1526">
        <f>'DINDING BATA'!$E$4</f>
        <v>0</v>
      </c>
      <c r="F1235" s="1336" t="s">
        <v>19</v>
      </c>
      <c r="G1235" s="1913">
        <f>N!$I$74</f>
        <v>29874.400000000001</v>
      </c>
      <c r="H1235" s="1872">
        <f>N!$I$78</f>
        <v>14321</v>
      </c>
      <c r="I1235" s="1338">
        <f>G1235+H1235</f>
        <v>44195.4</v>
      </c>
      <c r="J1235" s="1338">
        <f>E1235*G1235</f>
        <v>0</v>
      </c>
      <c r="K1235" s="1338">
        <f>E1235*H1235</f>
        <v>0</v>
      </c>
      <c r="L1235" s="1530">
        <f>J1235+K1235</f>
        <v>0</v>
      </c>
      <c r="AB1235" s="1221"/>
    </row>
    <row r="1236" spans="1:28" ht="18" hidden="1" customHeight="1">
      <c r="A1236" s="1371">
        <f>A1235+1</f>
        <v>3</v>
      </c>
      <c r="B1236" s="1316" t="s">
        <v>120</v>
      </c>
      <c r="C1236" s="1334"/>
      <c r="D1236" s="1316" t="s">
        <v>2838</v>
      </c>
      <c r="E1236" s="1526">
        <f>SUM(E900:E902)</f>
        <v>0</v>
      </c>
      <c r="F1236" s="1336" t="s">
        <v>19</v>
      </c>
      <c r="G1236" s="1913">
        <f>N!$I$95</f>
        <v>33340</v>
      </c>
      <c r="H1236" s="1872">
        <f>N!$I$99</f>
        <v>14321</v>
      </c>
      <c r="I1236" s="1338">
        <f>G1236+H1236</f>
        <v>47661</v>
      </c>
      <c r="J1236" s="1338">
        <f>E1236*G1236</f>
        <v>0</v>
      </c>
      <c r="K1236" s="1338">
        <f>E1236*H1236</f>
        <v>0</v>
      </c>
      <c r="L1236" s="1530">
        <f>J1236+K1236</f>
        <v>0</v>
      </c>
      <c r="AB1236" s="1221"/>
    </row>
    <row r="1237" spans="1:28" ht="18" hidden="1" customHeight="1" thickBot="1">
      <c r="A1237" s="1371">
        <f>A1236+1</f>
        <v>4</v>
      </c>
      <c r="B1237" s="1316" t="s">
        <v>121</v>
      </c>
      <c r="C1237" s="1334"/>
      <c r="D1237" s="1316" t="s">
        <v>2711</v>
      </c>
      <c r="E1237" s="1526">
        <f>$E$904</f>
        <v>0</v>
      </c>
      <c r="F1237" s="1336" t="s">
        <v>22</v>
      </c>
      <c r="G1237" s="1913">
        <f>N!$I$95</f>
        <v>33340</v>
      </c>
      <c r="H1237" s="1770">
        <f>N!$I$99</f>
        <v>14321</v>
      </c>
      <c r="I1237" s="1338">
        <f>G1237+H1237</f>
        <v>47661</v>
      </c>
      <c r="J1237" s="1338">
        <f>E1237*G1237</f>
        <v>0</v>
      </c>
      <c r="K1237" s="1338">
        <f>E1237*H1237</f>
        <v>0</v>
      </c>
      <c r="L1237" s="1530">
        <f>J1237+K1237</f>
        <v>0</v>
      </c>
      <c r="AB1237" s="1221"/>
    </row>
    <row r="1238" spans="1:28" ht="18" hidden="1" customHeight="1" thickTop="1" thickBot="1">
      <c r="A1238" s="2675" t="str">
        <f>"Sub Total pekerjaan pengecatan "&amp;B1232&amp;"="</f>
        <v>Sub Total pekerjaan pengecatan Lantai Atap=</v>
      </c>
      <c r="B1238" s="2676"/>
      <c r="C1238" s="2676"/>
      <c r="D1238" s="2676"/>
      <c r="E1238" s="2676"/>
      <c r="F1238" s="2676"/>
      <c r="G1238" s="2676"/>
      <c r="H1238" s="2356"/>
      <c r="I1238" s="2356"/>
      <c r="J1238" s="1542">
        <f>SUM(J1233:J1237)</f>
        <v>0</v>
      </c>
      <c r="K1238" s="1542">
        <f>SUM(K1233:K1237)</f>
        <v>0</v>
      </c>
      <c r="L1238" s="1543">
        <f>SUM(L1233:L1237)</f>
        <v>0</v>
      </c>
      <c r="M1238" s="1300">
        <v>1</v>
      </c>
      <c r="N1238" s="1300">
        <v>110</v>
      </c>
      <c r="AB1238" s="1221"/>
    </row>
    <row r="1239" spans="1:28" ht="18" hidden="1" customHeight="1" thickTop="1">
      <c r="A1239" s="1363" t="s">
        <v>1010</v>
      </c>
      <c r="B1239" s="1344" t="s">
        <v>2617</v>
      </c>
      <c r="C1239" s="1343"/>
      <c r="D1239" s="1330"/>
      <c r="E1239" s="1330"/>
      <c r="F1239" s="1346"/>
      <c r="G1239" s="1345"/>
      <c r="H1239" s="1330"/>
      <c r="I1239" s="1330"/>
      <c r="J1239" s="1330"/>
      <c r="K1239" s="1330"/>
      <c r="L1239" s="1331"/>
      <c r="N1239" s="1300">
        <v>111</v>
      </c>
    </row>
    <row r="1240" spans="1:28" ht="18" hidden="1" customHeight="1">
      <c r="A1240" s="1371">
        <v>1</v>
      </c>
      <c r="B1240" s="1316" t="s">
        <v>1451</v>
      </c>
      <c r="C1240" s="1334"/>
      <c r="D1240" s="1316"/>
      <c r="E1240" s="1337">
        <v>0</v>
      </c>
      <c r="F1240" s="1336" t="s">
        <v>19</v>
      </c>
      <c r="G1240" s="1913">
        <f>N!$I$7</f>
        <v>1325</v>
      </c>
      <c r="H1240" s="1872">
        <f>N!$I$9</f>
        <v>20850</v>
      </c>
      <c r="I1240" s="1338">
        <f>G1240+H1240</f>
        <v>22175</v>
      </c>
      <c r="J1240" s="1338">
        <f>E1240*G1240</f>
        <v>0</v>
      </c>
      <c r="K1240" s="1338">
        <f>E1240*H1240</f>
        <v>0</v>
      </c>
      <c r="L1240" s="1530">
        <f>J1240+K1240</f>
        <v>0</v>
      </c>
    </row>
    <row r="1241" spans="1:28" ht="18" hidden="1" customHeight="1">
      <c r="A1241" s="1371">
        <v>1</v>
      </c>
      <c r="B1241" s="1316" t="s">
        <v>118</v>
      </c>
      <c r="C1241" s="1334"/>
      <c r="D1241" s="1316" t="s">
        <v>2711</v>
      </c>
      <c r="E1241" s="1526">
        <f>'DINDING BATA'!$F$3</f>
        <v>0</v>
      </c>
      <c r="F1241" s="1336" t="s">
        <v>19</v>
      </c>
      <c r="G1241" s="1913">
        <f>N!$I$55</f>
        <v>27332.9</v>
      </c>
      <c r="H1241" s="1872">
        <f>N!$I$59</f>
        <v>14321</v>
      </c>
      <c r="I1241" s="1338">
        <f>G1241+H1241</f>
        <v>41653.9</v>
      </c>
      <c r="J1241" s="1338">
        <f>E1241*G1241</f>
        <v>0</v>
      </c>
      <c r="K1241" s="1338">
        <f>E1241*H1241</f>
        <v>0</v>
      </c>
      <c r="L1241" s="1530">
        <f>J1241+K1241</f>
        <v>0</v>
      </c>
    </row>
    <row r="1242" spans="1:28" ht="18" hidden="1" customHeight="1">
      <c r="A1242" s="1371">
        <v>2</v>
      </c>
      <c r="B1242" s="1316" t="s">
        <v>119</v>
      </c>
      <c r="C1242" s="1334"/>
      <c r="D1242" s="1316" t="s">
        <v>2711</v>
      </c>
      <c r="E1242" s="1526">
        <f>'DINDING BATA'!$F$4</f>
        <v>0</v>
      </c>
      <c r="F1242" s="1336" t="s">
        <v>19</v>
      </c>
      <c r="G1242" s="1913">
        <f>N!$I$74</f>
        <v>29874.400000000001</v>
      </c>
      <c r="H1242" s="1872">
        <f>N!$I$78</f>
        <v>14321</v>
      </c>
      <c r="I1242" s="1338">
        <f>G1242+H1242</f>
        <v>44195.4</v>
      </c>
      <c r="J1242" s="1338">
        <f>E1242*G1242</f>
        <v>0</v>
      </c>
      <c r="K1242" s="1338">
        <f>E1242*H1242</f>
        <v>0</v>
      </c>
      <c r="L1242" s="1530">
        <f>J1242+K1242</f>
        <v>0</v>
      </c>
    </row>
    <row r="1243" spans="1:28" ht="18" hidden="1" customHeight="1">
      <c r="A1243" s="1371">
        <v>3</v>
      </c>
      <c r="B1243" s="1316" t="s">
        <v>120</v>
      </c>
      <c r="C1243" s="1334"/>
      <c r="D1243" s="1316" t="s">
        <v>2711</v>
      </c>
      <c r="E1243" s="1526">
        <f>SUM(E908:E910)</f>
        <v>0</v>
      </c>
      <c r="F1243" s="1336" t="s">
        <v>19</v>
      </c>
      <c r="G1243" s="1913">
        <f>N!$I$95</f>
        <v>33340</v>
      </c>
      <c r="H1243" s="1872">
        <f>N!$I$99</f>
        <v>14321</v>
      </c>
      <c r="I1243" s="1338">
        <f>G1243+H1243</f>
        <v>47661</v>
      </c>
      <c r="J1243" s="1338">
        <f>E1243*G1243</f>
        <v>0</v>
      </c>
      <c r="K1243" s="1338">
        <f>E1243*H1243</f>
        <v>0</v>
      </c>
      <c r="L1243" s="1530">
        <f>J1243+K1243</f>
        <v>0</v>
      </c>
      <c r="AB1243" s="1221"/>
    </row>
    <row r="1244" spans="1:28" ht="18" hidden="1" customHeight="1" thickBot="1">
      <c r="A1244" s="1371">
        <f>A1243+1</f>
        <v>4</v>
      </c>
      <c r="B1244" s="1316" t="s">
        <v>121</v>
      </c>
      <c r="C1244" s="1334"/>
      <c r="D1244" s="1316" t="s">
        <v>209</v>
      </c>
      <c r="E1244" s="1526">
        <f>$E$912</f>
        <v>0</v>
      </c>
      <c r="F1244" s="1336" t="s">
        <v>22</v>
      </c>
      <c r="G1244" s="1913">
        <f>N!$I$95</f>
        <v>33340</v>
      </c>
      <c r="H1244" s="1770">
        <f>N!$I$99</f>
        <v>14321</v>
      </c>
      <c r="I1244" s="1338">
        <f>G1244+H1244</f>
        <v>47661</v>
      </c>
      <c r="J1244" s="1338">
        <f>E1244*G1244</f>
        <v>0</v>
      </c>
      <c r="K1244" s="1338">
        <f>E1244*H1244</f>
        <v>0</v>
      </c>
      <c r="L1244" s="1530">
        <f>J1244+K1244</f>
        <v>0</v>
      </c>
      <c r="AB1244" s="1221"/>
    </row>
    <row r="1245" spans="1:28" ht="18" hidden="1" customHeight="1" thickTop="1" thickBot="1">
      <c r="A1245" s="2675" t="str">
        <f>"Sub Total pekerjaan pengecatan "&amp;B1239&amp;"="</f>
        <v>Sub Total pekerjaan pengecatan Lantai 4=</v>
      </c>
      <c r="B1245" s="2676"/>
      <c r="C1245" s="2676"/>
      <c r="D1245" s="2676"/>
      <c r="E1245" s="2676"/>
      <c r="F1245" s="2676"/>
      <c r="G1245" s="2676"/>
      <c r="H1245" s="1662"/>
      <c r="I1245" s="1662"/>
      <c r="J1245" s="1541">
        <f>SUM(J1240:J1244)</f>
        <v>0</v>
      </c>
      <c r="K1245" s="1541">
        <f>SUM(K1240:K1244)</f>
        <v>0</v>
      </c>
      <c r="L1245" s="1340">
        <f>SUM(L1240:L1244)</f>
        <v>0</v>
      </c>
      <c r="M1245" s="1300">
        <v>1</v>
      </c>
      <c r="N1245" s="1300">
        <v>112</v>
      </c>
    </row>
    <row r="1246" spans="1:28" ht="18" hidden="1" customHeight="1" thickTop="1">
      <c r="A1246" s="1363" t="s">
        <v>1022</v>
      </c>
      <c r="B1246" s="1344" t="s">
        <v>72</v>
      </c>
      <c r="C1246" s="1343"/>
      <c r="D1246" s="1330"/>
      <c r="E1246" s="1330"/>
      <c r="F1246" s="1346"/>
      <c r="G1246" s="1345"/>
      <c r="H1246" s="1330"/>
      <c r="I1246" s="1330"/>
      <c r="J1246" s="1330"/>
      <c r="K1246" s="1330"/>
      <c r="L1246" s="1331"/>
      <c r="N1246" s="1300">
        <v>113</v>
      </c>
      <c r="AB1246" s="1221"/>
    </row>
    <row r="1247" spans="1:28" ht="18" hidden="1" customHeight="1">
      <c r="A1247" s="1371">
        <v>1</v>
      </c>
      <c r="B1247" s="1316" t="s">
        <v>1451</v>
      </c>
      <c r="C1247" s="1334"/>
      <c r="D1247" s="1316"/>
      <c r="E1247" s="1337">
        <v>0</v>
      </c>
      <c r="F1247" s="1336" t="s">
        <v>19</v>
      </c>
      <c r="G1247" s="1913">
        <f>N!$I$7</f>
        <v>1325</v>
      </c>
      <c r="H1247" s="1872">
        <f>N!$I$9</f>
        <v>20850</v>
      </c>
      <c r="I1247" s="1338">
        <f>G1247+H1247</f>
        <v>22175</v>
      </c>
      <c r="J1247" s="1338">
        <f>E1247*G1247</f>
        <v>0</v>
      </c>
      <c r="K1247" s="1338">
        <f>E1247*H1247</f>
        <v>0</v>
      </c>
      <c r="L1247" s="1530">
        <f>J1247+K1247</f>
        <v>0</v>
      </c>
      <c r="AB1247" s="1221"/>
    </row>
    <row r="1248" spans="1:28" ht="18" hidden="1" customHeight="1">
      <c r="A1248" s="1371">
        <v>1</v>
      </c>
      <c r="B1248" s="1316" t="s">
        <v>118</v>
      </c>
      <c r="C1248" s="1334"/>
      <c r="D1248" s="1316" t="s">
        <v>2711</v>
      </c>
      <c r="E1248" s="1526">
        <f>'DINDING BATA'!$G$3</f>
        <v>0</v>
      </c>
      <c r="F1248" s="1336" t="s">
        <v>19</v>
      </c>
      <c r="G1248" s="1913">
        <f>N!$I$55</f>
        <v>27332.9</v>
      </c>
      <c r="H1248" s="1872">
        <f>N!$I$59</f>
        <v>14321</v>
      </c>
      <c r="I1248" s="1338">
        <f>G1248+H1248</f>
        <v>41653.9</v>
      </c>
      <c r="J1248" s="1338">
        <f>E1248*G1248</f>
        <v>0</v>
      </c>
      <c r="K1248" s="1338">
        <f>E1248*H1248</f>
        <v>0</v>
      </c>
      <c r="L1248" s="1530">
        <f>J1248+K1248</f>
        <v>0</v>
      </c>
      <c r="AB1248" s="1221"/>
    </row>
    <row r="1249" spans="1:28" ht="18" hidden="1" customHeight="1" thickBot="1">
      <c r="A1249" s="1371">
        <v>1</v>
      </c>
      <c r="B1249" s="1316" t="s">
        <v>119</v>
      </c>
      <c r="C1249" s="1334"/>
      <c r="D1249" s="1316" t="s">
        <v>2711</v>
      </c>
      <c r="E1249" s="1526">
        <f>'DINDING BATA'!$G$4</f>
        <v>0</v>
      </c>
      <c r="F1249" s="1336" t="s">
        <v>19</v>
      </c>
      <c r="G1249" s="1913">
        <f>N!$I$74</f>
        <v>29874.400000000001</v>
      </c>
      <c r="H1249" s="1872">
        <f>N!$I$78</f>
        <v>14321</v>
      </c>
      <c r="I1249" s="1338">
        <f>G1249+H1249</f>
        <v>44195.4</v>
      </c>
      <c r="J1249" s="1338">
        <f>E1249*G1249</f>
        <v>0</v>
      </c>
      <c r="K1249" s="1338">
        <f>E1249*H1249</f>
        <v>0</v>
      </c>
      <c r="L1249" s="1530">
        <f>J1249+K1249</f>
        <v>0</v>
      </c>
      <c r="AB1249" s="1221"/>
    </row>
    <row r="1250" spans="1:28" ht="18" hidden="1" customHeight="1" thickTop="1" thickBot="1">
      <c r="A1250" s="2675" t="str">
        <f>"Sub Total pekerjaan pengecatan "&amp;B1246&amp;"="</f>
        <v>Sub Total pekerjaan pengecatan Lantai Atap=</v>
      </c>
      <c r="B1250" s="2676"/>
      <c r="C1250" s="2676"/>
      <c r="D1250" s="2676"/>
      <c r="E1250" s="2676"/>
      <c r="F1250" s="2676"/>
      <c r="G1250" s="2676"/>
      <c r="H1250" s="2389"/>
      <c r="I1250" s="2389"/>
      <c r="J1250" s="1541">
        <f>SUM(J1247:J1249)</f>
        <v>0</v>
      </c>
      <c r="K1250" s="1541">
        <f>SUM(K1247:K1249)</f>
        <v>0</v>
      </c>
      <c r="L1250" s="1340">
        <f>SUM(L1247:L1249)</f>
        <v>0</v>
      </c>
      <c r="M1250" s="1300">
        <v>1</v>
      </c>
      <c r="N1250" s="1300">
        <v>114</v>
      </c>
      <c r="AB1250" s="1221"/>
    </row>
    <row r="1251" spans="1:28" ht="18" customHeight="1" thickTop="1">
      <c r="A1251" s="1379" t="s">
        <v>1639</v>
      </c>
      <c r="B1251" s="1344" t="s">
        <v>123</v>
      </c>
      <c r="C1251" s="1343"/>
      <c r="D1251" s="1330"/>
      <c r="E1251" s="1330"/>
      <c r="F1251" s="1346"/>
      <c r="G1251" s="1345"/>
      <c r="H1251" s="1330"/>
      <c r="I1251" s="1330"/>
      <c r="J1251" s="1330"/>
      <c r="K1251" s="1330"/>
      <c r="L1251" s="1331"/>
      <c r="N1251" s="1300">
        <v>115</v>
      </c>
      <c r="AB1251" s="1583"/>
    </row>
    <row r="1252" spans="1:28" ht="18" hidden="1" customHeight="1">
      <c r="A1252" s="1371">
        <v>1</v>
      </c>
      <c r="B1252" s="1373" t="s">
        <v>2366</v>
      </c>
      <c r="C1252" s="1378"/>
      <c r="D1252" s="1373" t="s">
        <v>2726</v>
      </c>
      <c r="E1252" s="1337">
        <v>0</v>
      </c>
      <c r="F1252" s="1336" t="s">
        <v>19</v>
      </c>
      <c r="G1252" s="1337">
        <v>900000</v>
      </c>
      <c r="H1252" s="1387">
        <v>0</v>
      </c>
      <c r="I1252" s="1338">
        <f t="shared" ref="I1252:I1281" si="246">G1252+H1252</f>
        <v>900000</v>
      </c>
      <c r="J1252" s="1338">
        <f t="shared" ref="J1252:J1281" si="247">E1252*G1252</f>
        <v>0</v>
      </c>
      <c r="K1252" s="1338">
        <f t="shared" ref="K1252:K1281" si="248">E1252*H1252</f>
        <v>0</v>
      </c>
      <c r="L1252" s="1530">
        <f t="shared" ref="L1252:L1281" si="249">J1252+K1252</f>
        <v>0</v>
      </c>
      <c r="AB1252" s="1583"/>
    </row>
    <row r="1253" spans="1:28" ht="18" hidden="1" customHeight="1">
      <c r="A1253" s="1371"/>
      <c r="B1253" s="1318" t="s">
        <v>2846</v>
      </c>
      <c r="C1253" s="1381"/>
      <c r="D1253" s="1373" t="s">
        <v>2726</v>
      </c>
      <c r="E1253" s="1337"/>
      <c r="F1253" s="1336" t="s">
        <v>19</v>
      </c>
      <c r="G1253" s="1337">
        <v>850000</v>
      </c>
      <c r="H1253" s="1387">
        <v>0</v>
      </c>
      <c r="I1253" s="1338">
        <f t="shared" si="246"/>
        <v>850000</v>
      </c>
      <c r="J1253" s="1338">
        <f t="shared" si="247"/>
        <v>0</v>
      </c>
      <c r="K1253" s="1338">
        <f t="shared" si="248"/>
        <v>0</v>
      </c>
      <c r="L1253" s="1530">
        <f t="shared" si="249"/>
        <v>0</v>
      </c>
    </row>
    <row r="1254" spans="1:28" ht="18" hidden="1" customHeight="1">
      <c r="A1254" s="1371"/>
      <c r="B1254" s="1373" t="s">
        <v>2366</v>
      </c>
      <c r="C1254" s="1378"/>
      <c r="D1254" s="1373" t="s">
        <v>2880</v>
      </c>
      <c r="E1254" s="1337"/>
      <c r="F1254" s="1336" t="s">
        <v>19</v>
      </c>
      <c r="G1254" s="2057">
        <f>AVERAGE(1700000,2000000)</f>
        <v>1850000</v>
      </c>
      <c r="H1254" s="1387">
        <v>0</v>
      </c>
      <c r="I1254" s="1338">
        <f t="shared" si="246"/>
        <v>1850000</v>
      </c>
      <c r="J1254" s="1338">
        <f t="shared" si="247"/>
        <v>0</v>
      </c>
      <c r="K1254" s="1338">
        <f t="shared" si="248"/>
        <v>0</v>
      </c>
      <c r="L1254" s="1530">
        <f t="shared" si="249"/>
        <v>0</v>
      </c>
      <c r="AB1254" s="1583"/>
    </row>
    <row r="1255" spans="1:28" ht="18" hidden="1" customHeight="1">
      <c r="A1255" s="1371"/>
      <c r="B1255" s="1373" t="s">
        <v>2351</v>
      </c>
      <c r="C1255" s="1378"/>
      <c r="D1255" s="1373" t="s">
        <v>2880</v>
      </c>
      <c r="E1255" s="1337"/>
      <c r="F1255" s="1336" t="s">
        <v>19</v>
      </c>
      <c r="G1255" s="2057">
        <f>AVERAGE(1700000,2000000)</f>
        <v>1850000</v>
      </c>
      <c r="H1255" s="1387">
        <v>0</v>
      </c>
      <c r="I1255" s="1338">
        <f t="shared" si="246"/>
        <v>1850000</v>
      </c>
      <c r="J1255" s="1338">
        <f t="shared" si="247"/>
        <v>0</v>
      </c>
      <c r="K1255" s="1338">
        <f t="shared" si="248"/>
        <v>0</v>
      </c>
      <c r="L1255" s="1530">
        <f t="shared" si="249"/>
        <v>0</v>
      </c>
      <c r="AB1255" s="1583"/>
    </row>
    <row r="1256" spans="1:28" ht="18" hidden="1" customHeight="1">
      <c r="A1256" s="1371"/>
      <c r="B1256" s="1373" t="s">
        <v>2846</v>
      </c>
      <c r="C1256" s="1378"/>
      <c r="D1256" s="1373" t="s">
        <v>2880</v>
      </c>
      <c r="E1256" s="1337"/>
      <c r="F1256" s="1336" t="s">
        <v>19</v>
      </c>
      <c r="G1256" s="2057">
        <f>AVERAGE(1700000,2000000)</f>
        <v>1850000</v>
      </c>
      <c r="H1256" s="1387">
        <v>0</v>
      </c>
      <c r="I1256" s="1338">
        <f t="shared" si="246"/>
        <v>1850000</v>
      </c>
      <c r="J1256" s="1338">
        <f t="shared" si="247"/>
        <v>0</v>
      </c>
      <c r="K1256" s="1338">
        <f t="shared" si="248"/>
        <v>0</v>
      </c>
      <c r="L1256" s="1530">
        <f t="shared" si="249"/>
        <v>0</v>
      </c>
      <c r="AB1256" s="1583"/>
    </row>
    <row r="1257" spans="1:28" ht="18" hidden="1" customHeight="1">
      <c r="A1257" s="1371"/>
      <c r="B1257" s="1318" t="s">
        <v>2366</v>
      </c>
      <c r="C1257" s="1381"/>
      <c r="D1257" s="1373" t="s">
        <v>2845</v>
      </c>
      <c r="E1257" s="1337"/>
      <c r="F1257" s="1336" t="s">
        <v>19</v>
      </c>
      <c r="G1257" s="1337">
        <f>AVERAGE(1500000,4000000)</f>
        <v>2750000</v>
      </c>
      <c r="H1257" s="1387">
        <v>0</v>
      </c>
      <c r="I1257" s="1338">
        <f t="shared" si="246"/>
        <v>2750000</v>
      </c>
      <c r="J1257" s="1338">
        <f t="shared" si="247"/>
        <v>0</v>
      </c>
      <c r="K1257" s="1338">
        <f t="shared" si="248"/>
        <v>0</v>
      </c>
      <c r="L1257" s="1530">
        <f t="shared" si="249"/>
        <v>0</v>
      </c>
      <c r="AB1257" s="1221"/>
    </row>
    <row r="1258" spans="1:28" ht="18" hidden="1" customHeight="1">
      <c r="A1258" s="1371"/>
      <c r="B1258" s="1318" t="s">
        <v>2351</v>
      </c>
      <c r="C1258" s="1381"/>
      <c r="D1258" s="1373" t="s">
        <v>2845</v>
      </c>
      <c r="E1258" s="1337"/>
      <c r="F1258" s="1336" t="s">
        <v>19</v>
      </c>
      <c r="G1258" s="1337">
        <f>AVERAGE(1500000,3500000)</f>
        <v>2500000</v>
      </c>
      <c r="H1258" s="1387">
        <v>0</v>
      </c>
      <c r="I1258" s="1338">
        <f t="shared" si="246"/>
        <v>2500000</v>
      </c>
      <c r="J1258" s="1338">
        <f t="shared" si="247"/>
        <v>0</v>
      </c>
      <c r="K1258" s="1338">
        <f t="shared" si="248"/>
        <v>0</v>
      </c>
      <c r="L1258" s="1530">
        <f t="shared" si="249"/>
        <v>0</v>
      </c>
      <c r="AB1258" s="1221"/>
    </row>
    <row r="1259" spans="1:28" ht="18" hidden="1" customHeight="1">
      <c r="A1259" s="1371"/>
      <c r="B1259" s="1318" t="s">
        <v>2846</v>
      </c>
      <c r="C1259" s="1381"/>
      <c r="D1259" s="1373" t="s">
        <v>2845</v>
      </c>
      <c r="E1259" s="1337"/>
      <c r="F1259" s="1336" t="s">
        <v>19</v>
      </c>
      <c r="G1259" s="1337">
        <f>AVERAGE(1500000,3500000)</f>
        <v>2500000</v>
      </c>
      <c r="H1259" s="1387">
        <v>0</v>
      </c>
      <c r="I1259" s="1338">
        <f t="shared" si="246"/>
        <v>2500000</v>
      </c>
      <c r="J1259" s="1338">
        <f t="shared" si="247"/>
        <v>0</v>
      </c>
      <c r="K1259" s="1338">
        <f t="shared" si="248"/>
        <v>0</v>
      </c>
      <c r="L1259" s="1530">
        <f t="shared" si="249"/>
        <v>0</v>
      </c>
      <c r="AB1259" s="1221"/>
    </row>
    <row r="1260" spans="1:28" ht="18" customHeight="1" thickBot="1">
      <c r="A1260" s="1371">
        <v>1</v>
      </c>
      <c r="B1260" s="1318" t="s">
        <v>2377</v>
      </c>
      <c r="C1260" s="1378"/>
      <c r="D1260" s="1373" t="s">
        <v>2931</v>
      </c>
      <c r="E1260" s="1338">
        <v>18</v>
      </c>
      <c r="F1260" s="1336" t="s">
        <v>19</v>
      </c>
      <c r="G1260" s="1337">
        <v>0</v>
      </c>
      <c r="H1260" s="1387">
        <v>0</v>
      </c>
      <c r="I1260" s="1338">
        <f>G1260+H1260</f>
        <v>0</v>
      </c>
      <c r="J1260" s="1338">
        <f t="shared" si="247"/>
        <v>0</v>
      </c>
      <c r="K1260" s="1338">
        <f t="shared" si="248"/>
        <v>0</v>
      </c>
      <c r="L1260" s="1530">
        <f t="shared" si="249"/>
        <v>0</v>
      </c>
    </row>
    <row r="1261" spans="1:28" ht="18" hidden="1" customHeight="1">
      <c r="A1261" s="1371"/>
      <c r="B1261" s="1318" t="s">
        <v>2714</v>
      </c>
      <c r="C1261" s="1378"/>
      <c r="D1261" s="1373" t="s">
        <v>2715</v>
      </c>
      <c r="E1261" s="1338"/>
      <c r="F1261" s="1336" t="s">
        <v>19</v>
      </c>
      <c r="G1261" s="1337">
        <v>1100000</v>
      </c>
      <c r="H1261" s="1387">
        <v>0</v>
      </c>
      <c r="I1261" s="1338">
        <f t="shared" si="246"/>
        <v>1100000</v>
      </c>
      <c r="J1261" s="1338">
        <f t="shared" si="247"/>
        <v>0</v>
      </c>
      <c r="K1261" s="1338">
        <f t="shared" si="248"/>
        <v>0</v>
      </c>
      <c r="L1261" s="1530">
        <f t="shared" si="249"/>
        <v>0</v>
      </c>
      <c r="AB1261" s="1221"/>
    </row>
    <row r="1262" spans="1:28" ht="18" hidden="1" customHeight="1">
      <c r="A1262" s="1371"/>
      <c r="B1262" s="1318" t="s">
        <v>2645</v>
      </c>
      <c r="C1262" s="1378"/>
      <c r="D1262" s="1373" t="s">
        <v>2882</v>
      </c>
      <c r="E1262" s="1338"/>
      <c r="F1262" s="1336" t="s">
        <v>19</v>
      </c>
      <c r="G1262" s="1337">
        <f>K!$I$259</f>
        <v>629122.50957854406</v>
      </c>
      <c r="H1262" s="1387">
        <v>0</v>
      </c>
      <c r="I1262" s="1338">
        <f t="shared" si="246"/>
        <v>629122.50957854406</v>
      </c>
      <c r="J1262" s="1338">
        <f t="shared" si="247"/>
        <v>0</v>
      </c>
      <c r="K1262" s="1338">
        <f t="shared" si="248"/>
        <v>0</v>
      </c>
      <c r="L1262" s="1530">
        <f t="shared" si="249"/>
        <v>0</v>
      </c>
      <c r="AB1262" s="1221"/>
    </row>
    <row r="1263" spans="1:28" ht="18" hidden="1" customHeight="1">
      <c r="A1263" s="1371"/>
      <c r="B1263" s="1318" t="s">
        <v>2884</v>
      </c>
      <c r="C1263" s="1378"/>
      <c r="D1263" s="1373" t="s">
        <v>2882</v>
      </c>
      <c r="E1263" s="1338"/>
      <c r="F1263" s="1336" t="s">
        <v>19</v>
      </c>
      <c r="G1263" s="1337">
        <f>K!$I$259</f>
        <v>629122.50957854406</v>
      </c>
      <c r="H1263" s="1387">
        <v>0</v>
      </c>
      <c r="I1263" s="1338">
        <f t="shared" si="246"/>
        <v>629122.50957854406</v>
      </c>
      <c r="J1263" s="1338">
        <f t="shared" si="247"/>
        <v>0</v>
      </c>
      <c r="K1263" s="1338">
        <f t="shared" si="248"/>
        <v>0</v>
      </c>
      <c r="L1263" s="1530">
        <f t="shared" si="249"/>
        <v>0</v>
      </c>
      <c r="AB1263" s="1221"/>
    </row>
    <row r="1264" spans="1:28" ht="18" hidden="1" customHeight="1">
      <c r="A1264" s="1371"/>
      <c r="B1264" s="1318" t="s">
        <v>2423</v>
      </c>
      <c r="C1264" s="1378"/>
      <c r="D1264" s="1373" t="s">
        <v>2472</v>
      </c>
      <c r="E1264" s="1338"/>
      <c r="F1264" s="1336" t="s">
        <v>129</v>
      </c>
      <c r="G1264" s="1337">
        <f>(1500000+2000000)/2</f>
        <v>1750000</v>
      </c>
      <c r="H1264" s="1387">
        <v>0</v>
      </c>
      <c r="I1264" s="1338">
        <f t="shared" si="246"/>
        <v>1750000</v>
      </c>
      <c r="J1264" s="1338">
        <f t="shared" si="247"/>
        <v>0</v>
      </c>
      <c r="K1264" s="1338">
        <f t="shared" si="248"/>
        <v>0</v>
      </c>
      <c r="L1264" s="1530">
        <f t="shared" si="249"/>
        <v>0</v>
      </c>
      <c r="AB1264" s="1221"/>
    </row>
    <row r="1265" spans="1:28" ht="18" hidden="1" customHeight="1">
      <c r="A1265" s="1371"/>
      <c r="B1265" s="1318" t="s">
        <v>2379</v>
      </c>
      <c r="C1265" s="1378"/>
      <c r="D1265" s="1373" t="s">
        <v>2586</v>
      </c>
      <c r="E1265" s="1338"/>
      <c r="F1265" s="1336" t="s">
        <v>129</v>
      </c>
      <c r="G1265" s="1337">
        <v>500000</v>
      </c>
      <c r="H1265" s="1387">
        <v>0</v>
      </c>
      <c r="I1265" s="1338">
        <f t="shared" si="246"/>
        <v>500000</v>
      </c>
      <c r="J1265" s="1338">
        <f t="shared" si="247"/>
        <v>0</v>
      </c>
      <c r="K1265" s="1338">
        <f t="shared" si="248"/>
        <v>0</v>
      </c>
      <c r="L1265" s="1530">
        <f t="shared" si="249"/>
        <v>0</v>
      </c>
    </row>
    <row r="1266" spans="1:28" ht="18" hidden="1" customHeight="1">
      <c r="A1266" s="1371"/>
      <c r="B1266" s="1318" t="s">
        <v>2380</v>
      </c>
      <c r="C1266" s="1378"/>
      <c r="D1266" s="1373" t="s">
        <v>2246</v>
      </c>
      <c r="E1266" s="1338"/>
      <c r="F1266" s="1336" t="s">
        <v>129</v>
      </c>
      <c r="G1266" s="1337">
        <f>D!$I$306</f>
        <v>168793.35</v>
      </c>
      <c r="H1266" s="1387">
        <f>D!$I$307</f>
        <v>46034.549999999996</v>
      </c>
      <c r="I1266" s="1338">
        <f t="shared" si="246"/>
        <v>214827.9</v>
      </c>
      <c r="J1266" s="1338">
        <f t="shared" si="247"/>
        <v>0</v>
      </c>
      <c r="K1266" s="1338">
        <f t="shared" si="248"/>
        <v>0</v>
      </c>
      <c r="L1266" s="1530">
        <f t="shared" si="249"/>
        <v>0</v>
      </c>
    </row>
    <row r="1267" spans="1:28" ht="18" hidden="1" customHeight="1">
      <c r="A1267" s="1371"/>
      <c r="B1267" s="1318" t="s">
        <v>2533</v>
      </c>
      <c r="C1267" s="1378"/>
      <c r="D1267" s="1373" t="s">
        <v>2534</v>
      </c>
      <c r="E1267" s="1338"/>
      <c r="F1267" s="1336" t="s">
        <v>129</v>
      </c>
      <c r="G1267" s="1337">
        <f>K!$I$247</f>
        <v>124083.33333333333</v>
      </c>
      <c r="H1267" s="1387">
        <f>K!$I$251</f>
        <v>123288</v>
      </c>
      <c r="I1267" s="1338">
        <f t="shared" si="246"/>
        <v>247371.33333333331</v>
      </c>
      <c r="J1267" s="1338">
        <f t="shared" si="247"/>
        <v>0</v>
      </c>
      <c r="K1267" s="1338">
        <f t="shared" si="248"/>
        <v>0</v>
      </c>
      <c r="L1267" s="1530">
        <f t="shared" si="249"/>
        <v>0</v>
      </c>
      <c r="AB1267" s="1221"/>
    </row>
    <row r="1268" spans="1:28" ht="18" hidden="1" customHeight="1">
      <c r="A1268" s="1371"/>
      <c r="B1268" s="1318" t="s">
        <v>2424</v>
      </c>
      <c r="C1268" s="1378"/>
      <c r="D1268" s="1373"/>
      <c r="E1268" s="1338"/>
      <c r="F1268" s="1336" t="s">
        <v>19</v>
      </c>
      <c r="G1268" s="1337">
        <f>E!$I$49</f>
        <v>262610</v>
      </c>
      <c r="H1268" s="1387">
        <f>E!$I$53</f>
        <v>61200</v>
      </c>
      <c r="I1268" s="1338">
        <f t="shared" si="246"/>
        <v>323810</v>
      </c>
      <c r="J1268" s="1338">
        <f t="shared" si="247"/>
        <v>0</v>
      </c>
      <c r="K1268" s="1338">
        <f t="shared" si="248"/>
        <v>0</v>
      </c>
      <c r="L1268" s="1530">
        <f t="shared" si="249"/>
        <v>0</v>
      </c>
      <c r="AB1268" s="1583"/>
    </row>
    <row r="1269" spans="1:28" ht="18" hidden="1" customHeight="1">
      <c r="A1269" s="1371"/>
      <c r="B1269" s="1318" t="s">
        <v>2425</v>
      </c>
      <c r="C1269" s="1378"/>
      <c r="D1269" s="1373" t="s">
        <v>2426</v>
      </c>
      <c r="E1269" s="1338"/>
      <c r="F1269" s="1336" t="s">
        <v>19</v>
      </c>
      <c r="G1269" s="1337">
        <f>E!$I$232</f>
        <v>600109.99999999988</v>
      </c>
      <c r="H1269" s="1387">
        <f>E!$I$53</f>
        <v>61200</v>
      </c>
      <c r="I1269" s="1338">
        <f t="shared" si="246"/>
        <v>661309.99999999988</v>
      </c>
      <c r="J1269" s="1338">
        <f t="shared" si="247"/>
        <v>0</v>
      </c>
      <c r="K1269" s="1338">
        <f t="shared" si="248"/>
        <v>0</v>
      </c>
      <c r="L1269" s="1530">
        <f t="shared" si="249"/>
        <v>0</v>
      </c>
      <c r="AB1269" s="1221"/>
    </row>
    <row r="1270" spans="1:28" ht="18" hidden="1" customHeight="1">
      <c r="A1270" s="1371"/>
      <c r="B1270" s="1318" t="s">
        <v>2427</v>
      </c>
      <c r="C1270" s="1378"/>
      <c r="D1270" s="1373" t="s">
        <v>2524</v>
      </c>
      <c r="E1270" s="1338"/>
      <c r="F1270" s="1336" t="s">
        <v>19</v>
      </c>
      <c r="G1270" s="1337">
        <f>E!$I$173</f>
        <v>175860</v>
      </c>
      <c r="H1270" s="1387">
        <f>E!$I$177</f>
        <v>151670</v>
      </c>
      <c r="I1270" s="1338">
        <f t="shared" si="246"/>
        <v>327530</v>
      </c>
      <c r="J1270" s="1338">
        <f t="shared" si="247"/>
        <v>0</v>
      </c>
      <c r="K1270" s="1338">
        <f t="shared" si="248"/>
        <v>0</v>
      </c>
      <c r="L1270" s="1530">
        <f t="shared" si="249"/>
        <v>0</v>
      </c>
      <c r="AB1270" s="1221"/>
    </row>
    <row r="1271" spans="1:28" ht="18" hidden="1" customHeight="1">
      <c r="A1271" s="1371">
        <v>3</v>
      </c>
      <c r="B1271" s="1318" t="str">
        <f>"Pasangan dinding "&amp;BAHAN!$C$108</f>
        <v>Pasangan dinding Keramik 25x40</v>
      </c>
      <c r="C1271" s="1378"/>
      <c r="D1271" s="1373" t="str">
        <f>BAHAN!$F$108</f>
        <v>Ex. Gemilang Fiorentina Beige</v>
      </c>
      <c r="E1271" s="1338">
        <v>0</v>
      </c>
      <c r="F1271" s="1336" t="s">
        <v>19</v>
      </c>
      <c r="G1271" s="1337">
        <f>E!$I$100</f>
        <v>67136</v>
      </c>
      <c r="H1271" s="1387">
        <f>E!$I$104</f>
        <v>151670</v>
      </c>
      <c r="I1271" s="1338">
        <f t="shared" si="246"/>
        <v>218806</v>
      </c>
      <c r="J1271" s="1338">
        <f t="shared" si="247"/>
        <v>0</v>
      </c>
      <c r="K1271" s="1338">
        <f t="shared" si="248"/>
        <v>0</v>
      </c>
      <c r="L1271" s="1530">
        <f t="shared" si="249"/>
        <v>0</v>
      </c>
      <c r="AB1271" s="1221"/>
    </row>
    <row r="1272" spans="1:28" ht="18" hidden="1" customHeight="1">
      <c r="A1272" s="1371"/>
      <c r="B1272" s="1318" t="s">
        <v>2464</v>
      </c>
      <c r="C1272" s="1378"/>
      <c r="D1272" s="1373" t="s">
        <v>1831</v>
      </c>
      <c r="E1272" s="1338"/>
      <c r="F1272" s="1336" t="s">
        <v>19</v>
      </c>
      <c r="G1272" s="1337">
        <f>E!$I$143</f>
        <v>436579.8275862069</v>
      </c>
      <c r="H1272" s="1387">
        <f>E!$I$147</f>
        <v>151670</v>
      </c>
      <c r="I1272" s="1338">
        <f t="shared" si="246"/>
        <v>588249.82758620684</v>
      </c>
      <c r="J1272" s="1338">
        <f t="shared" si="247"/>
        <v>0</v>
      </c>
      <c r="K1272" s="1338">
        <f t="shared" si="248"/>
        <v>0</v>
      </c>
      <c r="L1272" s="1530">
        <f t="shared" si="249"/>
        <v>0</v>
      </c>
      <c r="AB1272" s="1221"/>
    </row>
    <row r="1273" spans="1:28" ht="18" hidden="1" customHeight="1">
      <c r="A1273" s="1371"/>
      <c r="B1273" s="1318" t="s">
        <v>2465</v>
      </c>
      <c r="C1273" s="1378"/>
      <c r="D1273" s="1373" t="s">
        <v>1686</v>
      </c>
      <c r="E1273" s="1338"/>
      <c r="F1273" s="1336" t="s">
        <v>19</v>
      </c>
      <c r="G1273" s="1337">
        <f>E!$I$153</f>
        <v>157485</v>
      </c>
      <c r="H1273" s="1387">
        <f>E!$I$157</f>
        <v>151670</v>
      </c>
      <c r="I1273" s="1338">
        <f t="shared" si="246"/>
        <v>309155</v>
      </c>
      <c r="J1273" s="1338">
        <f t="shared" si="247"/>
        <v>0</v>
      </c>
      <c r="K1273" s="1338">
        <f t="shared" si="248"/>
        <v>0</v>
      </c>
      <c r="L1273" s="1530">
        <f t="shared" si="249"/>
        <v>0</v>
      </c>
      <c r="AB1273" s="1221"/>
    </row>
    <row r="1274" spans="1:28" ht="18" hidden="1" customHeight="1">
      <c r="A1274" s="1371"/>
      <c r="B1274" s="1318" t="s">
        <v>2465</v>
      </c>
      <c r="C1274" s="1378"/>
      <c r="D1274" s="1373" t="s">
        <v>2919</v>
      </c>
      <c r="E1274" s="1338"/>
      <c r="F1274" s="1336" t="s">
        <v>19</v>
      </c>
      <c r="G1274" s="1337">
        <f>E!$I$305</f>
        <v>100417.5</v>
      </c>
      <c r="H1274" s="1387">
        <f>E!$I$157</f>
        <v>151670</v>
      </c>
      <c r="I1274" s="1338">
        <f t="shared" si="246"/>
        <v>252087.5</v>
      </c>
      <c r="J1274" s="1338">
        <f t="shared" si="247"/>
        <v>0</v>
      </c>
      <c r="K1274" s="1338">
        <f t="shared" si="248"/>
        <v>0</v>
      </c>
      <c r="L1274" s="1530">
        <f t="shared" si="249"/>
        <v>0</v>
      </c>
      <c r="AB1274" s="1221"/>
    </row>
    <row r="1275" spans="1:28" ht="18" hidden="1" customHeight="1">
      <c r="A1275" s="1371"/>
      <c r="B1275" s="1318" t="s">
        <v>2465</v>
      </c>
      <c r="C1275" s="1378"/>
      <c r="D1275" s="1373" t="s">
        <v>1825</v>
      </c>
      <c r="E1275" s="1338"/>
      <c r="F1275" s="1336" t="s">
        <v>19</v>
      </c>
      <c r="G1275" s="1337">
        <f>E!$I$163</f>
        <v>131235</v>
      </c>
      <c r="H1275" s="1387">
        <f>E!$I$157</f>
        <v>151670</v>
      </c>
      <c r="I1275" s="1338">
        <f t="shared" si="246"/>
        <v>282905</v>
      </c>
      <c r="J1275" s="1338">
        <f t="shared" si="247"/>
        <v>0</v>
      </c>
      <c r="K1275" s="1338">
        <f t="shared" si="248"/>
        <v>0</v>
      </c>
      <c r="L1275" s="1530">
        <f t="shared" si="249"/>
        <v>0</v>
      </c>
      <c r="AB1275" s="1221"/>
    </row>
    <row r="1276" spans="1:28" ht="18" hidden="1" customHeight="1">
      <c r="A1276" s="1371"/>
      <c r="B1276" s="1318" t="str">
        <f>"Pasangan "&amp;BAHAN!$C$110</f>
        <v>Pasangan Keramik 30x60</v>
      </c>
      <c r="C1276" s="1378"/>
      <c r="D1276" s="1373" t="str">
        <f>BAHAN!$F$110</f>
        <v>Ex. Habitat Brescia Gris</v>
      </c>
      <c r="E1276" s="1338"/>
      <c r="F1276" s="1336" t="s">
        <v>19</v>
      </c>
      <c r="G1276" s="1337">
        <f>E!$I$122</f>
        <v>138636</v>
      </c>
      <c r="H1276" s="1387">
        <f>E!$I$126</f>
        <v>151670</v>
      </c>
      <c r="I1276" s="1338">
        <f t="shared" si="246"/>
        <v>290306</v>
      </c>
      <c r="J1276" s="1338">
        <f t="shared" si="247"/>
        <v>0</v>
      </c>
      <c r="K1276" s="1338">
        <f t="shared" si="248"/>
        <v>0</v>
      </c>
      <c r="L1276" s="1530">
        <f t="shared" si="249"/>
        <v>0</v>
      </c>
      <c r="AB1276" s="1221"/>
    </row>
    <row r="1277" spans="1:28" ht="18" hidden="1" customHeight="1">
      <c r="A1277" s="1371">
        <v>4</v>
      </c>
      <c r="B1277" s="1318" t="str">
        <f>"Pasangan "&amp;BAHAN!$C$132</f>
        <v>Pasangan Keramik 15x80 Motif Kayu</v>
      </c>
      <c r="C1277" s="1378"/>
      <c r="D1277" s="1373" t="str">
        <f>BAHAN!$F$132</f>
        <v>Ex. Torch 158016</v>
      </c>
      <c r="E1277" s="1338">
        <v>0</v>
      </c>
      <c r="F1277" s="1336" t="s">
        <v>19</v>
      </c>
      <c r="G1277" s="1337">
        <f>E!$I$316</f>
        <v>166636</v>
      </c>
      <c r="H1277" s="1387">
        <f>E!$I$126</f>
        <v>151670</v>
      </c>
      <c r="I1277" s="1338">
        <f t="shared" si="246"/>
        <v>318306</v>
      </c>
      <c r="J1277" s="1338">
        <f t="shared" si="247"/>
        <v>0</v>
      </c>
      <c r="K1277" s="1338">
        <f t="shared" si="248"/>
        <v>0</v>
      </c>
      <c r="L1277" s="1530">
        <f t="shared" si="249"/>
        <v>0</v>
      </c>
      <c r="AB1277" s="1221"/>
    </row>
    <row r="1278" spans="1:28" ht="18" hidden="1" customHeight="1">
      <c r="A1278" s="1371"/>
      <c r="B1278" s="1318" t="str">
        <f>"Pasangan "&amp;BAHAN!$C$118</f>
        <v>Pasangan Keramik 30x60 Motif Marmer Hitam</v>
      </c>
      <c r="C1278" s="1378"/>
      <c r="D1278" s="1373" t="str">
        <f>BAHAN!$F$118</f>
        <v>Ex. Roman dPortoro Black W63456R</v>
      </c>
      <c r="E1278" s="1338"/>
      <c r="F1278" s="1336" t="s">
        <v>19</v>
      </c>
      <c r="G1278" s="1337">
        <f>E!$I$327</f>
        <v>191080.44444444444</v>
      </c>
      <c r="H1278" s="1387">
        <f>E!$I$126</f>
        <v>151670</v>
      </c>
      <c r="I1278" s="1338">
        <f t="shared" si="246"/>
        <v>342750.44444444444</v>
      </c>
      <c r="J1278" s="1338">
        <f t="shared" si="247"/>
        <v>0</v>
      </c>
      <c r="K1278" s="1338">
        <f t="shared" si="248"/>
        <v>0</v>
      </c>
      <c r="L1278" s="1530">
        <f t="shared" si="249"/>
        <v>0</v>
      </c>
      <c r="AB1278" s="1221"/>
    </row>
    <row r="1279" spans="1:28" ht="18" hidden="1" customHeight="1">
      <c r="A1279" s="1371"/>
      <c r="B1279" s="1318" t="s">
        <v>2595</v>
      </c>
      <c r="C1279" s="1378"/>
      <c r="D1279" s="1373"/>
      <c r="E1279" s="1338"/>
      <c r="F1279" s="1336" t="s">
        <v>19</v>
      </c>
      <c r="G1279" s="1337">
        <f>L!$I$95</f>
        <v>385000</v>
      </c>
      <c r="H1279" s="1387">
        <f>L!$I$107</f>
        <v>28434</v>
      </c>
      <c r="I1279" s="1338">
        <f t="shared" si="246"/>
        <v>413434</v>
      </c>
      <c r="J1279" s="1338">
        <f t="shared" si="247"/>
        <v>0</v>
      </c>
      <c r="K1279" s="1338">
        <f t="shared" si="248"/>
        <v>0</v>
      </c>
      <c r="L1279" s="1530">
        <f t="shared" si="249"/>
        <v>0</v>
      </c>
      <c r="AB1279" s="1583"/>
    </row>
    <row r="1280" spans="1:28" ht="18" hidden="1" customHeight="1">
      <c r="A1280" s="1371"/>
      <c r="B1280" s="1318" t="s">
        <v>2367</v>
      </c>
      <c r="C1280" s="1378"/>
      <c r="D1280" s="1373"/>
      <c r="E1280" s="1338">
        <f>'KUSEN PINTU'!$J$91</f>
        <v>0</v>
      </c>
      <c r="F1280" s="1336" t="s">
        <v>129</v>
      </c>
      <c r="G1280" s="1337">
        <f>(40500/4)*1.1</f>
        <v>11137.5</v>
      </c>
      <c r="H1280" s="1387">
        <f>H!$I$51</f>
        <v>16090</v>
      </c>
      <c r="I1280" s="1338">
        <f t="shared" si="246"/>
        <v>27227.5</v>
      </c>
      <c r="J1280" s="1338">
        <f t="shared" si="247"/>
        <v>0</v>
      </c>
      <c r="K1280" s="1338">
        <f t="shared" si="248"/>
        <v>0</v>
      </c>
      <c r="L1280" s="1530">
        <f t="shared" si="249"/>
        <v>0</v>
      </c>
    </row>
    <row r="1281" spans="1:28" ht="18" hidden="1" customHeight="1">
      <c r="A1281" s="1371"/>
      <c r="B1281" s="1361" t="s">
        <v>2378</v>
      </c>
      <c r="C1281" s="1360"/>
      <c r="D1281" s="1361"/>
      <c r="E1281" s="1337"/>
      <c r="F1281" s="1336" t="s">
        <v>129</v>
      </c>
      <c r="G1281" s="1358">
        <v>80000</v>
      </c>
      <c r="H1281" s="1358">
        <v>0</v>
      </c>
      <c r="I1281" s="1338">
        <f t="shared" si="246"/>
        <v>80000</v>
      </c>
      <c r="J1281" s="1338">
        <f t="shared" si="247"/>
        <v>0</v>
      </c>
      <c r="K1281" s="1338">
        <f t="shared" si="248"/>
        <v>0</v>
      </c>
      <c r="L1281" s="1530">
        <f t="shared" si="249"/>
        <v>0</v>
      </c>
    </row>
    <row r="1282" spans="1:28" ht="18" hidden="1" customHeight="1">
      <c r="A1282" s="1371">
        <v>5</v>
      </c>
      <c r="B1282" s="1361" t="s">
        <v>1635</v>
      </c>
      <c r="C1282" s="1360"/>
      <c r="D1282" s="1361"/>
      <c r="E1282" s="1337">
        <v>0</v>
      </c>
      <c r="F1282" s="1336" t="s">
        <v>19</v>
      </c>
      <c r="G1282" s="1358">
        <v>18750</v>
      </c>
      <c r="H1282" s="1358">
        <v>18750</v>
      </c>
      <c r="I1282" s="1338">
        <f t="shared" ref="I1282:I1288" si="250">G1282+H1282</f>
        <v>37500</v>
      </c>
      <c r="J1282" s="1338">
        <f t="shared" ref="J1282:J1288" si="251">E1282*G1282</f>
        <v>0</v>
      </c>
      <c r="K1282" s="1338">
        <f t="shared" ref="K1282:K1288" si="252">E1282*H1282</f>
        <v>0</v>
      </c>
      <c r="L1282" s="1530">
        <f t="shared" ref="L1282:L1288" si="253">J1282+K1282</f>
        <v>0</v>
      </c>
    </row>
    <row r="1283" spans="1:28" ht="18" hidden="1" customHeight="1">
      <c r="A1283" s="1371"/>
      <c r="B1283" s="1361" t="s">
        <v>1636</v>
      </c>
      <c r="C1283" s="1360"/>
      <c r="D1283" s="1361" t="s">
        <v>1637</v>
      </c>
      <c r="E1283" s="1358"/>
      <c r="F1283" s="1362" t="s">
        <v>80</v>
      </c>
      <c r="G1283" s="1872">
        <v>375000</v>
      </c>
      <c r="H1283" s="1872">
        <v>0</v>
      </c>
      <c r="I1283" s="1338">
        <f t="shared" si="250"/>
        <v>375000</v>
      </c>
      <c r="J1283" s="1338">
        <f t="shared" si="251"/>
        <v>0</v>
      </c>
      <c r="K1283" s="1338">
        <f t="shared" si="252"/>
        <v>0</v>
      </c>
      <c r="L1283" s="1530">
        <f t="shared" si="253"/>
        <v>0</v>
      </c>
    </row>
    <row r="1284" spans="1:28" ht="18" hidden="1" customHeight="1">
      <c r="A1284" s="1371"/>
      <c r="B1284" s="1318" t="s">
        <v>2565</v>
      </c>
      <c r="C1284" s="1378"/>
      <c r="D1284" s="1373" t="s">
        <v>2566</v>
      </c>
      <c r="E1284" s="1338"/>
      <c r="F1284" s="1336" t="s">
        <v>19</v>
      </c>
      <c r="G1284" s="1337">
        <f>K!$I$42</f>
        <v>31830</v>
      </c>
      <c r="H1284" s="1387">
        <f>K!$I$46</f>
        <v>32200</v>
      </c>
      <c r="I1284" s="1338">
        <f t="shared" si="250"/>
        <v>64030</v>
      </c>
      <c r="J1284" s="1338">
        <f t="shared" si="251"/>
        <v>0</v>
      </c>
      <c r="K1284" s="1338">
        <f t="shared" si="252"/>
        <v>0</v>
      </c>
      <c r="L1284" s="1530">
        <f t="shared" si="253"/>
        <v>0</v>
      </c>
      <c r="AB1284" s="1221"/>
    </row>
    <row r="1285" spans="1:28" ht="18" hidden="1" customHeight="1">
      <c r="A1285" s="1371"/>
      <c r="B1285" s="1318" t="s">
        <v>2881</v>
      </c>
      <c r="C1285" s="1378"/>
      <c r="D1285" s="1373" t="s">
        <v>2570</v>
      </c>
      <c r="E1285" s="1338"/>
      <c r="F1285" s="1336" t="s">
        <v>19</v>
      </c>
      <c r="G1285" s="1337">
        <f>K!$I$267</f>
        <v>114240</v>
      </c>
      <c r="H1285" s="1387">
        <f>K!$I$268</f>
        <v>350000</v>
      </c>
      <c r="I1285" s="1338">
        <f t="shared" si="250"/>
        <v>464240</v>
      </c>
      <c r="J1285" s="1338">
        <f t="shared" si="251"/>
        <v>0</v>
      </c>
      <c r="K1285" s="1338">
        <f t="shared" si="252"/>
        <v>0</v>
      </c>
      <c r="L1285" s="1530">
        <f t="shared" si="253"/>
        <v>0</v>
      </c>
      <c r="AB1285" s="1221"/>
    </row>
    <row r="1286" spans="1:28" ht="18" hidden="1" customHeight="1">
      <c r="A1286" s="1371"/>
      <c r="B1286" s="1318" t="s">
        <v>2718</v>
      </c>
      <c r="C1286" s="1378"/>
      <c r="D1286" s="1373" t="s">
        <v>2719</v>
      </c>
      <c r="E1286" s="1338"/>
      <c r="F1286" s="1336" t="s">
        <v>19</v>
      </c>
      <c r="G1286" s="1337">
        <f>BAHAN!$E$188</f>
        <v>305700</v>
      </c>
      <c r="H1286" s="1387">
        <v>0</v>
      </c>
      <c r="I1286" s="1338">
        <f>G1286+H1286</f>
        <v>305700</v>
      </c>
      <c r="J1286" s="1338">
        <f>E1286*G1286</f>
        <v>0</v>
      </c>
      <c r="K1286" s="1338">
        <f>E1286*H1286</f>
        <v>0</v>
      </c>
      <c r="L1286" s="1530">
        <f>J1286+K1286</f>
        <v>0</v>
      </c>
      <c r="AB1286" s="1221"/>
    </row>
    <row r="1287" spans="1:28" ht="18" hidden="1" customHeight="1">
      <c r="A1287" s="1371">
        <v>6</v>
      </c>
      <c r="B1287" s="1545" t="s">
        <v>125</v>
      </c>
      <c r="C1287" s="1546"/>
      <c r="D1287" s="1545" t="s">
        <v>126</v>
      </c>
      <c r="E1287" s="1547">
        <v>0</v>
      </c>
      <c r="F1287" s="1548" t="s">
        <v>124</v>
      </c>
      <c r="G1287" s="1547">
        <v>3000000</v>
      </c>
      <c r="H1287" s="1547">
        <v>0</v>
      </c>
      <c r="I1287" s="1547">
        <f t="shared" si="250"/>
        <v>3000000</v>
      </c>
      <c r="J1287" s="1547">
        <f t="shared" si="251"/>
        <v>0</v>
      </c>
      <c r="K1287" s="1547">
        <f t="shared" si="252"/>
        <v>0</v>
      </c>
      <c r="L1287" s="1549">
        <f t="shared" si="253"/>
        <v>0</v>
      </c>
    </row>
    <row r="1288" spans="1:28" ht="18" hidden="1" customHeight="1" thickBot="1">
      <c r="A1288" s="1364"/>
      <c r="B1288" s="1355" t="s">
        <v>2822</v>
      </c>
      <c r="C1288" s="1355"/>
      <c r="D1288" s="1353" t="s">
        <v>2821</v>
      </c>
      <c r="E1288" s="1335"/>
      <c r="F1288" s="1356" t="s">
        <v>19</v>
      </c>
      <c r="G1288" s="1872">
        <f>D!$I$17</f>
        <v>55169.836884185781</v>
      </c>
      <c r="H1288" s="1872">
        <f>D!$I$20</f>
        <v>27400</v>
      </c>
      <c r="I1288" s="1338">
        <f t="shared" si="250"/>
        <v>82569.836884185788</v>
      </c>
      <c r="J1288" s="1338">
        <f t="shared" si="251"/>
        <v>0</v>
      </c>
      <c r="K1288" s="1338">
        <f t="shared" si="252"/>
        <v>0</v>
      </c>
      <c r="L1288" s="1530">
        <f t="shared" si="253"/>
        <v>0</v>
      </c>
      <c r="AB1288" s="1221"/>
    </row>
    <row r="1289" spans="1:28" ht="18" customHeight="1" thickTop="1" thickBot="1">
      <c r="A1289" s="2675" t="s">
        <v>127</v>
      </c>
      <c r="B1289" s="2676"/>
      <c r="C1289" s="2676"/>
      <c r="D1289" s="2676"/>
      <c r="E1289" s="2676"/>
      <c r="F1289" s="2676"/>
      <c r="G1289" s="2676"/>
      <c r="H1289" s="1550"/>
      <c r="I1289" s="1544"/>
      <c r="J1289" s="2221">
        <f>SUM(J1252:J1288)</f>
        <v>0</v>
      </c>
      <c r="K1289" s="2221">
        <f>SUM(K1252:K1288)</f>
        <v>0</v>
      </c>
      <c r="L1289" s="2222">
        <f>SUM(L1252:L1288)</f>
        <v>0</v>
      </c>
      <c r="M1289" s="1300">
        <v>1</v>
      </c>
      <c r="N1289" s="1300">
        <v>116</v>
      </c>
    </row>
    <row r="1290" spans="1:28" ht="18" customHeight="1" thickTop="1" thickBot="1">
      <c r="A1290" s="2675" t="s">
        <v>164</v>
      </c>
      <c r="B1290" s="2676"/>
      <c r="C1290" s="2676"/>
      <c r="D1290" s="2676"/>
      <c r="E1290" s="2676"/>
      <c r="F1290" s="2676"/>
      <c r="G1290" s="2676"/>
      <c r="H1290" s="1550"/>
      <c r="I1290" s="1544"/>
      <c r="J1290" s="1542">
        <v>0</v>
      </c>
      <c r="K1290" s="1542">
        <v>0</v>
      </c>
      <c r="L1290" s="2069">
        <f>SUMIF($M$1:$M$1289,1,L1:L1289)</f>
        <v>0</v>
      </c>
    </row>
    <row r="1291" spans="1:28" ht="18" customHeight="1" thickTop="1">
      <c r="A1291" s="1558"/>
      <c r="B1291" s="1559"/>
      <c r="C1291" s="1559"/>
      <c r="D1291" s="1559"/>
      <c r="E1291" s="1559"/>
      <c r="F1291" s="1558"/>
      <c r="G1291" s="1559"/>
      <c r="H1291" s="1559"/>
      <c r="I1291" s="1559"/>
      <c r="J1291" s="1559"/>
      <c r="K1291" s="1560">
        <f>K1290/'REKAP '!M11</f>
        <v>0</v>
      </c>
      <c r="L1291" s="1804"/>
    </row>
    <row r="1292" spans="1:28" ht="18" customHeight="1">
      <c r="C1292" s="1391"/>
      <c r="J1292" s="1391"/>
    </row>
    <row r="1293" spans="1:28" ht="18" customHeight="1">
      <c r="G1293" s="1300" t="s">
        <v>1589</v>
      </c>
      <c r="I1293" s="1554">
        <f>J1290</f>
        <v>0</v>
      </c>
    </row>
    <row r="1294" spans="1:28" ht="18" customHeight="1">
      <c r="A1294" s="1300"/>
      <c r="G1294" s="1300" t="s">
        <v>2202</v>
      </c>
      <c r="I1294" s="1554">
        <f>K1290</f>
        <v>0</v>
      </c>
    </row>
    <row r="1295" spans="1:28" ht="18" customHeight="1">
      <c r="A1295" s="1300"/>
      <c r="G1295" s="1300" t="s">
        <v>1854</v>
      </c>
      <c r="I1295" s="1554">
        <f>SUM(I1293:I1294)</f>
        <v>0</v>
      </c>
    </row>
    <row r="1296" spans="1:28" ht="18" customHeight="1">
      <c r="A1296" s="1300"/>
    </row>
    <row r="1297" spans="1:9" ht="18" customHeight="1">
      <c r="A1297" s="1300"/>
    </row>
    <row r="1298" spans="1:9" ht="18" customHeight="1">
      <c r="A1298" s="1300"/>
      <c r="B1298" s="1300" t="e">
        <f>AVERAGE(BOQ!P433)</f>
        <v>#DIV/0!</v>
      </c>
    </row>
    <row r="1299" spans="1:9" ht="18" customHeight="1">
      <c r="A1299" s="1300"/>
    </row>
    <row r="1300" spans="1:9" ht="18" customHeight="1">
      <c r="A1300" s="1300"/>
    </row>
    <row r="1301" spans="1:9" ht="18" customHeight="1">
      <c r="A1301" s="1300"/>
    </row>
    <row r="1302" spans="1:9" ht="18" customHeight="1">
      <c r="A1302" s="1300"/>
      <c r="I1302" s="1300">
        <f>50000/4</f>
        <v>12500</v>
      </c>
    </row>
    <row r="1303" spans="1:9" ht="18" customHeight="1">
      <c r="A1303" s="1300"/>
    </row>
    <row r="1304" spans="1:9" ht="18" customHeight="1">
      <c r="A1304" s="1300"/>
    </row>
    <row r="1305" spans="1:9" ht="18" customHeight="1">
      <c r="A1305" s="1300"/>
    </row>
    <row r="1306" spans="1:9" ht="18" customHeight="1">
      <c r="A1306" s="1300"/>
    </row>
    <row r="1307" spans="1:9" ht="18" customHeight="1">
      <c r="A1307" s="1300"/>
      <c r="F1307" s="1300"/>
    </row>
    <row r="1308" spans="1:9" ht="18" customHeight="1">
      <c r="A1308" s="1300"/>
      <c r="F1308" s="1300"/>
    </row>
    <row r="1309" spans="1:9" ht="18" customHeight="1">
      <c r="A1309" s="1300"/>
      <c r="F1309" s="1300"/>
    </row>
    <row r="1310" spans="1:9" ht="18" customHeight="1">
      <c r="A1310" s="1300"/>
      <c r="F1310" s="1300"/>
    </row>
    <row r="1311" spans="1:9" ht="18" customHeight="1">
      <c r="A1311" s="1300"/>
      <c r="F1311" s="1300"/>
    </row>
    <row r="1312" spans="1:9" ht="18" customHeight="1">
      <c r="A1312" s="1300"/>
      <c r="F1312" s="1300"/>
    </row>
    <row r="1313" spans="1:6" ht="18" customHeight="1">
      <c r="A1313" s="1300"/>
      <c r="F1313" s="1300"/>
    </row>
    <row r="1314" spans="1:6" ht="18" customHeight="1">
      <c r="A1314" s="1300"/>
      <c r="F1314" s="1300"/>
    </row>
    <row r="1315" spans="1:6" ht="18" customHeight="1">
      <c r="A1315" s="1300"/>
      <c r="F1315" s="1300"/>
    </row>
    <row r="1316" spans="1:6" ht="18" customHeight="1">
      <c r="A1316" s="1300"/>
      <c r="F1316" s="1300"/>
    </row>
    <row r="1317" spans="1:6" ht="18" customHeight="1">
      <c r="A1317" s="1300"/>
      <c r="F1317" s="1300"/>
    </row>
  </sheetData>
  <mergeCells count="65">
    <mergeCell ref="A795:G795"/>
    <mergeCell ref="A974:G974"/>
    <mergeCell ref="A944:G944"/>
    <mergeCell ref="A1231:G1231"/>
    <mergeCell ref="A898:G898"/>
    <mergeCell ref="A984:G984"/>
    <mergeCell ref="A1115:G1115"/>
    <mergeCell ref="A1158:G1158"/>
    <mergeCell ref="A1201:G1201"/>
    <mergeCell ref="P44:R44"/>
    <mergeCell ref="A1290:G1290"/>
    <mergeCell ref="A1289:G1289"/>
    <mergeCell ref="A931:G931"/>
    <mergeCell ref="A939:G939"/>
    <mergeCell ref="A970:G970"/>
    <mergeCell ref="A966:G966"/>
    <mergeCell ref="A1072:G1072"/>
    <mergeCell ref="A1028:G1028"/>
    <mergeCell ref="A1245:G1245"/>
    <mergeCell ref="A1209:G1209"/>
    <mergeCell ref="A1224:G1224"/>
    <mergeCell ref="A1217:G1217"/>
    <mergeCell ref="A961:G961"/>
    <mergeCell ref="A981:G981"/>
    <mergeCell ref="A958:G958"/>
    <mergeCell ref="A41:G41"/>
    <mergeCell ref="A119:G119"/>
    <mergeCell ref="A204:G204"/>
    <mergeCell ref="A635:G635"/>
    <mergeCell ref="A267:G267"/>
    <mergeCell ref="A527:G527"/>
    <mergeCell ref="A558:G558"/>
    <mergeCell ref="A589:G589"/>
    <mergeCell ref="A383:G383"/>
    <mergeCell ref="A439:G439"/>
    <mergeCell ref="A445:G445"/>
    <mergeCell ref="A451:G451"/>
    <mergeCell ref="A495:G495"/>
    <mergeCell ref="A463:G463"/>
    <mergeCell ref="A457:G457"/>
    <mergeCell ref="A620:G620"/>
    <mergeCell ref="A2:L2"/>
    <mergeCell ref="A3:L3"/>
    <mergeCell ref="A30:G30"/>
    <mergeCell ref="A14:A15"/>
    <mergeCell ref="B14:C15"/>
    <mergeCell ref="D14:D15"/>
    <mergeCell ref="E14:E15"/>
    <mergeCell ref="F14:F15"/>
    <mergeCell ref="A1250:G1250"/>
    <mergeCell ref="A914:G914"/>
    <mergeCell ref="A873:G873"/>
    <mergeCell ref="A334:G334"/>
    <mergeCell ref="A679:G679"/>
    <mergeCell ref="A882:G882"/>
    <mergeCell ref="A890:G890"/>
    <mergeCell ref="A717:G717"/>
    <mergeCell ref="A756:G756"/>
    <mergeCell ref="A834:G834"/>
    <mergeCell ref="A432:G432"/>
    <mergeCell ref="A469:G469"/>
    <mergeCell ref="A1238:G1238"/>
    <mergeCell ref="A906:G906"/>
    <mergeCell ref="A949:G949"/>
    <mergeCell ref="A977:G977"/>
  </mergeCells>
  <phoneticPr fontId="66" type="noConversion"/>
  <hyperlinks>
    <hyperlink ref="G17" location="'AHS-PEK.PERSIAPAN'!I14" display="'AHS-PEK.PERSIAPAN'!I14" xr:uid="{00000000-0004-0000-0400-000000000000}"/>
    <hyperlink ref="G18" location="'AHS-PEK.PERSIAPAN'!I24" display="'AHS-PEK.PERSIAPAN'!I24" xr:uid="{00000000-0004-0000-0400-000001000000}"/>
    <hyperlink ref="G23" location="'AHS-PEK.PERSIAPAN'!I74" display="'AHS-PEK.PERSIAPAN'!I74" xr:uid="{00000000-0004-0000-0400-000002000000}"/>
    <hyperlink ref="H17" location="'AHS-PEK.PERSIAPAN'!I18" display="'AHS-PEK.PERSIAPAN'!I18" xr:uid="{00000000-0004-0000-0400-000003000000}"/>
    <hyperlink ref="H23" location="'AHS-PEK.PERSIAPAN'!I78" display="'AHS-PEK.PERSIAPAN'!I78" xr:uid="{00000000-0004-0000-0400-000004000000}"/>
    <hyperlink ref="H22" location="'AHS-PEK.PERSIAPAN'!I64" display="'AHS-PEK.PERSIAPAN'!I64" xr:uid="{00000000-0004-0000-0400-000005000000}"/>
    <hyperlink ref="G22" location="'AHS-PEK.PERSIAPAN'!I60" display="'AHS-PEK.PERSIAPAN'!I60" xr:uid="{00000000-0004-0000-0400-000006000000}"/>
    <hyperlink ref="H21" location="'AHS-PEK.PERSIAPAN'!I50" display="'AHS-PEK.PERSIAPAN'!I50" xr:uid="{00000000-0004-0000-0400-000007000000}"/>
    <hyperlink ref="G21" location="'AHS-PEK.PERSIAPAN'!I45" display="'AHS-PEK.PERSIAPAN'!I45" xr:uid="{00000000-0004-0000-0400-000008000000}"/>
    <hyperlink ref="G38" location="B!I40" display="B!I40" xr:uid="{00000000-0004-0000-0400-000009000000}"/>
    <hyperlink ref="G39" location="B!I46" display="B!I46" xr:uid="{00000000-0004-0000-0400-00000A000000}"/>
    <hyperlink ref="G40" location="B!I52" display="B!I52" xr:uid="{00000000-0004-0000-0400-00000B000000}"/>
    <hyperlink ref="H32" location="B!I13" display="B!I13" xr:uid="{00000000-0004-0000-0400-00000C000000}"/>
    <hyperlink ref="H33" location="B!I17" display="B!I17" xr:uid="{00000000-0004-0000-0400-00000D000000}"/>
    <hyperlink ref="H34" location="B!I21" display="B!I21" xr:uid="{00000000-0004-0000-0400-00000E000000}"/>
    <hyperlink ref="H35" location="B!I26" display="B!I26" xr:uid="{00000000-0004-0000-0400-00000F000000}"/>
    <hyperlink ref="H36" location="B!I31" display="B!I31" xr:uid="{00000000-0004-0000-0400-000010000000}"/>
    <hyperlink ref="H37" location="B!I36" display="B!I36" xr:uid="{00000000-0004-0000-0400-000011000000}"/>
    <hyperlink ref="H38" location="B!I42" display="B!I42" xr:uid="{00000000-0004-0000-0400-000012000000}"/>
    <hyperlink ref="H39" location="B!I48" display="B!I48" xr:uid="{00000000-0004-0000-0400-000013000000}"/>
    <hyperlink ref="H40" location="B!I54" display="B!I54" xr:uid="{00000000-0004-0000-0400-000014000000}"/>
    <hyperlink ref="G622" location="L!I7" display="L!I7" xr:uid="{00000000-0004-0000-0400-000015000000}"/>
    <hyperlink ref="G1203" location="P!J48" display="P!J48" xr:uid="{00000000-0004-0000-0400-00001E000000}"/>
    <hyperlink ref="G1205" location="P!J38" display="P!J38" xr:uid="{00000000-0004-0000-0400-00001F000000}"/>
    <hyperlink ref="G1206" location="P!J283" display="P!J283" xr:uid="{00000000-0004-0000-0400-000020000000}"/>
    <hyperlink ref="G1207" location="P!J237" display="P!J237" xr:uid="{00000000-0004-0000-0400-000021000000}"/>
    <hyperlink ref="G1208" location="P!J57" display="P!J57" xr:uid="{00000000-0004-0000-0400-000022000000}"/>
    <hyperlink ref="G1212" location="N!I7" display="N!I7" xr:uid="{00000000-0004-0000-0400-000023000000}"/>
    <hyperlink ref="G1213" location="N!I55" display="N!I55" xr:uid="{00000000-0004-0000-0400-000024000000}"/>
    <hyperlink ref="G1214" location="N!I74" display="N!I74" xr:uid="{00000000-0004-0000-0400-000025000000}"/>
    <hyperlink ref="G1215" location="N!I95" display="N!I95" xr:uid="{00000000-0004-0000-0400-000026000000}"/>
    <hyperlink ref="G1216" location="N!I95" display="N!I95" xr:uid="{00000000-0004-0000-0400-000027000000}"/>
    <hyperlink ref="G1219" location="N!I7" display="N!I7" xr:uid="{00000000-0004-0000-0400-000028000000}"/>
    <hyperlink ref="G1220" location="N!I55" display="N!I55" xr:uid="{00000000-0004-0000-0400-000029000000}"/>
    <hyperlink ref="G1221" location="N!I74" display="N!I74" xr:uid="{00000000-0004-0000-0400-00002A000000}"/>
    <hyperlink ref="G1222" location="N!I95" display="N!I95" xr:uid="{00000000-0004-0000-0400-00002B000000}"/>
    <hyperlink ref="G1223" location="N!I95" display="N!I95" xr:uid="{00000000-0004-0000-0400-00002C000000}"/>
    <hyperlink ref="G1240" location="N!I7" display="N!I7" xr:uid="{00000000-0004-0000-0400-00002D000000}"/>
    <hyperlink ref="G1241" location="N!I55" display="N!I55" xr:uid="{00000000-0004-0000-0400-00002E000000}"/>
    <hyperlink ref="G1242" location="N!I74" display="N!I74" xr:uid="{00000000-0004-0000-0400-00002F000000}"/>
    <hyperlink ref="G1226" location="N!I7" display="N!I7" xr:uid="{00000000-0004-0000-0400-000031000000}"/>
    <hyperlink ref="G1227" location="N!I55" display="N!I55" xr:uid="{00000000-0004-0000-0400-000032000000}"/>
    <hyperlink ref="G1228" location="N!I74" display="N!I74" xr:uid="{00000000-0004-0000-0400-000033000000}"/>
    <hyperlink ref="G1229" location="N!I95" display="N!I95" xr:uid="{00000000-0004-0000-0400-000034000000}"/>
    <hyperlink ref="G1230" location="N!I95" display="N!I95" xr:uid="{00000000-0004-0000-0400-000035000000}"/>
    <hyperlink ref="G1233" location="N!I7" display="N!I7" xr:uid="{00000000-0004-0000-0400-000037000000}"/>
    <hyperlink ref="G1234" location="N!I55" display="N!I55" xr:uid="{00000000-0004-0000-0400-000038000000}"/>
    <hyperlink ref="G1235" location="N!I74" display="N!I74" xr:uid="{00000000-0004-0000-0400-000039000000}"/>
    <hyperlink ref="G1236" location="N!I95" display="N!I95" xr:uid="{00000000-0004-0000-0400-00003A000000}"/>
    <hyperlink ref="G1237" location="N!I95" display="N!I95" xr:uid="{00000000-0004-0000-0400-00003B000000}"/>
    <hyperlink ref="G1247" location="N!I7" display="N!I7" xr:uid="{00000000-0004-0000-0400-00003C000000}"/>
    <hyperlink ref="G1248" location="N!I55" display="N!I55" xr:uid="{00000000-0004-0000-0400-00003D000000}"/>
    <hyperlink ref="G1249" location="N!I74" display="N!I74" xr:uid="{00000000-0004-0000-0400-00003E000000}"/>
    <hyperlink ref="G1243" location="N!I95" display="N!I95" xr:uid="{00000000-0004-0000-0400-00003F000000}"/>
    <hyperlink ref="G1244" location="N!I95" display="N!I95" xr:uid="{00000000-0004-0000-0400-000040000000}"/>
    <hyperlink ref="G623:G634" location="L!I7" display="L!I7" xr:uid="{3697987A-7AB5-42B3-874A-C31F1A5CBBA0}"/>
  </hyperlinks>
  <printOptions horizontalCentered="1"/>
  <pageMargins left="0.23622047244094491" right="0.23622047244094491" top="0.43307086614173229" bottom="0.23622047244094491" header="0.23622047244094491" footer="0.23622047244094491"/>
  <pageSetup paperSize="9" scale="64" fitToHeight="0" orientation="landscape" r:id="rId1"/>
  <rowBreaks count="5" manualBreakCount="5">
    <brk id="73" max="16383" man="1"/>
    <brk id="139" max="16383" man="1"/>
    <brk id="449" max="16383" man="1"/>
    <brk id="961" max="16383" man="1"/>
    <brk id="1228" max="16383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>
    <tabColor indexed="10"/>
  </sheetPr>
  <dimension ref="B2:I409"/>
  <sheetViews>
    <sheetView view="pageBreakPreview" topLeftCell="A19" zoomScale="130" zoomScaleSheetLayoutView="130" workbookViewId="0">
      <selection activeCell="E384" sqref="E384"/>
    </sheetView>
  </sheetViews>
  <sheetFormatPr defaultRowHeight="15"/>
  <cols>
    <col min="1" max="1" width="1.140625" style="860" customWidth="1"/>
    <col min="2" max="2" width="4.140625" style="862" customWidth="1"/>
    <col min="3" max="3" width="11.5703125" style="860" customWidth="1"/>
    <col min="4" max="4" width="1.140625" style="860" customWidth="1"/>
    <col min="5" max="5" width="43.5703125" style="860" customWidth="1"/>
    <col min="6" max="6" width="19" style="860" customWidth="1"/>
    <col min="7" max="7" width="11.5703125" style="860" bestFit="1" customWidth="1"/>
    <col min="8" max="256" width="9.140625" style="860"/>
    <col min="257" max="257" width="1.140625" style="860" customWidth="1"/>
    <col min="258" max="258" width="4.140625" style="860" customWidth="1"/>
    <col min="259" max="259" width="11.5703125" style="860" customWidth="1"/>
    <col min="260" max="260" width="1.140625" style="860" customWidth="1"/>
    <col min="261" max="261" width="42" style="860" customWidth="1"/>
    <col min="262" max="262" width="19" style="860" customWidth="1"/>
    <col min="263" max="263" width="11.5703125" style="860" bestFit="1" customWidth="1"/>
    <col min="264" max="512" width="9.140625" style="860"/>
    <col min="513" max="513" width="1.140625" style="860" customWidth="1"/>
    <col min="514" max="514" width="4.140625" style="860" customWidth="1"/>
    <col min="515" max="515" width="11.5703125" style="860" customWidth="1"/>
    <col min="516" max="516" width="1.140625" style="860" customWidth="1"/>
    <col min="517" max="517" width="42" style="860" customWidth="1"/>
    <col min="518" max="518" width="19" style="860" customWidth="1"/>
    <col min="519" max="519" width="11.5703125" style="860" bestFit="1" customWidth="1"/>
    <col min="520" max="768" width="9.140625" style="860"/>
    <col min="769" max="769" width="1.140625" style="860" customWidth="1"/>
    <col min="770" max="770" width="4.140625" style="860" customWidth="1"/>
    <col min="771" max="771" width="11.5703125" style="860" customWidth="1"/>
    <col min="772" max="772" width="1.140625" style="860" customWidth="1"/>
    <col min="773" max="773" width="42" style="860" customWidth="1"/>
    <col min="774" max="774" width="19" style="860" customWidth="1"/>
    <col min="775" max="775" width="11.5703125" style="860" bestFit="1" customWidth="1"/>
    <col min="776" max="1024" width="9.140625" style="860"/>
    <col min="1025" max="1025" width="1.140625" style="860" customWidth="1"/>
    <col min="1026" max="1026" width="4.140625" style="860" customWidth="1"/>
    <col min="1027" max="1027" width="11.5703125" style="860" customWidth="1"/>
    <col min="1028" max="1028" width="1.140625" style="860" customWidth="1"/>
    <col min="1029" max="1029" width="42" style="860" customWidth="1"/>
    <col min="1030" max="1030" width="19" style="860" customWidth="1"/>
    <col min="1031" max="1031" width="11.5703125" style="860" bestFit="1" customWidth="1"/>
    <col min="1032" max="1280" width="9.140625" style="860"/>
    <col min="1281" max="1281" width="1.140625" style="860" customWidth="1"/>
    <col min="1282" max="1282" width="4.140625" style="860" customWidth="1"/>
    <col min="1283" max="1283" width="11.5703125" style="860" customWidth="1"/>
    <col min="1284" max="1284" width="1.140625" style="860" customWidth="1"/>
    <col min="1285" max="1285" width="42" style="860" customWidth="1"/>
    <col min="1286" max="1286" width="19" style="860" customWidth="1"/>
    <col min="1287" max="1287" width="11.5703125" style="860" bestFit="1" customWidth="1"/>
    <col min="1288" max="1536" width="9.140625" style="860"/>
    <col min="1537" max="1537" width="1.140625" style="860" customWidth="1"/>
    <col min="1538" max="1538" width="4.140625" style="860" customWidth="1"/>
    <col min="1539" max="1539" width="11.5703125" style="860" customWidth="1"/>
    <col min="1540" max="1540" width="1.140625" style="860" customWidth="1"/>
    <col min="1541" max="1541" width="42" style="860" customWidth="1"/>
    <col min="1542" max="1542" width="19" style="860" customWidth="1"/>
    <col min="1543" max="1543" width="11.5703125" style="860" bestFit="1" customWidth="1"/>
    <col min="1544" max="1792" width="9.140625" style="860"/>
    <col min="1793" max="1793" width="1.140625" style="860" customWidth="1"/>
    <col min="1794" max="1794" width="4.140625" style="860" customWidth="1"/>
    <col min="1795" max="1795" width="11.5703125" style="860" customWidth="1"/>
    <col min="1796" max="1796" width="1.140625" style="860" customWidth="1"/>
    <col min="1797" max="1797" width="42" style="860" customWidth="1"/>
    <col min="1798" max="1798" width="19" style="860" customWidth="1"/>
    <col min="1799" max="1799" width="11.5703125" style="860" bestFit="1" customWidth="1"/>
    <col min="1800" max="2048" width="9.140625" style="860"/>
    <col min="2049" max="2049" width="1.140625" style="860" customWidth="1"/>
    <col min="2050" max="2050" width="4.140625" style="860" customWidth="1"/>
    <col min="2051" max="2051" width="11.5703125" style="860" customWidth="1"/>
    <col min="2052" max="2052" width="1.140625" style="860" customWidth="1"/>
    <col min="2053" max="2053" width="42" style="860" customWidth="1"/>
    <col min="2054" max="2054" width="19" style="860" customWidth="1"/>
    <col min="2055" max="2055" width="11.5703125" style="860" bestFit="1" customWidth="1"/>
    <col min="2056" max="2304" width="9.140625" style="860"/>
    <col min="2305" max="2305" width="1.140625" style="860" customWidth="1"/>
    <col min="2306" max="2306" width="4.140625" style="860" customWidth="1"/>
    <col min="2307" max="2307" width="11.5703125" style="860" customWidth="1"/>
    <col min="2308" max="2308" width="1.140625" style="860" customWidth="1"/>
    <col min="2309" max="2309" width="42" style="860" customWidth="1"/>
    <col min="2310" max="2310" width="19" style="860" customWidth="1"/>
    <col min="2311" max="2311" width="11.5703125" style="860" bestFit="1" customWidth="1"/>
    <col min="2312" max="2560" width="9.140625" style="860"/>
    <col min="2561" max="2561" width="1.140625" style="860" customWidth="1"/>
    <col min="2562" max="2562" width="4.140625" style="860" customWidth="1"/>
    <col min="2563" max="2563" width="11.5703125" style="860" customWidth="1"/>
    <col min="2564" max="2564" width="1.140625" style="860" customWidth="1"/>
    <col min="2565" max="2565" width="42" style="860" customWidth="1"/>
    <col min="2566" max="2566" width="19" style="860" customWidth="1"/>
    <col min="2567" max="2567" width="11.5703125" style="860" bestFit="1" customWidth="1"/>
    <col min="2568" max="2816" width="9.140625" style="860"/>
    <col min="2817" max="2817" width="1.140625" style="860" customWidth="1"/>
    <col min="2818" max="2818" width="4.140625" style="860" customWidth="1"/>
    <col min="2819" max="2819" width="11.5703125" style="860" customWidth="1"/>
    <col min="2820" max="2820" width="1.140625" style="860" customWidth="1"/>
    <col min="2821" max="2821" width="42" style="860" customWidth="1"/>
    <col min="2822" max="2822" width="19" style="860" customWidth="1"/>
    <col min="2823" max="2823" width="11.5703125" style="860" bestFit="1" customWidth="1"/>
    <col min="2824" max="3072" width="9.140625" style="860"/>
    <col min="3073" max="3073" width="1.140625" style="860" customWidth="1"/>
    <col min="3074" max="3074" width="4.140625" style="860" customWidth="1"/>
    <col min="3075" max="3075" width="11.5703125" style="860" customWidth="1"/>
    <col min="3076" max="3076" width="1.140625" style="860" customWidth="1"/>
    <col min="3077" max="3077" width="42" style="860" customWidth="1"/>
    <col min="3078" max="3078" width="19" style="860" customWidth="1"/>
    <col min="3079" max="3079" width="11.5703125" style="860" bestFit="1" customWidth="1"/>
    <col min="3080" max="3328" width="9.140625" style="860"/>
    <col min="3329" max="3329" width="1.140625" style="860" customWidth="1"/>
    <col min="3330" max="3330" width="4.140625" style="860" customWidth="1"/>
    <col min="3331" max="3331" width="11.5703125" style="860" customWidth="1"/>
    <col min="3332" max="3332" width="1.140625" style="860" customWidth="1"/>
    <col min="3333" max="3333" width="42" style="860" customWidth="1"/>
    <col min="3334" max="3334" width="19" style="860" customWidth="1"/>
    <col min="3335" max="3335" width="11.5703125" style="860" bestFit="1" customWidth="1"/>
    <col min="3336" max="3584" width="9.140625" style="860"/>
    <col min="3585" max="3585" width="1.140625" style="860" customWidth="1"/>
    <col min="3586" max="3586" width="4.140625" style="860" customWidth="1"/>
    <col min="3587" max="3587" width="11.5703125" style="860" customWidth="1"/>
    <col min="3588" max="3588" width="1.140625" style="860" customWidth="1"/>
    <col min="3589" max="3589" width="42" style="860" customWidth="1"/>
    <col min="3590" max="3590" width="19" style="860" customWidth="1"/>
    <col min="3591" max="3591" width="11.5703125" style="860" bestFit="1" customWidth="1"/>
    <col min="3592" max="3840" width="9.140625" style="860"/>
    <col min="3841" max="3841" width="1.140625" style="860" customWidth="1"/>
    <col min="3842" max="3842" width="4.140625" style="860" customWidth="1"/>
    <col min="3843" max="3843" width="11.5703125" style="860" customWidth="1"/>
    <col min="3844" max="3844" width="1.140625" style="860" customWidth="1"/>
    <col min="3845" max="3845" width="42" style="860" customWidth="1"/>
    <col min="3846" max="3846" width="19" style="860" customWidth="1"/>
    <col min="3847" max="3847" width="11.5703125" style="860" bestFit="1" customWidth="1"/>
    <col min="3848" max="4096" width="9.140625" style="860"/>
    <col min="4097" max="4097" width="1.140625" style="860" customWidth="1"/>
    <col min="4098" max="4098" width="4.140625" style="860" customWidth="1"/>
    <col min="4099" max="4099" width="11.5703125" style="860" customWidth="1"/>
    <col min="4100" max="4100" width="1.140625" style="860" customWidth="1"/>
    <col min="4101" max="4101" width="42" style="860" customWidth="1"/>
    <col min="4102" max="4102" width="19" style="860" customWidth="1"/>
    <col min="4103" max="4103" width="11.5703125" style="860" bestFit="1" customWidth="1"/>
    <col min="4104" max="4352" width="9.140625" style="860"/>
    <col min="4353" max="4353" width="1.140625" style="860" customWidth="1"/>
    <col min="4354" max="4354" width="4.140625" style="860" customWidth="1"/>
    <col min="4355" max="4355" width="11.5703125" style="860" customWidth="1"/>
    <col min="4356" max="4356" width="1.140625" style="860" customWidth="1"/>
    <col min="4357" max="4357" width="42" style="860" customWidth="1"/>
    <col min="4358" max="4358" width="19" style="860" customWidth="1"/>
    <col min="4359" max="4359" width="11.5703125" style="860" bestFit="1" customWidth="1"/>
    <col min="4360" max="4608" width="9.140625" style="860"/>
    <col min="4609" max="4609" width="1.140625" style="860" customWidth="1"/>
    <col min="4610" max="4610" width="4.140625" style="860" customWidth="1"/>
    <col min="4611" max="4611" width="11.5703125" style="860" customWidth="1"/>
    <col min="4612" max="4612" width="1.140625" style="860" customWidth="1"/>
    <col min="4613" max="4613" width="42" style="860" customWidth="1"/>
    <col min="4614" max="4614" width="19" style="860" customWidth="1"/>
    <col min="4615" max="4615" width="11.5703125" style="860" bestFit="1" customWidth="1"/>
    <col min="4616" max="4864" width="9.140625" style="860"/>
    <col min="4865" max="4865" width="1.140625" style="860" customWidth="1"/>
    <col min="4866" max="4866" width="4.140625" style="860" customWidth="1"/>
    <col min="4867" max="4867" width="11.5703125" style="860" customWidth="1"/>
    <col min="4868" max="4868" width="1.140625" style="860" customWidth="1"/>
    <col min="4869" max="4869" width="42" style="860" customWidth="1"/>
    <col min="4870" max="4870" width="19" style="860" customWidth="1"/>
    <col min="4871" max="4871" width="11.5703125" style="860" bestFit="1" customWidth="1"/>
    <col min="4872" max="5120" width="9.140625" style="860"/>
    <col min="5121" max="5121" width="1.140625" style="860" customWidth="1"/>
    <col min="5122" max="5122" width="4.140625" style="860" customWidth="1"/>
    <col min="5123" max="5123" width="11.5703125" style="860" customWidth="1"/>
    <col min="5124" max="5124" width="1.140625" style="860" customWidth="1"/>
    <col min="5125" max="5125" width="42" style="860" customWidth="1"/>
    <col min="5126" max="5126" width="19" style="860" customWidth="1"/>
    <col min="5127" max="5127" width="11.5703125" style="860" bestFit="1" customWidth="1"/>
    <col min="5128" max="5376" width="9.140625" style="860"/>
    <col min="5377" max="5377" width="1.140625" style="860" customWidth="1"/>
    <col min="5378" max="5378" width="4.140625" style="860" customWidth="1"/>
    <col min="5379" max="5379" width="11.5703125" style="860" customWidth="1"/>
    <col min="5380" max="5380" width="1.140625" style="860" customWidth="1"/>
    <col min="5381" max="5381" width="42" style="860" customWidth="1"/>
    <col min="5382" max="5382" width="19" style="860" customWidth="1"/>
    <col min="5383" max="5383" width="11.5703125" style="860" bestFit="1" customWidth="1"/>
    <col min="5384" max="5632" width="9.140625" style="860"/>
    <col min="5633" max="5633" width="1.140625" style="860" customWidth="1"/>
    <col min="5634" max="5634" width="4.140625" style="860" customWidth="1"/>
    <col min="5635" max="5635" width="11.5703125" style="860" customWidth="1"/>
    <col min="5636" max="5636" width="1.140625" style="860" customWidth="1"/>
    <col min="5637" max="5637" width="42" style="860" customWidth="1"/>
    <col min="5638" max="5638" width="19" style="860" customWidth="1"/>
    <col min="5639" max="5639" width="11.5703125" style="860" bestFit="1" customWidth="1"/>
    <col min="5640" max="5888" width="9.140625" style="860"/>
    <col min="5889" max="5889" width="1.140625" style="860" customWidth="1"/>
    <col min="5890" max="5890" width="4.140625" style="860" customWidth="1"/>
    <col min="5891" max="5891" width="11.5703125" style="860" customWidth="1"/>
    <col min="5892" max="5892" width="1.140625" style="860" customWidth="1"/>
    <col min="5893" max="5893" width="42" style="860" customWidth="1"/>
    <col min="5894" max="5894" width="19" style="860" customWidth="1"/>
    <col min="5895" max="5895" width="11.5703125" style="860" bestFit="1" customWidth="1"/>
    <col min="5896" max="6144" width="9.140625" style="860"/>
    <col min="6145" max="6145" width="1.140625" style="860" customWidth="1"/>
    <col min="6146" max="6146" width="4.140625" style="860" customWidth="1"/>
    <col min="6147" max="6147" width="11.5703125" style="860" customWidth="1"/>
    <col min="6148" max="6148" width="1.140625" style="860" customWidth="1"/>
    <col min="6149" max="6149" width="42" style="860" customWidth="1"/>
    <col min="6150" max="6150" width="19" style="860" customWidth="1"/>
    <col min="6151" max="6151" width="11.5703125" style="860" bestFit="1" customWidth="1"/>
    <col min="6152" max="6400" width="9.140625" style="860"/>
    <col min="6401" max="6401" width="1.140625" style="860" customWidth="1"/>
    <col min="6402" max="6402" width="4.140625" style="860" customWidth="1"/>
    <col min="6403" max="6403" width="11.5703125" style="860" customWidth="1"/>
    <col min="6404" max="6404" width="1.140625" style="860" customWidth="1"/>
    <col min="6405" max="6405" width="42" style="860" customWidth="1"/>
    <col min="6406" max="6406" width="19" style="860" customWidth="1"/>
    <col min="6407" max="6407" width="11.5703125" style="860" bestFit="1" customWidth="1"/>
    <col min="6408" max="6656" width="9.140625" style="860"/>
    <col min="6657" max="6657" width="1.140625" style="860" customWidth="1"/>
    <col min="6658" max="6658" width="4.140625" style="860" customWidth="1"/>
    <col min="6659" max="6659" width="11.5703125" style="860" customWidth="1"/>
    <col min="6660" max="6660" width="1.140625" style="860" customWidth="1"/>
    <col min="6661" max="6661" width="42" style="860" customWidth="1"/>
    <col min="6662" max="6662" width="19" style="860" customWidth="1"/>
    <col min="6663" max="6663" width="11.5703125" style="860" bestFit="1" customWidth="1"/>
    <col min="6664" max="6912" width="9.140625" style="860"/>
    <col min="6913" max="6913" width="1.140625" style="860" customWidth="1"/>
    <col min="6914" max="6914" width="4.140625" style="860" customWidth="1"/>
    <col min="6915" max="6915" width="11.5703125" style="860" customWidth="1"/>
    <col min="6916" max="6916" width="1.140625" style="860" customWidth="1"/>
    <col min="6917" max="6917" width="42" style="860" customWidth="1"/>
    <col min="6918" max="6918" width="19" style="860" customWidth="1"/>
    <col min="6919" max="6919" width="11.5703125" style="860" bestFit="1" customWidth="1"/>
    <col min="6920" max="7168" width="9.140625" style="860"/>
    <col min="7169" max="7169" width="1.140625" style="860" customWidth="1"/>
    <col min="7170" max="7170" width="4.140625" style="860" customWidth="1"/>
    <col min="7171" max="7171" width="11.5703125" style="860" customWidth="1"/>
    <col min="7172" max="7172" width="1.140625" style="860" customWidth="1"/>
    <col min="7173" max="7173" width="42" style="860" customWidth="1"/>
    <col min="7174" max="7174" width="19" style="860" customWidth="1"/>
    <col min="7175" max="7175" width="11.5703125" style="860" bestFit="1" customWidth="1"/>
    <col min="7176" max="7424" width="9.140625" style="860"/>
    <col min="7425" max="7425" width="1.140625" style="860" customWidth="1"/>
    <col min="7426" max="7426" width="4.140625" style="860" customWidth="1"/>
    <col min="7427" max="7427" width="11.5703125" style="860" customWidth="1"/>
    <col min="7428" max="7428" width="1.140625" style="860" customWidth="1"/>
    <col min="7429" max="7429" width="42" style="860" customWidth="1"/>
    <col min="7430" max="7430" width="19" style="860" customWidth="1"/>
    <col min="7431" max="7431" width="11.5703125" style="860" bestFit="1" customWidth="1"/>
    <col min="7432" max="7680" width="9.140625" style="860"/>
    <col min="7681" max="7681" width="1.140625" style="860" customWidth="1"/>
    <col min="7682" max="7682" width="4.140625" style="860" customWidth="1"/>
    <col min="7683" max="7683" width="11.5703125" style="860" customWidth="1"/>
    <col min="7684" max="7684" width="1.140625" style="860" customWidth="1"/>
    <col min="7685" max="7685" width="42" style="860" customWidth="1"/>
    <col min="7686" max="7686" width="19" style="860" customWidth="1"/>
    <col min="7687" max="7687" width="11.5703125" style="860" bestFit="1" customWidth="1"/>
    <col min="7688" max="7936" width="9.140625" style="860"/>
    <col min="7937" max="7937" width="1.140625" style="860" customWidth="1"/>
    <col min="7938" max="7938" width="4.140625" style="860" customWidth="1"/>
    <col min="7939" max="7939" width="11.5703125" style="860" customWidth="1"/>
    <col min="7940" max="7940" width="1.140625" style="860" customWidth="1"/>
    <col min="7941" max="7941" width="42" style="860" customWidth="1"/>
    <col min="7942" max="7942" width="19" style="860" customWidth="1"/>
    <col min="7943" max="7943" width="11.5703125" style="860" bestFit="1" customWidth="1"/>
    <col min="7944" max="8192" width="9.140625" style="860"/>
    <col min="8193" max="8193" width="1.140625" style="860" customWidth="1"/>
    <col min="8194" max="8194" width="4.140625" style="860" customWidth="1"/>
    <col min="8195" max="8195" width="11.5703125" style="860" customWidth="1"/>
    <col min="8196" max="8196" width="1.140625" style="860" customWidth="1"/>
    <col min="8197" max="8197" width="42" style="860" customWidth="1"/>
    <col min="8198" max="8198" width="19" style="860" customWidth="1"/>
    <col min="8199" max="8199" width="11.5703125" style="860" bestFit="1" customWidth="1"/>
    <col min="8200" max="8448" width="9.140625" style="860"/>
    <col min="8449" max="8449" width="1.140625" style="860" customWidth="1"/>
    <col min="8450" max="8450" width="4.140625" style="860" customWidth="1"/>
    <col min="8451" max="8451" width="11.5703125" style="860" customWidth="1"/>
    <col min="8452" max="8452" width="1.140625" style="860" customWidth="1"/>
    <col min="8453" max="8453" width="42" style="860" customWidth="1"/>
    <col min="8454" max="8454" width="19" style="860" customWidth="1"/>
    <col min="8455" max="8455" width="11.5703125" style="860" bestFit="1" customWidth="1"/>
    <col min="8456" max="8704" width="9.140625" style="860"/>
    <col min="8705" max="8705" width="1.140625" style="860" customWidth="1"/>
    <col min="8706" max="8706" width="4.140625" style="860" customWidth="1"/>
    <col min="8707" max="8707" width="11.5703125" style="860" customWidth="1"/>
    <col min="8708" max="8708" width="1.140625" style="860" customWidth="1"/>
    <col min="8709" max="8709" width="42" style="860" customWidth="1"/>
    <col min="8710" max="8710" width="19" style="860" customWidth="1"/>
    <col min="8711" max="8711" width="11.5703125" style="860" bestFit="1" customWidth="1"/>
    <col min="8712" max="8960" width="9.140625" style="860"/>
    <col min="8961" max="8961" width="1.140625" style="860" customWidth="1"/>
    <col min="8962" max="8962" width="4.140625" style="860" customWidth="1"/>
    <col min="8963" max="8963" width="11.5703125" style="860" customWidth="1"/>
    <col min="8964" max="8964" width="1.140625" style="860" customWidth="1"/>
    <col min="8965" max="8965" width="42" style="860" customWidth="1"/>
    <col min="8966" max="8966" width="19" style="860" customWidth="1"/>
    <col min="8967" max="8967" width="11.5703125" style="860" bestFit="1" customWidth="1"/>
    <col min="8968" max="9216" width="9.140625" style="860"/>
    <col min="9217" max="9217" width="1.140625" style="860" customWidth="1"/>
    <col min="9218" max="9218" width="4.140625" style="860" customWidth="1"/>
    <col min="9219" max="9219" width="11.5703125" style="860" customWidth="1"/>
    <col min="9220" max="9220" width="1.140625" style="860" customWidth="1"/>
    <col min="9221" max="9221" width="42" style="860" customWidth="1"/>
    <col min="9222" max="9222" width="19" style="860" customWidth="1"/>
    <col min="9223" max="9223" width="11.5703125" style="860" bestFit="1" customWidth="1"/>
    <col min="9224" max="9472" width="9.140625" style="860"/>
    <col min="9473" max="9473" width="1.140625" style="860" customWidth="1"/>
    <col min="9474" max="9474" width="4.140625" style="860" customWidth="1"/>
    <col min="9475" max="9475" width="11.5703125" style="860" customWidth="1"/>
    <col min="9476" max="9476" width="1.140625" style="860" customWidth="1"/>
    <col min="9477" max="9477" width="42" style="860" customWidth="1"/>
    <col min="9478" max="9478" width="19" style="860" customWidth="1"/>
    <col min="9479" max="9479" width="11.5703125" style="860" bestFit="1" customWidth="1"/>
    <col min="9480" max="9728" width="9.140625" style="860"/>
    <col min="9729" max="9729" width="1.140625" style="860" customWidth="1"/>
    <col min="9730" max="9730" width="4.140625" style="860" customWidth="1"/>
    <col min="9731" max="9731" width="11.5703125" style="860" customWidth="1"/>
    <col min="9732" max="9732" width="1.140625" style="860" customWidth="1"/>
    <col min="9733" max="9733" width="42" style="860" customWidth="1"/>
    <col min="9734" max="9734" width="19" style="860" customWidth="1"/>
    <col min="9735" max="9735" width="11.5703125" style="860" bestFit="1" customWidth="1"/>
    <col min="9736" max="9984" width="9.140625" style="860"/>
    <col min="9985" max="9985" width="1.140625" style="860" customWidth="1"/>
    <col min="9986" max="9986" width="4.140625" style="860" customWidth="1"/>
    <col min="9987" max="9987" width="11.5703125" style="860" customWidth="1"/>
    <col min="9988" max="9988" width="1.140625" style="860" customWidth="1"/>
    <col min="9989" max="9989" width="42" style="860" customWidth="1"/>
    <col min="9990" max="9990" width="19" style="860" customWidth="1"/>
    <col min="9991" max="9991" width="11.5703125" style="860" bestFit="1" customWidth="1"/>
    <col min="9992" max="10240" width="9.140625" style="860"/>
    <col min="10241" max="10241" width="1.140625" style="860" customWidth="1"/>
    <col min="10242" max="10242" width="4.140625" style="860" customWidth="1"/>
    <col min="10243" max="10243" width="11.5703125" style="860" customWidth="1"/>
    <col min="10244" max="10244" width="1.140625" style="860" customWidth="1"/>
    <col min="10245" max="10245" width="42" style="860" customWidth="1"/>
    <col min="10246" max="10246" width="19" style="860" customWidth="1"/>
    <col min="10247" max="10247" width="11.5703125" style="860" bestFit="1" customWidth="1"/>
    <col min="10248" max="10496" width="9.140625" style="860"/>
    <col min="10497" max="10497" width="1.140625" style="860" customWidth="1"/>
    <col min="10498" max="10498" width="4.140625" style="860" customWidth="1"/>
    <col min="10499" max="10499" width="11.5703125" style="860" customWidth="1"/>
    <col min="10500" max="10500" width="1.140625" style="860" customWidth="1"/>
    <col min="10501" max="10501" width="42" style="860" customWidth="1"/>
    <col min="10502" max="10502" width="19" style="860" customWidth="1"/>
    <col min="10503" max="10503" width="11.5703125" style="860" bestFit="1" customWidth="1"/>
    <col min="10504" max="10752" width="9.140625" style="860"/>
    <col min="10753" max="10753" width="1.140625" style="860" customWidth="1"/>
    <col min="10754" max="10754" width="4.140625" style="860" customWidth="1"/>
    <col min="10755" max="10755" width="11.5703125" style="860" customWidth="1"/>
    <col min="10756" max="10756" width="1.140625" style="860" customWidth="1"/>
    <col min="10757" max="10757" width="42" style="860" customWidth="1"/>
    <col min="10758" max="10758" width="19" style="860" customWidth="1"/>
    <col min="10759" max="10759" width="11.5703125" style="860" bestFit="1" customWidth="1"/>
    <col min="10760" max="11008" width="9.140625" style="860"/>
    <col min="11009" max="11009" width="1.140625" style="860" customWidth="1"/>
    <col min="11010" max="11010" width="4.140625" style="860" customWidth="1"/>
    <col min="11011" max="11011" width="11.5703125" style="860" customWidth="1"/>
    <col min="11012" max="11012" width="1.140625" style="860" customWidth="1"/>
    <col min="11013" max="11013" width="42" style="860" customWidth="1"/>
    <col min="11014" max="11014" width="19" style="860" customWidth="1"/>
    <col min="11015" max="11015" width="11.5703125" style="860" bestFit="1" customWidth="1"/>
    <col min="11016" max="11264" width="9.140625" style="860"/>
    <col min="11265" max="11265" width="1.140625" style="860" customWidth="1"/>
    <col min="11266" max="11266" width="4.140625" style="860" customWidth="1"/>
    <col min="11267" max="11267" width="11.5703125" style="860" customWidth="1"/>
    <col min="11268" max="11268" width="1.140625" style="860" customWidth="1"/>
    <col min="11269" max="11269" width="42" style="860" customWidth="1"/>
    <col min="11270" max="11270" width="19" style="860" customWidth="1"/>
    <col min="11271" max="11271" width="11.5703125" style="860" bestFit="1" customWidth="1"/>
    <col min="11272" max="11520" width="9.140625" style="860"/>
    <col min="11521" max="11521" width="1.140625" style="860" customWidth="1"/>
    <col min="11522" max="11522" width="4.140625" style="860" customWidth="1"/>
    <col min="11523" max="11523" width="11.5703125" style="860" customWidth="1"/>
    <col min="11524" max="11524" width="1.140625" style="860" customWidth="1"/>
    <col min="11525" max="11525" width="42" style="860" customWidth="1"/>
    <col min="11526" max="11526" width="19" style="860" customWidth="1"/>
    <col min="11527" max="11527" width="11.5703125" style="860" bestFit="1" customWidth="1"/>
    <col min="11528" max="11776" width="9.140625" style="860"/>
    <col min="11777" max="11777" width="1.140625" style="860" customWidth="1"/>
    <col min="11778" max="11778" width="4.140625" style="860" customWidth="1"/>
    <col min="11779" max="11779" width="11.5703125" style="860" customWidth="1"/>
    <col min="11780" max="11780" width="1.140625" style="860" customWidth="1"/>
    <col min="11781" max="11781" width="42" style="860" customWidth="1"/>
    <col min="11782" max="11782" width="19" style="860" customWidth="1"/>
    <col min="11783" max="11783" width="11.5703125" style="860" bestFit="1" customWidth="1"/>
    <col min="11784" max="12032" width="9.140625" style="860"/>
    <col min="12033" max="12033" width="1.140625" style="860" customWidth="1"/>
    <col min="12034" max="12034" width="4.140625" style="860" customWidth="1"/>
    <col min="12035" max="12035" width="11.5703125" style="860" customWidth="1"/>
    <col min="12036" max="12036" width="1.140625" style="860" customWidth="1"/>
    <col min="12037" max="12037" width="42" style="860" customWidth="1"/>
    <col min="12038" max="12038" width="19" style="860" customWidth="1"/>
    <col min="12039" max="12039" width="11.5703125" style="860" bestFit="1" customWidth="1"/>
    <col min="12040" max="12288" width="9.140625" style="860"/>
    <col min="12289" max="12289" width="1.140625" style="860" customWidth="1"/>
    <col min="12290" max="12290" width="4.140625" style="860" customWidth="1"/>
    <col min="12291" max="12291" width="11.5703125" style="860" customWidth="1"/>
    <col min="12292" max="12292" width="1.140625" style="860" customWidth="1"/>
    <col min="12293" max="12293" width="42" style="860" customWidth="1"/>
    <col min="12294" max="12294" width="19" style="860" customWidth="1"/>
    <col min="12295" max="12295" width="11.5703125" style="860" bestFit="1" customWidth="1"/>
    <col min="12296" max="12544" width="9.140625" style="860"/>
    <col min="12545" max="12545" width="1.140625" style="860" customWidth="1"/>
    <col min="12546" max="12546" width="4.140625" style="860" customWidth="1"/>
    <col min="12547" max="12547" width="11.5703125" style="860" customWidth="1"/>
    <col min="12548" max="12548" width="1.140625" style="860" customWidth="1"/>
    <col min="12549" max="12549" width="42" style="860" customWidth="1"/>
    <col min="12550" max="12550" width="19" style="860" customWidth="1"/>
    <col min="12551" max="12551" width="11.5703125" style="860" bestFit="1" customWidth="1"/>
    <col min="12552" max="12800" width="9.140625" style="860"/>
    <col min="12801" max="12801" width="1.140625" style="860" customWidth="1"/>
    <col min="12802" max="12802" width="4.140625" style="860" customWidth="1"/>
    <col min="12803" max="12803" width="11.5703125" style="860" customWidth="1"/>
    <col min="12804" max="12804" width="1.140625" style="860" customWidth="1"/>
    <col min="12805" max="12805" width="42" style="860" customWidth="1"/>
    <col min="12806" max="12806" width="19" style="860" customWidth="1"/>
    <col min="12807" max="12807" width="11.5703125" style="860" bestFit="1" customWidth="1"/>
    <col min="12808" max="13056" width="9.140625" style="860"/>
    <col min="13057" max="13057" width="1.140625" style="860" customWidth="1"/>
    <col min="13058" max="13058" width="4.140625" style="860" customWidth="1"/>
    <col min="13059" max="13059" width="11.5703125" style="860" customWidth="1"/>
    <col min="13060" max="13060" width="1.140625" style="860" customWidth="1"/>
    <col min="13061" max="13061" width="42" style="860" customWidth="1"/>
    <col min="13062" max="13062" width="19" style="860" customWidth="1"/>
    <col min="13063" max="13063" width="11.5703125" style="860" bestFit="1" customWidth="1"/>
    <col min="13064" max="13312" width="9.140625" style="860"/>
    <col min="13313" max="13313" width="1.140625" style="860" customWidth="1"/>
    <col min="13314" max="13314" width="4.140625" style="860" customWidth="1"/>
    <col min="13315" max="13315" width="11.5703125" style="860" customWidth="1"/>
    <col min="13316" max="13316" width="1.140625" style="860" customWidth="1"/>
    <col min="13317" max="13317" width="42" style="860" customWidth="1"/>
    <col min="13318" max="13318" width="19" style="860" customWidth="1"/>
    <col min="13319" max="13319" width="11.5703125" style="860" bestFit="1" customWidth="1"/>
    <col min="13320" max="13568" width="9.140625" style="860"/>
    <col min="13569" max="13569" width="1.140625" style="860" customWidth="1"/>
    <col min="13570" max="13570" width="4.140625" style="860" customWidth="1"/>
    <col min="13571" max="13571" width="11.5703125" style="860" customWidth="1"/>
    <col min="13572" max="13572" width="1.140625" style="860" customWidth="1"/>
    <col min="13573" max="13573" width="42" style="860" customWidth="1"/>
    <col min="13574" max="13574" width="19" style="860" customWidth="1"/>
    <col min="13575" max="13575" width="11.5703125" style="860" bestFit="1" customWidth="1"/>
    <col min="13576" max="13824" width="9.140625" style="860"/>
    <col min="13825" max="13825" width="1.140625" style="860" customWidth="1"/>
    <col min="13826" max="13826" width="4.140625" style="860" customWidth="1"/>
    <col min="13827" max="13827" width="11.5703125" style="860" customWidth="1"/>
    <col min="13828" max="13828" width="1.140625" style="860" customWidth="1"/>
    <col min="13829" max="13829" width="42" style="860" customWidth="1"/>
    <col min="13830" max="13830" width="19" style="860" customWidth="1"/>
    <col min="13831" max="13831" width="11.5703125" style="860" bestFit="1" customWidth="1"/>
    <col min="13832" max="14080" width="9.140625" style="860"/>
    <col min="14081" max="14081" width="1.140625" style="860" customWidth="1"/>
    <col min="14082" max="14082" width="4.140625" style="860" customWidth="1"/>
    <col min="14083" max="14083" width="11.5703125" style="860" customWidth="1"/>
    <col min="14084" max="14084" width="1.140625" style="860" customWidth="1"/>
    <col min="14085" max="14085" width="42" style="860" customWidth="1"/>
    <col min="14086" max="14086" width="19" style="860" customWidth="1"/>
    <col min="14087" max="14087" width="11.5703125" style="860" bestFit="1" customWidth="1"/>
    <col min="14088" max="14336" width="9.140625" style="860"/>
    <col min="14337" max="14337" width="1.140625" style="860" customWidth="1"/>
    <col min="14338" max="14338" width="4.140625" style="860" customWidth="1"/>
    <col min="14339" max="14339" width="11.5703125" style="860" customWidth="1"/>
    <col min="14340" max="14340" width="1.140625" style="860" customWidth="1"/>
    <col min="14341" max="14341" width="42" style="860" customWidth="1"/>
    <col min="14342" max="14342" width="19" style="860" customWidth="1"/>
    <col min="14343" max="14343" width="11.5703125" style="860" bestFit="1" customWidth="1"/>
    <col min="14344" max="14592" width="9.140625" style="860"/>
    <col min="14593" max="14593" width="1.140625" style="860" customWidth="1"/>
    <col min="14594" max="14594" width="4.140625" style="860" customWidth="1"/>
    <col min="14595" max="14595" width="11.5703125" style="860" customWidth="1"/>
    <col min="14596" max="14596" width="1.140625" style="860" customWidth="1"/>
    <col min="14597" max="14597" width="42" style="860" customWidth="1"/>
    <col min="14598" max="14598" width="19" style="860" customWidth="1"/>
    <col min="14599" max="14599" width="11.5703125" style="860" bestFit="1" customWidth="1"/>
    <col min="14600" max="14848" width="9.140625" style="860"/>
    <col min="14849" max="14849" width="1.140625" style="860" customWidth="1"/>
    <col min="14850" max="14850" width="4.140625" style="860" customWidth="1"/>
    <col min="14851" max="14851" width="11.5703125" style="860" customWidth="1"/>
    <col min="14852" max="14852" width="1.140625" style="860" customWidth="1"/>
    <col min="14853" max="14853" width="42" style="860" customWidth="1"/>
    <col min="14854" max="14854" width="19" style="860" customWidth="1"/>
    <col min="14855" max="14855" width="11.5703125" style="860" bestFit="1" customWidth="1"/>
    <col min="14856" max="15104" width="9.140625" style="860"/>
    <col min="15105" max="15105" width="1.140625" style="860" customWidth="1"/>
    <col min="15106" max="15106" width="4.140625" style="860" customWidth="1"/>
    <col min="15107" max="15107" width="11.5703125" style="860" customWidth="1"/>
    <col min="15108" max="15108" width="1.140625" style="860" customWidth="1"/>
    <col min="15109" max="15109" width="42" style="860" customWidth="1"/>
    <col min="15110" max="15110" width="19" style="860" customWidth="1"/>
    <col min="15111" max="15111" width="11.5703125" style="860" bestFit="1" customWidth="1"/>
    <col min="15112" max="15360" width="9.140625" style="860"/>
    <col min="15361" max="15361" width="1.140625" style="860" customWidth="1"/>
    <col min="15362" max="15362" width="4.140625" style="860" customWidth="1"/>
    <col min="15363" max="15363" width="11.5703125" style="860" customWidth="1"/>
    <col min="15364" max="15364" width="1.140625" style="860" customWidth="1"/>
    <col min="15365" max="15365" width="42" style="860" customWidth="1"/>
    <col min="15366" max="15366" width="19" style="860" customWidth="1"/>
    <col min="15367" max="15367" width="11.5703125" style="860" bestFit="1" customWidth="1"/>
    <col min="15368" max="15616" width="9.140625" style="860"/>
    <col min="15617" max="15617" width="1.140625" style="860" customWidth="1"/>
    <col min="15618" max="15618" width="4.140625" style="860" customWidth="1"/>
    <col min="15619" max="15619" width="11.5703125" style="860" customWidth="1"/>
    <col min="15620" max="15620" width="1.140625" style="860" customWidth="1"/>
    <col min="15621" max="15621" width="42" style="860" customWidth="1"/>
    <col min="15622" max="15622" width="19" style="860" customWidth="1"/>
    <col min="15623" max="15623" width="11.5703125" style="860" bestFit="1" customWidth="1"/>
    <col min="15624" max="15872" width="9.140625" style="860"/>
    <col min="15873" max="15873" width="1.140625" style="860" customWidth="1"/>
    <col min="15874" max="15874" width="4.140625" style="860" customWidth="1"/>
    <col min="15875" max="15875" width="11.5703125" style="860" customWidth="1"/>
    <col min="15876" max="15876" width="1.140625" style="860" customWidth="1"/>
    <col min="15877" max="15877" width="42" style="860" customWidth="1"/>
    <col min="15878" max="15878" width="19" style="860" customWidth="1"/>
    <col min="15879" max="15879" width="11.5703125" style="860" bestFit="1" customWidth="1"/>
    <col min="15880" max="16128" width="9.140625" style="860"/>
    <col min="16129" max="16129" width="1.140625" style="860" customWidth="1"/>
    <col min="16130" max="16130" width="4.140625" style="860" customWidth="1"/>
    <col min="16131" max="16131" width="11.5703125" style="860" customWidth="1"/>
    <col min="16132" max="16132" width="1.140625" style="860" customWidth="1"/>
    <col min="16133" max="16133" width="42" style="860" customWidth="1"/>
    <col min="16134" max="16134" width="19" style="860" customWidth="1"/>
    <col min="16135" max="16135" width="11.5703125" style="860" bestFit="1" customWidth="1"/>
    <col min="16136" max="16384" width="9.140625" style="860"/>
  </cols>
  <sheetData>
    <row r="2" spans="2:9">
      <c r="B2" s="2692" t="s">
        <v>1300</v>
      </c>
      <c r="C2" s="2692"/>
      <c r="D2" s="2692"/>
      <c r="E2" s="2692"/>
      <c r="F2" s="2692"/>
      <c r="G2" s="859"/>
    </row>
    <row r="3" spans="2:9" ht="15.75" thickBot="1">
      <c r="B3" s="774"/>
      <c r="C3" s="861"/>
      <c r="D3" s="861"/>
      <c r="E3" s="861"/>
      <c r="F3" s="672"/>
      <c r="G3" s="672"/>
    </row>
    <row r="4" spans="2:9" ht="21" customHeight="1">
      <c r="B4" s="1149" t="s">
        <v>908</v>
      </c>
      <c r="C4" s="2693" t="s">
        <v>158</v>
      </c>
      <c r="D4" s="2693"/>
      <c r="E4" s="2694"/>
      <c r="F4" s="1150" t="s">
        <v>1301</v>
      </c>
      <c r="G4" s="672"/>
    </row>
    <row r="5" spans="2:9">
      <c r="B5" s="1151" t="s">
        <v>1302</v>
      </c>
      <c r="C5" s="1137" t="s">
        <v>18</v>
      </c>
      <c r="D5" s="1138"/>
      <c r="E5" s="1139"/>
      <c r="F5" s="1152"/>
      <c r="G5" s="672"/>
    </row>
    <row r="6" spans="2:9">
      <c r="B6" s="1153">
        <v>1</v>
      </c>
      <c r="C6" s="1140" t="str">
        <f>PSP!C6</f>
        <v>1 M' Pagar Sementara Seng Gelombang Tinggi 2 m</v>
      </c>
      <c r="D6" s="1141"/>
      <c r="E6" s="1142"/>
      <c r="F6" s="1155">
        <f>PSP!H20</f>
        <v>340923</v>
      </c>
      <c r="G6" s="672"/>
    </row>
    <row r="7" spans="2:9">
      <c r="B7" s="1154">
        <f>B6+1</f>
        <v>2</v>
      </c>
      <c r="C7" s="1140" t="str">
        <f>PSP!C21</f>
        <v>1 M2 Pengukuran Dan Pasang Bouwplank</v>
      </c>
      <c r="D7" s="1090"/>
      <c r="E7" s="1091"/>
      <c r="F7" s="1155">
        <f>PSP!H30</f>
        <v>72542</v>
      </c>
      <c r="I7" s="862"/>
    </row>
    <row r="8" spans="2:9">
      <c r="B8" s="1154">
        <f>B7+1</f>
        <v>3</v>
      </c>
      <c r="C8" s="1140" t="str">
        <f>PSP!C31</f>
        <v>1 M2 Pembuatan Kantor Sementara dgn Lantai Diplester</v>
      </c>
      <c r="D8" s="1090"/>
      <c r="E8" s="1091"/>
      <c r="F8" s="1155">
        <f>PSP!H52</f>
        <v>2554313</v>
      </c>
    </row>
    <row r="9" spans="2:9">
      <c r="B9" s="1154">
        <f t="shared" ref="B9:B14" si="0">B8+1</f>
        <v>4</v>
      </c>
      <c r="C9" s="1140" t="str">
        <f>PSP!C53</f>
        <v>1 M2 Pembuatan Gudang Semen dan Alat-alat</v>
      </c>
      <c r="D9" s="1090"/>
      <c r="E9" s="1091"/>
      <c r="F9" s="1155">
        <f>PSP!H66</f>
        <v>2191170</v>
      </c>
    </row>
    <row r="10" spans="2:9">
      <c r="B10" s="1154">
        <f t="shared" si="0"/>
        <v>5</v>
      </c>
      <c r="C10" s="1140" t="str">
        <f>PSP!C67</f>
        <v>1 M2 Pembuatan Bedeng Buruh</v>
      </c>
      <c r="D10" s="1090"/>
      <c r="E10" s="1091"/>
      <c r="F10" s="1155">
        <f>PSP!H80</f>
        <v>2010466</v>
      </c>
    </row>
    <row r="11" spans="2:9">
      <c r="B11" s="1154">
        <f t="shared" si="0"/>
        <v>6</v>
      </c>
      <c r="C11" s="1140" t="str">
        <f>PSP!C81</f>
        <v>1 M2 Membersihkan Lapangan dan Perataan</v>
      </c>
      <c r="D11" s="1090"/>
      <c r="E11" s="1091"/>
      <c r="F11" s="1155">
        <f>PSP!H85</f>
        <v>22600</v>
      </c>
    </row>
    <row r="12" spans="2:9">
      <c r="B12" s="1154">
        <f t="shared" si="0"/>
        <v>7</v>
      </c>
      <c r="C12" s="1140" t="str">
        <f>PSP!C86</f>
        <v>1 M3 Bongkaran Beton Bertulang</v>
      </c>
      <c r="D12" s="1090"/>
      <c r="E12" s="1091"/>
      <c r="F12" s="1155">
        <f>PSP!H90</f>
        <v>966652</v>
      </c>
    </row>
    <row r="13" spans="2:9">
      <c r="B13" s="1154">
        <f t="shared" si="0"/>
        <v>8</v>
      </c>
      <c r="C13" s="1140" t="str">
        <f>PSP!C91</f>
        <v>1 M3 Bongkaran Dinding Tembok Bata Merah</v>
      </c>
      <c r="D13" s="1090"/>
      <c r="E13" s="1091"/>
      <c r="F13" s="1155">
        <f>PSP!H95</f>
        <v>912652</v>
      </c>
    </row>
    <row r="14" spans="2:9">
      <c r="B14" s="1154">
        <f t="shared" si="0"/>
        <v>9</v>
      </c>
      <c r="C14" s="1140" t="str">
        <f>PSP!C96</f>
        <v>1 M2 Steiger Werk / perancah dari Bambu</v>
      </c>
      <c r="D14" s="1090"/>
      <c r="E14" s="1091"/>
      <c r="F14" s="1155">
        <f>PSP!H104</f>
        <v>70610</v>
      </c>
    </row>
    <row r="15" spans="2:9">
      <c r="B15" s="1156"/>
      <c r="C15" s="1145"/>
      <c r="D15" s="1146"/>
      <c r="E15" s="1147"/>
      <c r="F15" s="1157"/>
    </row>
    <row r="16" spans="2:9">
      <c r="B16" s="1158" t="s">
        <v>1303</v>
      </c>
      <c r="C16" s="1148" t="s">
        <v>1304</v>
      </c>
      <c r="D16" s="863"/>
      <c r="E16" s="1134"/>
      <c r="F16" s="1159"/>
    </row>
    <row r="17" spans="2:6">
      <c r="B17" s="1154">
        <v>1</v>
      </c>
      <c r="C17" s="1140" t="str">
        <f>B!C6</f>
        <v>1 M3 Galian Tanah Biasa sedalam 1 m</v>
      </c>
      <c r="D17" s="1090"/>
      <c r="E17" s="1091"/>
      <c r="F17" s="1155">
        <f>B!H10</f>
        <v>61600</v>
      </c>
    </row>
    <row r="18" spans="2:6">
      <c r="B18" s="1154">
        <f t="shared" ref="B18:B70" si="1">B17+1</f>
        <v>2</v>
      </c>
      <c r="C18" s="1140" t="str">
        <f>B!C11</f>
        <v>1 M3 Galian Tanah Biasa Sedalam 2 m</v>
      </c>
      <c r="D18" s="1090"/>
      <c r="E18" s="1091"/>
      <c r="F18" s="1155">
        <f>B!H15</f>
        <v>80896</v>
      </c>
    </row>
    <row r="19" spans="2:6">
      <c r="B19" s="1154">
        <f t="shared" si="1"/>
        <v>3</v>
      </c>
      <c r="C19" s="1140" t="str">
        <f>B!C16</f>
        <v>1 M1 Galian Tanah Manual Strauspile dia - 30 cm</v>
      </c>
      <c r="D19" s="1090"/>
      <c r="E19" s="1091"/>
      <c r="F19" s="1155">
        <f>B!H19</f>
        <v>75000</v>
      </c>
    </row>
    <row r="20" spans="2:6">
      <c r="B20" s="1154">
        <f t="shared" si="1"/>
        <v>4</v>
      </c>
      <c r="C20" s="1140" t="str">
        <f>B!C20</f>
        <v>1 M1 Galian Tanah mesin minicrane Strauspile dia - 30 cm</v>
      </c>
      <c r="D20" s="1090"/>
      <c r="E20" s="1091"/>
      <c r="F20" s="1155">
        <f>B!H23</f>
        <v>120000</v>
      </c>
    </row>
    <row r="21" spans="2:6">
      <c r="B21" s="1154">
        <f>B20+1</f>
        <v>5</v>
      </c>
      <c r="C21" s="1140" t="str">
        <f>B!C24</f>
        <v>1 M3 Pembuangan Tanah sejauh 150 m</v>
      </c>
      <c r="D21" s="1090"/>
      <c r="E21" s="1091"/>
      <c r="F21" s="1155">
        <f>B!H28</f>
        <v>79176</v>
      </c>
    </row>
    <row r="22" spans="2:6">
      <c r="B22" s="1154">
        <f>B21+1</f>
        <v>6</v>
      </c>
      <c r="C22" s="1140" t="str">
        <f>B!C29</f>
        <v>1 M3 Urugan Kembali</v>
      </c>
      <c r="D22" s="1090"/>
      <c r="E22" s="1091"/>
      <c r="F22" s="1155">
        <f>B!H33</f>
        <v>29532</v>
      </c>
    </row>
    <row r="23" spans="2:6">
      <c r="B23" s="1154">
        <f t="shared" si="1"/>
        <v>7</v>
      </c>
      <c r="C23" s="1140" t="str">
        <f>B!C34</f>
        <v>1 M3 Pemadatan Tanah</v>
      </c>
      <c r="D23" s="1090"/>
      <c r="E23" s="1091"/>
      <c r="F23" s="1155">
        <f>B!H38</f>
        <v>77000</v>
      </c>
    </row>
    <row r="24" spans="2:6">
      <c r="B24" s="1154">
        <f t="shared" si="1"/>
        <v>8</v>
      </c>
      <c r="C24" s="1140" t="str">
        <f>B!C39</f>
        <v>1 M3 Urugaan Pasir</v>
      </c>
      <c r="D24" s="1090"/>
      <c r="E24" s="1091"/>
      <c r="F24" s="1155">
        <f>B!H44</f>
        <v>246600</v>
      </c>
    </row>
    <row r="25" spans="2:6">
      <c r="B25" s="1154">
        <f t="shared" si="1"/>
        <v>9</v>
      </c>
      <c r="C25" s="1140" t="str">
        <f>B!C45</f>
        <v>1 M3 Urugan Sirtu</v>
      </c>
      <c r="D25" s="1090"/>
      <c r="E25" s="1091"/>
      <c r="F25" s="1155">
        <f>B!H50</f>
        <v>386500</v>
      </c>
    </row>
    <row r="26" spans="2:6">
      <c r="B26" s="1154">
        <f t="shared" si="1"/>
        <v>10</v>
      </c>
      <c r="C26" s="1140" t="str">
        <f>B!C51</f>
        <v>1 M3 Urugan Tanah Pilihan</v>
      </c>
      <c r="D26" s="1090"/>
      <c r="E26" s="1091"/>
      <c r="F26" s="1155">
        <f>B!H56</f>
        <v>344500</v>
      </c>
    </row>
    <row r="27" spans="2:6">
      <c r="B27" s="1156"/>
      <c r="C27" s="1145"/>
      <c r="D27" s="1146"/>
      <c r="E27" s="1147"/>
      <c r="F27" s="1157"/>
    </row>
    <row r="28" spans="2:6">
      <c r="B28" s="1160" t="s">
        <v>1305</v>
      </c>
      <c r="C28" s="1143" t="s">
        <v>1306</v>
      </c>
      <c r="D28" s="1090"/>
      <c r="E28" s="1091"/>
      <c r="F28" s="1155"/>
    </row>
    <row r="29" spans="2:6">
      <c r="B29" s="1154">
        <v>1</v>
      </c>
      <c r="C29" s="1140" t="str">
        <f>'C'!C6</f>
        <v>1 M3 Pasang Pondasi Batu kali adk 1pc : 5ps</v>
      </c>
      <c r="D29" s="1090"/>
      <c r="E29" s="1091"/>
      <c r="F29" s="1155">
        <f>'C'!H15</f>
        <v>975024</v>
      </c>
    </row>
    <row r="30" spans="2:6">
      <c r="B30" s="1154">
        <f t="shared" si="1"/>
        <v>2</v>
      </c>
      <c r="C30" s="1140" t="str">
        <f>'C'!C16</f>
        <v>1 M3 Pasang Pondasi Batu Kosong (aanstamping)</v>
      </c>
      <c r="D30" s="1090"/>
      <c r="E30" s="1091"/>
      <c r="F30" s="1155">
        <f>'C'!H24</f>
        <v>609630</v>
      </c>
    </row>
    <row r="31" spans="2:6">
      <c r="B31" s="1154">
        <f t="shared" si="1"/>
        <v>3</v>
      </c>
      <c r="C31" s="1140" t="str">
        <f>'C'!C25</f>
        <v>1 Titik Pemasangan Straus pile (30x30) cm kedalaman 3 meter</v>
      </c>
      <c r="D31" s="1090"/>
      <c r="E31" s="1091"/>
      <c r="F31" s="1155">
        <f>'C'!H37</f>
        <v>705971</v>
      </c>
    </row>
    <row r="32" spans="2:6">
      <c r="B32" s="1154">
        <f t="shared" si="1"/>
        <v>4</v>
      </c>
      <c r="C32" s="1140" t="str">
        <f>'C'!C38</f>
        <v>1 Titik Pemasangan Straus pile (30x30) cm kedalaman 6 meter</v>
      </c>
      <c r="D32" s="1090"/>
      <c r="E32" s="1091"/>
      <c r="F32" s="1155">
        <f>'C'!H50</f>
        <v>1411941</v>
      </c>
    </row>
    <row r="33" spans="2:6">
      <c r="B33" s="1154">
        <f t="shared" si="1"/>
        <v>5</v>
      </c>
      <c r="C33" s="1250" t="str">
        <f>'C'!C51</f>
        <v>1 Titik Pemasangan Straus pile (30x30) cm kedalaman 12,5 meter</v>
      </c>
      <c r="D33" s="1251"/>
      <c r="E33" s="1271"/>
      <c r="F33" s="1155">
        <f>'C'!$H$63</f>
        <v>2965077</v>
      </c>
    </row>
    <row r="34" spans="2:6">
      <c r="B34" s="1154">
        <f t="shared" si="1"/>
        <v>6</v>
      </c>
      <c r="C34" s="1140" t="str">
        <f>'C'!C64</f>
        <v>1 M' Memancang Tiang Pancang  Beton Tulang</v>
      </c>
      <c r="D34" s="1090"/>
      <c r="E34" s="1091"/>
      <c r="F34" s="1155">
        <f>'C'!H69</f>
        <v>132017</v>
      </c>
    </row>
    <row r="35" spans="2:6">
      <c r="B35" s="1154">
        <f t="shared" si="1"/>
        <v>7</v>
      </c>
      <c r="C35" s="1140" t="str">
        <f>'C'!C70</f>
        <v>1 Buah  Memotong Tiang Pancang  (40x40) cm Beton Tulang</v>
      </c>
      <c r="D35" s="1090"/>
      <c r="E35" s="1091"/>
      <c r="F35" s="1155">
        <f>'C'!H76</f>
        <v>674217</v>
      </c>
    </row>
    <row r="36" spans="2:6">
      <c r="B36" s="1154">
        <f>B35+1</f>
        <v>8</v>
      </c>
      <c r="C36" s="1140" t="str">
        <f>'C'!C77</f>
        <v>1 M'  Menyambung Tiang Pancang Beton Bertulang</v>
      </c>
      <c r="D36" s="1090"/>
      <c r="E36" s="1091"/>
      <c r="F36" s="1155">
        <f>'C'!H86</f>
        <v>710798</v>
      </c>
    </row>
    <row r="37" spans="2:6">
      <c r="B37" s="1154">
        <f>B36+1</f>
        <v>9</v>
      </c>
      <c r="C37" s="1140" t="str">
        <f>'C'!C87</f>
        <v>1 M3 Pasang Rollag Batu Bata Press 1 Pc : 5 Ps</v>
      </c>
      <c r="D37" s="1090"/>
      <c r="E37" s="1091"/>
      <c r="F37" s="1155">
        <f>'C'!$H$96</f>
        <v>988991</v>
      </c>
    </row>
    <row r="38" spans="2:6">
      <c r="B38" s="1154">
        <f>B37+1</f>
        <v>10</v>
      </c>
      <c r="C38" s="1219" t="str">
        <f>'C'!C97</f>
        <v>1 Buah Tiang Pancang 20X20 cm ( 6 meter )</v>
      </c>
      <c r="D38" s="1182"/>
      <c r="E38" s="1183"/>
      <c r="F38" s="1155">
        <f>'C'!H100</f>
        <v>147000</v>
      </c>
    </row>
    <row r="39" spans="2:6">
      <c r="B39" s="1156"/>
      <c r="C39" s="1145"/>
      <c r="D39" s="1146"/>
      <c r="E39" s="1147"/>
      <c r="F39" s="1157"/>
    </row>
    <row r="40" spans="2:6">
      <c r="B40" s="1160" t="s">
        <v>1307</v>
      </c>
      <c r="C40" s="1143" t="s">
        <v>1308</v>
      </c>
      <c r="D40" s="1090"/>
      <c r="E40" s="1091"/>
      <c r="F40" s="1155"/>
    </row>
    <row r="41" spans="2:6">
      <c r="B41" s="1154">
        <v>1</v>
      </c>
      <c r="C41" s="1140" t="str">
        <f>D!C6</f>
        <v>1 Kg Pembesian Dengan Besi Polos/ulir</v>
      </c>
      <c r="D41" s="1090"/>
      <c r="E41" s="1091"/>
      <c r="F41" s="1155">
        <f>D!H14</f>
        <v>11611</v>
      </c>
    </row>
    <row r="42" spans="2:6">
      <c r="B42" s="1154">
        <f t="shared" si="1"/>
        <v>2</v>
      </c>
      <c r="C42" s="1140" t="str">
        <f>D!C15</f>
        <v>1 M2 Pembesian Weirmesh M8</v>
      </c>
      <c r="D42" s="1090"/>
      <c r="E42" s="1091"/>
      <c r="F42" s="1155">
        <f>D!H22</f>
        <v>82570</v>
      </c>
    </row>
    <row r="43" spans="2:6">
      <c r="B43" s="1154">
        <f t="shared" si="1"/>
        <v>3</v>
      </c>
      <c r="C43" s="1140" t="str">
        <f>D!C23</f>
        <v>1 M2 Pasang Bekesting Untuk Pondasi Pile Cap</v>
      </c>
      <c r="D43" s="1090"/>
      <c r="E43" s="1091"/>
      <c r="F43" s="1155">
        <f>D!H33</f>
        <v>173613</v>
      </c>
    </row>
    <row r="44" spans="2:6">
      <c r="B44" s="1154">
        <f t="shared" si="1"/>
        <v>4</v>
      </c>
      <c r="C44" s="1140" t="str">
        <f>D!C34</f>
        <v>1 M2 Pasang Bekesting Untuk Pondasi</v>
      </c>
      <c r="D44" s="1090"/>
      <c r="E44" s="1091"/>
      <c r="F44" s="1155">
        <f>D!H44</f>
        <v>173613</v>
      </c>
    </row>
    <row r="45" spans="2:6">
      <c r="B45" s="1154">
        <f t="shared" si="1"/>
        <v>5</v>
      </c>
      <c r="C45" s="1140" t="str">
        <f>D!C45</f>
        <v>1 M2 Pasang Bekisting Untuk Sloof</v>
      </c>
      <c r="D45" s="1090"/>
      <c r="E45" s="1091"/>
      <c r="F45" s="1155">
        <f>D!H55</f>
        <v>175256</v>
      </c>
    </row>
    <row r="46" spans="2:6">
      <c r="B46" s="1154">
        <f t="shared" si="1"/>
        <v>6</v>
      </c>
      <c r="C46" s="1140" t="str">
        <f>D!C56</f>
        <v>1 M2 Pasang Bekesting Untuk Kolom</v>
      </c>
      <c r="D46" s="1090"/>
      <c r="E46" s="1091"/>
      <c r="F46" s="1155">
        <f>D!H67</f>
        <v>298356</v>
      </c>
    </row>
    <row r="47" spans="2:6">
      <c r="B47" s="1154">
        <f t="shared" si="1"/>
        <v>7</v>
      </c>
      <c r="C47" s="1140" t="str">
        <f>D!C68</f>
        <v>1 M2 Pasang Bekesting Untuk Balok</v>
      </c>
      <c r="D47" s="1090"/>
      <c r="E47" s="1091"/>
      <c r="F47" s="1155">
        <f>D!H80</f>
        <v>336156</v>
      </c>
    </row>
    <row r="48" spans="2:6">
      <c r="B48" s="1154">
        <f t="shared" si="1"/>
        <v>8</v>
      </c>
      <c r="C48" s="1140" t="str">
        <f>D!C81</f>
        <v>1 M2 Pasang Bekesting Untuk Lantai</v>
      </c>
      <c r="D48" s="1090"/>
      <c r="E48" s="1091"/>
      <c r="F48" s="1155">
        <f>D!H93</f>
        <v>451500</v>
      </c>
    </row>
    <row r="49" spans="2:6">
      <c r="B49" s="1154">
        <f t="shared" si="1"/>
        <v>9</v>
      </c>
      <c r="C49" s="1140" t="str">
        <f>D!C94</f>
        <v>1 M2 Pasang Bekesting Untuk Tangga</v>
      </c>
      <c r="D49" s="1090"/>
      <c r="E49" s="1091"/>
      <c r="F49" s="1155">
        <f>D!H106</f>
        <v>308856</v>
      </c>
    </row>
    <row r="50" spans="2:6">
      <c r="B50" s="1154">
        <f t="shared" si="1"/>
        <v>10</v>
      </c>
      <c r="C50" s="1140" t="str">
        <f>D!C107</f>
        <v>1 M2 Pasang Bekesting Untuk Dinding</v>
      </c>
      <c r="D50" s="1090"/>
      <c r="E50" s="1091"/>
      <c r="F50" s="1155">
        <f>D!H120</f>
        <v>341000</v>
      </c>
    </row>
    <row r="51" spans="2:6">
      <c r="B51" s="1154">
        <f t="shared" si="1"/>
        <v>11</v>
      </c>
      <c r="C51" s="1140" t="str">
        <f>D!C121</f>
        <v>1 M2 Pasang Bondex</v>
      </c>
      <c r="D51" s="1090"/>
      <c r="E51" s="1091"/>
      <c r="F51" s="1155">
        <f>D!H129</f>
        <v>128681</v>
      </c>
    </row>
    <row r="52" spans="2:6">
      <c r="B52" s="1154">
        <f t="shared" si="1"/>
        <v>12</v>
      </c>
      <c r="C52" s="1140" t="str">
        <f>D!C130</f>
        <v>1 M3 Membuat Beton Cor Mutu K-125</v>
      </c>
      <c r="D52" s="1090"/>
      <c r="E52" s="1091"/>
      <c r="F52" s="1155">
        <f>D!H140</f>
        <v>1180623</v>
      </c>
    </row>
    <row r="53" spans="2:6">
      <c r="B53" s="1154">
        <f t="shared" si="1"/>
        <v>13</v>
      </c>
      <c r="C53" s="1140" t="str">
        <f>D!C141</f>
        <v>1 M3 Membuat Beton Cor Mutu K-200</v>
      </c>
      <c r="D53" s="1090"/>
      <c r="E53" s="1091"/>
      <c r="F53" s="1155">
        <f>D!H151</f>
        <v>1285360</v>
      </c>
    </row>
    <row r="54" spans="2:6">
      <c r="B54" s="1154">
        <f t="shared" si="1"/>
        <v>14</v>
      </c>
      <c r="C54" s="1140" t="str">
        <f>D!C152</f>
        <v>1 M3 Membuat Beton Cor Mutu K-225</v>
      </c>
      <c r="D54" s="1090"/>
      <c r="E54" s="1091"/>
      <c r="F54" s="1155">
        <f>D!H162</f>
        <v>1354727</v>
      </c>
    </row>
    <row r="55" spans="2:6">
      <c r="B55" s="1154">
        <f t="shared" si="1"/>
        <v>15</v>
      </c>
      <c r="C55" s="1140" t="str">
        <f>D!C163</f>
        <v>1 M3 Membuat Beton Cor Mutu K-250</v>
      </c>
      <c r="D55" s="1090"/>
      <c r="E55" s="1091"/>
      <c r="F55" s="1155">
        <f>D!H173</f>
        <v>1370720</v>
      </c>
    </row>
    <row r="56" spans="2:6">
      <c r="B56" s="1154">
        <f t="shared" si="1"/>
        <v>16</v>
      </c>
      <c r="C56" s="1140" t="str">
        <f>D!C174</f>
        <v>1 M3 Membuat Beton Cor Mutu K-275</v>
      </c>
      <c r="D56" s="1090"/>
      <c r="E56" s="1091"/>
      <c r="F56" s="1155">
        <f>D!H184</f>
        <v>1399025</v>
      </c>
    </row>
    <row r="57" spans="2:6">
      <c r="B57" s="1154">
        <f t="shared" si="1"/>
        <v>17</v>
      </c>
      <c r="C57" s="1140" t="str">
        <f>D!C185</f>
        <v>1 M3 Membuat Beton Cor Mutu K-300</v>
      </c>
      <c r="D57" s="1090"/>
      <c r="E57" s="1091"/>
      <c r="F57" s="1155">
        <f>D!H195</f>
        <v>1407302</v>
      </c>
    </row>
    <row r="58" spans="2:6">
      <c r="B58" s="1154">
        <f t="shared" si="1"/>
        <v>18</v>
      </c>
      <c r="C58" s="1140" t="str">
        <f>D!C196</f>
        <v>1 M3 Ready mix Beton Cor Mutu K-200</v>
      </c>
      <c r="D58" s="1090"/>
      <c r="E58" s="1091"/>
      <c r="F58" s="1155">
        <f>D!H204</f>
        <v>1256800</v>
      </c>
    </row>
    <row r="59" spans="2:6">
      <c r="B59" s="1154">
        <f t="shared" si="1"/>
        <v>19</v>
      </c>
      <c r="C59" s="1140" t="str">
        <f>D!C205</f>
        <v>1 M3 Ready mix Beton Cor Mutu K-250</v>
      </c>
      <c r="D59" s="1090"/>
      <c r="E59" s="1091"/>
      <c r="F59" s="1155">
        <f>D!H213</f>
        <v>1298800</v>
      </c>
    </row>
    <row r="60" spans="2:6">
      <c r="B60" s="1154">
        <f t="shared" si="1"/>
        <v>20</v>
      </c>
      <c r="C60" s="1140" t="str">
        <f>D!C214</f>
        <v>1 M3 Ready mix Beton Cor Mutu K-300</v>
      </c>
      <c r="D60" s="1090"/>
      <c r="E60" s="1091"/>
      <c r="F60" s="1155">
        <f>D!H222</f>
        <v>1351300</v>
      </c>
    </row>
    <row r="61" spans="2:6">
      <c r="B61" s="1154">
        <f t="shared" si="1"/>
        <v>21</v>
      </c>
      <c r="C61" s="1140" t="str">
        <f>D!C223</f>
        <v>1 Kg Pembesian Dengan Besi Polos diameter 8 mm</v>
      </c>
      <c r="D61" s="1090"/>
      <c r="E61" s="1091"/>
      <c r="F61" s="1155">
        <f>D!H231</f>
        <v>11350</v>
      </c>
    </row>
    <row r="62" spans="2:6">
      <c r="B62" s="1154">
        <f t="shared" si="1"/>
        <v>22</v>
      </c>
      <c r="C62" s="1140" t="str">
        <f>D!C232</f>
        <v>1 Kg Pembesian Dengan Besi Polos diameter 10 mm</v>
      </c>
      <c r="D62" s="1090"/>
      <c r="E62" s="1091"/>
      <c r="F62" s="1155">
        <f>D!H240</f>
        <v>11148</v>
      </c>
    </row>
    <row r="63" spans="2:6">
      <c r="B63" s="1154">
        <f t="shared" si="1"/>
        <v>23</v>
      </c>
      <c r="C63" s="1140" t="str">
        <f>D!C241</f>
        <v>1 Kg Pembesian Dengan Besi Polos diameter 12 mm</v>
      </c>
      <c r="D63" s="1090"/>
      <c r="E63" s="1091"/>
      <c r="F63" s="1155">
        <f>D!H249</f>
        <v>10996</v>
      </c>
    </row>
    <row r="64" spans="2:6">
      <c r="B64" s="1154">
        <f t="shared" si="1"/>
        <v>24</v>
      </c>
      <c r="C64" s="1140" t="str">
        <f>D!C250</f>
        <v>1 Kg Pembesian Dengan Besi Ulir diameter 10 mm</v>
      </c>
      <c r="D64" s="1090"/>
      <c r="E64" s="1091"/>
      <c r="F64" s="1155">
        <f>D!H258</f>
        <v>12042</v>
      </c>
    </row>
    <row r="65" spans="2:6">
      <c r="B65" s="1154">
        <f t="shared" si="1"/>
        <v>25</v>
      </c>
      <c r="C65" s="1140" t="str">
        <f>D!C259</f>
        <v>1 Kg Pembesian Dengan Besi Ulir diameter 13 mm</v>
      </c>
      <c r="D65" s="1090"/>
      <c r="E65" s="1091"/>
      <c r="F65" s="1155">
        <f>D!H267</f>
        <v>11611</v>
      </c>
    </row>
    <row r="66" spans="2:6">
      <c r="B66" s="1154">
        <f t="shared" si="1"/>
        <v>26</v>
      </c>
      <c r="C66" s="1140" t="str">
        <f>D!C268</f>
        <v>1 Kg Pembesian Dengan Besi Ulir diameter 16 mm</v>
      </c>
      <c r="D66" s="1090"/>
      <c r="E66" s="1091"/>
      <c r="F66" s="1155">
        <f>D!H276</f>
        <v>11525</v>
      </c>
    </row>
    <row r="67" spans="2:6">
      <c r="B67" s="1154">
        <f t="shared" si="1"/>
        <v>27</v>
      </c>
      <c r="C67" s="1140" t="str">
        <f>D!C277</f>
        <v>1 Kg Pembesian Dengan Besi Ulir diameter 19 mm</v>
      </c>
      <c r="D67" s="1090"/>
      <c r="E67" s="1091"/>
      <c r="F67" s="1155">
        <f>D!H285</f>
        <v>19326</v>
      </c>
    </row>
    <row r="68" spans="2:6">
      <c r="B68" s="1154">
        <v>28</v>
      </c>
      <c r="C68" s="1140" t="str">
        <f>D!$C$292</f>
        <v>1 m' Pemasangan baja WF 250 x 125 x 6 x 9 mm</v>
      </c>
      <c r="D68" s="1090"/>
      <c r="E68" s="1091"/>
      <c r="F68" s="1155">
        <f>D!$H$297</f>
        <v>452837</v>
      </c>
    </row>
    <row r="69" spans="2:6">
      <c r="B69" s="1154">
        <v>29</v>
      </c>
      <c r="C69" s="1140" t="str">
        <f>D!$C$298</f>
        <v>1 m' Pemasangan baja WF 200 x 100 x 5,7 x 8 mm</v>
      </c>
      <c r="D69" s="1090"/>
      <c r="E69" s="1091"/>
      <c r="F69" s="1155">
        <f>D!$H$303</f>
        <v>235725</v>
      </c>
    </row>
    <row r="70" spans="2:6">
      <c r="B70" s="1154">
        <f t="shared" si="1"/>
        <v>30</v>
      </c>
      <c r="C70" s="1140" t="str">
        <f>D!$C$304</f>
        <v>1 m' Pemasangan baja WF 150 x 75 x 5 x 7 mm</v>
      </c>
      <c r="D70" s="1090"/>
      <c r="E70" s="1091"/>
      <c r="F70" s="1155">
        <f>D!$H$309</f>
        <v>214828</v>
      </c>
    </row>
    <row r="71" spans="2:6">
      <c r="B71" s="1156"/>
      <c r="C71" s="1145"/>
      <c r="D71" s="1146"/>
      <c r="E71" s="1147"/>
      <c r="F71" s="1157"/>
    </row>
    <row r="72" spans="2:6">
      <c r="B72" s="1160" t="s">
        <v>1309</v>
      </c>
      <c r="C72" s="1143" t="s">
        <v>1310</v>
      </c>
      <c r="D72" s="1090"/>
      <c r="E72" s="1091"/>
      <c r="F72" s="1155"/>
    </row>
    <row r="73" spans="2:6">
      <c r="B73" s="1154">
        <v>1</v>
      </c>
      <c r="C73" s="1140" t="str">
        <f>E!C6</f>
        <v>1 M2 Pasang Bata Merah Tebal 1 Bata, 1pc : 3ps (TRASRAM)</v>
      </c>
      <c r="D73" s="1090"/>
      <c r="E73" s="1091"/>
      <c r="F73" s="1155">
        <f>E!H15</f>
        <v>355011</v>
      </c>
    </row>
    <row r="74" spans="2:6">
      <c r="B74" s="1154">
        <f t="shared" ref="B74:B98" si="2">B73+1</f>
        <v>2</v>
      </c>
      <c r="C74" s="1140" t="str">
        <f>E!C16</f>
        <v>1 M2 Pasang Bata Merah Tebal 1 Bata, 1pc : 5ps</v>
      </c>
      <c r="D74" s="1090"/>
      <c r="E74" s="1091"/>
      <c r="F74" s="1155">
        <f>E!H25</f>
        <v>341592</v>
      </c>
    </row>
    <row r="75" spans="2:6">
      <c r="B75" s="1154">
        <f t="shared" si="2"/>
        <v>3</v>
      </c>
      <c r="C75" s="1140" t="str">
        <f>E!C26</f>
        <v>1 M2 Pasang Bata Merah Tebal 1/2 Bata, 1pc : 3ps (TRASRAM)</v>
      </c>
      <c r="D75" s="1090"/>
      <c r="E75" s="1091"/>
      <c r="F75" s="1155">
        <f>E!H35</f>
        <v>172315</v>
      </c>
    </row>
    <row r="76" spans="2:6">
      <c r="B76" s="1154">
        <f t="shared" si="2"/>
        <v>4</v>
      </c>
      <c r="C76" s="1140" t="str">
        <f>E!C36</f>
        <v>1 M2 Pasang Bata Merah Tebal 1/2 Bata, 1pc : 5ps</v>
      </c>
      <c r="D76" s="1090"/>
      <c r="E76" s="1091"/>
      <c r="F76" s="1155">
        <f>E!H45</f>
        <v>166510</v>
      </c>
    </row>
    <row r="77" spans="2:6">
      <c r="B77" s="1154">
        <f t="shared" si="2"/>
        <v>5</v>
      </c>
      <c r="C77" s="1140" t="str">
        <f>E!C46</f>
        <v>1 M2 Pasang Dinding Roster Beton 20 x 20 adk 1pc : 4ps</v>
      </c>
      <c r="D77" s="1090"/>
      <c r="E77" s="1091"/>
      <c r="F77" s="1155">
        <f>E!H55</f>
        <v>323810</v>
      </c>
    </row>
    <row r="78" spans="2:6">
      <c r="B78" s="1154">
        <f t="shared" si="2"/>
        <v>6</v>
      </c>
      <c r="C78" s="1140" t="str">
        <f>E!C56</f>
        <v>1 M2 Pasang Dinding BATA RINGAN (10cm)</v>
      </c>
      <c r="D78" s="1090"/>
      <c r="E78" s="1091"/>
      <c r="F78" s="1155">
        <f>E!H64</f>
        <v>105035</v>
      </c>
    </row>
    <row r="79" spans="2:6">
      <c r="B79" s="1154">
        <f t="shared" si="2"/>
        <v>7</v>
      </c>
      <c r="C79" s="1140" t="str">
        <f>E!C65</f>
        <v>1 M2 Pasang Dinding BATA RINGAN (7cm)</v>
      </c>
      <c r="D79" s="1090"/>
      <c r="E79" s="1091"/>
      <c r="F79" s="1155">
        <f>E!H73</f>
        <v>87851</v>
      </c>
    </row>
    <row r="80" spans="2:6">
      <c r="B80" s="1154">
        <f t="shared" si="2"/>
        <v>8</v>
      </c>
      <c r="C80" s="1814" t="s">
        <v>2176</v>
      </c>
      <c r="D80" s="1815"/>
      <c r="E80" s="1816"/>
      <c r="F80" s="1817">
        <f>E!$H$117</f>
        <v>352056</v>
      </c>
    </row>
    <row r="81" spans="2:6">
      <c r="B81" s="1154">
        <f t="shared" si="2"/>
        <v>9</v>
      </c>
      <c r="C81" s="1140" t="str">
        <f>E!C74</f>
        <v>1 M2 Dinding Kamar Mandi Keramik Dinding 30x60 Ex. Roman dBritannia Rhombus W63843R</v>
      </c>
      <c r="D81" s="1090"/>
      <c r="E81" s="1091"/>
      <c r="F81" s="1155">
        <f>E!H84</f>
        <v>287616</v>
      </c>
    </row>
    <row r="82" spans="2:6">
      <c r="B82" s="1154">
        <f t="shared" si="2"/>
        <v>10</v>
      </c>
      <c r="C82" s="1140" t="str">
        <f>E!C85</f>
        <v>1 M2 Dinding Keramik Kamar Mandi dan area service 30 x 30 cm Setara Mulia</v>
      </c>
      <c r="D82" s="1090"/>
      <c r="E82" s="1091"/>
      <c r="F82" s="1155">
        <f>E!H95</f>
        <v>242170</v>
      </c>
    </row>
    <row r="83" spans="2:6">
      <c r="B83" s="1154">
        <f t="shared" si="2"/>
        <v>11</v>
      </c>
      <c r="C83" s="1140" t="str">
        <f>E!C96</f>
        <v>1 M2 Dinding Keramik 25x40 Ex. Gemilang Fiorentina Beige</v>
      </c>
      <c r="D83" s="1090"/>
      <c r="E83" s="1091"/>
      <c r="F83" s="1155">
        <f>E!H106</f>
        <v>218806</v>
      </c>
    </row>
    <row r="84" spans="2:6">
      <c r="B84" s="1154">
        <f t="shared" si="2"/>
        <v>12</v>
      </c>
      <c r="C84" s="1140" t="str">
        <f>E!C118</f>
        <v>1 M2 Dinding Keramik 30x60 Ex. Habitat Brescia Gris</v>
      </c>
      <c r="D84" s="1090"/>
      <c r="E84" s="1091"/>
      <c r="F84" s="1155">
        <f>E!H128</f>
        <v>290306</v>
      </c>
    </row>
    <row r="85" spans="2:6">
      <c r="B85" s="1154">
        <f t="shared" si="2"/>
        <v>13</v>
      </c>
      <c r="C85" s="1140" t="str">
        <f>E!C140</f>
        <v>1 M2 Dinding WPC 1,1 cm x 15 cm x 290 cm setara WPC DECK Type KA 150 S10</v>
      </c>
      <c r="D85" s="1090"/>
      <c r="E85" s="1091"/>
      <c r="F85" s="1155">
        <f>E!H149</f>
        <v>588250</v>
      </c>
    </row>
    <row r="86" spans="2:6">
      <c r="B86" s="1154">
        <f t="shared" si="2"/>
        <v>14</v>
      </c>
      <c r="C86" s="1140" t="str">
        <f>E!C150</f>
        <v>1 M2 Dinding Batu Alam Susun Sirih</v>
      </c>
      <c r="D86" s="1090"/>
      <c r="E86" s="1091"/>
      <c r="F86" s="1155">
        <f>E!H159</f>
        <v>309155</v>
      </c>
    </row>
    <row r="87" spans="2:6">
      <c r="B87" s="1154">
        <f t="shared" si="2"/>
        <v>15</v>
      </c>
      <c r="C87" s="1140" t="str">
        <f>E!C160</f>
        <v>1 M2 Dinding Batu Paras Yogyakarta</v>
      </c>
      <c r="D87" s="1090"/>
      <c r="E87" s="1091"/>
      <c r="F87" s="1155">
        <f>E!H169</f>
        <v>282905</v>
      </c>
    </row>
    <row r="88" spans="2:6">
      <c r="B88" s="1154">
        <f t="shared" si="2"/>
        <v>16</v>
      </c>
      <c r="C88" s="1140" t="str">
        <f>E!C170</f>
        <v>1 M2 Dinding Batu Palimanan Putih</v>
      </c>
      <c r="D88" s="1090"/>
      <c r="E88" s="1091"/>
      <c r="F88" s="1155">
        <f>E!H179</f>
        <v>327530</v>
      </c>
    </row>
    <row r="89" spans="2:6">
      <c r="B89" s="1154">
        <f t="shared" si="2"/>
        <v>17</v>
      </c>
      <c r="C89" s="1140" t="str">
        <f>E!C180</f>
        <v>1 M2 Wall paper</v>
      </c>
      <c r="D89" s="1090"/>
      <c r="E89" s="1091"/>
      <c r="F89" s="1155">
        <f>E!H188</f>
        <v>131353</v>
      </c>
    </row>
    <row r="90" spans="2:6">
      <c r="B90" s="1154">
        <f t="shared" si="2"/>
        <v>18</v>
      </c>
      <c r="C90" s="1140" t="str">
        <f>E!C189</f>
        <v>1 M2 Dinding Pemisah  GRC t = 4 mm + rangka besi hollow</v>
      </c>
      <c r="D90" s="1090"/>
      <c r="E90" s="1091"/>
      <c r="F90" s="1155">
        <f>E!H202</f>
        <v>89299</v>
      </c>
    </row>
    <row r="91" spans="2:6">
      <c r="B91" s="1154">
        <f t="shared" si="2"/>
        <v>19</v>
      </c>
      <c r="C91" s="1140" t="str">
        <f>E!C203</f>
        <v>1 M2 Dinding Pemisah Gypsum t = 9 mm + rangka besi hollow</v>
      </c>
      <c r="D91" s="1090"/>
      <c r="E91" s="1091"/>
      <c r="F91" s="1155">
        <f>E!H216</f>
        <v>79727</v>
      </c>
    </row>
    <row r="92" spans="2:6">
      <c r="B92" s="1154">
        <f t="shared" si="2"/>
        <v>20</v>
      </c>
      <c r="C92" s="1140" t="str">
        <f>E!C217</f>
        <v>1 M2 Dinding Pemisah  Plywood t = 9 mm + rangka besi hollow</v>
      </c>
      <c r="D92" s="1090"/>
      <c r="E92" s="1091"/>
      <c r="F92" s="1155">
        <f>E!H228</f>
        <v>81544</v>
      </c>
    </row>
    <row r="93" spans="2:6">
      <c r="B93" s="1154">
        <f t="shared" si="2"/>
        <v>21</v>
      </c>
      <c r="C93" s="1140" t="str">
        <f>E!C229</f>
        <v>1 M2 Pasang Dinding Glass Block 20 x 20 adk 1pc : 4ps</v>
      </c>
      <c r="D93" s="1090"/>
      <c r="E93" s="1091"/>
      <c r="F93" s="1155">
        <f>E!H238</f>
        <v>661310</v>
      </c>
    </row>
    <row r="94" spans="2:6">
      <c r="B94" s="1154">
        <f t="shared" si="2"/>
        <v>22</v>
      </c>
      <c r="C94" s="1140" t="str">
        <f>E!C271</f>
        <v>1 M2 Dinding Batu Templek</v>
      </c>
      <c r="D94" s="1090"/>
      <c r="E94" s="1091"/>
      <c r="F94" s="1155">
        <f>E!$H$280</f>
        <v>256655</v>
      </c>
    </row>
    <row r="95" spans="2:6">
      <c r="B95" s="1154">
        <f t="shared" si="2"/>
        <v>23</v>
      </c>
      <c r="C95" s="1140" t="str">
        <f>E!C334</f>
        <v>1 M2 Panel Wallpaper Dinding 3D</v>
      </c>
      <c r="D95" s="1090"/>
      <c r="E95" s="1091"/>
      <c r="F95" s="1155">
        <f>E!$H$342</f>
        <v>421100</v>
      </c>
    </row>
    <row r="96" spans="2:6">
      <c r="B96" s="1154">
        <f t="shared" si="2"/>
        <v>24</v>
      </c>
      <c r="C96" s="1140" t="str">
        <f>E!C302</f>
        <v>1 M2 Dinding Batu Alam Candi Hitam Yogyakarta</v>
      </c>
      <c r="D96" s="1090"/>
      <c r="E96" s="1091"/>
      <c r="F96" s="1155">
        <f>E!$H$311</f>
        <v>252088</v>
      </c>
    </row>
    <row r="97" spans="2:6">
      <c r="B97" s="1154">
        <f t="shared" si="2"/>
        <v>25</v>
      </c>
      <c r="C97" s="1140" t="str">
        <f>E!C312</f>
        <v>1 M2 Dinding Keramik 15x80 Motif Kayu Ex. Torch 158016</v>
      </c>
      <c r="D97" s="1090"/>
      <c r="E97" s="1091"/>
      <c r="F97" s="1155">
        <f>E!$H$322</f>
        <v>318306</v>
      </c>
    </row>
    <row r="98" spans="2:6">
      <c r="B98" s="1154">
        <f t="shared" si="2"/>
        <v>26</v>
      </c>
      <c r="C98" s="1140" t="str">
        <f>E!C323</f>
        <v>1 M2 Dinding Keramik 30x60 Motif Marmer Hitam Ex. Roman dPortoro Black W63456R</v>
      </c>
      <c r="D98" s="1090"/>
      <c r="E98" s="1091"/>
      <c r="F98" s="1155">
        <f>E!$H$333</f>
        <v>342750</v>
      </c>
    </row>
    <row r="99" spans="2:6">
      <c r="B99" s="1156"/>
      <c r="C99" s="1145"/>
      <c r="D99" s="1146"/>
      <c r="E99" s="1147"/>
      <c r="F99" s="1157"/>
    </row>
    <row r="100" spans="2:6">
      <c r="B100" s="1160" t="s">
        <v>1311</v>
      </c>
      <c r="C100" s="1143" t="s">
        <v>1312</v>
      </c>
      <c r="D100" s="1090"/>
      <c r="E100" s="1091"/>
      <c r="F100" s="1155"/>
    </row>
    <row r="101" spans="2:6">
      <c r="B101" s="1154">
        <v>1</v>
      </c>
      <c r="C101" s="1140" t="str">
        <f>F!C6</f>
        <v>1 M2 Plesteran adk. 1pc : 3ps Tebal 15 mm</v>
      </c>
      <c r="D101" s="1090"/>
      <c r="E101" s="1091"/>
      <c r="F101" s="1155">
        <f>F!H14</f>
        <v>84394</v>
      </c>
    </row>
    <row r="102" spans="2:6">
      <c r="B102" s="1154">
        <f>B101+1</f>
        <v>2</v>
      </c>
      <c r="C102" s="1140" t="str">
        <f>F!C15</f>
        <v>1 M2 Acian Plesteran</v>
      </c>
      <c r="D102" s="1090"/>
      <c r="E102" s="1091"/>
      <c r="F102" s="1155">
        <f>F!H22</f>
        <v>46243</v>
      </c>
    </row>
    <row r="103" spans="2:6">
      <c r="B103" s="1156"/>
      <c r="C103" s="1145"/>
      <c r="D103" s="1146"/>
      <c r="E103" s="1147"/>
      <c r="F103" s="1157"/>
    </row>
    <row r="104" spans="2:6">
      <c r="B104" s="1160" t="s">
        <v>1313</v>
      </c>
      <c r="C104" s="1143" t="s">
        <v>76</v>
      </c>
      <c r="D104" s="1090"/>
      <c r="E104" s="1091"/>
      <c r="F104" s="1155"/>
    </row>
    <row r="105" spans="2:6">
      <c r="B105" s="1154">
        <v>1</v>
      </c>
      <c r="C105" s="1140" t="str">
        <f>G!C6</f>
        <v>1 M2 Pasang Atap Genteng Keramik setara Kanmuri Flat</v>
      </c>
      <c r="D105" s="1090"/>
      <c r="E105" s="1091"/>
      <c r="F105" s="1155">
        <f>G!H13</f>
        <v>185978</v>
      </c>
    </row>
    <row r="106" spans="2:6">
      <c r="B106" s="1154">
        <v>2</v>
      </c>
      <c r="C106" s="1140" t="str">
        <f>G!C14</f>
        <v>1 M2 Pasang Atap Genteng Keramik Berglazur setara Kanmuri Milano</v>
      </c>
      <c r="D106" s="1090"/>
      <c r="E106" s="1091"/>
      <c r="F106" s="1155">
        <f>G!H21</f>
        <v>178890</v>
      </c>
    </row>
    <row r="107" spans="2:6">
      <c r="B107" s="1154">
        <v>3</v>
      </c>
      <c r="C107" s="1140" t="str">
        <f>G!C22</f>
        <v>1 M2 Pasang Atap buka tutup Lovera</v>
      </c>
      <c r="D107" s="1090"/>
      <c r="E107" s="1091"/>
      <c r="F107" s="1155">
        <f>G!H29</f>
        <v>3815040</v>
      </c>
    </row>
    <row r="108" spans="2:6">
      <c r="B108" s="1154">
        <v>4</v>
      </c>
      <c r="C108" s="1140" t="str">
        <f>G!C30</f>
        <v>1 M' Pasang Genteng Bubung Kanmuri Flat</v>
      </c>
      <c r="D108" s="1090"/>
      <c r="E108" s="1091"/>
      <c r="F108" s="1155">
        <f>G!H37</f>
        <v>124706</v>
      </c>
    </row>
    <row r="109" spans="2:6">
      <c r="B109" s="1154">
        <v>5</v>
      </c>
      <c r="C109" s="1140" t="str">
        <f>G!C38</f>
        <v>1 M' Pasang Genteng Bubung Kanmuri Glazur Milano</v>
      </c>
      <c r="D109" s="1090"/>
      <c r="E109" s="1091"/>
      <c r="F109" s="1155">
        <f>G!H47</f>
        <v>151299</v>
      </c>
    </row>
    <row r="110" spans="2:6">
      <c r="B110" s="1154">
        <v>6</v>
      </c>
      <c r="C110" s="1140" t="str">
        <f>G!C48</f>
        <v>1 M2 Pasang Roof Alderon (  180 x 90  ) cm</v>
      </c>
      <c r="D110" s="1090"/>
      <c r="E110" s="1091"/>
      <c r="F110" s="1155">
        <f>G!H56</f>
        <v>249270</v>
      </c>
    </row>
    <row r="111" spans="2:6">
      <c r="B111" s="1154">
        <v>7</v>
      </c>
      <c r="C111" s="1140" t="str">
        <f>G!C57</f>
        <v>1 M2 Pasang Atap Asbes Gelombang (  3,00 x 1,05 m  ) x 4 mm</v>
      </c>
      <c r="D111" s="1090"/>
      <c r="E111" s="1091"/>
      <c r="F111" s="1155">
        <f>G!H65</f>
        <v>57985</v>
      </c>
    </row>
    <row r="112" spans="2:6">
      <c r="B112" s="1154">
        <v>8</v>
      </c>
      <c r="C112" s="1140" t="str">
        <f>G!C66</f>
        <v>1 M¹ Pasang Nok Stel Gelombang 1,05 m</v>
      </c>
      <c r="D112" s="1090"/>
      <c r="E112" s="1091"/>
      <c r="F112" s="1155">
        <f>G!H74</f>
        <v>134637</v>
      </c>
    </row>
    <row r="113" spans="2:6">
      <c r="B113" s="1154">
        <v>9</v>
      </c>
      <c r="C113" s="1140" t="str">
        <f>G!C75</f>
        <v>1 M2 Pasang Atap Genteng Beton setara Cisangkan</v>
      </c>
      <c r="D113" s="1090"/>
      <c r="E113" s="1091"/>
      <c r="F113" s="1155">
        <f>G!H83</f>
        <v>155925</v>
      </c>
    </row>
    <row r="114" spans="2:6">
      <c r="B114" s="1154">
        <v>10</v>
      </c>
      <c r="C114" s="1140" t="str">
        <f>G!C84</f>
        <v>1 M¹ Pasang Nok Genteng Beton</v>
      </c>
      <c r="D114" s="1090"/>
      <c r="E114" s="1091"/>
      <c r="F114" s="1155">
        <f>G!H95</f>
        <v>179885</v>
      </c>
    </row>
    <row r="115" spans="2:6">
      <c r="B115" s="1154">
        <v>11</v>
      </c>
      <c r="C115" s="1140" t="str">
        <f>G!C96</f>
        <v>1 M2 Pasang Atap Genteng Metal Pasir Kwarsa</v>
      </c>
      <c r="D115" s="1090"/>
      <c r="E115" s="1091"/>
      <c r="F115" s="1155">
        <f>G!H104</f>
        <v>98580</v>
      </c>
    </row>
    <row r="116" spans="2:6">
      <c r="B116" s="1154">
        <v>12</v>
      </c>
      <c r="C116" s="1140" t="str">
        <f>G!C105</f>
        <v>1 M¹ Pasang Nok Genteng Metal</v>
      </c>
      <c r="D116" s="1090"/>
      <c r="E116" s="1091"/>
      <c r="F116" s="1155">
        <f>G!H113</f>
        <v>114790</v>
      </c>
    </row>
    <row r="117" spans="2:6">
      <c r="B117" s="1154">
        <v>13</v>
      </c>
      <c r="C117" s="1140" t="str">
        <f>G!C114</f>
        <v>1 M2 Pasang Atap Seng Gelombang</v>
      </c>
      <c r="D117" s="1090"/>
      <c r="E117" s="1091"/>
      <c r="F117" s="1155">
        <f>G!H122</f>
        <v>61880</v>
      </c>
    </row>
    <row r="118" spans="2:6">
      <c r="B118" s="1154">
        <v>14</v>
      </c>
      <c r="C118" s="1140" t="str">
        <f>G!C123</f>
        <v>1 M2 Pasang Atap Nok Seng</v>
      </c>
      <c r="D118" s="1090"/>
      <c r="E118" s="1091"/>
      <c r="F118" s="1155">
        <f>G!H131</f>
        <v>42040</v>
      </c>
    </row>
    <row r="119" spans="2:6">
      <c r="B119" s="1154">
        <v>15</v>
      </c>
      <c r="C119" s="1140" t="str">
        <f>G!C132</f>
        <v>1 M2 Pasang Alluminium Foil / Sisalation</v>
      </c>
      <c r="D119" s="1090"/>
      <c r="E119" s="1091"/>
      <c r="F119" s="1155">
        <f>G!H139</f>
        <v>45815</v>
      </c>
    </row>
    <row r="120" spans="2:6">
      <c r="B120" s="1154">
        <v>16</v>
      </c>
      <c r="C120" s="1140" t="str">
        <f>G!C140</f>
        <v>1 M2 Pasang Atap Alluminium Natural (SPANDEKS)</v>
      </c>
      <c r="D120" s="1090"/>
      <c r="E120" s="1091"/>
      <c r="F120" s="1155">
        <f>G!H148</f>
        <v>186437</v>
      </c>
    </row>
    <row r="121" spans="2:6">
      <c r="B121" s="1154">
        <v>17</v>
      </c>
      <c r="C121" s="1140" t="str">
        <f>G!C149</f>
        <v>1 M2 Pasang Nok Alluminium</v>
      </c>
      <c r="D121" s="1090"/>
      <c r="E121" s="1091"/>
      <c r="F121" s="1155">
        <f>G!H157</f>
        <v>185060</v>
      </c>
    </row>
    <row r="122" spans="2:6">
      <c r="B122" s="1154">
        <v>18</v>
      </c>
      <c r="C122" s="1140" t="str">
        <f>G!C158</f>
        <v>1 M' Pasang  Lisplank GRC ukuran 30 cm</v>
      </c>
      <c r="D122" s="1090"/>
      <c r="E122" s="1091"/>
      <c r="F122" s="1155">
        <f>G!H166</f>
        <v>76613</v>
      </c>
    </row>
    <row r="123" spans="2:6">
      <c r="B123" s="1154">
        <v>19</v>
      </c>
      <c r="C123" s="1140" t="str">
        <f>G!C167</f>
        <v>1 M2 Waterproofing dengan Screed tebal 3 cm</v>
      </c>
      <c r="D123" s="1090"/>
      <c r="E123" s="1091"/>
      <c r="F123" s="1155">
        <f>G!H175</f>
        <v>81555</v>
      </c>
    </row>
    <row r="124" spans="2:6">
      <c r="B124" s="1154">
        <v>20</v>
      </c>
      <c r="C124" s="1140" t="str">
        <f>G!C176</f>
        <v>1 M2 Waterproofing dengan Coating</v>
      </c>
      <c r="D124" s="1090"/>
      <c r="E124" s="1091"/>
      <c r="F124" s="1155">
        <f>G!H185</f>
        <v>102300</v>
      </c>
    </row>
    <row r="125" spans="2:6">
      <c r="B125" s="1154">
        <v>21</v>
      </c>
      <c r="C125" s="1140" t="str">
        <f>G!C186</f>
        <v>1 M2 Waterproofing dengan Membrane</v>
      </c>
      <c r="D125" s="1090"/>
      <c r="E125" s="1091"/>
      <c r="F125" s="1155">
        <f>G!H193</f>
        <v>226650</v>
      </c>
    </row>
    <row r="126" spans="2:6">
      <c r="B126" s="1154">
        <v>22</v>
      </c>
      <c r="C126" s="1140" t="str">
        <f>G!C194</f>
        <v>1 M2 Rangka atap baja ringan</v>
      </c>
      <c r="D126" s="1090"/>
      <c r="E126" s="1091"/>
      <c r="F126" s="1155">
        <f>G!H207</f>
        <v>214481</v>
      </c>
    </row>
    <row r="127" spans="2:6">
      <c r="B127" s="1154">
        <v>23</v>
      </c>
      <c r="C127" s="1140" t="str">
        <f>G!C209</f>
        <v>1 M2 Pasang Atap Genteng Bitumen CTI</v>
      </c>
      <c r="D127" s="1090"/>
      <c r="E127" s="1091"/>
      <c r="F127" s="1155">
        <f>G!H217</f>
        <v>223900</v>
      </c>
    </row>
    <row r="128" spans="2:6">
      <c r="B128" s="1154">
        <v>24</v>
      </c>
      <c r="C128" s="1140" t="str">
        <f>G!C218</f>
        <v>1 M2 Pasang Nok Ujung</v>
      </c>
      <c r="D128" s="1090"/>
      <c r="E128" s="1091"/>
      <c r="F128" s="1155">
        <f>G!$H$226</f>
        <v>203900</v>
      </c>
    </row>
    <row r="129" spans="2:6">
      <c r="B129" s="1154">
        <v>25</v>
      </c>
      <c r="C129" s="1140" t="str">
        <f>G!C227</f>
        <v>1 M2 Pasang Nok 3 Way</v>
      </c>
      <c r="D129" s="1090"/>
      <c r="E129" s="1091"/>
      <c r="F129" s="1155">
        <f>G!$H$235</f>
        <v>203900</v>
      </c>
    </row>
    <row r="130" spans="2:6">
      <c r="B130" s="1154">
        <v>26</v>
      </c>
      <c r="C130" s="1140" t="str">
        <f>G!C236</f>
        <v>1 M2 Atap Skylight (Polycarbonate + Besi Hollow 5/10/1,7)</v>
      </c>
      <c r="D130" s="1090"/>
      <c r="E130" s="1091"/>
      <c r="F130" s="1155">
        <f>G!$H$248</f>
        <v>456590.45014247444</v>
      </c>
    </row>
    <row r="131" spans="2:6">
      <c r="B131" s="1154">
        <v>27</v>
      </c>
      <c r="C131" s="1140" t="str">
        <f>G!C264</f>
        <v>1 M2 Atap Akrilik + rangka besi hollow</v>
      </c>
      <c r="D131" s="1090"/>
      <c r="E131" s="1091"/>
      <c r="F131" s="1155">
        <f>G!H273</f>
        <v>979091</v>
      </c>
    </row>
    <row r="132" spans="2:6">
      <c r="B132" s="1220">
        <v>28</v>
      </c>
      <c r="C132" s="1219" t="str">
        <f>G!C274</f>
        <v>1 M2 Pasang Ujung Nok Kanan dan Kiri</v>
      </c>
      <c r="D132" s="1182"/>
      <c r="E132" s="1205"/>
      <c r="F132" s="1155">
        <f>G!H282</f>
        <v>314085</v>
      </c>
    </row>
    <row r="133" spans="2:6">
      <c r="B133" s="1220">
        <v>29</v>
      </c>
      <c r="C133" s="1219" t="str">
        <f>G!C283</f>
        <v>1 M2 Pasang Nok 3 arah</v>
      </c>
      <c r="D133" s="1182"/>
      <c r="E133" s="1205"/>
      <c r="F133" s="1155">
        <f>G!H291</f>
        <v>239885</v>
      </c>
    </row>
    <row r="134" spans="2:6">
      <c r="B134" s="1220">
        <v>30</v>
      </c>
      <c r="C134" s="1219" t="str">
        <f>G!$C$292</f>
        <v>1 M2 Pasang Atap Kaca Temperred 10 mm</v>
      </c>
      <c r="D134" s="1182"/>
      <c r="E134" s="1205"/>
      <c r="F134" s="1155">
        <f>G!$H$300</f>
        <v>438980</v>
      </c>
    </row>
    <row r="135" spans="2:6">
      <c r="B135" s="1156"/>
      <c r="C135" s="1145"/>
      <c r="D135" s="1146"/>
      <c r="E135" s="1147"/>
      <c r="F135" s="1157"/>
    </row>
    <row r="136" spans="2:6">
      <c r="B136" s="1160" t="s">
        <v>1314</v>
      </c>
      <c r="C136" s="1143" t="s">
        <v>1315</v>
      </c>
      <c r="D136" s="1090"/>
      <c r="E136" s="1091"/>
      <c r="F136" s="1155"/>
    </row>
    <row r="137" spans="2:6">
      <c r="B137" s="1154">
        <v>1</v>
      </c>
      <c r="C137" s="1140" t="str">
        <f>H!C6</f>
        <v>1 M2 Langit-langit Akustik ( 60 x 120 ) cm + Rangka Alluminium</v>
      </c>
      <c r="D137" s="1090"/>
      <c r="E137" s="1091"/>
      <c r="F137" s="1155">
        <f>H!H16</f>
        <v>276890</v>
      </c>
    </row>
    <row r="138" spans="2:6">
      <c r="B138" s="1154">
        <f>B137+1</f>
        <v>2</v>
      </c>
      <c r="C138" s="1140" t="str">
        <f>H!C17</f>
        <v>1 M2 Langit-langit Gypsum Board, tebal 9 mm + rangka besi hollow</v>
      </c>
      <c r="D138" s="1090"/>
      <c r="E138" s="1091"/>
      <c r="F138" s="1155">
        <f>H!H30</f>
        <v>102421</v>
      </c>
    </row>
    <row r="139" spans="2:6">
      <c r="B139" s="1154">
        <f>B138+1</f>
        <v>3</v>
      </c>
      <c r="C139" s="1140" t="str">
        <f>H!C31</f>
        <v>1 M2 Langit-langit Gypsum WR t = 9 mm + rangka besi hollow</v>
      </c>
      <c r="D139" s="1090"/>
      <c r="E139" s="1091"/>
      <c r="F139" s="1155">
        <f>H!H44</f>
        <v>113341</v>
      </c>
    </row>
    <row r="140" spans="2:6">
      <c r="B140" s="1154">
        <f>B139+1</f>
        <v>4</v>
      </c>
      <c r="C140" s="1140" t="str">
        <f>H!C45</f>
        <v>1 M¹ List Langit-langit Gypsum 10 cm</v>
      </c>
      <c r="D140" s="1090"/>
      <c r="E140" s="1091"/>
      <c r="F140" s="1155">
        <f>H!H53</f>
        <v>29890</v>
      </c>
    </row>
    <row r="141" spans="2:6">
      <c r="B141" s="1154">
        <v>5</v>
      </c>
      <c r="C141" s="1140" t="str">
        <f>H!C54</f>
        <v>1 M2 Langit-langit Calsiboard 3 mm + rangka besi hollow</v>
      </c>
      <c r="D141" s="1090"/>
      <c r="E141" s="1091"/>
      <c r="F141" s="1155">
        <f>H!H67</f>
        <v>90591</v>
      </c>
    </row>
    <row r="142" spans="2:6">
      <c r="B142" s="1180">
        <v>6</v>
      </c>
      <c r="C142" s="1181" t="str">
        <f>H!C68</f>
        <v>1 M2 Langit-langit Ply Wood 3 mm + rangka besi hollow</v>
      </c>
      <c r="D142" s="1182"/>
      <c r="E142" s="1183"/>
      <c r="F142" s="1155">
        <f>H!$H$81</f>
        <v>118255</v>
      </c>
    </row>
    <row r="143" spans="2:6">
      <c r="B143" s="1156"/>
      <c r="C143" s="1145"/>
      <c r="D143" s="1146"/>
      <c r="E143" s="1147"/>
      <c r="F143" s="1157"/>
    </row>
    <row r="144" spans="2:6">
      <c r="B144" s="1160" t="s">
        <v>1316</v>
      </c>
      <c r="C144" s="1143" t="s">
        <v>1317</v>
      </c>
      <c r="D144" s="1090"/>
      <c r="E144" s="1091"/>
      <c r="F144" s="1155"/>
    </row>
    <row r="145" spans="2:6">
      <c r="B145" s="1154">
        <v>1</v>
      </c>
      <c r="C145" s="1140" t="str">
        <f>I!C6</f>
        <v>1 M2 Lantai Granite Tile 60x60 Ex. Niro Granite Bianco Luna GBL01 Silky White</v>
      </c>
      <c r="D145" s="1090"/>
      <c r="E145" s="1091"/>
      <c r="F145" s="1155">
        <f>I!H16</f>
        <v>252629</v>
      </c>
    </row>
    <row r="146" spans="2:6">
      <c r="B146" s="1154">
        <f>B145+1</f>
        <v>2</v>
      </c>
      <c r="C146" s="1140" t="str">
        <f>I!C17</f>
        <v>1 M¹ Plint Granite Tile uk. 10 x 80 cm Setara Indogress</v>
      </c>
      <c r="D146" s="1090"/>
      <c r="E146" s="1091"/>
      <c r="F146" s="1155">
        <f>I!H27</f>
        <v>34318</v>
      </c>
    </row>
    <row r="147" spans="2:6">
      <c r="B147" s="1154">
        <f t="shared" ref="B147:B163" si="3">B146+1</f>
        <v>3</v>
      </c>
      <c r="C147" s="1140" t="str">
        <f>I!C28</f>
        <v>1 M2 Lantai Keramik area service uk. 60x60 cm Setara KIA Siena Ivory</v>
      </c>
      <c r="D147" s="1090"/>
      <c r="E147" s="1091"/>
      <c r="F147" s="1155">
        <f>I!H38</f>
        <v>281446</v>
      </c>
    </row>
    <row r="148" spans="2:6">
      <c r="B148" s="1154">
        <f t="shared" si="3"/>
        <v>4</v>
      </c>
      <c r="C148" s="1140" t="str">
        <f>I!C39</f>
        <v>1 M2 Lantai Granite Tile 80x80 Ex. Niro Granite Lux 3.0 GLX83 Carnelia</v>
      </c>
      <c r="D148" s="1090"/>
      <c r="E148" s="1091"/>
      <c r="F148" s="1155">
        <f>I!H49</f>
        <v>310379</v>
      </c>
    </row>
    <row r="149" spans="2:6">
      <c r="B149" s="1154">
        <f t="shared" si="3"/>
        <v>5</v>
      </c>
      <c r="C149" s="1140" t="str">
        <f>I!C50</f>
        <v>1 M¹ Plint Granite Tile uk. 10 x 60 cm Setara Roman Granit</v>
      </c>
      <c r="D149" s="1090"/>
      <c r="E149" s="1091"/>
      <c r="F149" s="1155">
        <f>I!H60</f>
        <v>40368</v>
      </c>
    </row>
    <row r="150" spans="2:6">
      <c r="B150" s="1154">
        <f t="shared" si="3"/>
        <v>6</v>
      </c>
      <c r="C150" s="1140" t="str">
        <f>I!C61</f>
        <v>1 M2 Lantai Keramik Kasar area service uk. 40 x 40 cm Setara KIA Terazo</v>
      </c>
      <c r="D150" s="1090"/>
      <c r="E150" s="1091"/>
      <c r="F150" s="1155">
        <f>I!H71</f>
        <v>167054</v>
      </c>
    </row>
    <row r="151" spans="2:6">
      <c r="B151" s="1154">
        <f t="shared" si="3"/>
        <v>7</v>
      </c>
      <c r="C151" s="1140" t="str">
        <f>I!C72</f>
        <v>1 M2 Lantai Keramik Area Service uk. 40 x 40 cm Setara KIA Monza Crema</v>
      </c>
      <c r="D151" s="1090"/>
      <c r="E151" s="1091"/>
      <c r="F151" s="1155">
        <f>I!H82</f>
        <v>158129</v>
      </c>
    </row>
    <row r="152" spans="2:6">
      <c r="B152" s="1154">
        <f t="shared" si="3"/>
        <v>8</v>
      </c>
      <c r="C152" s="1140" t="str">
        <f>I!C83</f>
        <v>1 M2 Lantai Keramik 30x30 Ex. Roman dBorra Grey G330519</v>
      </c>
      <c r="D152" s="1090"/>
      <c r="E152" s="1091"/>
      <c r="F152" s="1155">
        <f>I!H93</f>
        <v>204340</v>
      </c>
    </row>
    <row r="153" spans="2:6">
      <c r="B153" s="1154">
        <f t="shared" si="3"/>
        <v>9</v>
      </c>
      <c r="C153" s="1250" t="str">
        <f>I!C94</f>
        <v>1 M2 Lantai Granite Unpolished area KM/WC uk. 60 x 60 cm Setara Roman Granit</v>
      </c>
      <c r="D153" s="1251"/>
      <c r="E153" s="1271"/>
      <c r="F153" s="1155">
        <f>I!$H$104</f>
        <v>192779</v>
      </c>
    </row>
    <row r="154" spans="2:6">
      <c r="B154" s="1154">
        <f t="shared" si="3"/>
        <v>10</v>
      </c>
      <c r="C154" s="1140" t="str">
        <f>I!C105</f>
        <v>1 M2 Lantai Batu Andesit Bintik uk. 50 x 50 cm Finishing Polished</v>
      </c>
      <c r="D154" s="1090"/>
      <c r="E154" s="1091"/>
      <c r="F154" s="1155">
        <f>I!$H$115</f>
        <v>297779</v>
      </c>
    </row>
    <row r="155" spans="2:6">
      <c r="B155" s="1154">
        <f t="shared" si="3"/>
        <v>11</v>
      </c>
      <c r="C155" s="1140" t="str">
        <f>I!C116</f>
        <v xml:space="preserve">1 M2 Lantai Keramik Mozaik uk. 30 x 30 cm setara Kuda Laut </v>
      </c>
      <c r="D155" s="1090"/>
      <c r="E155" s="1091"/>
      <c r="F155" s="1155">
        <f>I!H126</f>
        <v>139643</v>
      </c>
    </row>
    <row r="156" spans="2:6">
      <c r="B156" s="1154">
        <f t="shared" si="3"/>
        <v>12</v>
      </c>
      <c r="C156" s="1140" t="str">
        <f>I!C127</f>
        <v>1 M2 Lantai Marmer Alam Setara Ujung Pandang</v>
      </c>
      <c r="D156" s="1090"/>
      <c r="E156" s="1091"/>
      <c r="F156" s="1155">
        <f>I!H137</f>
        <v>965705</v>
      </c>
    </row>
    <row r="157" spans="2:6">
      <c r="B157" s="1154">
        <f t="shared" si="3"/>
        <v>13</v>
      </c>
      <c r="C157" s="1140" t="str">
        <f>I!C138</f>
        <v>1 M¹ Plint Marmer Alam setara Ujung Pandang</v>
      </c>
      <c r="D157" s="1090"/>
      <c r="E157" s="1091"/>
      <c r="F157" s="1155">
        <f>I!H148</f>
        <v>247338</v>
      </c>
    </row>
    <row r="158" spans="2:6">
      <c r="B158" s="1154">
        <f t="shared" si="3"/>
        <v>14</v>
      </c>
      <c r="C158" s="1140" t="str">
        <f>I!C149</f>
        <v>1 M2 Lantai Parquet Jati</v>
      </c>
      <c r="D158" s="1090"/>
      <c r="E158" s="1091"/>
      <c r="F158" s="1155">
        <f>I!H157</f>
        <v>381250</v>
      </c>
    </row>
    <row r="159" spans="2:6">
      <c r="B159" s="1154">
        <f t="shared" si="3"/>
        <v>15</v>
      </c>
      <c r="C159" s="1140" t="str">
        <f>I!C158</f>
        <v>1 M2 Lantai Parquet Jati</v>
      </c>
      <c r="D159" s="1090"/>
      <c r="E159" s="1091"/>
      <c r="F159" s="1155">
        <f>I!H166</f>
        <v>430600</v>
      </c>
    </row>
    <row r="160" spans="2:6">
      <c r="B160" s="1154">
        <f t="shared" si="3"/>
        <v>16</v>
      </c>
      <c r="C160" s="1140" t="str">
        <f>I!C167</f>
        <v xml:space="preserve">1 M2 Lantai Kayu Ulin Kalimantan </v>
      </c>
      <c r="D160" s="1090"/>
      <c r="E160" s="1091"/>
      <c r="F160" s="1155">
        <f>I!H175</f>
        <v>1231750</v>
      </c>
    </row>
    <row r="161" spans="2:6">
      <c r="B161" s="1154">
        <f t="shared" si="3"/>
        <v>17</v>
      </c>
      <c r="C161" s="1140" t="str">
        <f>I!C176</f>
        <v>1 M2 Paving block natural 6 cm</v>
      </c>
      <c r="D161" s="1090"/>
      <c r="E161" s="1091"/>
      <c r="F161" s="1155">
        <f>I!H184</f>
        <v>226250</v>
      </c>
    </row>
    <row r="162" spans="2:6">
      <c r="B162" s="1154">
        <f t="shared" si="3"/>
        <v>18</v>
      </c>
      <c r="C162" s="1140" t="str">
        <f>I!C185</f>
        <v>1 M2 Grass Block 20 x 20</v>
      </c>
      <c r="D162" s="1090"/>
      <c r="E162" s="1091"/>
      <c r="F162" s="1155">
        <f>I!H193</f>
        <v>518300</v>
      </c>
    </row>
    <row r="163" spans="2:6">
      <c r="B163" s="1154">
        <f t="shared" si="3"/>
        <v>19</v>
      </c>
      <c r="C163" s="1140" t="str">
        <f>I!C194</f>
        <v>1 M2 Pemasangan Lantai Koral Sikat</v>
      </c>
      <c r="D163" s="1090"/>
      <c r="E163" s="1091"/>
      <c r="F163" s="1155">
        <f>I!H204</f>
        <v>233663</v>
      </c>
    </row>
    <row r="164" spans="2:6">
      <c r="B164" s="1154">
        <f>B163+1</f>
        <v>20</v>
      </c>
      <c r="C164" s="1144" t="str">
        <f>I!C205</f>
        <v>1 M2 Lantai Parket WPC</v>
      </c>
      <c r="D164" s="1117"/>
      <c r="E164" s="1118"/>
      <c r="F164" s="1155">
        <f>I!H214</f>
        <v>669990</v>
      </c>
    </row>
    <row r="165" spans="2:6">
      <c r="B165" s="1154">
        <f>B164+1</f>
        <v>21</v>
      </c>
      <c r="C165" s="1786" t="str">
        <f>I!$C$215</f>
        <v>1 M2 Lantai Batu Andesit Bintik 50x50  Finishing Polished</v>
      </c>
      <c r="D165" s="1787"/>
      <c r="E165" s="1788"/>
      <c r="F165" s="1700">
        <f>I!$H$225</f>
        <v>274322</v>
      </c>
    </row>
    <row r="166" spans="2:6">
      <c r="B166" s="1154">
        <f>B165+1</f>
        <v>22</v>
      </c>
      <c r="C166" s="1786" t="str">
        <f>I!$C$226</f>
        <v>1 M2 Lantai Keramik uk. 30 x 60 cm Setara COTTO</v>
      </c>
      <c r="D166" s="1787"/>
      <c r="E166" s="1788"/>
      <c r="F166" s="1700">
        <f>I!$H$236</f>
        <v>314222</v>
      </c>
    </row>
    <row r="167" spans="2:6">
      <c r="B167" s="1154">
        <f>B166+1</f>
        <v>23</v>
      </c>
      <c r="C167" s="1786" t="str">
        <f>I!$C$237</f>
        <v>1 M2 Lantai Batu Tempel Hitam</v>
      </c>
      <c r="D167" s="1787"/>
      <c r="E167" s="1788"/>
      <c r="F167" s="1700">
        <f>I!$H$247</f>
        <v>153572</v>
      </c>
    </row>
    <row r="168" spans="2:6">
      <c r="B168" s="1156"/>
      <c r="C168" s="1145"/>
      <c r="D168" s="1146"/>
      <c r="E168" s="1147"/>
      <c r="F168" s="1157"/>
    </row>
    <row r="169" spans="2:6">
      <c r="B169" s="1160" t="s">
        <v>1318</v>
      </c>
      <c r="C169" s="1143" t="s">
        <v>1319</v>
      </c>
      <c r="D169" s="1090"/>
      <c r="E169" s="1091"/>
      <c r="F169" s="1155"/>
    </row>
    <row r="170" spans="2:6">
      <c r="B170" s="1154">
        <v>1</v>
      </c>
      <c r="C170" s="1140" t="str">
        <f>J!C6</f>
        <v>1 M3 Kusen Pintu &amp; jendela kayu Kamper Samarinda</v>
      </c>
      <c r="D170" s="1090"/>
      <c r="E170" s="1091"/>
      <c r="F170" s="1155">
        <f>J!H13</f>
        <v>20677333</v>
      </c>
    </row>
    <row r="171" spans="2:6">
      <c r="B171" s="1154">
        <f t="shared" ref="B171:B180" si="4">B170+1</f>
        <v>2</v>
      </c>
      <c r="C171" s="1140" t="str">
        <f>J!C14</f>
        <v>1 M2 Pintu Panel Kayu Kamper Samarinda</v>
      </c>
      <c r="D171" s="1090"/>
      <c r="E171" s="1091"/>
      <c r="F171" s="1155">
        <f>J!H22</f>
        <v>1195283</v>
      </c>
    </row>
    <row r="172" spans="2:6">
      <c r="B172" s="1154">
        <f t="shared" si="4"/>
        <v>3</v>
      </c>
      <c r="C172" s="1140" t="str">
        <f>J!C23</f>
        <v>1 M2 Pintu Triplek Rangkap, Rangka Tertutup Kayu Kamper Samarinda</v>
      </c>
      <c r="D172" s="1090"/>
      <c r="E172" s="1091"/>
      <c r="F172" s="1155">
        <f>J!H33</f>
        <v>853394</v>
      </c>
    </row>
    <row r="173" spans="2:6">
      <c r="B173" s="1154">
        <f t="shared" si="4"/>
        <v>4</v>
      </c>
      <c r="C173" s="1140" t="str">
        <f>J!C34</f>
        <v>1 M3 Kusen Pintu &amp; jendela kayu Merbau</v>
      </c>
      <c r="D173" s="1090"/>
      <c r="E173" s="1091"/>
      <c r="F173" s="1155">
        <f>J!$H$41</f>
        <v>39050000</v>
      </c>
    </row>
    <row r="174" spans="2:6">
      <c r="B174" s="1154">
        <f t="shared" si="4"/>
        <v>5</v>
      </c>
      <c r="C174" s="1140" t="str">
        <f>J!C42</f>
        <v>1 M2 Pintu Panel Kayu Merbau</v>
      </c>
      <c r="D174" s="1090"/>
      <c r="E174" s="1091"/>
      <c r="F174" s="1155">
        <f>J!$H$50</f>
        <v>1783688</v>
      </c>
    </row>
    <row r="175" spans="2:6">
      <c r="B175" s="1154">
        <f t="shared" si="4"/>
        <v>6</v>
      </c>
      <c r="C175" s="1140" t="str">
        <f>J!C51</f>
        <v>1 M3 Kusen Pintu &amp; jendela kayu Bengirai</v>
      </c>
      <c r="D175" s="1090"/>
      <c r="E175" s="1091"/>
      <c r="F175" s="1155">
        <f>J!H58</f>
        <v>15750000</v>
      </c>
    </row>
    <row r="176" spans="2:6">
      <c r="B176" s="1154">
        <f t="shared" si="4"/>
        <v>7</v>
      </c>
      <c r="C176" s="1140" t="str">
        <f>J!C59</f>
        <v>1 M2 Pintu Panel Kayu Bengirai</v>
      </c>
      <c r="D176" s="1090"/>
      <c r="E176" s="1091"/>
      <c r="F176" s="1155">
        <f>J!H67</f>
        <v>1023688</v>
      </c>
    </row>
    <row r="177" spans="2:6">
      <c r="B177" s="1154">
        <f t="shared" si="4"/>
        <v>8</v>
      </c>
      <c r="C177" s="1140" t="str">
        <f>J!C68</f>
        <v>1 M3 Kusen Pintu &amp; jendela kayu Jati</v>
      </c>
      <c r="D177" s="1090"/>
      <c r="E177" s="1091"/>
      <c r="F177" s="1155">
        <f>J!$H$75</f>
        <v>57750000</v>
      </c>
    </row>
    <row r="178" spans="2:6">
      <c r="B178" s="1154">
        <f t="shared" si="4"/>
        <v>9</v>
      </c>
      <c r="C178" s="1140" t="str">
        <f>J!C76</f>
        <v>1 M2 Pintu Panel Kayu Jati</v>
      </c>
      <c r="D178" s="1090"/>
      <c r="E178" s="1091"/>
      <c r="F178" s="1155">
        <f>J!$H$84</f>
        <v>2373688</v>
      </c>
    </row>
    <row r="179" spans="2:6">
      <c r="B179" s="1154">
        <f t="shared" si="4"/>
        <v>10</v>
      </c>
      <c r="C179" s="1140" t="str">
        <f>J!$C$85</f>
        <v>1 M2 Sunscreen kayu Kamper Samarinda</v>
      </c>
      <c r="D179" s="1090"/>
      <c r="E179" s="1091"/>
      <c r="F179" s="1155">
        <f>J!$H$92</f>
        <v>18894000</v>
      </c>
    </row>
    <row r="180" spans="2:6">
      <c r="B180" s="1154">
        <f t="shared" si="4"/>
        <v>11</v>
      </c>
      <c r="C180" s="1140" t="str">
        <f>J!$C$93</f>
        <v>1 M2 Jendela Kayu Kamper Samarinda</v>
      </c>
      <c r="D180" s="1090"/>
      <c r="E180" s="1091"/>
      <c r="F180" s="1155">
        <f>J!$I$95</f>
        <v>196898.00666666689</v>
      </c>
    </row>
    <row r="181" spans="2:6">
      <c r="B181" s="1156"/>
      <c r="C181" s="1145"/>
      <c r="D181" s="1146"/>
      <c r="E181" s="1147"/>
      <c r="F181" s="1157"/>
    </row>
    <row r="182" spans="2:6">
      <c r="B182" s="1160" t="s">
        <v>1320</v>
      </c>
      <c r="C182" s="1143" t="s">
        <v>1321</v>
      </c>
      <c r="D182" s="1090"/>
      <c r="E182" s="1091"/>
      <c r="F182" s="1155"/>
    </row>
    <row r="183" spans="2:6">
      <c r="B183" s="1154">
        <v>1</v>
      </c>
      <c r="C183" s="1140" t="str">
        <f>K!C6</f>
        <v>1 Cm Pengelasan dengan las listrik</v>
      </c>
      <c r="D183" s="1090"/>
      <c r="E183" s="1091"/>
      <c r="F183" s="1155">
        <f>K!H14</f>
        <v>1890</v>
      </c>
    </row>
    <row r="184" spans="2:6">
      <c r="B184" s="1154">
        <f>B183+1</f>
        <v>2</v>
      </c>
      <c r="C184" s="1140" t="str">
        <f>K!C15</f>
        <v>1 m2 Pintu Rolling Door</v>
      </c>
      <c r="D184" s="1090"/>
      <c r="E184" s="1091"/>
      <c r="F184" s="1155">
        <f>K!H22</f>
        <v>707286</v>
      </c>
    </row>
    <row r="185" spans="2:6">
      <c r="B185" s="1154">
        <f t="shared" ref="B185:B191" si="5">B184+1</f>
        <v>3</v>
      </c>
      <c r="C185" s="1140" t="str">
        <f>K!C23</f>
        <v>1 m2 Pintu Alluminium  Natural</v>
      </c>
      <c r="D185" s="1090"/>
      <c r="E185" s="1091"/>
      <c r="F185" s="1155">
        <f>K!H30</f>
        <v>1088636</v>
      </c>
    </row>
    <row r="186" spans="2:6">
      <c r="B186" s="1154">
        <f t="shared" si="5"/>
        <v>4</v>
      </c>
      <c r="C186" s="1140" t="str">
        <f>K!C31</f>
        <v>1 m2 Teralis Besi</v>
      </c>
      <c r="D186" s="1090"/>
      <c r="E186" s="1091"/>
      <c r="F186" s="1155">
        <f>K!H38</f>
        <v>745473</v>
      </c>
    </row>
    <row r="187" spans="2:6">
      <c r="B187" s="1154">
        <f t="shared" si="5"/>
        <v>5</v>
      </c>
      <c r="C187" s="1140" t="str">
        <f>K!C39</f>
        <v>1 m2 Kawat Harmonika 4 cm</v>
      </c>
      <c r="D187" s="1090"/>
      <c r="E187" s="1091"/>
      <c r="F187" s="1155">
        <f>K!H48</f>
        <v>64030</v>
      </c>
    </row>
    <row r="188" spans="2:6">
      <c r="B188" s="1154">
        <f t="shared" si="5"/>
        <v>6</v>
      </c>
      <c r="C188" s="1140" t="str">
        <f>K!C49</f>
        <v>1 m' Talang Datar, Seng BJLS 28 lebar 90 cm</v>
      </c>
      <c r="D188" s="1090"/>
      <c r="E188" s="1091"/>
      <c r="F188" s="1155">
        <f>K!H59</f>
        <v>147175</v>
      </c>
    </row>
    <row r="189" spans="2:6">
      <c r="B189" s="1154">
        <f t="shared" si="5"/>
        <v>7</v>
      </c>
      <c r="C189" s="1140" t="str">
        <f>K!C60</f>
        <v>1 m' Talang Miring, Seng BJLS 28 lebar 90 cm</v>
      </c>
      <c r="D189" s="1090"/>
      <c r="E189" s="1091"/>
      <c r="F189" s="1155">
        <f>K!H70</f>
        <v>176323</v>
      </c>
    </row>
    <row r="190" spans="2:6">
      <c r="B190" s="1154">
        <f t="shared" si="5"/>
        <v>8</v>
      </c>
      <c r="C190" s="1140" t="str">
        <f>K!C71</f>
        <v>1 m' Talang 1/2 lingkaran D-15 cm, seng pelat BJLS 28 lebar 90 cm</v>
      </c>
      <c r="D190" s="1090"/>
      <c r="E190" s="1091"/>
      <c r="F190" s="1155">
        <f>K!H81</f>
        <v>161132</v>
      </c>
    </row>
    <row r="191" spans="2:6">
      <c r="B191" s="1154">
        <f t="shared" si="5"/>
        <v>9</v>
      </c>
      <c r="C191" s="1140" t="str">
        <f>K!C82</f>
        <v>1 m' Pasang kusen pintu/jendela alluminium warna 4"</v>
      </c>
      <c r="D191" s="1090"/>
      <c r="E191" s="1091"/>
      <c r="F191" s="1155">
        <f>K!H91</f>
        <v>105337</v>
      </c>
    </row>
    <row r="192" spans="2:6">
      <c r="B192" s="1154">
        <f>B191+1</f>
        <v>10</v>
      </c>
      <c r="C192" s="1140" t="str">
        <f>K!C92</f>
        <v>1 m' Pasang kusen pintu/jendela alluminium warna 3"</v>
      </c>
      <c r="D192" s="1090"/>
      <c r="E192" s="1091"/>
      <c r="F192" s="1155">
        <f>K!H101</f>
        <v>83337</v>
      </c>
    </row>
    <row r="193" spans="2:6">
      <c r="B193" s="1154">
        <f t="shared" ref="B193:B207" si="6">B192+1</f>
        <v>11</v>
      </c>
      <c r="C193" s="1642" t="str">
        <f>K!C190</f>
        <v>1 m' Pasang kusen pintu/jendela UPVC</v>
      </c>
      <c r="D193" s="1643"/>
      <c r="E193" s="1644"/>
      <c r="F193" s="1645">
        <f>K!H199</f>
        <v>259337</v>
      </c>
    </row>
    <row r="194" spans="2:6">
      <c r="B194" s="1154">
        <f t="shared" si="6"/>
        <v>12</v>
      </c>
      <c r="C194" s="1642" t="str">
        <f>K!C200</f>
        <v>1 m1 Pasang Pintu/jendela kaca rangka UPVC</v>
      </c>
      <c r="D194" s="1643"/>
      <c r="E194" s="1644"/>
      <c r="F194" s="1645">
        <f>K!H209</f>
        <v>528305</v>
      </c>
    </row>
    <row r="195" spans="2:6">
      <c r="B195" s="1154">
        <f t="shared" si="6"/>
        <v>13</v>
      </c>
      <c r="C195" s="1140" t="str">
        <f>K!C102</f>
        <v>1 m' Pasang Pintu/jendela kaca rangka alluminium warna 3"</v>
      </c>
      <c r="D195" s="1090"/>
      <c r="E195" s="1091"/>
      <c r="F195" s="1155">
        <f>K!H111</f>
        <v>137405</v>
      </c>
    </row>
    <row r="196" spans="2:6">
      <c r="B196" s="1154">
        <f t="shared" si="6"/>
        <v>14</v>
      </c>
      <c r="C196" s="1140" t="str">
        <f>K!C112</f>
        <v>1 m' Pasang Pintu/jendela kaca rangka alluminium warna 4"</v>
      </c>
      <c r="D196" s="1090"/>
      <c r="E196" s="1091"/>
      <c r="F196" s="1155">
        <f>K!H121</f>
        <v>159700</v>
      </c>
    </row>
    <row r="197" spans="2:6">
      <c r="B197" s="1154">
        <f t="shared" si="6"/>
        <v>15</v>
      </c>
      <c r="C197" s="1140" t="str">
        <f>K!C122</f>
        <v>1 m2 Pasang Pintu alluminium strip lebar 8 cm</v>
      </c>
      <c r="D197" s="1090"/>
      <c r="E197" s="1091"/>
      <c r="F197" s="1155">
        <f>K!H130</f>
        <v>619861</v>
      </c>
    </row>
    <row r="198" spans="2:6">
      <c r="B198" s="1154">
        <f t="shared" si="6"/>
        <v>16</v>
      </c>
      <c r="C198" s="1140" t="str">
        <f>K!C131</f>
        <v>1 m2 Pintu lipat (folding door)bahan besi</v>
      </c>
      <c r="D198" s="1090"/>
      <c r="E198" s="1091"/>
      <c r="F198" s="1155">
        <f>K!H138</f>
        <v>729586</v>
      </c>
    </row>
    <row r="199" spans="2:6">
      <c r="B199" s="1154">
        <f t="shared" si="6"/>
        <v>17</v>
      </c>
      <c r="C199" s="1140" t="str">
        <f>K!C139</f>
        <v>1 m2 Tirai (venetions blinds and vertical blinds)</v>
      </c>
      <c r="D199" s="1090"/>
      <c r="E199" s="1091"/>
      <c r="F199" s="1155">
        <f>K!H146</f>
        <v>439874</v>
      </c>
    </row>
    <row r="200" spans="2:6">
      <c r="B200" s="1154">
        <f t="shared" si="6"/>
        <v>18</v>
      </c>
      <c r="C200" s="1181" t="str">
        <f>K!C147</f>
        <v>1 M2 Railing Tangga Besi Hollow</v>
      </c>
      <c r="D200" s="1182"/>
      <c r="E200" s="1205"/>
      <c r="F200" s="1184">
        <f>K!H160</f>
        <v>305297</v>
      </c>
    </row>
    <row r="201" spans="2:6">
      <c r="B201" s="1154">
        <f t="shared" si="6"/>
        <v>19</v>
      </c>
      <c r="C201" s="1181" t="str">
        <f>K!C161</f>
        <v>1 M2 Railing Void Besi Hollow</v>
      </c>
      <c r="D201" s="1182"/>
      <c r="E201" s="1205"/>
      <c r="F201" s="1184">
        <f>K!H174</f>
        <v>342480</v>
      </c>
    </row>
    <row r="202" spans="2:6">
      <c r="B202" s="1154">
        <f t="shared" si="6"/>
        <v>20</v>
      </c>
      <c r="C202" s="1140" t="str">
        <f>K!C175</f>
        <v>1 M2 Railing Pagar</v>
      </c>
      <c r="D202" s="1090"/>
      <c r="E202" s="1091"/>
      <c r="F202" s="1155">
        <f>K!H189</f>
        <v>619394</v>
      </c>
    </row>
    <row r="203" spans="2:6">
      <c r="B203" s="1154">
        <f t="shared" si="6"/>
        <v>21</v>
      </c>
      <c r="C203" s="1140" t="str">
        <f>K!$C$210</f>
        <v>1 m2 Pintu UPVC  Natural</v>
      </c>
      <c r="D203" s="1090"/>
      <c r="E203" s="1091"/>
      <c r="F203" s="1155">
        <f>K!$H$217</f>
        <v>1229586</v>
      </c>
    </row>
    <row r="204" spans="2:6">
      <c r="B204" s="1154">
        <f t="shared" si="6"/>
        <v>22</v>
      </c>
      <c r="C204" s="1140" t="str">
        <f>K!$C$229</f>
        <v>1 M2 Pas. Sunscreen Hollow 4/8</v>
      </c>
      <c r="D204" s="1090"/>
      <c r="E204" s="1091"/>
      <c r="F204" s="1155">
        <f>K!$H$239</f>
        <v>962059</v>
      </c>
    </row>
    <row r="205" spans="2:6">
      <c r="B205" s="1154">
        <f t="shared" si="6"/>
        <v>23</v>
      </c>
      <c r="C205" s="1140" t="str">
        <f>K!$C$240</f>
        <v>1 M' Pas. Besi Hollow 5/5/1,1 mm</v>
      </c>
      <c r="D205" s="1090"/>
      <c r="E205" s="1091"/>
      <c r="F205" s="1155">
        <f>K!$H$253</f>
        <v>247371</v>
      </c>
    </row>
    <row r="206" spans="2:6">
      <c r="B206" s="1154">
        <f t="shared" si="6"/>
        <v>24</v>
      </c>
      <c r="C206" s="1140" t="str">
        <f>K!$C$254</f>
        <v>1 M2 Pas. Sunscreen Hollow 50x100x1,4 mm</v>
      </c>
      <c r="D206" s="1090"/>
      <c r="E206" s="1091"/>
      <c r="F206" s="1155">
        <f>K!$H$265</f>
        <v>685533</v>
      </c>
    </row>
    <row r="207" spans="2:6">
      <c r="B207" s="1154">
        <f t="shared" si="6"/>
        <v>25</v>
      </c>
      <c r="C207" s="1140" t="str">
        <f>K!$C$266</f>
        <v>1 M2 Cutting Plat besi 2 mm</v>
      </c>
      <c r="D207" s="1090"/>
      <c r="E207" s="1091"/>
      <c r="F207" s="1155">
        <f>K!$H$270</f>
        <v>464240</v>
      </c>
    </row>
    <row r="208" spans="2:6">
      <c r="B208" s="1156"/>
      <c r="C208" s="1145"/>
      <c r="D208" s="1146"/>
      <c r="E208" s="1147"/>
      <c r="F208" s="1157"/>
    </row>
    <row r="209" spans="2:6">
      <c r="B209" s="1160" t="s">
        <v>1322</v>
      </c>
      <c r="C209" s="1143" t="s">
        <v>1323</v>
      </c>
      <c r="D209" s="1090"/>
      <c r="E209" s="1091"/>
      <c r="F209" s="1155"/>
    </row>
    <row r="210" spans="2:6">
      <c r="B210" s="1154">
        <v>1</v>
      </c>
      <c r="C210" s="1140" t="str">
        <f>L!$C$6</f>
        <v>1 Buah Pasang Kunci  setara Solid</v>
      </c>
      <c r="D210" s="1090"/>
      <c r="E210" s="1091"/>
      <c r="F210" s="1155">
        <f>L!H13</f>
        <v>293700</v>
      </c>
    </row>
    <row r="211" spans="2:6">
      <c r="B211" s="1154">
        <f t="shared" ref="B211:B227" si="7">B210+1</f>
        <v>2</v>
      </c>
      <c r="C211" s="1140" t="str">
        <f>L!$C$14</f>
        <v>1 Buah Pasang Kunci Tanam  setara Solid</v>
      </c>
      <c r="D211" s="1090"/>
      <c r="E211" s="1091"/>
      <c r="F211" s="1155">
        <f>L!H21</f>
        <v>176760</v>
      </c>
    </row>
    <row r="212" spans="2:6">
      <c r="B212" s="1154">
        <f t="shared" si="7"/>
        <v>3</v>
      </c>
      <c r="C212" s="1140" t="str">
        <f>L!$C$22</f>
        <v xml:space="preserve">1 Buah Pasang Kunci Grendel Jendela </v>
      </c>
      <c r="D212" s="1090"/>
      <c r="E212" s="1091"/>
      <c r="F212" s="1155">
        <f>L!H29</f>
        <v>138760</v>
      </c>
    </row>
    <row r="213" spans="2:6">
      <c r="B213" s="1154">
        <f t="shared" si="7"/>
        <v>4</v>
      </c>
      <c r="C213" s="1140" t="str">
        <f>L!$C$30</f>
        <v>1 Buah Pasang Engsel Jendela Kupu-kupu setara Solid</v>
      </c>
      <c r="D213" s="1090"/>
      <c r="E213" s="1091"/>
      <c r="F213" s="1155">
        <f>L!H37</f>
        <v>58450</v>
      </c>
    </row>
    <row r="214" spans="2:6">
      <c r="B214" s="1154">
        <f t="shared" si="7"/>
        <v>5</v>
      </c>
      <c r="C214" s="1140" t="str">
        <f>L!$C$38</f>
        <v>1 Buah Pasang Engsel Jendela Casement</v>
      </c>
      <c r="D214" s="1090"/>
      <c r="E214" s="1091"/>
      <c r="F214" s="1155">
        <f>L!H45</f>
        <v>65450</v>
      </c>
    </row>
    <row r="215" spans="2:6">
      <c r="B215" s="1154">
        <f t="shared" si="7"/>
        <v>6</v>
      </c>
      <c r="C215" s="1140" t="str">
        <f>L!$C$46</f>
        <v>1 Buah Pasang Engsel Pintu Kupu-kupu setara Solid</v>
      </c>
      <c r="D215" s="1090"/>
      <c r="E215" s="1091"/>
      <c r="F215" s="1155">
        <f>L!H53</f>
        <v>151950</v>
      </c>
    </row>
    <row r="216" spans="2:6">
      <c r="B216" s="1154">
        <f t="shared" si="7"/>
        <v>7</v>
      </c>
      <c r="C216" s="1140" t="str">
        <f>L!$C$54</f>
        <v>1 Buah Pasang Kait Angin</v>
      </c>
      <c r="D216" s="1090"/>
      <c r="E216" s="1091"/>
      <c r="F216" s="1155">
        <f>L!H61</f>
        <v>48434</v>
      </c>
    </row>
    <row r="217" spans="2:6">
      <c r="B217" s="1154">
        <f t="shared" si="7"/>
        <v>8</v>
      </c>
      <c r="C217" s="1140" t="str">
        <f>L!$C$62</f>
        <v>1 Buah Pasang Door Closer</v>
      </c>
      <c r="D217" s="1090"/>
      <c r="E217" s="1091"/>
      <c r="F217" s="1155">
        <f>L!H69</f>
        <v>368750</v>
      </c>
    </row>
    <row r="218" spans="2:6">
      <c r="B218" s="1154">
        <f t="shared" si="7"/>
        <v>9</v>
      </c>
      <c r="C218" s="1140" t="str">
        <f>L!$C$70</f>
        <v>1 Buah Pasang Pegangan Pintu / Door Holder</v>
      </c>
      <c r="D218" s="1090"/>
      <c r="E218" s="1091"/>
      <c r="F218" s="1155">
        <f>L!H77</f>
        <v>214750</v>
      </c>
    </row>
    <row r="219" spans="2:6">
      <c r="B219" s="1154">
        <f t="shared" si="7"/>
        <v>10</v>
      </c>
      <c r="C219" s="1140" t="str">
        <f>L!$C$78</f>
        <v>1 M2 Pasang Kaca , tebal 3 mm</v>
      </c>
      <c r="D219" s="1090"/>
      <c r="E219" s="1091"/>
      <c r="F219" s="1155">
        <f>L!H85</f>
        <v>149975</v>
      </c>
    </row>
    <row r="220" spans="2:6">
      <c r="B220" s="1154">
        <f t="shared" si="7"/>
        <v>11</v>
      </c>
      <c r="C220" s="1140" t="str">
        <f>L!$C$86</f>
        <v>1 M2 Pasang Kaca Rayban , tebal 5 mm</v>
      </c>
      <c r="D220" s="1090"/>
      <c r="E220" s="1091"/>
      <c r="F220" s="1155">
        <f>L!H93</f>
        <v>154769</v>
      </c>
    </row>
    <row r="221" spans="2:6">
      <c r="B221" s="1154">
        <f t="shared" si="7"/>
        <v>12</v>
      </c>
      <c r="C221" s="1216" t="str">
        <f>L!C94</f>
        <v>1 M2 Pasang Kaca Tempered , tebal 8 mm</v>
      </c>
      <c r="D221" s="1090"/>
      <c r="E221" s="1217"/>
      <c r="F221" s="1155">
        <f>L!H101</f>
        <v>413434</v>
      </c>
    </row>
    <row r="222" spans="2:6">
      <c r="B222" s="1154">
        <f t="shared" si="7"/>
        <v>13</v>
      </c>
      <c r="C222" s="1140" t="str">
        <f>L!$C$102</f>
        <v>1 M2 Pasang Kaca Tempered , tebal 10 mm</v>
      </c>
      <c r="D222" s="1090"/>
      <c r="E222" s="1091"/>
      <c r="F222" s="1155">
        <f>L!H109</f>
        <v>438434</v>
      </c>
    </row>
    <row r="223" spans="2:6">
      <c r="B223" s="1154">
        <f t="shared" si="7"/>
        <v>14</v>
      </c>
      <c r="C223" s="1140" t="str">
        <f>L!$C$110</f>
        <v>1 M2 Pasang Kaca Inlay Tebal 5 mm</v>
      </c>
      <c r="D223" s="1090"/>
      <c r="E223" s="1091"/>
      <c r="F223" s="1155">
        <f>L!H117</f>
        <v>2528434</v>
      </c>
    </row>
    <row r="224" spans="2:6">
      <c r="B224" s="1154">
        <f t="shared" si="7"/>
        <v>15</v>
      </c>
      <c r="C224" s="1140" t="str">
        <f>L!$C$126</f>
        <v>1 Buah Pasang Handle Single setara Solid</v>
      </c>
      <c r="D224" s="1090"/>
      <c r="E224" s="1091"/>
      <c r="F224" s="1155">
        <f>L!H133</f>
        <v>293760</v>
      </c>
    </row>
    <row r="225" spans="2:6">
      <c r="B225" s="1154">
        <f t="shared" si="7"/>
        <v>16</v>
      </c>
      <c r="C225" s="1140" t="str">
        <f>L!$C$134</f>
        <v>1 Buah Pasang Handle Double setara Solid</v>
      </c>
      <c r="D225" s="1090"/>
      <c r="E225" s="1091"/>
      <c r="F225" s="1155">
        <f>L!H141</f>
        <v>548760</v>
      </c>
    </row>
    <row r="226" spans="2:6">
      <c r="B226" s="1154">
        <f t="shared" si="7"/>
        <v>17</v>
      </c>
      <c r="C226" s="1140" t="str">
        <f>L!$C$142</f>
        <v>1 Buah Pasang asesoris sliding</v>
      </c>
      <c r="D226" s="1090"/>
      <c r="E226" s="1091"/>
      <c r="F226" s="1155">
        <f>L!H149</f>
        <v>248760</v>
      </c>
    </row>
    <row r="227" spans="2:6">
      <c r="B227" s="1154">
        <f t="shared" si="7"/>
        <v>18</v>
      </c>
      <c r="C227" s="1140" t="str">
        <f>L!$C$150</f>
        <v>1 Buah Pasang Kunci Allumunium</v>
      </c>
      <c r="D227" s="1090"/>
      <c r="E227" s="1091"/>
      <c r="F227" s="1155">
        <f>L!H157</f>
        <v>97260</v>
      </c>
    </row>
    <row r="228" spans="2:6">
      <c r="B228" s="1156"/>
      <c r="C228" s="1145"/>
      <c r="D228" s="1146"/>
      <c r="E228" s="1147"/>
      <c r="F228" s="1157"/>
    </row>
    <row r="229" spans="2:6">
      <c r="B229" s="1160" t="s">
        <v>1324</v>
      </c>
      <c r="C229" s="1143" t="s">
        <v>1325</v>
      </c>
      <c r="D229" s="1090"/>
      <c r="E229" s="1091"/>
      <c r="F229" s="1155"/>
    </row>
    <row r="230" spans="2:6">
      <c r="B230" s="1154">
        <v>1</v>
      </c>
      <c r="C230" s="1140" t="str">
        <f>M!D6</f>
        <v>1 Buah Closet jongkok setara TOTO CE 7</v>
      </c>
      <c r="D230" s="1090"/>
      <c r="E230" s="1091"/>
      <c r="F230" s="1155">
        <f>M!H15</f>
        <v>1055260</v>
      </c>
    </row>
    <row r="231" spans="2:6">
      <c r="B231" s="1154">
        <f>B230+1</f>
        <v>2</v>
      </c>
      <c r="C231" s="1140" t="str">
        <f>M!D16</f>
        <v>1 Buah Closet Duduk setara TOTO CW 421</v>
      </c>
      <c r="D231" s="1090"/>
      <c r="E231" s="1091"/>
      <c r="F231" s="1155">
        <f>M!H24</f>
        <v>2296770</v>
      </c>
    </row>
    <row r="232" spans="2:6">
      <c r="B232" s="1154">
        <f t="shared" ref="B232:B268" si="8">B231+1</f>
        <v>3</v>
      </c>
      <c r="C232" s="1140" t="str">
        <f>M!D25</f>
        <v xml:space="preserve"> 1 Buah Urinoir setara TOTO U 57M</v>
      </c>
      <c r="D232" s="1090"/>
      <c r="E232" s="1091"/>
      <c r="F232" s="1155">
        <f>M!H35</f>
        <v>4367640</v>
      </c>
    </row>
    <row r="233" spans="2:6">
      <c r="B233" s="1154">
        <f t="shared" si="8"/>
        <v>4</v>
      </c>
      <c r="C233" s="1140" t="str">
        <f>M!D36</f>
        <v>1 Buah Wastafel setara TOTO LW 240 CJ Kecil</v>
      </c>
      <c r="D233" s="1090"/>
      <c r="E233" s="1091"/>
      <c r="F233" s="1155">
        <f>M!H46</f>
        <v>674048</v>
      </c>
    </row>
    <row r="234" spans="2:6">
      <c r="B234" s="1154">
        <f t="shared" si="8"/>
        <v>5</v>
      </c>
      <c r="C234" s="1140" t="str">
        <f>M!D47</f>
        <v>1 Buah Wastafel setara TOTO LW 824 CJ Beton</v>
      </c>
      <c r="D234" s="1090"/>
      <c r="E234" s="1091"/>
      <c r="F234" s="1155">
        <f>M!H57</f>
        <v>1626160</v>
      </c>
    </row>
    <row r="235" spans="2:6">
      <c r="B235" s="1154">
        <f t="shared" si="8"/>
        <v>6</v>
      </c>
      <c r="C235" s="1140" t="str">
        <f>M!D58</f>
        <v>1 Buah bak Mandi Fibreglass Volume 0,30 m3</v>
      </c>
      <c r="D235" s="1090"/>
      <c r="E235" s="1091"/>
      <c r="F235" s="1155">
        <f>M!H66</f>
        <v>1596700</v>
      </c>
    </row>
    <row r="236" spans="2:6">
      <c r="B236" s="1154">
        <f t="shared" si="8"/>
        <v>7</v>
      </c>
      <c r="C236" s="1140" t="str">
        <f>M!D67</f>
        <v>1 M' Saluran Air Limbah Buis beton d = 30 cm - 60 cm (SELOKAN AIR GOT)</v>
      </c>
      <c r="D236" s="1090"/>
      <c r="E236" s="1091"/>
      <c r="F236" s="1155">
        <f>M!H78</f>
        <v>324021</v>
      </c>
    </row>
    <row r="237" spans="2:6">
      <c r="B237" s="1154">
        <f t="shared" si="8"/>
        <v>8</v>
      </c>
      <c r="C237" s="1140" t="str">
        <f>M!D79</f>
        <v>1 Buah Bak Kontrol Pas Bata Merah Uk (60 x 60) cm</v>
      </c>
      <c r="D237" s="1090"/>
      <c r="E237" s="1091"/>
      <c r="F237" s="1155">
        <f>M!H92</f>
        <v>966198</v>
      </c>
    </row>
    <row r="238" spans="2:6">
      <c r="B238" s="1154">
        <f t="shared" si="8"/>
        <v>9</v>
      </c>
      <c r="C238" s="1140" t="str">
        <f>M!D93</f>
        <v>1 Buah Bak Kontrol Pas Bata Merah Uk (30 x 30) cm</v>
      </c>
      <c r="D238" s="1090"/>
      <c r="E238" s="1091"/>
      <c r="F238" s="1155">
        <f>M!H105</f>
        <v>636810</v>
      </c>
    </row>
    <row r="239" spans="2:6">
      <c r="B239" s="1154">
        <f t="shared" si="8"/>
        <v>10</v>
      </c>
      <c r="C239" s="1140" t="str">
        <f>M!D106</f>
        <v>1 M' Pipa PVC Ø 1/2" (AW)</v>
      </c>
      <c r="D239" s="1090"/>
      <c r="E239" s="1091"/>
      <c r="F239" s="1155">
        <f>M!H114</f>
        <v>25297</v>
      </c>
    </row>
    <row r="240" spans="2:6">
      <c r="B240" s="1154">
        <f t="shared" si="8"/>
        <v>11</v>
      </c>
      <c r="C240" s="1140" t="str">
        <f>M!D115</f>
        <v>1 M' Pipa PVC Ø 1" (AW)</v>
      </c>
      <c r="D240" s="1090"/>
      <c r="E240" s="1091"/>
      <c r="F240" s="1155">
        <f>M!H123</f>
        <v>32627</v>
      </c>
    </row>
    <row r="241" spans="2:6">
      <c r="B241" s="1154">
        <f t="shared" si="8"/>
        <v>12</v>
      </c>
      <c r="C241" s="1140" t="str">
        <f>M!D133</f>
        <v>1 M' Pipa PVC Ø 3" (AW)</v>
      </c>
      <c r="D241" s="1090"/>
      <c r="E241" s="1091"/>
      <c r="F241" s="1155">
        <f>M!H141</f>
        <v>74788</v>
      </c>
    </row>
    <row r="242" spans="2:6">
      <c r="B242" s="1154">
        <f t="shared" si="8"/>
        <v>13</v>
      </c>
      <c r="C242" s="1140" t="str">
        <f>M!D124</f>
        <v>1 M' Pipa PVC Ø 2.5" (AW)</v>
      </c>
      <c r="D242" s="1090"/>
      <c r="E242" s="1091"/>
      <c r="F242" s="1155">
        <f>M!H132</f>
        <v>80154</v>
      </c>
    </row>
    <row r="243" spans="2:6">
      <c r="B243" s="1154">
        <f t="shared" si="8"/>
        <v>14</v>
      </c>
      <c r="C243" s="1140" t="str">
        <f>M!D142</f>
        <v>1 M' Pipa PVC Ø 2" (AW)</v>
      </c>
      <c r="D243" s="1090"/>
      <c r="E243" s="1091"/>
      <c r="F243" s="1155">
        <f>M!H150</f>
        <v>59921</v>
      </c>
    </row>
    <row r="244" spans="2:6">
      <c r="B244" s="1154">
        <f t="shared" si="8"/>
        <v>15</v>
      </c>
      <c r="C244" s="1140" t="str">
        <f>M!D160</f>
        <v>1 M' Pipa PVC Ø 6" (AW)</v>
      </c>
      <c r="D244" s="1090"/>
      <c r="E244" s="1091"/>
      <c r="F244" s="1155">
        <f>M!H168</f>
        <v>141439</v>
      </c>
    </row>
    <row r="245" spans="2:6">
      <c r="B245" s="1154">
        <f t="shared" si="8"/>
        <v>16</v>
      </c>
      <c r="C245" s="1140" t="str">
        <f>M!D151</f>
        <v>1 M' Pipa PVC Ø 4" (AW)</v>
      </c>
      <c r="D245" s="1090"/>
      <c r="E245" s="1091"/>
      <c r="F245" s="1155">
        <f>M!H159</f>
        <v>88003</v>
      </c>
    </row>
    <row r="246" spans="2:6">
      <c r="B246" s="1154">
        <f t="shared" si="8"/>
        <v>17</v>
      </c>
      <c r="C246" s="1140" t="str">
        <f>M!D169</f>
        <v>1 M' Pipa PVC Ø 3/4" (AW)</v>
      </c>
      <c r="D246" s="1090"/>
      <c r="E246" s="1091"/>
      <c r="F246" s="1155">
        <f>M!H177</f>
        <v>48155</v>
      </c>
    </row>
    <row r="247" spans="2:6">
      <c r="B247" s="1154">
        <f t="shared" si="8"/>
        <v>18</v>
      </c>
      <c r="C247" s="1140" t="str">
        <f>M!D178</f>
        <v>1 M' Pipa PPR Ø 1/2"</v>
      </c>
      <c r="D247" s="1090"/>
      <c r="E247" s="1091"/>
      <c r="F247" s="1155">
        <f>M!H186</f>
        <v>99560</v>
      </c>
    </row>
    <row r="248" spans="2:6">
      <c r="B248" s="1154">
        <f t="shared" si="8"/>
        <v>19</v>
      </c>
      <c r="C248" s="1140" t="str">
        <f>M!D187</f>
        <v>1 M' Pipa PPR Ø 3/4"</v>
      </c>
      <c r="D248" s="1090"/>
      <c r="E248" s="1091"/>
      <c r="F248" s="1155">
        <f>M!H195</f>
        <v>134639</v>
      </c>
    </row>
    <row r="249" spans="2:6">
      <c r="B249" s="1154">
        <f t="shared" si="8"/>
        <v>20</v>
      </c>
      <c r="C249" s="1140" t="str">
        <f>M!D196</f>
        <v>1 M' Pipa PPR Ø 1"</v>
      </c>
      <c r="D249" s="1090"/>
      <c r="E249" s="1091"/>
      <c r="F249" s="1155">
        <f>M!H204</f>
        <v>198346</v>
      </c>
    </row>
    <row r="250" spans="2:6">
      <c r="B250" s="1154">
        <f t="shared" si="8"/>
        <v>21</v>
      </c>
      <c r="C250" s="1140" t="str">
        <f>M!D205</f>
        <v>1 M' Pipa GIP Ø 1 1/2"</v>
      </c>
      <c r="D250" s="1090"/>
      <c r="E250" s="1091"/>
      <c r="F250" s="1155">
        <f>M!H213</f>
        <v>203927</v>
      </c>
    </row>
    <row r="251" spans="2:6">
      <c r="B251" s="1154">
        <f t="shared" si="8"/>
        <v>22</v>
      </c>
      <c r="C251" s="1140" t="str">
        <f>M!$D$214</f>
        <v>1 M' Selang Flexible Ducting  Ø 4" setara Defa Flex</v>
      </c>
      <c r="D251" s="1090"/>
      <c r="E251" s="1091"/>
      <c r="F251" s="1155">
        <f>M!$H$222</f>
        <v>68724</v>
      </c>
    </row>
    <row r="252" spans="2:6">
      <c r="B252" s="1154">
        <f t="shared" si="8"/>
        <v>23</v>
      </c>
      <c r="C252" s="1140" t="str">
        <f>M!D223</f>
        <v>1 Buah Bak Cuci piring Stainless steel (ZINK DAPUR)</v>
      </c>
      <c r="D252" s="1090"/>
      <c r="E252" s="1091"/>
      <c r="F252" s="1155">
        <f>M!H230</f>
        <v>207450</v>
      </c>
    </row>
    <row r="253" spans="2:6">
      <c r="B253" s="1154">
        <f t="shared" si="8"/>
        <v>24</v>
      </c>
      <c r="C253" s="1140" t="str">
        <f>M!D231</f>
        <v>1 Buah Kran Ø 1/2" - 3/4" setara TOTO  T23B13V7NB</v>
      </c>
      <c r="D253" s="1090"/>
      <c r="E253" s="1091"/>
      <c r="F253" s="1155">
        <f>M!H239</f>
        <v>110104</v>
      </c>
    </row>
    <row r="254" spans="2:6">
      <c r="B254" s="1154">
        <f t="shared" si="8"/>
        <v>25</v>
      </c>
      <c r="C254" s="1140" t="str">
        <f>M!D240</f>
        <v>1 Buah Kran Shower Ø 1/2" - 3/4" setara TOTO SET + Shower TX432SD</v>
      </c>
      <c r="D254" s="1090"/>
      <c r="E254" s="1091"/>
      <c r="F254" s="1155">
        <f>M!H248</f>
        <v>1061004</v>
      </c>
    </row>
    <row r="255" spans="2:6">
      <c r="B255" s="1154">
        <f t="shared" si="8"/>
        <v>26</v>
      </c>
      <c r="C255" s="1140" t="str">
        <f>M!D249</f>
        <v>1 Buah Floor Drain setara TOTO  TX1BN</v>
      </c>
      <c r="D255" s="1090"/>
      <c r="E255" s="1091"/>
      <c r="F255" s="1155">
        <f>M!H256</f>
        <v>49960</v>
      </c>
    </row>
    <row r="256" spans="2:6">
      <c r="B256" s="1154">
        <f t="shared" si="8"/>
        <v>27</v>
      </c>
      <c r="C256" s="1140" t="str">
        <f>M!D257</f>
        <v>1 Buah Roof Drain setara San - Ei H01 4 inch</v>
      </c>
      <c r="D256" s="1090"/>
      <c r="E256" s="1091"/>
      <c r="F256" s="1155">
        <f>M!H264</f>
        <v>29960</v>
      </c>
    </row>
    <row r="257" spans="2:6">
      <c r="B257" s="1154">
        <f t="shared" si="8"/>
        <v>28</v>
      </c>
      <c r="C257" s="1140" t="str">
        <f>M!D265</f>
        <v>1 M' Pasang Talang Plastik PVC U 15 cm (AW)</v>
      </c>
      <c r="D257" s="1090"/>
      <c r="E257" s="1091"/>
      <c r="F257" s="1155">
        <f>M!H273</f>
        <v>181013</v>
      </c>
    </row>
    <row r="258" spans="2:6">
      <c r="B258" s="1154">
        <f t="shared" si="8"/>
        <v>29</v>
      </c>
      <c r="C258" s="1140" t="str">
        <f>M!D274</f>
        <v>1 Buah Tangki Air fibreglass  Volume 1 m3 setara Penguin</v>
      </c>
      <c r="D258" s="1090"/>
      <c r="E258" s="1091"/>
      <c r="F258" s="1155">
        <f>M!H282</f>
        <v>2349770</v>
      </c>
    </row>
    <row r="259" spans="2:6">
      <c r="B259" s="1154">
        <f t="shared" si="8"/>
        <v>30</v>
      </c>
      <c r="C259" s="1140" t="str">
        <f>M!D292</f>
        <v>1 Unit Septictank 2x1,50x1,50 m + Rembesan</v>
      </c>
      <c r="D259" s="1090"/>
      <c r="E259" s="1091"/>
      <c r="F259" s="1155">
        <f>M!H307</f>
        <v>9891416</v>
      </c>
    </row>
    <row r="260" spans="2:6">
      <c r="B260" s="1154">
        <f t="shared" si="8"/>
        <v>31</v>
      </c>
      <c r="C260" s="1140" t="str">
        <f>M!D308</f>
        <v>1 Buah Water Heater 9L setara Ariston</v>
      </c>
      <c r="D260" s="1090"/>
      <c r="E260" s="1091"/>
      <c r="F260" s="1155">
        <f>M!H316</f>
        <v>2975170</v>
      </c>
    </row>
    <row r="261" spans="2:6">
      <c r="B261" s="1154">
        <f t="shared" si="8"/>
        <v>32</v>
      </c>
      <c r="C261" s="1140" t="str">
        <f>M!D317</f>
        <v>1 Buah Water Heater 20 L setara Ariston</v>
      </c>
      <c r="D261" s="1090"/>
      <c r="E261" s="1091"/>
      <c r="F261" s="1155">
        <f>M!H325</f>
        <v>5698634</v>
      </c>
    </row>
    <row r="262" spans="2:6">
      <c r="B262" s="1154">
        <f t="shared" si="8"/>
        <v>33</v>
      </c>
      <c r="C262" s="1140" t="str">
        <f>M!D326</f>
        <v>1 Buah Solar  Water Heater 300 L setara Solar Heat</v>
      </c>
      <c r="D262" s="1090"/>
      <c r="E262" s="1091"/>
      <c r="F262" s="1155">
        <f>M!H334</f>
        <v>28425770</v>
      </c>
    </row>
    <row r="263" spans="2:6">
      <c r="B263" s="1154">
        <f t="shared" si="8"/>
        <v>34</v>
      </c>
      <c r="C263" s="1140" t="str">
        <f>M!D335</f>
        <v>1 Buah Pasang Bathtub setara TOTO PPY1710HPWE</v>
      </c>
      <c r="D263" s="1090"/>
      <c r="E263" s="1091"/>
      <c r="F263" s="1155">
        <f>M!H343</f>
        <v>3748970</v>
      </c>
    </row>
    <row r="264" spans="2:6">
      <c r="B264" s="1154">
        <f t="shared" si="8"/>
        <v>35</v>
      </c>
      <c r="C264" s="1140" t="str">
        <f>M!D344</f>
        <v>1 Buah Pasang Pompa setara grundfos</v>
      </c>
      <c r="D264" s="1090"/>
      <c r="E264" s="1091"/>
      <c r="F264" s="1155">
        <f>M!H352</f>
        <v>9153910</v>
      </c>
    </row>
    <row r="265" spans="2:6">
      <c r="B265" s="1154">
        <f>B264+1</f>
        <v>36</v>
      </c>
      <c r="C265" s="1140" t="str">
        <f>M!D362</f>
        <v>1 Buah Pasang Shower Box</v>
      </c>
      <c r="D265" s="1090"/>
      <c r="E265" s="1091"/>
      <c r="F265" s="1155">
        <f>M!H370</f>
        <v>2773770</v>
      </c>
    </row>
    <row r="266" spans="2:6">
      <c r="B266" s="1154">
        <f t="shared" si="8"/>
        <v>37</v>
      </c>
      <c r="C266" s="1140" t="str">
        <f>M!D371</f>
        <v>1 Buah Kran Ø 1/2" Leher Angsa</v>
      </c>
      <c r="D266" s="1090"/>
      <c r="E266" s="1091"/>
      <c r="F266" s="1155">
        <f>M!H379</f>
        <v>120104</v>
      </c>
    </row>
    <row r="267" spans="2:6">
      <c r="B267" s="1154">
        <f t="shared" si="8"/>
        <v>38</v>
      </c>
      <c r="C267" s="1140" t="str">
        <f>M!D380</f>
        <v>1 Buah Shower Spray</v>
      </c>
      <c r="D267" s="1090"/>
      <c r="E267" s="1091"/>
      <c r="F267" s="1155">
        <f>M!H388</f>
        <v>100104</v>
      </c>
    </row>
    <row r="268" spans="2:6">
      <c r="B268" s="1154">
        <f t="shared" si="8"/>
        <v>39</v>
      </c>
      <c r="C268" s="1140" t="str">
        <f>M!D389</f>
        <v>1 Buah Kran Ballvave Ø 3/4"</v>
      </c>
      <c r="D268" s="1090"/>
      <c r="E268" s="1091"/>
      <c r="F268" s="1155">
        <f>M!H397</f>
        <v>43104</v>
      </c>
    </row>
    <row r="269" spans="2:6">
      <c r="B269" s="1154">
        <f t="shared" ref="B269:B277" si="9">B268+1</f>
        <v>40</v>
      </c>
      <c r="C269" s="1140" t="str">
        <f>M!$D$399</f>
        <v>1 Unit Ground Tank</v>
      </c>
      <c r="D269" s="1090"/>
      <c r="E269" s="1091"/>
      <c r="F269" s="1155">
        <f>M!$H$408</f>
        <v>10174155</v>
      </c>
    </row>
    <row r="270" spans="2:6">
      <c r="B270" s="1154">
        <f t="shared" si="9"/>
        <v>41</v>
      </c>
      <c r="C270" s="1140" t="str">
        <f>M!$D$409</f>
        <v>1 Unit Biotank + Resapan</v>
      </c>
      <c r="D270" s="1090"/>
      <c r="E270" s="1091"/>
      <c r="F270" s="1155">
        <f>M!$H$420</f>
        <v>7639512</v>
      </c>
    </row>
    <row r="271" spans="2:6">
      <c r="B271" s="1154">
        <f t="shared" si="9"/>
        <v>42</v>
      </c>
      <c r="C271" s="1140" t="str">
        <f>M!$D$353</f>
        <v>1 Buah Pasang Pompa setara Shimizu</v>
      </c>
      <c r="D271" s="1090"/>
      <c r="E271" s="1091"/>
      <c r="F271" s="1155">
        <f>M!$H$361</f>
        <v>1141370</v>
      </c>
    </row>
    <row r="272" spans="2:6">
      <c r="B272" s="1154">
        <f t="shared" si="9"/>
        <v>43</v>
      </c>
      <c r="C272" s="1140" t="str">
        <f>M!$D$283</f>
        <v>1 Buah Tangki Pendam 500 Ltr setara Penguin</v>
      </c>
      <c r="D272" s="1090"/>
      <c r="E272" s="1091"/>
      <c r="F272" s="1155">
        <f>M!$H$291</f>
        <v>2084770</v>
      </c>
    </row>
    <row r="273" spans="2:6">
      <c r="B273" s="1154">
        <f t="shared" si="9"/>
        <v>44</v>
      </c>
      <c r="C273" s="1140" t="str">
        <f>M!$D$422</f>
        <v>1 Buah Inlet</v>
      </c>
      <c r="D273" s="1090"/>
      <c r="E273" s="1091"/>
      <c r="F273" s="1155">
        <f>M!$H$430</f>
        <v>371414</v>
      </c>
    </row>
    <row r="274" spans="2:6">
      <c r="B274" s="1154">
        <f t="shared" si="9"/>
        <v>45</v>
      </c>
      <c r="C274" s="1140" t="str">
        <f>M!$D$431</f>
        <v>1 Buah Main Drain</v>
      </c>
      <c r="D274" s="1090"/>
      <c r="E274" s="1091"/>
      <c r="F274" s="1155">
        <f>M!$H$439</f>
        <v>874114</v>
      </c>
    </row>
    <row r="275" spans="2:6">
      <c r="B275" s="1154">
        <f t="shared" si="9"/>
        <v>46</v>
      </c>
      <c r="C275" s="1140" t="str">
        <f>M!$D$440</f>
        <v>1 Buah Pasang Pompa Kolam Renang ex. Grundfos Wave</v>
      </c>
      <c r="D275" s="1090"/>
      <c r="E275" s="1091"/>
      <c r="F275" s="1155">
        <f>M!$H$448</f>
        <v>6451970</v>
      </c>
    </row>
    <row r="276" spans="2:6">
      <c r="B276" s="1154">
        <f t="shared" si="9"/>
        <v>47</v>
      </c>
      <c r="C276" s="1140" t="str">
        <f>M!$D$449</f>
        <v>1 Buah Pasang Sand Filter Kolam renang ex. Jakmax</v>
      </c>
      <c r="D276" s="1090"/>
      <c r="E276" s="1091"/>
      <c r="F276" s="1155">
        <f>M!$H$457</f>
        <v>3939770</v>
      </c>
    </row>
    <row r="277" spans="2:6">
      <c r="B277" s="1154">
        <f t="shared" si="9"/>
        <v>48</v>
      </c>
      <c r="C277" s="1140" t="str">
        <f>M!$D$458</f>
        <v>1 Buah Pasang Pompa Semi Jet Ex. Shimizu Pompa Semijet JET-100 BIT</v>
      </c>
      <c r="D277" s="1090"/>
      <c r="E277" s="1091"/>
      <c r="F277" s="1155">
        <f>M!$H$466</f>
        <v>1480570</v>
      </c>
    </row>
    <row r="278" spans="2:6">
      <c r="B278" s="1156"/>
      <c r="C278" s="1145"/>
      <c r="D278" s="1146"/>
      <c r="E278" s="1147"/>
      <c r="F278" s="1157"/>
    </row>
    <row r="279" spans="2:6">
      <c r="B279" s="1160" t="s">
        <v>1326</v>
      </c>
      <c r="C279" s="1143" t="s">
        <v>117</v>
      </c>
      <c r="D279" s="1090"/>
      <c r="E279" s="1091"/>
      <c r="F279" s="1155"/>
    </row>
    <row r="280" spans="2:6">
      <c r="B280" s="1154">
        <v>1</v>
      </c>
      <c r="C280" s="1140" t="str">
        <f>N!C6</f>
        <v>1 M2 Mengikis / Mengerok Permukaan Cat Tembok Lama</v>
      </c>
      <c r="D280" s="1090"/>
      <c r="E280" s="1091"/>
      <c r="F280" s="1155">
        <f>N!H11</f>
        <v>22175</v>
      </c>
    </row>
    <row r="281" spans="2:6">
      <c r="B281" s="1154">
        <f t="shared" ref="B281:B292" si="10">B280+1</f>
        <v>2</v>
      </c>
      <c r="C281" s="1140" t="str">
        <f>N!C12</f>
        <v>1 M2 Mendempul Dan Menggosok Kayu</v>
      </c>
      <c r="D281" s="1090"/>
      <c r="E281" s="1091"/>
      <c r="F281" s="1155">
        <f>N!H21</f>
        <v>18032</v>
      </c>
    </row>
    <row r="282" spans="2:6">
      <c r="B282" s="1154">
        <f t="shared" si="10"/>
        <v>3</v>
      </c>
      <c r="C282" s="1140" t="str">
        <f>N!C22</f>
        <v>1 M2 Pengecatan Bidang Kayu Lama Setara Dulux</v>
      </c>
      <c r="D282" s="1090"/>
      <c r="E282" s="1091"/>
      <c r="F282" s="1155">
        <f>N!H31</f>
        <v>54515</v>
      </c>
    </row>
    <row r="283" spans="2:6">
      <c r="B283" s="1154">
        <f t="shared" si="10"/>
        <v>4</v>
      </c>
      <c r="C283" s="1140" t="str">
        <f>N!C32</f>
        <v>1 M2 Pengecatan Bidang Kayu Baru Setara Dulux</v>
      </c>
      <c r="D283" s="1090"/>
      <c r="E283" s="1091"/>
      <c r="F283" s="1155">
        <f>N!H42</f>
        <v>78060</v>
      </c>
    </row>
    <row r="284" spans="2:6">
      <c r="B284" s="1154">
        <f t="shared" si="10"/>
        <v>5</v>
      </c>
      <c r="C284" s="1140" t="str">
        <f>N!C43</f>
        <v>1 M2 Pelaburan Bidang Kayu dengan Politur</v>
      </c>
      <c r="D284" s="1090"/>
      <c r="E284" s="1091"/>
      <c r="F284" s="1155">
        <f>N!H51</f>
        <v>74280</v>
      </c>
    </row>
    <row r="285" spans="2:6">
      <c r="B285" s="1154">
        <f t="shared" si="10"/>
        <v>6</v>
      </c>
      <c r="C285" s="1140" t="str">
        <f>N!C52</f>
        <v>1 M2 Pengecatan Tembok Baru INDOOR Setara ICI / Dulux</v>
      </c>
      <c r="D285" s="1090"/>
      <c r="E285" s="1091"/>
      <c r="F285" s="1155">
        <f>N!H61</f>
        <v>41654</v>
      </c>
    </row>
    <row r="286" spans="2:6">
      <c r="B286" s="1154">
        <f t="shared" si="10"/>
        <v>7</v>
      </c>
      <c r="C286" s="1140" t="str">
        <f>N!C62</f>
        <v>1 M2 Pengecatan Tembok Lama INDOOR Setara ICI / Dulux</v>
      </c>
      <c r="D286" s="1090"/>
      <c r="E286" s="1091"/>
      <c r="F286" s="1155">
        <f>N!H70</f>
        <v>32859</v>
      </c>
    </row>
    <row r="287" spans="2:6">
      <c r="B287" s="1154">
        <f t="shared" si="10"/>
        <v>8</v>
      </c>
      <c r="C287" s="1140" t="str">
        <f>N!C71</f>
        <v>1 M2 Pengecatan Tembok Baru OUTDOOR Setara ICI / Dulux</v>
      </c>
      <c r="D287" s="1090"/>
      <c r="E287" s="1091"/>
      <c r="F287" s="1155">
        <f>N!H80</f>
        <v>44195</v>
      </c>
    </row>
    <row r="288" spans="2:6">
      <c r="B288" s="1154">
        <f t="shared" si="10"/>
        <v>9</v>
      </c>
      <c r="C288" s="1140" t="str">
        <f>N!C81</f>
        <v>1 M2 Pengecatan Tembok Lama OUTDOOR Setara ICI / Dulux</v>
      </c>
      <c r="D288" s="1090"/>
      <c r="E288" s="1091"/>
      <c r="F288" s="1155">
        <f>N!H89</f>
        <v>34618</v>
      </c>
    </row>
    <row r="289" spans="2:6">
      <c r="B289" s="1154">
        <f t="shared" si="10"/>
        <v>10</v>
      </c>
      <c r="C289" s="1140" t="str">
        <f>N!C90</f>
        <v>1 M2 Pengecatan Plafond  ( 3x ) Setara ICI</v>
      </c>
      <c r="D289" s="1090"/>
      <c r="E289" s="1091"/>
      <c r="F289" s="1155">
        <f>N!H101</f>
        <v>47661</v>
      </c>
    </row>
    <row r="290" spans="2:6">
      <c r="B290" s="1154">
        <f t="shared" si="10"/>
        <v>11</v>
      </c>
      <c r="C290" s="1140" t="str">
        <f>N!C102</f>
        <v>1 M2 Memasang Wallpaper</v>
      </c>
      <c r="D290" s="1090"/>
      <c r="E290" s="1091"/>
      <c r="F290" s="1155">
        <f>N!H110</f>
        <v>137906</v>
      </c>
    </row>
    <row r="291" spans="2:6">
      <c r="B291" s="1154">
        <f t="shared" si="10"/>
        <v>12</v>
      </c>
      <c r="C291" s="1140" t="str">
        <f>N!C111</f>
        <v>1 M2 Pengecatan Permukaan Baja dengan Meni Besi</v>
      </c>
      <c r="D291" s="1090"/>
      <c r="E291" s="1091"/>
      <c r="F291" s="1155">
        <f>N!H119</f>
        <v>44470</v>
      </c>
    </row>
    <row r="292" spans="2:6">
      <c r="B292" s="1154">
        <f t="shared" si="10"/>
        <v>13</v>
      </c>
      <c r="C292" s="1140" t="str">
        <f>N!C120</f>
        <v>1 M2 Pengecatan Permukaan Baja dengan Meni Besi dan Perancah</v>
      </c>
      <c r="D292" s="1090"/>
      <c r="E292" s="1091"/>
      <c r="F292" s="1155">
        <f>N!H129</f>
        <v>83925</v>
      </c>
    </row>
    <row r="293" spans="2:6">
      <c r="B293" s="1156"/>
      <c r="C293" s="1145"/>
      <c r="D293" s="1146"/>
      <c r="E293" s="1147"/>
      <c r="F293" s="1157"/>
    </row>
    <row r="294" spans="2:6">
      <c r="B294" s="1160" t="s">
        <v>1327</v>
      </c>
      <c r="C294" s="1143" t="s">
        <v>1328</v>
      </c>
      <c r="D294" s="1090"/>
      <c r="E294" s="1091"/>
      <c r="F294" s="1155"/>
    </row>
    <row r="295" spans="2:6">
      <c r="B295" s="1154">
        <v>1</v>
      </c>
      <c r="C295" s="1140" t="str">
        <f>O!C5</f>
        <v>1 Lubang (70x70x70) cm, tanam pohon pelindung tinggi 2m</v>
      </c>
      <c r="D295" s="1090"/>
      <c r="E295" s="1091"/>
      <c r="F295" s="1155">
        <f>O!I12</f>
        <v>106285</v>
      </c>
    </row>
    <row r="296" spans="2:6">
      <c r="B296" s="1154">
        <f>B295+1</f>
        <v>2</v>
      </c>
      <c r="C296" s="1140" t="str">
        <f>O!C13</f>
        <v>1 Lubang (70x70x70) cm, tanam bambu krisik/jepang</v>
      </c>
      <c r="D296" s="1090"/>
      <c r="E296" s="1091"/>
      <c r="F296" s="1155">
        <f>O!I20</f>
        <v>12535</v>
      </c>
    </row>
    <row r="297" spans="2:6">
      <c r="B297" s="1154">
        <f>B296+1</f>
        <v>3</v>
      </c>
      <c r="C297" s="1140" t="str">
        <f>O!C21</f>
        <v>1 Lubang (40x40x40) cm, tanam pohon perdu (polibag)</v>
      </c>
      <c r="D297" s="1090"/>
      <c r="E297" s="1091"/>
      <c r="F297" s="1155">
        <f>O!I28</f>
        <v>69315</v>
      </c>
    </row>
    <row r="298" spans="2:6">
      <c r="B298" s="1154">
        <f>B297+1</f>
        <v>4</v>
      </c>
      <c r="C298" s="1140" t="str">
        <f>O!C29</f>
        <v>1 M2 Tanam rumput gajah (silang papan catur)</v>
      </c>
      <c r="D298" s="1090"/>
      <c r="E298" s="1091"/>
      <c r="F298" s="1155">
        <f>O!I35</f>
        <v>17360</v>
      </c>
    </row>
    <row r="299" spans="2:6">
      <c r="B299" s="1156"/>
      <c r="C299" s="1145"/>
      <c r="D299" s="1146"/>
      <c r="E299" s="1147"/>
      <c r="F299" s="1157"/>
    </row>
    <row r="300" spans="2:6">
      <c r="B300" s="1160" t="s">
        <v>1329</v>
      </c>
      <c r="C300" s="1143" t="s">
        <v>1330</v>
      </c>
      <c r="D300" s="1090"/>
      <c r="E300" s="1091"/>
      <c r="F300" s="1155"/>
    </row>
    <row r="301" spans="2:6">
      <c r="B301" s="1154">
        <v>1</v>
      </c>
      <c r="C301" s="1140" t="str">
        <f>P!C5</f>
        <v>1 m' Instalasi Lampu dalam</v>
      </c>
      <c r="D301" s="1090"/>
      <c r="E301" s="1091"/>
      <c r="F301" s="1155">
        <f>P!$I$14</f>
        <v>59251</v>
      </c>
    </row>
    <row r="302" spans="2:6">
      <c r="B302" s="1154">
        <f>B301+1</f>
        <v>2</v>
      </c>
      <c r="C302" s="1140" t="str">
        <f>P!C15</f>
        <v>1 m' Instalasi Lampu Luar</v>
      </c>
      <c r="D302" s="1090"/>
      <c r="E302" s="1091"/>
      <c r="F302" s="1155">
        <f>P!$I$24</f>
        <v>62096</v>
      </c>
    </row>
    <row r="303" spans="2:6">
      <c r="B303" s="1154">
        <f t="shared" ref="B303:B331" si="11">B302+1</f>
        <v>3</v>
      </c>
      <c r="C303" s="1140" t="str">
        <f>P!C25</f>
        <v>1 m' Instalasi Stop Kontak</v>
      </c>
      <c r="D303" s="1090"/>
      <c r="E303" s="1091"/>
      <c r="F303" s="1155">
        <f>P!$I$34</f>
        <v>62085</v>
      </c>
    </row>
    <row r="304" spans="2:6">
      <c r="B304" s="1154">
        <f t="shared" si="11"/>
        <v>4</v>
      </c>
      <c r="C304" s="1140" t="str">
        <f>P!C35</f>
        <v>1 m' Instalasi Kabel Antena TV</v>
      </c>
      <c r="D304" s="1090"/>
      <c r="E304" s="1091"/>
      <c r="F304" s="1155">
        <f>P!$I$44</f>
        <v>59844</v>
      </c>
    </row>
    <row r="305" spans="2:6">
      <c r="B305" s="1154">
        <f t="shared" si="11"/>
        <v>5</v>
      </c>
      <c r="C305" s="1140" t="str">
        <f>P!C45</f>
        <v>1 m' Instalasi Kabel Telpon</v>
      </c>
      <c r="D305" s="1090"/>
      <c r="E305" s="1091"/>
      <c r="F305" s="1155">
        <f>P!$I$54</f>
        <v>52678</v>
      </c>
    </row>
    <row r="306" spans="2:6">
      <c r="B306" s="1154">
        <f t="shared" si="11"/>
        <v>6</v>
      </c>
      <c r="C306" s="1140" t="str">
        <f>P!C55</f>
        <v>1 Unit Pemasangan Spilter</v>
      </c>
      <c r="D306" s="1090"/>
      <c r="E306" s="1091"/>
      <c r="F306" s="1155">
        <f>P!$I$63</f>
        <v>75992</v>
      </c>
    </row>
    <row r="307" spans="2:6">
      <c r="B307" s="1154">
        <f t="shared" si="11"/>
        <v>7</v>
      </c>
      <c r="C307" s="1140" t="str">
        <f>P!C64</f>
        <v>1 Set Pemasangan Penangkal Petir</v>
      </c>
      <c r="D307" s="1090"/>
      <c r="E307" s="1091"/>
      <c r="F307" s="1155">
        <f>P!$I$72</f>
        <v>3000000</v>
      </c>
    </row>
    <row r="308" spans="2:6">
      <c r="B308" s="1154">
        <f t="shared" si="11"/>
        <v>8</v>
      </c>
      <c r="C308" s="1140" t="str">
        <f>P!C73</f>
        <v>1 Bh Pemasangan Stop Kontak daya</v>
      </c>
      <c r="D308" s="1090"/>
      <c r="E308" s="1091"/>
      <c r="F308" s="1155">
        <f>P!$I$81</f>
        <v>31227</v>
      </c>
    </row>
    <row r="309" spans="2:6">
      <c r="B309" s="1154">
        <f t="shared" si="11"/>
        <v>9</v>
      </c>
      <c r="C309" s="1140" t="str">
        <f>P!C82</f>
        <v>1 Bh Pemasangan Stop Kontak daya out bow dengan Tutup</v>
      </c>
      <c r="D309" s="1090"/>
      <c r="E309" s="1091"/>
      <c r="F309" s="1155">
        <f>P!$I$90</f>
        <v>81242</v>
      </c>
    </row>
    <row r="310" spans="2:6">
      <c r="B310" s="1154">
        <f t="shared" si="11"/>
        <v>10</v>
      </c>
      <c r="C310" s="1140" t="str">
        <f>P!C91</f>
        <v>1 Bh Pemasangan Stop Kontak daya Lantai</v>
      </c>
      <c r="D310" s="1090"/>
      <c r="E310" s="1091"/>
      <c r="F310" s="1155">
        <f>P!$I$99</f>
        <v>296492</v>
      </c>
    </row>
    <row r="311" spans="2:6">
      <c r="B311" s="1154">
        <f t="shared" si="11"/>
        <v>11</v>
      </c>
      <c r="C311" s="1140" t="str">
        <f>P!C100</f>
        <v>1 Bh Pemasangan Outlet Stop Kontak Water Heater</v>
      </c>
      <c r="D311" s="1090"/>
      <c r="E311" s="1091"/>
      <c r="F311" s="1155">
        <f>P!$I$108</f>
        <v>46277</v>
      </c>
    </row>
    <row r="312" spans="2:6">
      <c r="B312" s="1154">
        <f t="shared" si="11"/>
        <v>12</v>
      </c>
      <c r="C312" s="1140" t="str">
        <f>P!C109</f>
        <v>1 Bh Pemasangan Stop Kontak daya AC</v>
      </c>
      <c r="D312" s="1090"/>
      <c r="E312" s="1091"/>
      <c r="F312" s="1155">
        <f>P!$I$117</f>
        <v>65096</v>
      </c>
    </row>
    <row r="313" spans="2:6">
      <c r="B313" s="1154">
        <f t="shared" si="11"/>
        <v>13</v>
      </c>
      <c r="C313" s="1140" t="str">
        <f>P!C118</f>
        <v>1 Bh Pemasangan Saklar Tunggal</v>
      </c>
      <c r="D313" s="1090"/>
      <c r="E313" s="1091"/>
      <c r="F313" s="1155">
        <f>P!$I$126</f>
        <v>23356</v>
      </c>
    </row>
    <row r="314" spans="2:6">
      <c r="B314" s="1154">
        <f t="shared" si="11"/>
        <v>14</v>
      </c>
      <c r="C314" s="1140" t="str">
        <f>P!C127</f>
        <v>1 Bh Pemasangan Saklar Ganda</v>
      </c>
      <c r="D314" s="1090"/>
      <c r="E314" s="1091"/>
      <c r="F314" s="1155">
        <f>P!$I$135</f>
        <v>27075</v>
      </c>
    </row>
    <row r="315" spans="2:6">
      <c r="B315" s="1154">
        <f t="shared" si="11"/>
        <v>15</v>
      </c>
      <c r="C315" s="1140" t="str">
        <f>P!C136</f>
        <v>1 Bh Pemasangan Saklar Triple</v>
      </c>
      <c r="D315" s="1090"/>
      <c r="E315" s="1091"/>
      <c r="F315" s="1155">
        <f>P!$I$144</f>
        <v>31360</v>
      </c>
    </row>
    <row r="316" spans="2:6">
      <c r="B316" s="1154">
        <f t="shared" si="11"/>
        <v>16</v>
      </c>
      <c r="C316" s="1140" t="str">
        <f>P!C398</f>
        <v>1 Bh Pemasangan Saklar Seri Isi 4</v>
      </c>
      <c r="D316" s="1090"/>
      <c r="E316" s="1091"/>
      <c r="F316" s="1155">
        <f>P!$I$406</f>
        <v>87847</v>
      </c>
    </row>
    <row r="317" spans="2:6">
      <c r="B317" s="1154">
        <f t="shared" si="11"/>
        <v>17</v>
      </c>
      <c r="C317" s="1140" t="str">
        <f>P!C154</f>
        <v>1 Set Pemasangan Lampu Taman + Tiang</v>
      </c>
      <c r="D317" s="1090"/>
      <c r="E317" s="1091"/>
      <c r="F317" s="1155">
        <f>P!$I$162</f>
        <v>390144</v>
      </c>
    </row>
    <row r="318" spans="2:6">
      <c r="B318" s="1154">
        <f t="shared" si="11"/>
        <v>18</v>
      </c>
      <c r="C318" s="1140" t="str">
        <f>P!C163</f>
        <v>1 bh Pemasangan Lampu Downlight</v>
      </c>
      <c r="D318" s="1090"/>
      <c r="E318" s="1091"/>
      <c r="F318" s="1155">
        <f>P!$I$171</f>
        <v>120294</v>
      </c>
    </row>
    <row r="319" spans="2:6">
      <c r="B319" s="1154">
        <f t="shared" si="11"/>
        <v>19</v>
      </c>
      <c r="C319" s="1140" t="str">
        <f>P!C172</f>
        <v>1 bh Pemasangan Lampu Pijar 12 Watt</v>
      </c>
      <c r="D319" s="1090"/>
      <c r="E319" s="1091"/>
      <c r="F319" s="1155">
        <f>P!$I$180</f>
        <v>206184</v>
      </c>
    </row>
    <row r="320" spans="2:6">
      <c r="B320" s="1154">
        <f t="shared" si="11"/>
        <v>20</v>
      </c>
      <c r="C320" s="1140" t="str">
        <f>P!C181</f>
        <v>1 bh Pemasangan Lampu Pijar 18 Watt</v>
      </c>
      <c r="D320" s="1090"/>
      <c r="E320" s="1091"/>
      <c r="F320" s="1155">
        <f>P!$I$189</f>
        <v>243144</v>
      </c>
    </row>
    <row r="321" spans="2:6">
      <c r="B321" s="1154">
        <f t="shared" si="11"/>
        <v>21</v>
      </c>
      <c r="C321" s="1140" t="str">
        <f>P!C190</f>
        <v>1 bh Pemasangan Lampu Baret</v>
      </c>
      <c r="D321" s="1090"/>
      <c r="E321" s="1091"/>
      <c r="F321" s="1155">
        <f>P!$I$198</f>
        <v>242094</v>
      </c>
    </row>
    <row r="322" spans="2:6">
      <c r="B322" s="1154">
        <f t="shared" si="11"/>
        <v>22</v>
      </c>
      <c r="C322" s="1140" t="str">
        <f>P!C208</f>
        <v>1 bh Pemasangan Lampu Dinding</v>
      </c>
      <c r="D322" s="1090"/>
      <c r="E322" s="1091"/>
      <c r="F322" s="1155">
        <f>P!$I$216</f>
        <v>242094</v>
      </c>
    </row>
    <row r="323" spans="2:6">
      <c r="B323" s="1154">
        <f t="shared" si="11"/>
        <v>23</v>
      </c>
      <c r="C323" s="1140" t="str">
        <f>P!C199</f>
        <v>1 bh Pemasangan Lampu Sorot Tempel</v>
      </c>
      <c r="D323" s="1090"/>
      <c r="E323" s="1091"/>
      <c r="F323" s="1155">
        <f>P!$I$207</f>
        <v>111789</v>
      </c>
    </row>
    <row r="324" spans="2:6">
      <c r="B324" s="1154">
        <f t="shared" si="11"/>
        <v>24</v>
      </c>
      <c r="C324" s="1140" t="str">
        <f>P!C217</f>
        <v>1 bh Pemasangan LampuKolam Renang</v>
      </c>
      <c r="D324" s="1090"/>
      <c r="E324" s="1091"/>
      <c r="F324" s="1155">
        <f>P!$I$225</f>
        <v>707769</v>
      </c>
    </row>
    <row r="325" spans="2:6">
      <c r="B325" s="1154">
        <f t="shared" si="11"/>
        <v>25</v>
      </c>
      <c r="C325" s="1140" t="str">
        <f>P!C226</f>
        <v>1 bh Pemasangan Exhaust Fan</v>
      </c>
      <c r="D325" s="1090"/>
      <c r="E325" s="1091"/>
      <c r="F325" s="1155">
        <f>P!$I$234</f>
        <v>327144</v>
      </c>
    </row>
    <row r="326" spans="2:6">
      <c r="B326" s="1154">
        <f t="shared" si="11"/>
        <v>26</v>
      </c>
      <c r="C326" s="1140" t="str">
        <f>P!C235</f>
        <v>1 bh Pemasangan Antena TV UHF</v>
      </c>
      <c r="D326" s="1090"/>
      <c r="E326" s="1091"/>
      <c r="F326" s="1155">
        <f>P!$I$243</f>
        <v>227394</v>
      </c>
    </row>
    <row r="327" spans="2:6">
      <c r="B327" s="1154">
        <f t="shared" si="11"/>
        <v>27</v>
      </c>
      <c r="C327" s="1140" t="str">
        <f>P!C244</f>
        <v>1 bh Pemasangan Lampu Gantung Klasik IDL-1-H808/8+4 GD</v>
      </c>
      <c r="D327" s="1090"/>
      <c r="E327" s="1091"/>
      <c r="F327" s="1155">
        <f>P!$I$252</f>
        <v>1896159</v>
      </c>
    </row>
    <row r="328" spans="2:6">
      <c r="B328" s="1154">
        <f t="shared" si="11"/>
        <v>28</v>
      </c>
      <c r="C328" s="1140" t="str">
        <f>P!C253</f>
        <v>1 m' Instalasi Kabel Toevoer</v>
      </c>
      <c r="D328" s="1090"/>
      <c r="E328" s="1091"/>
      <c r="F328" s="1155">
        <f>P!$I$262</f>
        <v>64486</v>
      </c>
    </row>
    <row r="329" spans="2:6">
      <c r="B329" s="1154">
        <f t="shared" si="11"/>
        <v>29</v>
      </c>
      <c r="C329" s="1140" t="str">
        <f>P!C263</f>
        <v>1 bh Pemasangan Box MCB</v>
      </c>
      <c r="D329" s="1090"/>
      <c r="E329" s="1091"/>
      <c r="F329" s="1155">
        <f>P!$I$271</f>
        <v>101394</v>
      </c>
    </row>
    <row r="330" spans="2:6">
      <c r="B330" s="1154">
        <f t="shared" si="11"/>
        <v>30</v>
      </c>
      <c r="C330" s="1140" t="s">
        <v>2163</v>
      </c>
      <c r="D330" s="1090"/>
      <c r="E330" s="1091"/>
      <c r="F330" s="1155">
        <f>P!$I$289</f>
        <v>101905</v>
      </c>
    </row>
    <row r="331" spans="2:6">
      <c r="B331" s="1813">
        <f t="shared" si="11"/>
        <v>31</v>
      </c>
      <c r="C331" s="1814" t="s">
        <v>2164</v>
      </c>
      <c r="D331" s="1815"/>
      <c r="E331" s="1816"/>
      <c r="F331" s="1817">
        <f>P!$I$289</f>
        <v>101905</v>
      </c>
    </row>
    <row r="332" spans="2:6">
      <c r="B332" s="1813">
        <f t="shared" ref="B332:B346" si="12">B331+1</f>
        <v>32</v>
      </c>
      <c r="C332" s="1814" t="s">
        <v>2165</v>
      </c>
      <c r="D332" s="1815"/>
      <c r="E332" s="1816"/>
      <c r="F332" s="1817">
        <f>P!$I$298</f>
        <v>86253</v>
      </c>
    </row>
    <row r="333" spans="2:6">
      <c r="B333" s="1813">
        <f t="shared" si="12"/>
        <v>33</v>
      </c>
      <c r="C333" s="1814" t="s">
        <v>2166</v>
      </c>
      <c r="D333" s="1815"/>
      <c r="E333" s="1816"/>
      <c r="F333" s="1817">
        <f>P!$I$298</f>
        <v>86253</v>
      </c>
    </row>
    <row r="334" spans="2:6">
      <c r="B334" s="1813">
        <f t="shared" si="12"/>
        <v>34</v>
      </c>
      <c r="C334" s="1814" t="s">
        <v>2167</v>
      </c>
      <c r="D334" s="1815"/>
      <c r="E334" s="1816"/>
      <c r="F334" s="1817">
        <f>P!$I$316</f>
        <v>86253</v>
      </c>
    </row>
    <row r="335" spans="2:6">
      <c r="B335" s="1813">
        <f t="shared" si="12"/>
        <v>35</v>
      </c>
      <c r="C335" s="1814" t="s">
        <v>2168</v>
      </c>
      <c r="D335" s="1815"/>
      <c r="E335" s="1816"/>
      <c r="F335" s="1817">
        <f>P!$I$325</f>
        <v>86253</v>
      </c>
    </row>
    <row r="336" spans="2:6">
      <c r="B336" s="1813">
        <f t="shared" si="12"/>
        <v>36</v>
      </c>
      <c r="C336" s="1814" t="s">
        <v>2169</v>
      </c>
      <c r="D336" s="1815"/>
      <c r="E336" s="1816"/>
      <c r="F336" s="1817">
        <f>P!$I$334</f>
        <v>91750</v>
      </c>
    </row>
    <row r="337" spans="2:6">
      <c r="B337" s="1813">
        <f t="shared" si="12"/>
        <v>37</v>
      </c>
      <c r="C337" s="1814" t="s">
        <v>2170</v>
      </c>
      <c r="D337" s="1815"/>
      <c r="E337" s="1816"/>
      <c r="F337" s="1817">
        <f>P!$I$343</f>
        <v>94257</v>
      </c>
    </row>
    <row r="338" spans="2:6">
      <c r="B338" s="1813">
        <f t="shared" si="12"/>
        <v>38</v>
      </c>
      <c r="C338" s="1140" t="str">
        <f>P!C353</f>
        <v>1 bh Pemasangan Socket Telpon</v>
      </c>
      <c r="D338" s="1090"/>
      <c r="E338" s="1091"/>
      <c r="F338" s="1155">
        <f>P!$I$361</f>
        <v>90843</v>
      </c>
    </row>
    <row r="339" spans="2:6">
      <c r="B339" s="1813">
        <f t="shared" si="12"/>
        <v>39</v>
      </c>
      <c r="C339" s="1140" t="str">
        <f>P!C362</f>
        <v>1 Bh Pemasangan Saklar Hotel 4 Gang</v>
      </c>
      <c r="D339" s="1090"/>
      <c r="E339" s="1091"/>
      <c r="F339" s="1155">
        <f>P!$I$370</f>
        <v>97728</v>
      </c>
    </row>
    <row r="340" spans="2:6">
      <c r="B340" s="1813">
        <f t="shared" si="12"/>
        <v>40</v>
      </c>
      <c r="C340" s="1140" t="str">
        <f>P!C371</f>
        <v>1 Bh Pemasangan Saklar Hotel 3 Gang</v>
      </c>
      <c r="D340" s="1090"/>
      <c r="E340" s="1091"/>
      <c r="F340" s="1155">
        <f>P!$I$379</f>
        <v>52252</v>
      </c>
    </row>
    <row r="341" spans="2:6">
      <c r="B341" s="1813">
        <f t="shared" si="12"/>
        <v>41</v>
      </c>
      <c r="C341" s="1140" t="str">
        <f>P!C380</f>
        <v>1 Bh Pemasangan Saklar Hotel 2 Gang</v>
      </c>
      <c r="D341" s="1090"/>
      <c r="E341" s="1091"/>
      <c r="F341" s="1155">
        <f>P!$I$388</f>
        <v>41947</v>
      </c>
    </row>
    <row r="342" spans="2:6">
      <c r="B342" s="1813">
        <f t="shared" si="12"/>
        <v>42</v>
      </c>
      <c r="C342" s="1140" t="str">
        <f>P!C389</f>
        <v>1 Bh Pemasangan Saklar Hotel 1 Gang</v>
      </c>
      <c r="D342" s="1090"/>
      <c r="E342" s="1091"/>
      <c r="F342" s="1155">
        <f>P!I397</f>
        <v>33528</v>
      </c>
    </row>
    <row r="343" spans="2:6">
      <c r="B343" s="1813">
        <f t="shared" si="12"/>
        <v>43</v>
      </c>
      <c r="C343" s="1140" t="str">
        <f>P!C407</f>
        <v>1 m' Pemasangan Lampu LED Strip</v>
      </c>
      <c r="D343" s="1090"/>
      <c r="E343" s="1091"/>
      <c r="F343" s="1155">
        <f>P!I415</f>
        <v>49683</v>
      </c>
    </row>
    <row r="344" spans="2:6">
      <c r="B344" s="1813">
        <f t="shared" si="12"/>
        <v>44</v>
      </c>
      <c r="C344" s="1140" t="str">
        <f>P!C416</f>
        <v>1 bh Pemasangan Lampu LED Kotak</v>
      </c>
      <c r="D344" s="1090"/>
      <c r="E344" s="1091"/>
      <c r="F344" s="1155">
        <f>P!$I$424</f>
        <v>137043</v>
      </c>
    </row>
    <row r="345" spans="2:6">
      <c r="B345" s="1813">
        <f t="shared" si="12"/>
        <v>45</v>
      </c>
      <c r="C345" s="1140" t="str">
        <f>P!C425</f>
        <v>1 bh Pemasangan Lampu LED Tabung Linear</v>
      </c>
      <c r="D345" s="1090"/>
      <c r="E345" s="1091"/>
      <c r="F345" s="1155">
        <f>P!$I$433</f>
        <v>102393</v>
      </c>
    </row>
    <row r="346" spans="2:6" hidden="1">
      <c r="B346" s="1813">
        <f t="shared" si="12"/>
        <v>46</v>
      </c>
      <c r="C346" s="1140" t="str">
        <f>P!$C$434</f>
        <v>1 bh Pemasangan Lampu Disco</v>
      </c>
      <c r="D346" s="1090"/>
      <c r="E346" s="1091"/>
      <c r="F346" s="1155">
        <f>P!$I$442</f>
        <v>221043</v>
      </c>
    </row>
    <row r="347" spans="2:6">
      <c r="B347" s="1156"/>
      <c r="C347" s="1145"/>
      <c r="D347" s="1146"/>
      <c r="E347" s="1147"/>
      <c r="F347" s="1157"/>
    </row>
    <row r="348" spans="2:6">
      <c r="B348" s="1160" t="s">
        <v>1464</v>
      </c>
      <c r="C348" s="1143" t="s">
        <v>1658</v>
      </c>
      <c r="D348" s="1090"/>
      <c r="E348" s="1091"/>
      <c r="F348" s="1161"/>
    </row>
    <row r="349" spans="2:6">
      <c r="B349" s="1154">
        <v>1</v>
      </c>
      <c r="C349" s="1140" t="str">
        <f>'KUSEN PINTU'!AO29</f>
        <v>1 Unit Pek. Pintu ( P1 )</v>
      </c>
      <c r="D349" s="1090"/>
      <c r="E349" s="1091"/>
      <c r="F349" s="1155">
        <f>'KUSEN PINTU'!BF29</f>
        <v>25246319</v>
      </c>
    </row>
    <row r="350" spans="2:6">
      <c r="B350" s="1154">
        <v>2</v>
      </c>
      <c r="C350" s="1140" t="str">
        <f>'KUSEN PINTU'!AO30</f>
        <v>1 Unit Pek. Pintu ( P2 )</v>
      </c>
      <c r="D350" s="1090"/>
      <c r="E350" s="1091"/>
      <c r="F350" s="1155">
        <f>'KUSEN PINTU'!BF30</f>
        <v>14150751</v>
      </c>
    </row>
    <row r="351" spans="2:6">
      <c r="B351" s="1154">
        <v>3</v>
      </c>
      <c r="C351" s="1140" t="str">
        <f>'KUSEN PINTU'!AO31</f>
        <v>1 Unit Pek. Pintu ( P3 )</v>
      </c>
      <c r="D351" s="1090"/>
      <c r="E351" s="1091"/>
      <c r="F351" s="1155">
        <f>'KUSEN PINTU'!BF31</f>
        <v>31010905</v>
      </c>
    </row>
    <row r="352" spans="2:6">
      <c r="B352" s="1154">
        <v>4</v>
      </c>
      <c r="C352" s="1140" t="str">
        <f>'KUSEN PINTU'!AO32</f>
        <v>1 Unit Pek. Pintu ( P4 )</v>
      </c>
      <c r="D352" s="1090"/>
      <c r="E352" s="1091"/>
      <c r="F352" s="1155">
        <f>'KUSEN PINTU'!BF32</f>
        <v>12653258</v>
      </c>
    </row>
    <row r="353" spans="2:6">
      <c r="B353" s="1154">
        <v>5</v>
      </c>
      <c r="C353" s="1140" t="str">
        <f>'KUSEN PINTU'!AO33</f>
        <v>1 Unit Pek. Pintu ( P5 )</v>
      </c>
      <c r="D353" s="1090"/>
      <c r="E353" s="1091"/>
      <c r="F353" s="1155">
        <f>'KUSEN PINTU'!BF33</f>
        <v>1113764</v>
      </c>
    </row>
    <row r="354" spans="2:6">
      <c r="B354" s="1154">
        <v>6</v>
      </c>
      <c r="C354" s="1140" t="str">
        <f>'KUSEN PINTU'!AO34</f>
        <v>1 Unit Pek. Pintu ( P6 )</v>
      </c>
      <c r="D354" s="1668"/>
      <c r="E354" s="1669"/>
      <c r="F354" s="1155">
        <f>'KUSEN PINTU'!BF34</f>
        <v>13081680</v>
      </c>
    </row>
    <row r="355" spans="2:6">
      <c r="B355" s="1154">
        <v>7</v>
      </c>
      <c r="C355" s="1140" t="str">
        <f>'KUSEN PINTU'!AO35</f>
        <v>1 Unit Pek. Pintu ( P7 )</v>
      </c>
      <c r="D355" s="1090"/>
      <c r="E355" s="1091"/>
      <c r="F355" s="1155">
        <f>'KUSEN PINTU'!BF35</f>
        <v>6599762</v>
      </c>
    </row>
    <row r="356" spans="2:6">
      <c r="B356" s="1154">
        <v>8</v>
      </c>
      <c r="C356" s="1140" t="str">
        <f>'KUSEN PINTU'!AO36</f>
        <v>1 Unit Pek. Pintu ( P8 )</v>
      </c>
      <c r="D356" s="1090"/>
      <c r="E356" s="1091"/>
      <c r="F356" s="1155">
        <f>'KUSEN PINTU'!BF36</f>
        <v>6418550</v>
      </c>
    </row>
    <row r="357" spans="2:6">
      <c r="B357" s="1154">
        <v>9</v>
      </c>
      <c r="C357" s="1140" t="str">
        <f>'KUSEN PINTU'!AO37</f>
        <v>1 Unit Pek. Pintu ( P9 )</v>
      </c>
      <c r="D357" s="1090"/>
      <c r="E357" s="1091"/>
      <c r="F357" s="1155">
        <f>'KUSEN PINTU'!BF37</f>
        <v>4609891</v>
      </c>
    </row>
    <row r="358" spans="2:6">
      <c r="B358" s="1154">
        <v>10</v>
      </c>
      <c r="C358" s="1140" t="str">
        <f>'KUSEN PINTU'!AO38</f>
        <v>1 Unit Pek. Pintu ( P10 )</v>
      </c>
      <c r="D358" s="1090"/>
      <c r="E358" s="1091"/>
      <c r="F358" s="1155">
        <f>'KUSEN PINTU'!BF38</f>
        <v>250000</v>
      </c>
    </row>
    <row r="359" spans="2:6">
      <c r="B359" s="1154">
        <v>11</v>
      </c>
      <c r="C359" s="1140" t="str">
        <f>'KUSEN PINTU'!AO39</f>
        <v>1 Unit Pek. Pintu ( P11 )</v>
      </c>
      <c r="D359" s="1090"/>
      <c r="E359" s="1091"/>
      <c r="F359" s="1155">
        <f>'KUSEN PINTU'!BF39</f>
        <v>250000</v>
      </c>
    </row>
    <row r="360" spans="2:6">
      <c r="B360" s="1154">
        <v>12</v>
      </c>
      <c r="C360" s="1140" t="str">
        <f>'KUSEN PINTU'!AO40</f>
        <v>1 Unit Pek. Jendela ( J1 )</v>
      </c>
      <c r="D360" s="1090"/>
      <c r="E360" s="1091"/>
      <c r="F360" s="1155">
        <f>'KUSEN PINTU'!BF40</f>
        <v>16885238</v>
      </c>
    </row>
    <row r="361" spans="2:6">
      <c r="B361" s="1154">
        <v>13</v>
      </c>
      <c r="C361" s="1140" t="str">
        <f>'KUSEN PINTU'!AO41</f>
        <v>1 Unit Pek. Jendela ( J2 )</v>
      </c>
      <c r="D361" s="1090"/>
      <c r="E361" s="1091"/>
      <c r="F361" s="1155">
        <f>'KUSEN PINTU'!BF41</f>
        <v>16610586</v>
      </c>
    </row>
    <row r="362" spans="2:6">
      <c r="B362" s="1154">
        <v>14</v>
      </c>
      <c r="C362" s="1140" t="str">
        <f>'KUSEN PINTU'!AO42</f>
        <v>1 Unit Pek. Jendela ( J3 )</v>
      </c>
      <c r="D362" s="1090"/>
      <c r="E362" s="1091"/>
      <c r="F362" s="1155">
        <f>'KUSEN PINTU'!BF42</f>
        <v>12091463</v>
      </c>
    </row>
    <row r="363" spans="2:6">
      <c r="B363" s="1154">
        <v>15</v>
      </c>
      <c r="C363" s="1140" t="str">
        <f>'KUSEN PINTU'!AO43</f>
        <v>1 Unit Pek. Jendela ( J4 )</v>
      </c>
      <c r="D363" s="1090"/>
      <c r="E363" s="1091"/>
      <c r="F363" s="1155">
        <f>'KUSEN PINTU'!BF43</f>
        <v>4249755</v>
      </c>
    </row>
    <row r="364" spans="2:6">
      <c r="B364" s="1154">
        <v>16</v>
      </c>
      <c r="C364" s="1140" t="str">
        <f>'KUSEN PINTU'!AO44</f>
        <v>1 Unit Pek. Jendela ( J5 )</v>
      </c>
      <c r="D364" s="1090"/>
      <c r="E364" s="1091"/>
      <c r="F364" s="1155">
        <f>'KUSEN PINTU'!BF44</f>
        <v>250000</v>
      </c>
    </row>
    <row r="365" spans="2:6">
      <c r="B365" s="1154">
        <v>17</v>
      </c>
      <c r="C365" s="1140" t="str">
        <f>'KUSEN PINTU'!AO45</f>
        <v>1 Unit Pek. Jendela ( J6 )</v>
      </c>
      <c r="D365" s="1090"/>
      <c r="E365" s="1091"/>
      <c r="F365" s="1155">
        <f>'KUSEN PINTU'!BF45</f>
        <v>250000</v>
      </c>
    </row>
    <row r="366" spans="2:6">
      <c r="B366" s="1154">
        <v>18</v>
      </c>
      <c r="C366" s="1140" t="str">
        <f>'KUSEN PINTU'!AO46</f>
        <v>1 Unit Pek. Jendela ( J7 )</v>
      </c>
      <c r="D366" s="1090"/>
      <c r="E366" s="1091"/>
      <c r="F366" s="1155">
        <f>'KUSEN PINTU'!BF46</f>
        <v>250000</v>
      </c>
    </row>
    <row r="367" spans="2:6">
      <c r="B367" s="1154">
        <v>19</v>
      </c>
      <c r="C367" s="1140" t="str">
        <f>'KUSEN PINTU'!AO47</f>
        <v>1 Unit Pek. Jendela ( J8 )</v>
      </c>
      <c r="D367" s="1090"/>
      <c r="E367" s="1091"/>
      <c r="F367" s="1155">
        <f>'KUSEN PINTU'!BF47</f>
        <v>250000</v>
      </c>
    </row>
    <row r="368" spans="2:6">
      <c r="B368" s="1154">
        <v>20</v>
      </c>
      <c r="C368" s="1140" t="str">
        <f>'KUSEN PINTU'!AO48</f>
        <v>1 Unit Pek. Jendela ( BV1 )</v>
      </c>
      <c r="D368" s="1090"/>
      <c r="E368" s="1091"/>
      <c r="F368" s="1155">
        <f>'KUSEN PINTU'!BF48</f>
        <v>403641</v>
      </c>
    </row>
    <row r="369" spans="2:6" hidden="1">
      <c r="B369" s="1154">
        <v>21</v>
      </c>
      <c r="C369" s="1140" t="str">
        <f>'KUSEN PINTU'!AO49</f>
        <v>1 Unit Pek. Jendela ( BV2 )</v>
      </c>
      <c r="D369" s="1090"/>
      <c r="E369" s="1091"/>
      <c r="F369" s="1155">
        <f>'KUSEN PINTU'!BF49</f>
        <v>557281</v>
      </c>
    </row>
    <row r="370" spans="2:6" hidden="1">
      <c r="B370" s="1154">
        <v>22</v>
      </c>
      <c r="C370" s="1140" t="str">
        <f>'KUSEN PINTU'!AO50</f>
        <v>1 Unit Pek. Jendela (  )</v>
      </c>
      <c r="D370" s="1090"/>
      <c r="E370" s="1091"/>
      <c r="F370" s="1155">
        <f>'KUSEN PINTU'!BF50</f>
        <v>250000</v>
      </c>
    </row>
    <row r="371" spans="2:6" hidden="1">
      <c r="B371" s="1154">
        <v>23</v>
      </c>
      <c r="C371" s="1140" t="str">
        <f>'KUSEN PINTU'!AO51</f>
        <v>1 Unit Pek. Jendela (  )</v>
      </c>
      <c r="D371" s="1090"/>
      <c r="E371" s="1091"/>
      <c r="F371" s="1155">
        <f>'KUSEN PINTU'!BF51</f>
        <v>250000</v>
      </c>
    </row>
    <row r="372" spans="2:6" hidden="1">
      <c r="B372" s="1154">
        <v>24</v>
      </c>
      <c r="C372" s="1140" t="str">
        <f>'KUSEN PINTU'!AO52</f>
        <v>1 Unit Pek. Jendela (  )</v>
      </c>
      <c r="D372" s="1090"/>
      <c r="E372" s="1091"/>
      <c r="F372" s="1155">
        <f>'KUSEN PINTU'!BF52</f>
        <v>250000</v>
      </c>
    </row>
    <row r="373" spans="2:6" hidden="1">
      <c r="B373" s="1154">
        <v>25</v>
      </c>
      <c r="C373" s="1140" t="str">
        <f>'KUSEN PINTU'!AO53</f>
        <v>1 Unit Pek. Jendela (  )</v>
      </c>
      <c r="D373" s="1090"/>
      <c r="E373" s="1091"/>
      <c r="F373" s="1155">
        <f>'KUSEN PINTU'!BF53</f>
        <v>250000</v>
      </c>
    </row>
    <row r="374" spans="2:6" hidden="1">
      <c r="B374" s="1154">
        <v>26</v>
      </c>
      <c r="C374" s="1140" t="str">
        <f>'KUSEN PINTU'!AO54</f>
        <v>1 Unit Pek. Jendela (  )</v>
      </c>
      <c r="D374" s="1090"/>
      <c r="E374" s="1091"/>
      <c r="F374" s="1155">
        <f>'KUSEN PINTU'!BF54</f>
        <v>250000</v>
      </c>
    </row>
    <row r="375" spans="2:6" hidden="1">
      <c r="B375" s="1154">
        <v>27</v>
      </c>
      <c r="C375" s="1140" t="str">
        <f>'KUSEN PINTU'!AO55</f>
        <v>1 Unit Pek. Jendela (  )</v>
      </c>
      <c r="D375" s="1090"/>
      <c r="E375" s="1091"/>
      <c r="F375" s="1155">
        <f>'KUSEN PINTU'!BF55</f>
        <v>250000</v>
      </c>
    </row>
    <row r="376" spans="2:6" hidden="1">
      <c r="B376" s="1154">
        <v>28</v>
      </c>
      <c r="C376" s="1140" t="str">
        <f>'KUSEN PINTU'!AO56</f>
        <v>1 Unit Pek. Jendela (  )</v>
      </c>
      <c r="D376" s="1090"/>
      <c r="E376" s="1091"/>
      <c r="F376" s="1155">
        <f>'KUSEN PINTU'!BF56</f>
        <v>250000</v>
      </c>
    </row>
    <row r="377" spans="2:6" hidden="1">
      <c r="B377" s="1154">
        <v>29</v>
      </c>
      <c r="C377" s="1140" t="str">
        <f>'KUSEN PINTU'!AO57</f>
        <v>1 Unit Pek. Jendela (  )</v>
      </c>
      <c r="D377" s="1090"/>
      <c r="E377" s="1091"/>
      <c r="F377" s="1155">
        <f>'KUSEN PINTU'!BF57</f>
        <v>250000</v>
      </c>
    </row>
    <row r="378" spans="2:6">
      <c r="B378" s="1154"/>
      <c r="C378" s="1140"/>
      <c r="D378" s="1090"/>
      <c r="E378" s="1091"/>
      <c r="F378" s="1155"/>
    </row>
    <row r="379" spans="2:6">
      <c r="B379" s="1670" t="s">
        <v>1234</v>
      </c>
      <c r="C379" s="1148" t="s">
        <v>1657</v>
      </c>
      <c r="D379" s="863"/>
      <c r="E379" s="1666"/>
      <c r="F379" s="1159"/>
    </row>
    <row r="380" spans="2:6">
      <c r="B380" s="1154">
        <v>1</v>
      </c>
      <c r="C380" s="1667" t="str">
        <f>'KUSEN PINTU'!AO29</f>
        <v>1 Unit Pek. Pintu ( P1 )</v>
      </c>
      <c r="D380" s="1668"/>
      <c r="E380" s="1669"/>
      <c r="F380" s="1645">
        <f>'KUSEN PINTU'!AP29</f>
        <v>1752000</v>
      </c>
    </row>
    <row r="381" spans="2:6" hidden="1">
      <c r="B381" s="1154">
        <v>2</v>
      </c>
      <c r="C381" s="1667" t="str">
        <f>'KUSEN PINTU'!AO30</f>
        <v>1 Unit Pek. Pintu ( P2 )</v>
      </c>
      <c r="D381" s="1668"/>
      <c r="E381" s="1669"/>
      <c r="F381" s="1645">
        <f>'KUSEN PINTU'!AP30</f>
        <v>1752000</v>
      </c>
    </row>
    <row r="382" spans="2:6">
      <c r="B382" s="1154">
        <v>2</v>
      </c>
      <c r="C382" s="1667" t="str">
        <f>'KUSEN PINTU'!AO31</f>
        <v>1 Unit Pek. Pintu ( P3 )</v>
      </c>
      <c r="D382" s="1668"/>
      <c r="E382" s="1669"/>
      <c r="F382" s="1645">
        <f>'KUSEN PINTU'!AP31</f>
        <v>1440000</v>
      </c>
    </row>
    <row r="383" spans="2:6">
      <c r="B383" s="1154">
        <v>3</v>
      </c>
      <c r="C383" s="1667" t="str">
        <f>'KUSEN PINTU'!AO32</f>
        <v>1 Unit Pek. Pintu ( P4 )</v>
      </c>
      <c r="D383" s="1668"/>
      <c r="E383" s="1669"/>
      <c r="F383" s="1645">
        <f>'KUSEN PINTU'!AP32</f>
        <v>656000</v>
      </c>
    </row>
    <row r="384" spans="2:6">
      <c r="B384" s="1154">
        <v>4</v>
      </c>
      <c r="C384" s="1667" t="str">
        <f>'KUSEN PINTU'!AO33</f>
        <v>1 Unit Pek. Pintu ( P5 )</v>
      </c>
      <c r="D384" s="1668"/>
      <c r="E384" s="1669"/>
      <c r="F384" s="1645">
        <f>'KUSEN PINTU'!AP33</f>
        <v>1455000</v>
      </c>
    </row>
    <row r="385" spans="2:6">
      <c r="B385" s="1154">
        <v>5</v>
      </c>
      <c r="C385" s="1667" t="str">
        <f>'KUSEN PINTU'!AO34</f>
        <v>1 Unit Pek. Pintu ( P6 )</v>
      </c>
      <c r="D385" s="1668"/>
      <c r="E385" s="1669"/>
      <c r="F385" s="1645">
        <f>'KUSEN PINTU'!AP34</f>
        <v>1642000</v>
      </c>
    </row>
    <row r="386" spans="2:6">
      <c r="B386" s="1154">
        <v>6</v>
      </c>
      <c r="C386" s="1667" t="str">
        <f>'KUSEN PINTU'!AO35</f>
        <v>1 Unit Pek. Pintu ( P7 )</v>
      </c>
      <c r="D386" s="1668"/>
      <c r="E386" s="1669"/>
      <c r="F386" s="1645">
        <f>'KUSEN PINTU'!AP35</f>
        <v>656000</v>
      </c>
    </row>
    <row r="387" spans="2:6">
      <c r="B387" s="1154">
        <v>7</v>
      </c>
      <c r="C387" s="1667" t="str">
        <f>'KUSEN PINTU'!AO36</f>
        <v>1 Unit Pek. Pintu ( P8 )</v>
      </c>
      <c r="D387" s="1668"/>
      <c r="E387" s="1669"/>
      <c r="F387" s="1645">
        <f>'KUSEN PINTU'!AP36</f>
        <v>656000</v>
      </c>
    </row>
    <row r="388" spans="2:6">
      <c r="B388" s="1154">
        <v>8</v>
      </c>
      <c r="C388" s="1667" t="str">
        <f>'KUSEN PINTU'!AO37</f>
        <v>1 Unit Pek. Pintu ( P9 )</v>
      </c>
      <c r="D388" s="1668"/>
      <c r="E388" s="1669"/>
      <c r="F388" s="1645">
        <f>'KUSEN PINTU'!AP37</f>
        <v>656000</v>
      </c>
    </row>
    <row r="389" spans="2:6" hidden="1">
      <c r="B389" s="1154">
        <v>9</v>
      </c>
      <c r="C389" s="1667" t="str">
        <f>'KUSEN PINTU'!AO38</f>
        <v>1 Unit Pek. Pintu ( P10 )</v>
      </c>
      <c r="D389" s="1668"/>
      <c r="E389" s="1669"/>
      <c r="F389" s="1645">
        <f>'KUSEN PINTU'!AP38</f>
        <v>0</v>
      </c>
    </row>
    <row r="390" spans="2:6" hidden="1">
      <c r="B390" s="1154">
        <v>10</v>
      </c>
      <c r="C390" s="1667" t="str">
        <f>'KUSEN PINTU'!AO39</f>
        <v>1 Unit Pek. Pintu ( P11 )</v>
      </c>
      <c r="D390" s="1668"/>
      <c r="E390" s="1669"/>
      <c r="F390" s="1645">
        <f>'KUSEN PINTU'!AP39</f>
        <v>0</v>
      </c>
    </row>
    <row r="391" spans="2:6" hidden="1">
      <c r="B391" s="1154">
        <v>11</v>
      </c>
      <c r="C391" s="1667" t="str">
        <f>'KUSEN PINTU'!AO40</f>
        <v>1 Unit Pek. Jendela ( J1 )</v>
      </c>
      <c r="D391" s="1668"/>
      <c r="E391" s="1669"/>
      <c r="F391" s="1645">
        <f>'KUSEN PINTU'!AP40</f>
        <v>536000</v>
      </c>
    </row>
    <row r="392" spans="2:6">
      <c r="B392" s="1154">
        <v>9</v>
      </c>
      <c r="C392" s="1667" t="str">
        <f>'KUSEN PINTU'!AO41</f>
        <v>1 Unit Pek. Jendela ( J2 )</v>
      </c>
      <c r="D392" s="1668"/>
      <c r="E392" s="1669"/>
      <c r="F392" s="1645">
        <f>'KUSEN PINTU'!AP41</f>
        <v>804000</v>
      </c>
    </row>
    <row r="393" spans="2:6" hidden="1">
      <c r="B393" s="1154">
        <v>13</v>
      </c>
      <c r="C393" s="1667" t="str">
        <f>'KUSEN PINTU'!AO42</f>
        <v>1 Unit Pek. Jendela ( J3 )</v>
      </c>
      <c r="D393" s="1668"/>
      <c r="E393" s="1669"/>
      <c r="F393" s="1645">
        <f>'KUSEN PINTU'!AP42</f>
        <v>536000</v>
      </c>
    </row>
    <row r="394" spans="2:6">
      <c r="B394" s="1154">
        <v>10</v>
      </c>
      <c r="C394" s="1667" t="str">
        <f>'KUSEN PINTU'!AO43</f>
        <v>1 Unit Pek. Jendela ( J4 )</v>
      </c>
      <c r="D394" s="1668"/>
      <c r="E394" s="1669"/>
      <c r="F394" s="1645">
        <f>'KUSEN PINTU'!AP43</f>
        <v>268000</v>
      </c>
    </row>
    <row r="395" spans="2:6">
      <c r="B395" s="1154">
        <v>11</v>
      </c>
      <c r="C395" s="1667" t="str">
        <f>'KUSEN PINTU'!AO44</f>
        <v>1 Unit Pek. Jendela ( J5 )</v>
      </c>
      <c r="D395" s="1668"/>
      <c r="E395" s="1669"/>
      <c r="F395" s="1645">
        <f>'KUSEN PINTU'!AP44</f>
        <v>134000</v>
      </c>
    </row>
    <row r="396" spans="2:6">
      <c r="B396" s="1154">
        <v>12</v>
      </c>
      <c r="C396" s="1667" t="str">
        <f>'KUSEN PINTU'!AO45</f>
        <v>1 Unit Pek. Jendela ( J6 )</v>
      </c>
      <c r="D396" s="1668"/>
      <c r="E396" s="1669"/>
      <c r="F396" s="1645">
        <f>'KUSEN PINTU'!AP45</f>
        <v>0</v>
      </c>
    </row>
    <row r="397" spans="2:6">
      <c r="B397" s="1154">
        <v>13</v>
      </c>
      <c r="C397" s="1667" t="str">
        <f>'KUSEN PINTU'!AO46</f>
        <v>1 Unit Pek. Jendela ( J7 )</v>
      </c>
      <c r="D397" s="1668"/>
      <c r="E397" s="1669"/>
      <c r="F397" s="1645">
        <f>'KUSEN PINTU'!AP46</f>
        <v>0</v>
      </c>
    </row>
    <row r="398" spans="2:6">
      <c r="B398" s="1154">
        <v>14</v>
      </c>
      <c r="C398" s="1667" t="str">
        <f>'KUSEN PINTU'!AO47</f>
        <v>1 Unit Pek. Jendela ( J8 )</v>
      </c>
      <c r="D398" s="1668"/>
      <c r="E398" s="1669"/>
      <c r="F398" s="1645">
        <f>'KUSEN PINTU'!AP47</f>
        <v>0</v>
      </c>
    </row>
    <row r="399" spans="2:6">
      <c r="B399" s="1154">
        <v>15</v>
      </c>
      <c r="C399" s="1667" t="str">
        <f>'KUSEN PINTU'!AO48</f>
        <v>1 Unit Pek. Jendela ( BV1 )</v>
      </c>
      <c r="D399" s="1668"/>
      <c r="E399" s="1669"/>
      <c r="F399" s="1645">
        <f>'KUSEN PINTU'!AP48</f>
        <v>134000</v>
      </c>
    </row>
    <row r="400" spans="2:6" hidden="1">
      <c r="B400" s="1154">
        <v>20</v>
      </c>
      <c r="C400" s="1667" t="str">
        <f>'KUSEN PINTU'!AO49</f>
        <v>1 Unit Pek. Jendela ( BV2 )</v>
      </c>
      <c r="D400" s="1668"/>
      <c r="E400" s="1669"/>
      <c r="F400" s="1645">
        <f>'KUSEN PINTU'!AP49</f>
        <v>268000</v>
      </c>
    </row>
    <row r="401" spans="2:6" hidden="1">
      <c r="B401" s="1154">
        <v>21</v>
      </c>
      <c r="C401" s="1667" t="str">
        <f>'KUSEN PINTU'!AO50</f>
        <v>1 Unit Pek. Jendela (  )</v>
      </c>
      <c r="D401" s="1668"/>
      <c r="E401" s="1669"/>
      <c r="F401" s="1645">
        <f>'KUSEN PINTU'!AP50</f>
        <v>0</v>
      </c>
    </row>
    <row r="402" spans="2:6" hidden="1">
      <c r="B402" s="1154">
        <v>16</v>
      </c>
      <c r="C402" s="1667" t="str">
        <f>'KUSEN PINTU'!AO51</f>
        <v>1 Unit Pek. Jendela (  )</v>
      </c>
      <c r="D402" s="1668"/>
      <c r="E402" s="1669"/>
      <c r="F402" s="1645">
        <f>'KUSEN PINTU'!AP51</f>
        <v>0</v>
      </c>
    </row>
    <row r="403" spans="2:6" hidden="1">
      <c r="B403" s="1154">
        <v>20</v>
      </c>
      <c r="C403" s="1667" t="str">
        <f>'KUSEN PINTU'!AO52</f>
        <v>1 Unit Pek. Jendela (  )</v>
      </c>
      <c r="D403" s="1668"/>
      <c r="E403" s="1669"/>
      <c r="F403" s="1645">
        <f>'KUSEN PINTU'!AP52</f>
        <v>0</v>
      </c>
    </row>
    <row r="404" spans="2:6" hidden="1">
      <c r="B404" s="1154">
        <v>14</v>
      </c>
      <c r="C404" s="1667" t="str">
        <f>'KUSEN PINTU'!AO53</f>
        <v>1 Unit Pek. Jendela (  )</v>
      </c>
      <c r="D404" s="1668"/>
      <c r="E404" s="1669"/>
      <c r="F404" s="1645">
        <f>'KUSEN PINTU'!AP53</f>
        <v>0</v>
      </c>
    </row>
    <row r="405" spans="2:6" hidden="1">
      <c r="B405" s="1154">
        <v>26</v>
      </c>
      <c r="C405" s="1667" t="str">
        <f>'KUSEN PINTU'!AO54</f>
        <v>1 Unit Pek. Jendela (  )</v>
      </c>
      <c r="D405" s="1668"/>
      <c r="E405" s="1669"/>
      <c r="F405" s="1645">
        <f>'KUSEN PINTU'!AP54</f>
        <v>0</v>
      </c>
    </row>
    <row r="406" spans="2:6" hidden="1">
      <c r="B406" s="1154">
        <v>22</v>
      </c>
      <c r="C406" s="1667" t="str">
        <f>'KUSEN PINTU'!AO55</f>
        <v>1 Unit Pek. Jendela (  )</v>
      </c>
      <c r="D406" s="1668"/>
      <c r="E406" s="1669"/>
      <c r="F406" s="1645">
        <f>'KUSEN PINTU'!AP55</f>
        <v>0</v>
      </c>
    </row>
    <row r="407" spans="2:6" hidden="1">
      <c r="B407" s="1154">
        <v>23</v>
      </c>
      <c r="C407" s="1667" t="str">
        <f>'KUSEN PINTU'!AO56</f>
        <v>1 Unit Pek. Jendela (  )</v>
      </c>
      <c r="D407" s="1668"/>
      <c r="E407" s="1669"/>
      <c r="F407" s="1645">
        <f>'KUSEN PINTU'!AP56</f>
        <v>0</v>
      </c>
    </row>
    <row r="408" spans="2:6" hidden="1">
      <c r="B408" s="1154">
        <v>24</v>
      </c>
      <c r="C408" s="1667" t="str">
        <f>'KUSEN PINTU'!AO57</f>
        <v>1 Unit Pek. Jendela (  )</v>
      </c>
      <c r="D408" s="1668"/>
      <c r="E408" s="1669"/>
      <c r="F408" s="1645">
        <f>'KUSEN PINTU'!AP57</f>
        <v>0</v>
      </c>
    </row>
    <row r="409" spans="2:6" ht="19.5" customHeight="1">
      <c r="B409" s="1701"/>
      <c r="C409" s="1702"/>
    </row>
  </sheetData>
  <mergeCells count="2">
    <mergeCell ref="B2:F2"/>
    <mergeCell ref="C4:E4"/>
  </mergeCells>
  <hyperlinks>
    <hyperlink ref="F6" location="A!H20" display="A!H20" xr:uid="{00000000-0004-0000-0500-000000000000}"/>
    <hyperlink ref="F7" location="A!H30" display="A!H30" xr:uid="{00000000-0004-0000-0500-000001000000}"/>
    <hyperlink ref="F8" location="A!H52" display="A!H52" xr:uid="{00000000-0004-0000-0500-000002000000}"/>
    <hyperlink ref="F9" location="A!H66" display="A!H66" xr:uid="{00000000-0004-0000-0500-000003000000}"/>
    <hyperlink ref="F10" location="A!H80" display="A!H80" xr:uid="{00000000-0004-0000-0500-000004000000}"/>
    <hyperlink ref="F11" location="A!H85" display="A!H85" xr:uid="{00000000-0004-0000-0500-000005000000}"/>
    <hyperlink ref="F12" location="A!H90" display="A!H90" xr:uid="{00000000-0004-0000-0500-000006000000}"/>
    <hyperlink ref="F13" location="A!H95" display="A!H95" xr:uid="{00000000-0004-0000-0500-000007000000}"/>
    <hyperlink ref="F14" location="A!H104" display="A!H104" xr:uid="{00000000-0004-0000-0500-000008000000}"/>
    <hyperlink ref="F17" location="B!H10" display="B!H10" xr:uid="{00000000-0004-0000-0500-000009000000}"/>
    <hyperlink ref="F18" location="B!H15" display="B!H15" xr:uid="{00000000-0004-0000-0500-00000A000000}"/>
    <hyperlink ref="F19" location="B!H19" display="B!H19" xr:uid="{00000000-0004-0000-0500-00000B000000}"/>
    <hyperlink ref="F20" location="B!H23" display="B!H23" xr:uid="{00000000-0004-0000-0500-00000C000000}"/>
    <hyperlink ref="F21" location="B!H28" display="B!H28" xr:uid="{00000000-0004-0000-0500-00000D000000}"/>
    <hyperlink ref="F22" location="B!H33" display="B!H33" xr:uid="{00000000-0004-0000-0500-00000E000000}"/>
    <hyperlink ref="F23" location="B!H38" display="B!H38" xr:uid="{00000000-0004-0000-0500-00000F000000}"/>
    <hyperlink ref="F24" location="B!H44" display="B!H44" xr:uid="{00000000-0004-0000-0500-000010000000}"/>
    <hyperlink ref="F25" location="B!H50" display="B!H50" xr:uid="{00000000-0004-0000-0500-000011000000}"/>
    <hyperlink ref="F26" location="B!H56" display="B!H56" xr:uid="{00000000-0004-0000-0500-000012000000}"/>
    <hyperlink ref="F29" location="'C'!H15" display="'C'!H15" xr:uid="{00000000-0004-0000-0500-000013000000}"/>
    <hyperlink ref="F30" location="'C'!H24" display="'C'!H24" xr:uid="{00000000-0004-0000-0500-000014000000}"/>
    <hyperlink ref="F31" location="'C'!H37" display="'C'!H37" xr:uid="{00000000-0004-0000-0500-000015000000}"/>
    <hyperlink ref="F32" location="'C'!H50" display="'C'!H50" xr:uid="{00000000-0004-0000-0500-000016000000}"/>
    <hyperlink ref="F33" location="'C'!H63" display="'C'!H63" xr:uid="{00000000-0004-0000-0500-000017000000}"/>
    <hyperlink ref="F34" location="'C'!H69" display="'C'!H69" xr:uid="{00000000-0004-0000-0500-000018000000}"/>
    <hyperlink ref="F35" location="'C'!H76" display="'C'!H76" xr:uid="{00000000-0004-0000-0500-000019000000}"/>
    <hyperlink ref="F36" location="'C'!H86" display="'C'!H86" xr:uid="{00000000-0004-0000-0500-00001A000000}"/>
    <hyperlink ref="F37" location="'C'!H96" display="'C'!H96" xr:uid="{00000000-0004-0000-0500-00001B000000}"/>
    <hyperlink ref="F38" location="'C'!H100" display="'C'!H100" xr:uid="{00000000-0004-0000-0500-00001C000000}"/>
    <hyperlink ref="F41" location="D!H14" display="D!H14" xr:uid="{00000000-0004-0000-0500-00001D000000}"/>
    <hyperlink ref="F42" location="D!H22" display="D!H22" xr:uid="{00000000-0004-0000-0500-00001E000000}"/>
    <hyperlink ref="F43" location="D!H33" display="D!H33" xr:uid="{00000000-0004-0000-0500-00001F000000}"/>
    <hyperlink ref="F44" location="D!H44" display="D!H44" xr:uid="{00000000-0004-0000-0500-000020000000}"/>
    <hyperlink ref="F45" location="D!H55" display="D!H55" xr:uid="{00000000-0004-0000-0500-000021000000}"/>
    <hyperlink ref="F46" location="D!H67" display="D!H67" xr:uid="{00000000-0004-0000-0500-000022000000}"/>
    <hyperlink ref="F47" location="D!H80" display="D!H80" xr:uid="{00000000-0004-0000-0500-000023000000}"/>
    <hyperlink ref="F48" location="D!H93" display="D!H93" xr:uid="{00000000-0004-0000-0500-000024000000}"/>
    <hyperlink ref="F49" location="D!H106" display="D!H106" xr:uid="{00000000-0004-0000-0500-000025000000}"/>
    <hyperlink ref="F50" location="D!H120" display="D!H120" xr:uid="{00000000-0004-0000-0500-000026000000}"/>
    <hyperlink ref="F51" location="D!H129" display="D!H129" xr:uid="{00000000-0004-0000-0500-000027000000}"/>
    <hyperlink ref="F52" location="D!H140" display="D!H140" xr:uid="{00000000-0004-0000-0500-000028000000}"/>
    <hyperlink ref="F53" location="D!H151" display="D!H151" xr:uid="{00000000-0004-0000-0500-000029000000}"/>
    <hyperlink ref="F54" location="D!H162" display="D!H162" xr:uid="{00000000-0004-0000-0500-00002A000000}"/>
    <hyperlink ref="F55" location="D!H173" display="D!H173" xr:uid="{00000000-0004-0000-0500-00002B000000}"/>
    <hyperlink ref="F56" location="D!H184" display="D!H184" xr:uid="{00000000-0004-0000-0500-00002C000000}"/>
    <hyperlink ref="F57" location="D!H195" display="D!H195" xr:uid="{00000000-0004-0000-0500-00002D000000}"/>
    <hyperlink ref="F58" location="D!H204" display="D!H204" xr:uid="{00000000-0004-0000-0500-00002E000000}"/>
    <hyperlink ref="F59" location="D!H213" display="D!H213" xr:uid="{00000000-0004-0000-0500-00002F000000}"/>
    <hyperlink ref="F60" location="D!H222" display="D!H222" xr:uid="{00000000-0004-0000-0500-000030000000}"/>
    <hyperlink ref="F61" location="D!H231" display="D!H231" xr:uid="{00000000-0004-0000-0500-000031000000}"/>
    <hyperlink ref="F62" location="D!H240" display="D!H240" xr:uid="{00000000-0004-0000-0500-000032000000}"/>
    <hyperlink ref="F63" location="D!H249" display="D!H249" xr:uid="{00000000-0004-0000-0500-000033000000}"/>
    <hyperlink ref="F64" location="D!H258" display="D!H258" xr:uid="{00000000-0004-0000-0500-000034000000}"/>
    <hyperlink ref="F65" location="D!H267" display="D!H267" xr:uid="{00000000-0004-0000-0500-000035000000}"/>
    <hyperlink ref="F66" location="D!H276" display="D!H276" xr:uid="{00000000-0004-0000-0500-000036000000}"/>
    <hyperlink ref="F67" location="D!H285" display="D!H285" xr:uid="{00000000-0004-0000-0500-000037000000}"/>
    <hyperlink ref="F69" location="H!H291" display="H!H291" xr:uid="{00000000-0004-0000-0500-000038000000}"/>
    <hyperlink ref="F73" location="E!H15" display="E!H15" xr:uid="{00000000-0004-0000-0500-000039000000}"/>
    <hyperlink ref="F74" location="E!H25" display="E!H25" xr:uid="{00000000-0004-0000-0500-00003A000000}"/>
    <hyperlink ref="F75" location="E!H35" display="E!H35" xr:uid="{00000000-0004-0000-0500-00003B000000}"/>
    <hyperlink ref="F76" location="E!H45" display="E!H45" xr:uid="{00000000-0004-0000-0500-00003C000000}"/>
    <hyperlink ref="F77" location="E!H55" display="E!H55" xr:uid="{00000000-0004-0000-0500-00003D000000}"/>
    <hyperlink ref="F78" location="E!H64" display="E!H64" xr:uid="{00000000-0004-0000-0500-00003E000000}"/>
    <hyperlink ref="F79" location="E!H73" display="E!H73" xr:uid="{00000000-0004-0000-0500-00003F000000}"/>
    <hyperlink ref="F81" location="E!H84" display="E!H84" xr:uid="{00000000-0004-0000-0500-000040000000}"/>
    <hyperlink ref="F82" location="E!H95" display="E!H95" xr:uid="{00000000-0004-0000-0500-000041000000}"/>
    <hyperlink ref="F83" location="E!H106" display="E!H106" xr:uid="{00000000-0004-0000-0500-000042000000}"/>
    <hyperlink ref="F84" location="E!H117" display="E!H117" xr:uid="{00000000-0004-0000-0500-000043000000}"/>
    <hyperlink ref="F85" location="E!H138" display="E!H138" xr:uid="{00000000-0004-0000-0500-000044000000}"/>
    <hyperlink ref="F86" location="E!H148" display="E!H148" xr:uid="{00000000-0004-0000-0500-000045000000}"/>
    <hyperlink ref="F87" location="E!H158" display="E!H158" xr:uid="{00000000-0004-0000-0500-000046000000}"/>
    <hyperlink ref="F88" location="E!H168" display="E!H168" xr:uid="{00000000-0004-0000-0500-000047000000}"/>
    <hyperlink ref="F89" location="E!H177" display="E!H177" xr:uid="{00000000-0004-0000-0500-000048000000}"/>
    <hyperlink ref="F90" location="E!H191" display="E!H191" xr:uid="{00000000-0004-0000-0500-000049000000}"/>
    <hyperlink ref="F91" location="E!H205" display="E!H205" xr:uid="{00000000-0004-0000-0500-00004A000000}"/>
    <hyperlink ref="F92" location="E!H217" display="E!H217" xr:uid="{00000000-0004-0000-0500-00004B000000}"/>
    <hyperlink ref="F93" location="E!H227" display="E!H227" xr:uid="{00000000-0004-0000-0500-00004C000000}"/>
    <hyperlink ref="F101" location="F!H14" display="F!H14" xr:uid="{00000000-0004-0000-0500-00004D000000}"/>
    <hyperlink ref="F102" location="F!H22" display="F!H22" xr:uid="{00000000-0004-0000-0500-00004E000000}"/>
    <hyperlink ref="F105" location="G!H13" display="G!H13" xr:uid="{00000000-0004-0000-0500-00004F000000}"/>
    <hyperlink ref="F106" location="G!H21" display="G!H21" xr:uid="{00000000-0004-0000-0500-000050000000}"/>
    <hyperlink ref="F107" location="G!H29" display="G!H29" xr:uid="{00000000-0004-0000-0500-000051000000}"/>
    <hyperlink ref="F108" location="G!H37" display="G!H37" xr:uid="{00000000-0004-0000-0500-000052000000}"/>
    <hyperlink ref="F109" location="G!H47" display="G!H47" xr:uid="{00000000-0004-0000-0500-000053000000}"/>
    <hyperlink ref="F110" location="G!H56" display="G!H56" xr:uid="{00000000-0004-0000-0500-000054000000}"/>
    <hyperlink ref="F111" location="G!H65" display="G!H65" xr:uid="{00000000-0004-0000-0500-000055000000}"/>
    <hyperlink ref="F112" location="G!H74" display="G!H74" xr:uid="{00000000-0004-0000-0500-000056000000}"/>
    <hyperlink ref="F113" location="G!H83" display="G!H83" xr:uid="{00000000-0004-0000-0500-000057000000}"/>
    <hyperlink ref="F114" location="G!H95" display="G!H95" xr:uid="{00000000-0004-0000-0500-000058000000}"/>
    <hyperlink ref="F115" location="G!H104" display="G!H104" xr:uid="{00000000-0004-0000-0500-000059000000}"/>
    <hyperlink ref="F116" location="G!H113" display="G!H113" xr:uid="{00000000-0004-0000-0500-00005A000000}"/>
    <hyperlink ref="F117" location="G!H122" display="G!H122" xr:uid="{00000000-0004-0000-0500-00005B000000}"/>
    <hyperlink ref="F118" location="G!H131" display="G!H131" xr:uid="{00000000-0004-0000-0500-00005C000000}"/>
    <hyperlink ref="F119" location="G!H139" display="G!H139" xr:uid="{00000000-0004-0000-0500-00005D000000}"/>
    <hyperlink ref="F120" location="G!H148" display="G!H148" xr:uid="{00000000-0004-0000-0500-00005E000000}"/>
    <hyperlink ref="F121" location="G!H157" display="G!H157" xr:uid="{00000000-0004-0000-0500-00005F000000}"/>
    <hyperlink ref="F122" location="G!H166" display="G!H166" xr:uid="{00000000-0004-0000-0500-000060000000}"/>
    <hyperlink ref="F123" location="G!H175" display="G!H175" xr:uid="{00000000-0004-0000-0500-000061000000}"/>
    <hyperlink ref="F124" location="G!H185" display="G!H185" xr:uid="{00000000-0004-0000-0500-000062000000}"/>
    <hyperlink ref="F125" location="G!H193" display="G!H193" xr:uid="{00000000-0004-0000-0500-000063000000}"/>
    <hyperlink ref="F126" location="G!H207" display="G!H207" xr:uid="{00000000-0004-0000-0500-000064000000}"/>
    <hyperlink ref="F127" location="G!H217" display="G!H217" xr:uid="{00000000-0004-0000-0500-000065000000}"/>
    <hyperlink ref="F128" location="G!H226" display="G!H226" xr:uid="{00000000-0004-0000-0500-000066000000}"/>
    <hyperlink ref="F129" location="G!H235" display="G!H235" xr:uid="{00000000-0004-0000-0500-000067000000}"/>
    <hyperlink ref="F130" location="G!H247" display="G!H247" xr:uid="{00000000-0004-0000-0500-000068000000}"/>
    <hyperlink ref="F131" location="G!H258" display="G!H258" xr:uid="{00000000-0004-0000-0500-000069000000}"/>
    <hyperlink ref="F132" location="G!H267" display="G!H267" xr:uid="{00000000-0004-0000-0500-00006A000000}"/>
    <hyperlink ref="F133" location="G!H276" display="G!H276" xr:uid="{00000000-0004-0000-0500-00006B000000}"/>
    <hyperlink ref="F137" location="H!H16" display="H!H16" xr:uid="{00000000-0004-0000-0500-00006C000000}"/>
    <hyperlink ref="F138" location="H!H30" display="H!H30" xr:uid="{00000000-0004-0000-0500-00006D000000}"/>
    <hyperlink ref="F139" location="H!H44" display="H!H44" xr:uid="{00000000-0004-0000-0500-00006E000000}"/>
    <hyperlink ref="F140" location="H!H53" display="H!H53" xr:uid="{00000000-0004-0000-0500-00006F000000}"/>
    <hyperlink ref="F141" location="H!H67" display="H!H67" xr:uid="{00000000-0004-0000-0500-000070000000}"/>
    <hyperlink ref="F142" location="H!H81" display="H!H81" xr:uid="{00000000-0004-0000-0500-000071000000}"/>
    <hyperlink ref="F145" location="I!H16" display="I!H16" xr:uid="{00000000-0004-0000-0500-000072000000}"/>
    <hyperlink ref="F146" location="I!H27" display="I!H27" xr:uid="{00000000-0004-0000-0500-000073000000}"/>
    <hyperlink ref="F147" location="I!H38" display="I!H38" xr:uid="{00000000-0004-0000-0500-000074000000}"/>
    <hyperlink ref="F148" location="I!H49" display="I!H49" xr:uid="{00000000-0004-0000-0500-000075000000}"/>
    <hyperlink ref="F149" location="I!H60" display="I!H60" xr:uid="{00000000-0004-0000-0500-000076000000}"/>
    <hyperlink ref="F150" location="I!H71" display="I!H71" xr:uid="{00000000-0004-0000-0500-000077000000}"/>
    <hyperlink ref="F151" location="I!H82" display="I!H82" xr:uid="{00000000-0004-0000-0500-000078000000}"/>
    <hyperlink ref="F152" location="I!H93" display="I!H93" xr:uid="{00000000-0004-0000-0500-000079000000}"/>
    <hyperlink ref="F153" location="I!H104" display="I!H104" xr:uid="{00000000-0004-0000-0500-00007A000000}"/>
    <hyperlink ref="F154" location="I!H155" display="I!H155" xr:uid="{00000000-0004-0000-0500-00007B000000}"/>
    <hyperlink ref="F155" location="I!AH126" display="I!AH126" xr:uid="{00000000-0004-0000-0500-00007C000000}"/>
    <hyperlink ref="F156" location="I!H137" display="I!H137" xr:uid="{00000000-0004-0000-0500-00007D000000}"/>
    <hyperlink ref="F157" location="I!H148" display="I!H148" xr:uid="{00000000-0004-0000-0500-00007E000000}"/>
    <hyperlink ref="F158" location="I!H157" display="I!H157" xr:uid="{00000000-0004-0000-0500-00007F000000}"/>
    <hyperlink ref="F159" location="I!H166" display="I!H166" xr:uid="{00000000-0004-0000-0500-000080000000}"/>
    <hyperlink ref="F160" location="I!H175" display="I!H175" xr:uid="{00000000-0004-0000-0500-000081000000}"/>
    <hyperlink ref="F161" location="I!H184" display="I!H184" xr:uid="{00000000-0004-0000-0500-000082000000}"/>
    <hyperlink ref="F162" location="I!H193" display="I!H193" xr:uid="{00000000-0004-0000-0500-000083000000}"/>
    <hyperlink ref="F163" location="I!H204" display="I!H204" xr:uid="{00000000-0004-0000-0500-000084000000}"/>
    <hyperlink ref="F164" location="I!H214" display="I!H214" xr:uid="{00000000-0004-0000-0500-000085000000}"/>
    <hyperlink ref="F70" location="H!H291" display="H!H291" xr:uid="{00000000-0004-0000-0500-000086000000}"/>
    <hyperlink ref="F94" location="E!H227" display="E!H227" xr:uid="{00000000-0004-0000-0500-000087000000}"/>
    <hyperlink ref="F95" location="E!H227" display="E!H227" xr:uid="{00000000-0004-0000-0500-000088000000}"/>
    <hyperlink ref="F134" location="G!H276" display="G!H276" xr:uid="{00000000-0004-0000-0500-000089000000}"/>
    <hyperlink ref="F68" location="H!H291" display="H!H291" xr:uid="{00000000-0004-0000-0500-00008A000000}"/>
    <hyperlink ref="F96" location="E!H227" display="E!H227" xr:uid="{00000000-0004-0000-0500-00008B000000}"/>
    <hyperlink ref="F97" location="E!H227" display="E!H227" xr:uid="{00000000-0004-0000-0500-00008C000000}"/>
    <hyperlink ref="F98" location="E!H227" display="E!H227" xr:uid="{00000000-0004-0000-0500-00008D000000}"/>
  </hyperlinks>
  <printOptions horizontalCentered="1"/>
  <pageMargins left="0.23622047244094491" right="0.23622047244094491" top="0.43307086614173229" bottom="0.43307086614173229" header="0.23622047244094491" footer="0.23622047244094491"/>
  <pageSetup paperSize="9" scale="120" fitToHeight="0" orientation="portrait" horizontalDpi="4294967294" r:id="rId1"/>
  <headerFooter>
    <oddFooter>Page &amp;P&amp;R&amp;A</oddFooter>
  </headerFooter>
  <rowBreaks count="1" manualBreakCount="1">
    <brk id="34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A1:K314"/>
  <sheetViews>
    <sheetView zoomScale="120" zoomScaleNormal="120" zoomScaleSheetLayoutView="160" workbookViewId="0">
      <selection activeCell="B1" sqref="B1"/>
    </sheetView>
  </sheetViews>
  <sheetFormatPr defaultColWidth="9.140625" defaultRowHeight="9"/>
  <cols>
    <col min="1" max="1" width="5" style="913" customWidth="1"/>
    <col min="2" max="2" width="36.28515625" style="913" customWidth="1"/>
    <col min="3" max="3" width="9.42578125" style="913" customWidth="1"/>
    <col min="4" max="4" width="5.140625" style="913" customWidth="1"/>
    <col min="5" max="5" width="11.5703125" style="915" customWidth="1"/>
    <col min="6" max="6" width="10.42578125" style="913" customWidth="1"/>
    <col min="7" max="7" width="9.140625" style="913"/>
    <col min="8" max="8" width="34.85546875" style="913" bestFit="1" customWidth="1"/>
    <col min="9" max="9" width="26.85546875" style="913" bestFit="1" customWidth="1"/>
    <col min="10" max="10" width="9.140625" style="914"/>
    <col min="11" max="13" width="9.140625" style="913"/>
    <col min="14" max="14" width="7.5703125" style="913" bestFit="1" customWidth="1"/>
    <col min="15" max="16384" width="9.140625" style="913"/>
  </cols>
  <sheetData>
    <row r="1" spans="1:11" ht="12" customHeight="1">
      <c r="A1" s="1940" t="s">
        <v>1543</v>
      </c>
      <c r="B1" s="1940"/>
      <c r="D1" s="912"/>
    </row>
    <row r="2" spans="1:11" ht="12" customHeight="1">
      <c r="A2" s="1915" t="s">
        <v>2257</v>
      </c>
      <c r="B2" s="1915" t="str">
        <f>'REKAP '!C7</f>
        <v>: Klasik Modern</v>
      </c>
      <c r="D2" s="912"/>
    </row>
    <row r="3" spans="1:11" ht="12" customHeight="1">
      <c r="A3" s="1916" t="s">
        <v>2256</v>
      </c>
      <c r="B3" s="1941" t="str">
        <f>" : "&amp;'REKAP '!M11&amp;" m2"</f>
        <v xml:space="preserve"> : 481 m2</v>
      </c>
      <c r="D3" s="912"/>
    </row>
    <row r="4" spans="1:11" ht="12" customHeight="1" thickBot="1">
      <c r="A4" s="912"/>
      <c r="B4" s="912"/>
      <c r="D4" s="912"/>
    </row>
    <row r="5" spans="1:11" ht="12" customHeight="1">
      <c r="A5" s="916"/>
      <c r="B5" s="917"/>
      <c r="C5" s="2697" t="s">
        <v>1545</v>
      </c>
      <c r="D5" s="2698"/>
      <c r="E5" s="2699"/>
      <c r="F5" s="2700"/>
    </row>
    <row r="6" spans="1:11" ht="12" customHeight="1">
      <c r="A6" s="918" t="s">
        <v>12</v>
      </c>
      <c r="B6" s="919" t="s">
        <v>1546</v>
      </c>
      <c r="C6" s="2701" t="s">
        <v>228</v>
      </c>
      <c r="D6" s="2695" t="s">
        <v>1548</v>
      </c>
      <c r="E6" s="1883" t="s">
        <v>1544</v>
      </c>
      <c r="F6" s="920" t="s">
        <v>1547</v>
      </c>
    </row>
    <row r="7" spans="1:11" ht="12" customHeight="1" thickBot="1">
      <c r="A7" s="1089"/>
      <c r="B7" s="921"/>
      <c r="C7" s="2702"/>
      <c r="D7" s="2696"/>
      <c r="E7" s="922" t="s">
        <v>1548</v>
      </c>
      <c r="F7" s="923" t="s">
        <v>1544</v>
      </c>
    </row>
    <row r="8" spans="1:11" ht="12" customHeight="1">
      <c r="A8" s="924"/>
      <c r="B8" s="925"/>
      <c r="C8" s="1884"/>
      <c r="D8" s="926"/>
      <c r="E8" s="928"/>
      <c r="F8" s="927"/>
    </row>
    <row r="9" spans="1:11" ht="12" customHeight="1">
      <c r="A9" s="929" t="s">
        <v>17</v>
      </c>
      <c r="B9" s="930" t="s">
        <v>1549</v>
      </c>
      <c r="C9" s="1885"/>
      <c r="D9" s="1213"/>
      <c r="E9" s="1214"/>
      <c r="F9" s="931"/>
    </row>
    <row r="10" spans="1:11" ht="12" customHeight="1">
      <c r="A10" s="929" t="s">
        <v>42</v>
      </c>
      <c r="B10" s="930" t="s">
        <v>1550</v>
      </c>
      <c r="C10" s="1885"/>
      <c r="D10" s="1213"/>
      <c r="E10" s="1214"/>
      <c r="F10" s="931"/>
    </row>
    <row r="11" spans="1:11" ht="11.25" customHeight="1">
      <c r="A11" s="932"/>
      <c r="B11" s="930" t="s">
        <v>1551</v>
      </c>
      <c r="C11" s="1885"/>
      <c r="D11" s="1213"/>
      <c r="E11" s="1214"/>
      <c r="F11" s="931"/>
    </row>
    <row r="12" spans="1:11" ht="12" customHeight="1">
      <c r="A12" s="932">
        <v>1</v>
      </c>
      <c r="B12" s="933" t="s">
        <v>1552</v>
      </c>
      <c r="C12" s="1885">
        <f>E!$E$345+M!$K$94</f>
        <v>1050</v>
      </c>
      <c r="D12" s="1213" t="s">
        <v>88</v>
      </c>
      <c r="E12" s="1214">
        <v>0</v>
      </c>
      <c r="F12" s="931">
        <f>C12*E12</f>
        <v>0</v>
      </c>
      <c r="G12" s="913" t="s">
        <v>2400</v>
      </c>
    </row>
    <row r="13" spans="1:11" ht="12" hidden="1" customHeight="1">
      <c r="A13" s="932"/>
      <c r="B13" s="933" t="s">
        <v>394</v>
      </c>
      <c r="C13" s="1885">
        <f>E!$K$57</f>
        <v>0</v>
      </c>
      <c r="D13" s="1213" t="s">
        <v>100</v>
      </c>
      <c r="E13" s="1214">
        <v>0</v>
      </c>
      <c r="F13" s="931">
        <f>C13*E13</f>
        <v>0</v>
      </c>
    </row>
    <row r="14" spans="1:11" ht="12" customHeight="1">
      <c r="A14" s="932">
        <v>2</v>
      </c>
      <c r="B14" s="933" t="s">
        <v>292</v>
      </c>
      <c r="C14" s="1885">
        <f>'C'!$K$7+'C'!$K$17</f>
        <v>140.13450000000003</v>
      </c>
      <c r="D14" s="1213" t="s">
        <v>100</v>
      </c>
      <c r="E14" s="1214">
        <v>0</v>
      </c>
      <c r="F14" s="931">
        <f>C14*E14</f>
        <v>0</v>
      </c>
    </row>
    <row r="15" spans="1:11" ht="12" customHeight="1">
      <c r="A15" s="932">
        <v>3</v>
      </c>
      <c r="B15" s="925" t="s">
        <v>224</v>
      </c>
      <c r="C15" s="1885">
        <f>PSP!$K$11+'C'!$E$110+D!$E$315</f>
        <v>1.8179999999999998</v>
      </c>
      <c r="D15" s="926" t="s">
        <v>100</v>
      </c>
      <c r="E15" s="1214">
        <v>0</v>
      </c>
      <c r="F15" s="931">
        <f t="shared" ref="F15:F54" si="0">C15*E15</f>
        <v>0</v>
      </c>
    </row>
    <row r="16" spans="1:11" ht="12" customHeight="1">
      <c r="A16" s="932">
        <v>4</v>
      </c>
      <c r="B16" s="933" t="s">
        <v>1553</v>
      </c>
      <c r="C16" s="1885">
        <f>('C'!$K$53+D!K224)/4.8</f>
        <v>0</v>
      </c>
      <c r="D16" s="1213" t="s">
        <v>1074</v>
      </c>
      <c r="E16" s="1214">
        <v>0</v>
      </c>
      <c r="F16" s="931">
        <f t="shared" si="0"/>
        <v>0</v>
      </c>
      <c r="K16" s="914"/>
    </row>
    <row r="17" spans="1:11" ht="12" customHeight="1">
      <c r="A17" s="932">
        <v>5</v>
      </c>
      <c r="B17" s="933" t="s">
        <v>1554</v>
      </c>
      <c r="C17" s="1885">
        <f>D!$K$233/7.44</f>
        <v>0</v>
      </c>
      <c r="D17" s="1213" t="s">
        <v>1074</v>
      </c>
      <c r="E17" s="1214">
        <v>0</v>
      </c>
      <c r="F17" s="931">
        <f t="shared" si="0"/>
        <v>0</v>
      </c>
      <c r="K17" s="914"/>
    </row>
    <row r="18" spans="1:11" ht="12" customHeight="1">
      <c r="A18" s="932">
        <v>6</v>
      </c>
      <c r="B18" s="934" t="s">
        <v>1555</v>
      </c>
      <c r="C18" s="1885">
        <f>D!$K$242/10.68</f>
        <v>0</v>
      </c>
      <c r="D18" s="1213" t="s">
        <v>1074</v>
      </c>
      <c r="E18" s="1214">
        <v>0</v>
      </c>
      <c r="F18" s="931">
        <f t="shared" si="0"/>
        <v>0</v>
      </c>
      <c r="I18" s="935"/>
      <c r="K18" s="914"/>
    </row>
    <row r="19" spans="1:11" ht="12" customHeight="1">
      <c r="A19" s="932">
        <v>7</v>
      </c>
      <c r="B19" s="933" t="s">
        <v>1823</v>
      </c>
      <c r="C19" s="1885">
        <f>D!$K$251/7.44</f>
        <v>0</v>
      </c>
      <c r="D19" s="1213" t="s">
        <v>1074</v>
      </c>
      <c r="E19" s="1214">
        <v>0</v>
      </c>
      <c r="F19" s="931">
        <f t="shared" si="0"/>
        <v>0</v>
      </c>
      <c r="I19" s="935"/>
      <c r="K19" s="914"/>
    </row>
    <row r="20" spans="1:11" ht="12" hidden="1" customHeight="1">
      <c r="A20" s="932">
        <v>7</v>
      </c>
      <c r="B20" s="933" t="s">
        <v>1688</v>
      </c>
      <c r="C20" s="2341">
        <f>D!$K$260/12.48</f>
        <v>0</v>
      </c>
      <c r="D20" s="1213" t="s">
        <v>1074</v>
      </c>
      <c r="E20" s="1214">
        <v>0</v>
      </c>
      <c r="F20" s="931">
        <f t="shared" si="0"/>
        <v>0</v>
      </c>
      <c r="I20" s="935"/>
      <c r="K20" s="914"/>
    </row>
    <row r="21" spans="1:11" ht="12" customHeight="1">
      <c r="A21" s="932">
        <v>8</v>
      </c>
      <c r="B21" s="933" t="s">
        <v>1736</v>
      </c>
      <c r="C21" s="1885">
        <f>('C'!$K$52+D!$K$269+'C'!$K$26)/18.96</f>
        <v>0</v>
      </c>
      <c r="D21" s="1213" t="s">
        <v>1074</v>
      </c>
      <c r="E21" s="1214">
        <v>0</v>
      </c>
      <c r="F21" s="931">
        <f t="shared" si="0"/>
        <v>0</v>
      </c>
      <c r="I21" s="935"/>
      <c r="K21" s="914"/>
    </row>
    <row r="22" spans="1:11" ht="12" hidden="1" customHeight="1">
      <c r="A22" s="932">
        <v>9</v>
      </c>
      <c r="B22" s="933" t="s">
        <v>329</v>
      </c>
      <c r="C22" s="1885">
        <f>D!$K$16</f>
        <v>0</v>
      </c>
      <c r="D22" s="1213" t="s">
        <v>147</v>
      </c>
      <c r="E22" s="1214">
        <v>0</v>
      </c>
      <c r="F22" s="931">
        <f t="shared" si="0"/>
        <v>0</v>
      </c>
    </row>
    <row r="23" spans="1:11" ht="12" customHeight="1">
      <c r="A23" s="932">
        <v>9</v>
      </c>
      <c r="B23" s="933" t="s">
        <v>334</v>
      </c>
      <c r="C23" s="1885">
        <f>D!$E$320</f>
        <v>145.845</v>
      </c>
      <c r="D23" s="1213" t="s">
        <v>971</v>
      </c>
      <c r="E23" s="1214">
        <v>0</v>
      </c>
      <c r="F23" s="931">
        <f t="shared" si="0"/>
        <v>0</v>
      </c>
    </row>
    <row r="24" spans="1:11" ht="12" customHeight="1">
      <c r="A24" s="932">
        <v>10</v>
      </c>
      <c r="B24" s="933" t="s">
        <v>342</v>
      </c>
      <c r="C24" s="1885">
        <f>PSP!$K$7+D!$E$321</f>
        <v>274.7</v>
      </c>
      <c r="D24" s="1213" t="s">
        <v>1074</v>
      </c>
      <c r="E24" s="1214">
        <v>0</v>
      </c>
      <c r="F24" s="931">
        <f t="shared" si="0"/>
        <v>0</v>
      </c>
    </row>
    <row r="25" spans="1:11" ht="12" customHeight="1">
      <c r="A25" s="932">
        <v>11</v>
      </c>
      <c r="B25" s="933" t="s">
        <v>1556</v>
      </c>
      <c r="C25" s="1885">
        <f>D!$E$318</f>
        <v>63.06</v>
      </c>
      <c r="D25" s="1213" t="s">
        <v>301</v>
      </c>
      <c r="E25" s="1214">
        <v>0</v>
      </c>
      <c r="F25" s="931">
        <f t="shared" si="0"/>
        <v>0</v>
      </c>
    </row>
    <row r="26" spans="1:11" ht="12" hidden="1" customHeight="1">
      <c r="A26" s="932">
        <v>13</v>
      </c>
      <c r="B26" s="933" t="s">
        <v>356</v>
      </c>
      <c r="C26" s="1885">
        <f>D!$K$122</f>
        <v>0</v>
      </c>
      <c r="D26" s="1213" t="s">
        <v>147</v>
      </c>
      <c r="E26" s="1214">
        <v>0</v>
      </c>
      <c r="F26" s="931">
        <f t="shared" si="0"/>
        <v>0</v>
      </c>
    </row>
    <row r="27" spans="1:11" ht="12" hidden="1" customHeight="1">
      <c r="A27" s="932">
        <v>14</v>
      </c>
      <c r="B27" s="933" t="s">
        <v>352</v>
      </c>
      <c r="C27" s="1885">
        <f>D!$E$322</f>
        <v>0</v>
      </c>
      <c r="D27" s="1213" t="s">
        <v>88</v>
      </c>
      <c r="E27" s="1214">
        <v>0</v>
      </c>
      <c r="F27" s="931">
        <f t="shared" si="0"/>
        <v>0</v>
      </c>
    </row>
    <row r="28" spans="1:11" ht="12" customHeight="1">
      <c r="A28" s="932">
        <v>12</v>
      </c>
      <c r="B28" s="933" t="s">
        <v>299</v>
      </c>
      <c r="C28" s="1885">
        <f>'C'!$E$109+D!$E$312</f>
        <v>0</v>
      </c>
      <c r="D28" s="1213" t="s">
        <v>47</v>
      </c>
      <c r="E28" s="1214">
        <v>0</v>
      </c>
      <c r="F28" s="931">
        <f t="shared" si="0"/>
        <v>0</v>
      </c>
    </row>
    <row r="29" spans="1:11" ht="12" hidden="1" customHeight="1">
      <c r="A29" s="932">
        <v>16</v>
      </c>
      <c r="B29" s="933" t="s">
        <v>330</v>
      </c>
      <c r="C29" s="1885">
        <f>D!$K$17+D!$K$123+G!$K$241+K!$K$153+K!$K$167+K!$K$182</f>
        <v>0</v>
      </c>
      <c r="D29" s="1213" t="s">
        <v>47</v>
      </c>
      <c r="E29" s="1214">
        <v>0</v>
      </c>
      <c r="F29" s="931">
        <f t="shared" si="0"/>
        <v>0</v>
      </c>
    </row>
    <row r="30" spans="1:11" ht="12" hidden="1" customHeight="1">
      <c r="A30" s="932"/>
      <c r="B30" s="933" t="s">
        <v>1748</v>
      </c>
      <c r="C30" s="1885">
        <f>'C'!$K$80</f>
        <v>0</v>
      </c>
      <c r="D30" s="1213" t="s">
        <v>88</v>
      </c>
      <c r="E30" s="1214">
        <v>0</v>
      </c>
      <c r="F30" s="931">
        <f t="shared" si="0"/>
        <v>0</v>
      </c>
    </row>
    <row r="31" spans="1:11" ht="12" customHeight="1">
      <c r="A31" s="932">
        <v>13</v>
      </c>
      <c r="B31" s="933" t="s">
        <v>1557</v>
      </c>
      <c r="C31" s="1885">
        <f>PSP!$K$13+PSP!$K$23+D!$E$317</f>
        <v>142.28</v>
      </c>
      <c r="D31" s="1213" t="s">
        <v>47</v>
      </c>
      <c r="E31" s="1214">
        <v>0</v>
      </c>
      <c r="F31" s="931">
        <f t="shared" si="0"/>
        <v>0</v>
      </c>
    </row>
    <row r="32" spans="1:11" ht="12" hidden="1" customHeight="1">
      <c r="A32" s="932"/>
      <c r="B32" s="933" t="s">
        <v>1590</v>
      </c>
      <c r="C32" s="1885">
        <f>G!$K$151+G!$K$220+G!$K$229</f>
        <v>0</v>
      </c>
      <c r="D32" s="1213" t="s">
        <v>47</v>
      </c>
      <c r="E32" s="1214">
        <v>0</v>
      </c>
      <c r="F32" s="931">
        <f t="shared" si="0"/>
        <v>0</v>
      </c>
    </row>
    <row r="33" spans="1:10" ht="12" customHeight="1">
      <c r="A33" s="932">
        <v>14</v>
      </c>
      <c r="B33" s="933" t="s">
        <v>1592</v>
      </c>
      <c r="C33" s="1886">
        <f>PSP!$K$9</f>
        <v>242.39999999999998</v>
      </c>
      <c r="D33" s="1213" t="s">
        <v>971</v>
      </c>
      <c r="E33" s="1214">
        <v>0</v>
      </c>
      <c r="F33" s="931">
        <f t="shared" si="0"/>
        <v>0</v>
      </c>
    </row>
    <row r="34" spans="1:10" ht="12" customHeight="1">
      <c r="A34" s="932">
        <v>15</v>
      </c>
      <c r="B34" s="933" t="s">
        <v>227</v>
      </c>
      <c r="C34" s="1885">
        <f>PSP!$K$14</f>
        <v>90.9</v>
      </c>
      <c r="D34" s="1213" t="s">
        <v>47</v>
      </c>
      <c r="E34" s="1214">
        <v>0</v>
      </c>
      <c r="F34" s="931">
        <f t="shared" si="0"/>
        <v>0</v>
      </c>
    </row>
    <row r="35" spans="1:10" ht="12" customHeight="1">
      <c r="A35" s="932">
        <v>16</v>
      </c>
      <c r="B35" s="933" t="s">
        <v>1558</v>
      </c>
      <c r="C35" s="2341">
        <f>M!$K$99</f>
        <v>0</v>
      </c>
      <c r="D35" s="1213" t="s">
        <v>100</v>
      </c>
      <c r="E35" s="1214">
        <v>0</v>
      </c>
      <c r="F35" s="931">
        <f t="shared" si="0"/>
        <v>0</v>
      </c>
    </row>
    <row r="36" spans="1:10" ht="12" customHeight="1">
      <c r="A36" s="932">
        <v>17</v>
      </c>
      <c r="B36" s="933" t="s">
        <v>361</v>
      </c>
      <c r="C36" s="1885">
        <f>PSP!$K$10+D!$E$314</f>
        <v>1.01</v>
      </c>
      <c r="D36" s="1213" t="s">
        <v>100</v>
      </c>
      <c r="E36" s="1214">
        <v>0</v>
      </c>
      <c r="F36" s="931">
        <f t="shared" si="0"/>
        <v>0</v>
      </c>
    </row>
    <row r="37" spans="1:10" s="1860" customFormat="1" ht="12" hidden="1" customHeight="1">
      <c r="A37" s="932"/>
      <c r="B37" s="1858" t="s">
        <v>1559</v>
      </c>
      <c r="C37" s="1887">
        <f>M!$K$295+M!$K$401</f>
        <v>0.214</v>
      </c>
      <c r="D37" s="1888" t="s">
        <v>100</v>
      </c>
      <c r="E37" s="1214">
        <v>0</v>
      </c>
      <c r="F37" s="1859">
        <f t="shared" si="0"/>
        <v>0</v>
      </c>
      <c r="J37" s="1861"/>
    </row>
    <row r="38" spans="1:10" ht="12" customHeight="1">
      <c r="A38" s="932">
        <v>18</v>
      </c>
      <c r="B38" s="934" t="s">
        <v>282</v>
      </c>
      <c r="C38" s="1885">
        <f>B!$K$40+'C'!$K$18</f>
        <v>66.762450000000001</v>
      </c>
      <c r="D38" s="1213" t="s">
        <v>100</v>
      </c>
      <c r="E38" s="1214">
        <v>0</v>
      </c>
      <c r="F38" s="931">
        <f t="shared" si="0"/>
        <v>0</v>
      </c>
    </row>
    <row r="39" spans="1:10" ht="12" customHeight="1">
      <c r="A39" s="932">
        <v>19</v>
      </c>
      <c r="B39" s="934" t="s">
        <v>237</v>
      </c>
      <c r="C39" s="1885">
        <f>'C'!$E$105+E!$E$347+I!$E$252</f>
        <v>60.290400000000012</v>
      </c>
      <c r="D39" s="1213" t="s">
        <v>100</v>
      </c>
      <c r="E39" s="1214">
        <v>0</v>
      </c>
      <c r="F39" s="931">
        <f t="shared" si="0"/>
        <v>0</v>
      </c>
    </row>
    <row r="40" spans="1:10" ht="12" hidden="1" customHeight="1">
      <c r="A40" s="932"/>
      <c r="B40" s="934" t="s">
        <v>1560</v>
      </c>
      <c r="C40" s="1885">
        <f>M!$K$303</f>
        <v>0</v>
      </c>
      <c r="D40" s="1213" t="s">
        <v>100</v>
      </c>
      <c r="E40" s="1214">
        <v>0</v>
      </c>
      <c r="F40" s="931">
        <f t="shared" si="0"/>
        <v>0</v>
      </c>
    </row>
    <row r="41" spans="1:10" ht="12" hidden="1" customHeight="1">
      <c r="A41" s="932"/>
      <c r="B41" s="933" t="s">
        <v>914</v>
      </c>
      <c r="C41" s="1885">
        <f>B!$K$52</f>
        <v>0</v>
      </c>
      <c r="D41" s="1213" t="s">
        <v>100</v>
      </c>
      <c r="E41" s="1214">
        <v>0</v>
      </c>
      <c r="F41" s="931">
        <f t="shared" si="0"/>
        <v>0</v>
      </c>
    </row>
    <row r="42" spans="1:10" ht="12" hidden="1" customHeight="1">
      <c r="A42" s="932">
        <v>24</v>
      </c>
      <c r="B42" s="933" t="s">
        <v>1635</v>
      </c>
      <c r="C42" s="1885">
        <f>BOQ!$E$1282</f>
        <v>0</v>
      </c>
      <c r="D42" s="1213" t="s">
        <v>147</v>
      </c>
      <c r="E42" s="1214">
        <v>0</v>
      </c>
      <c r="F42" s="931">
        <f t="shared" si="0"/>
        <v>0</v>
      </c>
    </row>
    <row r="43" spans="1:10" ht="12" hidden="1" customHeight="1">
      <c r="A43" s="932"/>
      <c r="B43" s="934" t="s">
        <v>1561</v>
      </c>
      <c r="C43" s="1885">
        <f>M!$K$302</f>
        <v>0</v>
      </c>
      <c r="D43" s="1213" t="s">
        <v>47</v>
      </c>
      <c r="E43" s="1214">
        <v>0</v>
      </c>
      <c r="F43" s="931">
        <f t="shared" si="0"/>
        <v>0</v>
      </c>
    </row>
    <row r="44" spans="1:10" ht="12" hidden="1" customHeight="1">
      <c r="A44" s="932"/>
      <c r="B44" s="934" t="s">
        <v>1409</v>
      </c>
      <c r="C44" s="1885">
        <f>I!$L$198</f>
        <v>0</v>
      </c>
      <c r="D44" s="1213" t="s">
        <v>301</v>
      </c>
      <c r="E44" s="1214">
        <v>0</v>
      </c>
      <c r="F44" s="931">
        <f t="shared" si="0"/>
        <v>0</v>
      </c>
    </row>
    <row r="45" spans="1:10" ht="12" hidden="1" customHeight="1">
      <c r="A45" s="932"/>
      <c r="B45" s="933" t="s">
        <v>1619</v>
      </c>
      <c r="C45" s="1885">
        <v>0</v>
      </c>
      <c r="D45" s="1213" t="s">
        <v>171</v>
      </c>
      <c r="E45" s="1214">
        <v>0</v>
      </c>
      <c r="F45" s="931">
        <f t="shared" si="0"/>
        <v>0</v>
      </c>
    </row>
    <row r="46" spans="1:10" s="1860" customFormat="1" ht="12" customHeight="1">
      <c r="A46" s="932">
        <v>20</v>
      </c>
      <c r="B46" s="1858" t="str">
        <f>BAHAN!F30</f>
        <v>Semen Tiga Roda /50 kg</v>
      </c>
      <c r="C46" s="1890">
        <f>('C'!$E$104+D!$E$313+E!$E$346+F!$E$25+I!$E$251+M!$K$95)/50</f>
        <v>778.15676000000008</v>
      </c>
      <c r="D46" s="1888" t="s">
        <v>943</v>
      </c>
      <c r="E46" s="1214">
        <v>0</v>
      </c>
      <c r="F46" s="1859">
        <f t="shared" si="0"/>
        <v>0</v>
      </c>
      <c r="J46" s="1861"/>
    </row>
    <row r="47" spans="1:10" s="1860" customFormat="1" ht="12" customHeight="1" thickBot="1">
      <c r="A47" s="932">
        <v>21</v>
      </c>
      <c r="B47" s="1858" t="s">
        <v>952</v>
      </c>
      <c r="C47" s="1890">
        <f>E!$E$349+I!$E$253</f>
        <v>0</v>
      </c>
      <c r="D47" s="1888" t="s">
        <v>47</v>
      </c>
      <c r="E47" s="1214">
        <v>0</v>
      </c>
      <c r="F47" s="1859">
        <f t="shared" si="0"/>
        <v>0</v>
      </c>
      <c r="J47" s="1861"/>
    </row>
    <row r="48" spans="1:10" ht="12" hidden="1" customHeight="1">
      <c r="A48" s="932"/>
      <c r="B48" s="933" t="s">
        <v>395</v>
      </c>
      <c r="C48" s="1885">
        <f>E!$K$58</f>
        <v>0</v>
      </c>
      <c r="D48" s="1213" t="s">
        <v>943</v>
      </c>
      <c r="E48" s="1214">
        <v>0</v>
      </c>
      <c r="F48" s="931">
        <f t="shared" si="0"/>
        <v>0</v>
      </c>
    </row>
    <row r="49" spans="1:10" ht="12" hidden="1" customHeight="1">
      <c r="A49" s="932"/>
      <c r="B49" s="933" t="s">
        <v>2585</v>
      </c>
      <c r="C49" s="1885">
        <f>D!$K$206</f>
        <v>0</v>
      </c>
      <c r="D49" s="1213" t="s">
        <v>100</v>
      </c>
      <c r="E49" s="1214">
        <v>0</v>
      </c>
      <c r="F49" s="931">
        <f>C49*E49</f>
        <v>0</v>
      </c>
    </row>
    <row r="50" spans="1:10" ht="12" hidden="1" customHeight="1">
      <c r="A50" s="932">
        <v>27</v>
      </c>
      <c r="B50" s="933" t="s">
        <v>2231</v>
      </c>
      <c r="C50" s="1885">
        <f>D!$K$215</f>
        <v>0</v>
      </c>
      <c r="D50" s="1213" t="s">
        <v>100</v>
      </c>
      <c r="E50" s="1214">
        <v>0</v>
      </c>
      <c r="F50" s="931">
        <f t="shared" si="0"/>
        <v>0</v>
      </c>
    </row>
    <row r="51" spans="1:10" ht="12" hidden="1" customHeight="1" thickBot="1">
      <c r="A51" s="932">
        <v>28</v>
      </c>
      <c r="B51" s="1200" t="s">
        <v>373</v>
      </c>
      <c r="C51" s="1885">
        <f>D!$K$216+D!$K$207</f>
        <v>0</v>
      </c>
      <c r="D51" s="1252" t="s">
        <v>100</v>
      </c>
      <c r="E51" s="1214">
        <v>0</v>
      </c>
      <c r="F51" s="931">
        <f t="shared" si="0"/>
        <v>0</v>
      </c>
    </row>
    <row r="52" spans="1:10" ht="12" hidden="1" customHeight="1">
      <c r="A52" s="932"/>
      <c r="B52" s="933" t="s">
        <v>308</v>
      </c>
      <c r="C52" s="1885">
        <f>'C'!$K$65</f>
        <v>0</v>
      </c>
      <c r="D52" s="1213" t="s">
        <v>309</v>
      </c>
      <c r="E52" s="1214">
        <f>'C'!$G$65</f>
        <v>1078774</v>
      </c>
      <c r="F52" s="931">
        <f t="shared" si="0"/>
        <v>0</v>
      </c>
    </row>
    <row r="53" spans="1:10" ht="12" hidden="1" customHeight="1">
      <c r="A53" s="932"/>
      <c r="B53" s="933" t="s">
        <v>316</v>
      </c>
      <c r="C53" s="1885">
        <f>'C'!$K$78</f>
        <v>0</v>
      </c>
      <c r="D53" s="1213" t="s">
        <v>47</v>
      </c>
      <c r="E53" s="1214">
        <f>'C'!$G$78</f>
        <v>7000</v>
      </c>
      <c r="F53" s="931">
        <f t="shared" si="0"/>
        <v>0</v>
      </c>
    </row>
    <row r="54" spans="1:10" ht="12" hidden="1" customHeight="1" thickBot="1">
      <c r="A54" s="932"/>
      <c r="B54" s="964" t="s">
        <v>1744</v>
      </c>
      <c r="C54" s="1891">
        <f>'C'!$K$98</f>
        <v>0</v>
      </c>
      <c r="D54" s="965" t="s">
        <v>171</v>
      </c>
      <c r="E54" s="961">
        <f>'C'!$G$98</f>
        <v>176500</v>
      </c>
      <c r="F54" s="931">
        <f t="shared" si="0"/>
        <v>0</v>
      </c>
    </row>
    <row r="55" spans="1:10" ht="12" customHeight="1" thickBot="1">
      <c r="A55" s="1113"/>
      <c r="B55" s="937" t="s">
        <v>1562</v>
      </c>
      <c r="C55" s="1892"/>
      <c r="D55" s="938"/>
      <c r="E55" s="940"/>
      <c r="F55" s="939">
        <f>SUM(F12:F54)</f>
        <v>0</v>
      </c>
      <c r="G55" s="913">
        <v>1</v>
      </c>
      <c r="J55" s="913"/>
    </row>
    <row r="56" spans="1:10" ht="12" customHeight="1">
      <c r="A56" s="924"/>
      <c r="B56" s="925"/>
      <c r="C56" s="1884"/>
      <c r="D56" s="926"/>
      <c r="E56" s="928"/>
      <c r="F56" s="927"/>
      <c r="J56" s="913"/>
    </row>
    <row r="57" spans="1:10" ht="12" customHeight="1">
      <c r="A57" s="929" t="s">
        <v>60</v>
      </c>
      <c r="B57" s="930" t="s">
        <v>1563</v>
      </c>
      <c r="C57" s="1885"/>
      <c r="D57" s="1893"/>
      <c r="E57" s="1214"/>
      <c r="F57" s="931"/>
      <c r="J57" s="913"/>
    </row>
    <row r="58" spans="1:10" ht="12" customHeight="1">
      <c r="A58" s="932"/>
      <c r="B58" s="930" t="s">
        <v>1564</v>
      </c>
      <c r="C58" s="1885"/>
      <c r="D58" s="1893"/>
      <c r="E58" s="1214"/>
      <c r="F58" s="931"/>
      <c r="J58" s="913"/>
    </row>
    <row r="59" spans="1:10" ht="12" customHeight="1">
      <c r="A59" s="932">
        <v>1</v>
      </c>
      <c r="B59" s="933" t="s">
        <v>1565</v>
      </c>
      <c r="C59" s="1885">
        <f>PSP!$K$12+PSP!$K$22</f>
        <v>16.968</v>
      </c>
      <c r="D59" s="1213" t="s">
        <v>100</v>
      </c>
      <c r="E59" s="1214">
        <v>0</v>
      </c>
      <c r="F59" s="931">
        <f>E59*C59</f>
        <v>0</v>
      </c>
      <c r="G59" s="913" t="s">
        <v>2400</v>
      </c>
      <c r="J59" s="913"/>
    </row>
    <row r="60" spans="1:10" ht="12" customHeight="1">
      <c r="A60" s="932">
        <v>2</v>
      </c>
      <c r="B60" s="933" t="s">
        <v>1566</v>
      </c>
      <c r="C60" s="2341">
        <f>PSP!$K$24</f>
        <v>1.4139999999999999</v>
      </c>
      <c r="D60" s="1213" t="s">
        <v>100</v>
      </c>
      <c r="E60" s="1214">
        <v>0</v>
      </c>
      <c r="F60" s="931">
        <f>E60*C60</f>
        <v>0</v>
      </c>
      <c r="J60" s="913"/>
    </row>
    <row r="61" spans="1:10" ht="12" customHeight="1">
      <c r="A61" s="932">
        <v>3</v>
      </c>
      <c r="B61" s="933" t="s">
        <v>1567</v>
      </c>
      <c r="C61" s="1885">
        <f>D!$K$46+D!$K$57+D!$K$72+D!$K$85+D!$K$98+D!$K$111</f>
        <v>7.5228000000000002</v>
      </c>
      <c r="D61" s="1213" t="s">
        <v>100</v>
      </c>
      <c r="E61" s="1214">
        <v>0</v>
      </c>
      <c r="F61" s="931">
        <f>E61*C61</f>
        <v>0</v>
      </c>
      <c r="J61" s="913"/>
    </row>
    <row r="62" spans="1:10" ht="12" customHeight="1">
      <c r="A62" s="932">
        <v>4</v>
      </c>
      <c r="B62" s="933" t="s">
        <v>345</v>
      </c>
      <c r="C62" s="1885">
        <f>D!$K$69+D!$K$82+D!$K$95+D!$K$108</f>
        <v>0.33300000000000002</v>
      </c>
      <c r="D62" s="1213" t="s">
        <v>100</v>
      </c>
      <c r="E62" s="1214">
        <v>0</v>
      </c>
      <c r="F62" s="931">
        <f>E62*C62</f>
        <v>0</v>
      </c>
      <c r="J62" s="913"/>
    </row>
    <row r="63" spans="1:10" ht="12" customHeight="1" thickBot="1">
      <c r="A63" s="963">
        <v>5</v>
      </c>
      <c r="B63" s="997" t="s">
        <v>170</v>
      </c>
      <c r="C63" s="1885">
        <f>BOQ!$E$881+BOQ!$E$889</f>
        <v>8</v>
      </c>
      <c r="D63" s="960" t="s">
        <v>21</v>
      </c>
      <c r="E63" s="1214">
        <v>0</v>
      </c>
      <c r="F63" s="962">
        <f>E63*C63</f>
        <v>0</v>
      </c>
      <c r="J63" s="913"/>
    </row>
    <row r="64" spans="1:10" ht="12" customHeight="1" thickBot="1">
      <c r="A64" s="1113"/>
      <c r="B64" s="942" t="s">
        <v>1568</v>
      </c>
      <c r="C64" s="1892"/>
      <c r="D64" s="943"/>
      <c r="E64" s="940"/>
      <c r="F64" s="939">
        <f>SUM(F59:F63)</f>
        <v>0</v>
      </c>
      <c r="G64" s="913">
        <v>1</v>
      </c>
      <c r="J64" s="913"/>
    </row>
    <row r="65" spans="1:10" ht="12" customHeight="1">
      <c r="A65" s="924"/>
      <c r="B65" s="944"/>
      <c r="C65" s="1884"/>
      <c r="D65" s="945"/>
      <c r="E65" s="928"/>
      <c r="F65" s="927"/>
      <c r="J65" s="913"/>
    </row>
    <row r="66" spans="1:10" ht="12" customHeight="1">
      <c r="A66" s="929" t="s">
        <v>71</v>
      </c>
      <c r="B66" s="946" t="s">
        <v>79</v>
      </c>
      <c r="C66" s="1885"/>
      <c r="D66" s="1862"/>
      <c r="E66" s="1214"/>
      <c r="F66" s="931"/>
      <c r="G66" s="913" t="s">
        <v>2400</v>
      </c>
      <c r="J66" s="913"/>
    </row>
    <row r="67" spans="1:10" ht="12" customHeight="1">
      <c r="A67" s="957">
        <v>1</v>
      </c>
      <c r="B67" s="933" t="str">
        <f>BOQ!B498</f>
        <v>Pemasangan P1 (Full Aksesoris)</v>
      </c>
      <c r="C67" s="1885">
        <f>'KUSEN PINTU'!H62</f>
        <v>1</v>
      </c>
      <c r="D67" s="1862" t="s">
        <v>80</v>
      </c>
      <c r="E67" s="1214">
        <v>0</v>
      </c>
      <c r="F67" s="931">
        <f t="shared" ref="F67:F73" si="1">C67*E67</f>
        <v>0</v>
      </c>
      <c r="J67" s="913"/>
    </row>
    <row r="68" spans="1:10" ht="12" customHeight="1">
      <c r="A68" s="957">
        <v>2</v>
      </c>
      <c r="B68" s="933" t="str">
        <f>BOQ!B499</f>
        <v>Pemasangan P2 (Full Aksesoris)</v>
      </c>
      <c r="C68" s="1885">
        <f>'KUSEN PINTU'!H63</f>
        <v>2</v>
      </c>
      <c r="D68" s="1862" t="s">
        <v>80</v>
      </c>
      <c r="E68" s="1214">
        <v>0</v>
      </c>
      <c r="F68" s="931">
        <f t="shared" si="1"/>
        <v>0</v>
      </c>
      <c r="J68" s="913"/>
    </row>
    <row r="69" spans="1:10" ht="12" customHeight="1">
      <c r="A69" s="957">
        <v>3</v>
      </c>
      <c r="B69" s="933" t="str">
        <f>BOQ!B500</f>
        <v>Pemasangan P3 (Full Aksesoris)</v>
      </c>
      <c r="C69" s="1885">
        <f>'KUSEN PINTU'!H64</f>
        <v>1</v>
      </c>
      <c r="D69" s="1213" t="s">
        <v>80</v>
      </c>
      <c r="E69" s="1214">
        <v>0</v>
      </c>
      <c r="F69" s="931">
        <f t="shared" si="1"/>
        <v>0</v>
      </c>
      <c r="J69" s="913"/>
    </row>
    <row r="70" spans="1:10" ht="12" customHeight="1">
      <c r="A70" s="957">
        <v>4</v>
      </c>
      <c r="B70" s="933" t="str">
        <f>BOQ!B501</f>
        <v>Pemasangan P4 (Full Aksesoris)</v>
      </c>
      <c r="C70" s="1885">
        <f>'KUSEN PINTU'!H65</f>
        <v>1</v>
      </c>
      <c r="D70" s="1213" t="s">
        <v>80</v>
      </c>
      <c r="E70" s="1214">
        <v>0</v>
      </c>
      <c r="F70" s="931">
        <f t="shared" si="1"/>
        <v>0</v>
      </c>
      <c r="J70" s="913"/>
    </row>
    <row r="71" spans="1:10" ht="12" customHeight="1">
      <c r="A71" s="957">
        <v>5</v>
      </c>
      <c r="B71" s="933" t="str">
        <f>BOQ!B502</f>
        <v>Pemasangan P5 (Full Aksesoris)</v>
      </c>
      <c r="C71" s="1885">
        <f>'KUSEN PINTU'!H66</f>
        <v>1</v>
      </c>
      <c r="D71" s="1213" t="s">
        <v>80</v>
      </c>
      <c r="E71" s="1214">
        <v>0</v>
      </c>
      <c r="F71" s="931">
        <f t="shared" si="1"/>
        <v>0</v>
      </c>
      <c r="J71" s="913"/>
    </row>
    <row r="72" spans="1:10" ht="12" customHeight="1">
      <c r="A72" s="957">
        <v>6</v>
      </c>
      <c r="B72" s="933" t="str">
        <f>BOQ!B503</f>
        <v>Pemasangan P6 (Full Aksesoris)</v>
      </c>
      <c r="C72" s="1885">
        <f>'KUSEN PINTU'!H67</f>
        <v>1</v>
      </c>
      <c r="D72" s="1213" t="s">
        <v>80</v>
      </c>
      <c r="E72" s="1214">
        <v>0</v>
      </c>
      <c r="F72" s="931">
        <f t="shared" si="1"/>
        <v>0</v>
      </c>
      <c r="J72" s="913"/>
    </row>
    <row r="73" spans="1:10" ht="12" customHeight="1">
      <c r="A73" s="957">
        <v>7</v>
      </c>
      <c r="B73" s="933" t="str">
        <f>BOQ!B504</f>
        <v>Pemasangan P7 (Full Aksesoris)</v>
      </c>
      <c r="C73" s="1885">
        <f>'KUSEN PINTU'!H68</f>
        <v>6</v>
      </c>
      <c r="D73" s="1213" t="s">
        <v>80</v>
      </c>
      <c r="E73" s="1214">
        <v>0</v>
      </c>
      <c r="F73" s="931">
        <f t="shared" si="1"/>
        <v>0</v>
      </c>
      <c r="J73" s="913"/>
    </row>
    <row r="74" spans="1:10" ht="12" customHeight="1">
      <c r="A74" s="957">
        <v>8</v>
      </c>
      <c r="B74" s="933" t="str">
        <f>BOQ!B505</f>
        <v>Pemasangan P8 (Full Aksesoris)</v>
      </c>
      <c r="C74" s="1885">
        <f>'KUSEN PINTU'!H69</f>
        <v>3</v>
      </c>
      <c r="D74" s="1862" t="s">
        <v>80</v>
      </c>
      <c r="E74" s="1214">
        <v>0</v>
      </c>
      <c r="F74" s="931">
        <f t="shared" ref="F74:F81" si="2">C74*E74</f>
        <v>0</v>
      </c>
      <c r="J74" s="913"/>
    </row>
    <row r="75" spans="1:10" ht="12" customHeight="1">
      <c r="A75" s="957">
        <v>9</v>
      </c>
      <c r="B75" s="933" t="str">
        <f>BOQ!B506</f>
        <v>Pemasangan P9 (Full Aksesoris)</v>
      </c>
      <c r="C75" s="1885">
        <f>'KUSEN PINTU'!H70</f>
        <v>9</v>
      </c>
      <c r="D75" s="1862" t="s">
        <v>80</v>
      </c>
      <c r="E75" s="1214">
        <v>0</v>
      </c>
      <c r="F75" s="931">
        <f t="shared" si="2"/>
        <v>0</v>
      </c>
      <c r="J75" s="913"/>
    </row>
    <row r="76" spans="1:10" ht="12" hidden="1" customHeight="1">
      <c r="A76" s="957">
        <v>10</v>
      </c>
      <c r="B76" s="933" t="str">
        <f>BOQ!B507</f>
        <v>Pemasangan P10 (Full Aksesoris)</v>
      </c>
      <c r="C76" s="1885">
        <f>'KUSEN PINTU'!H71</f>
        <v>0</v>
      </c>
      <c r="D76" s="1213" t="s">
        <v>80</v>
      </c>
      <c r="E76" s="1214">
        <v>0</v>
      </c>
      <c r="F76" s="931">
        <f t="shared" si="2"/>
        <v>0</v>
      </c>
      <c r="J76" s="913"/>
    </row>
    <row r="77" spans="1:10" ht="12" hidden="1" customHeight="1">
      <c r="A77" s="957">
        <v>11</v>
      </c>
      <c r="B77" s="933" t="str">
        <f>BOQ!B508</f>
        <v>Pemasangan P11 (Full Aksesoris)</v>
      </c>
      <c r="C77" s="1885">
        <f>'KUSEN PINTU'!H72</f>
        <v>0</v>
      </c>
      <c r="D77" s="1213" t="s">
        <v>80</v>
      </c>
      <c r="E77" s="1214">
        <v>0</v>
      </c>
      <c r="F77" s="931">
        <f t="shared" si="2"/>
        <v>0</v>
      </c>
      <c r="J77" s="913"/>
    </row>
    <row r="78" spans="1:10" ht="12" customHeight="1">
      <c r="A78" s="957">
        <v>10</v>
      </c>
      <c r="B78" s="933" t="str">
        <f>BOQ!B509</f>
        <v>Pemasangan J1 (Full Aksesoris)</v>
      </c>
      <c r="C78" s="1885">
        <f>'KUSEN PINTU'!H73</f>
        <v>2</v>
      </c>
      <c r="D78" s="1213" t="s">
        <v>80</v>
      </c>
      <c r="E78" s="1214">
        <v>0</v>
      </c>
      <c r="F78" s="931">
        <f t="shared" si="2"/>
        <v>0</v>
      </c>
      <c r="J78" s="913"/>
    </row>
    <row r="79" spans="1:10" ht="12" customHeight="1">
      <c r="A79" s="957">
        <v>11</v>
      </c>
      <c r="B79" s="933" t="str">
        <f>BOQ!B510</f>
        <v>Pemasangan J2 (Full Aksesoris)</v>
      </c>
      <c r="C79" s="1885">
        <f>'KUSEN PINTU'!H74</f>
        <v>4</v>
      </c>
      <c r="D79" s="1213" t="s">
        <v>80</v>
      </c>
      <c r="E79" s="1214">
        <v>0</v>
      </c>
      <c r="F79" s="931">
        <f t="shared" si="2"/>
        <v>0</v>
      </c>
      <c r="J79" s="913"/>
    </row>
    <row r="80" spans="1:10" ht="12" customHeight="1">
      <c r="A80" s="957">
        <v>12</v>
      </c>
      <c r="B80" s="933" t="str">
        <f>BOQ!B511</f>
        <v>Pemasangan J3 (Full Aksesoris)</v>
      </c>
      <c r="C80" s="1885">
        <f>'KUSEN PINTU'!H75</f>
        <v>1</v>
      </c>
      <c r="D80" s="1213" t="s">
        <v>80</v>
      </c>
      <c r="E80" s="1214">
        <v>0</v>
      </c>
      <c r="F80" s="931">
        <f>C80*E80</f>
        <v>0</v>
      </c>
      <c r="J80" s="913"/>
    </row>
    <row r="81" spans="1:10" ht="12" customHeight="1">
      <c r="A81" s="957">
        <v>13</v>
      </c>
      <c r="B81" s="933" t="str">
        <f>BOQ!B512</f>
        <v>Pemasangan J4 (Full Aksesoris)</v>
      </c>
      <c r="C81" s="1885">
        <f>'KUSEN PINTU'!H76</f>
        <v>3</v>
      </c>
      <c r="D81" s="1213" t="s">
        <v>80</v>
      </c>
      <c r="E81" s="1214">
        <v>0</v>
      </c>
      <c r="F81" s="931">
        <f t="shared" si="2"/>
        <v>0</v>
      </c>
      <c r="J81" s="913"/>
    </row>
    <row r="82" spans="1:10" ht="12" hidden="1" customHeight="1">
      <c r="A82" s="957">
        <v>16</v>
      </c>
      <c r="B82" s="933" t="str">
        <f>BOQ!B513</f>
        <v>Pemasangan J5 (Full Aksesoris)</v>
      </c>
      <c r="C82" s="1885">
        <f>'KUSEN PINTU'!H77</f>
        <v>0</v>
      </c>
      <c r="D82" s="1213" t="s">
        <v>80</v>
      </c>
      <c r="E82" s="1214">
        <v>0</v>
      </c>
      <c r="F82" s="931">
        <f t="shared" ref="F82:F89" si="3">C82*E82</f>
        <v>0</v>
      </c>
      <c r="J82" s="913"/>
    </row>
    <row r="83" spans="1:10" ht="12" hidden="1" customHeight="1">
      <c r="A83" s="957">
        <v>17</v>
      </c>
      <c r="B83" s="933" t="str">
        <f>BOQ!B514</f>
        <v>Pemasangan J6 (Full Aksesoris)</v>
      </c>
      <c r="C83" s="1885">
        <f>'KUSEN PINTU'!H78</f>
        <v>0</v>
      </c>
      <c r="D83" s="1213" t="s">
        <v>80</v>
      </c>
      <c r="E83" s="1214">
        <v>0</v>
      </c>
      <c r="F83" s="931">
        <f t="shared" si="3"/>
        <v>0</v>
      </c>
      <c r="J83" s="913"/>
    </row>
    <row r="84" spans="1:10" ht="12" hidden="1" customHeight="1">
      <c r="A84" s="957">
        <v>18</v>
      </c>
      <c r="B84" s="933" t="str">
        <f>BOQ!B515</f>
        <v>Pemasangan J7 (Full Aksesoris)</v>
      </c>
      <c r="C84" s="1885">
        <f>'KUSEN PINTU'!H79</f>
        <v>0</v>
      </c>
      <c r="D84" s="1213" t="s">
        <v>80</v>
      </c>
      <c r="E84" s="1214">
        <v>0</v>
      </c>
      <c r="F84" s="931">
        <f t="shared" si="3"/>
        <v>0</v>
      </c>
      <c r="J84" s="913"/>
    </row>
    <row r="85" spans="1:10" ht="12" hidden="1" customHeight="1">
      <c r="A85" s="957">
        <v>19</v>
      </c>
      <c r="B85" s="933" t="str">
        <f>BOQ!B516</f>
        <v>Pemasangan J8 (Full Aksesoris)</v>
      </c>
      <c r="C85" s="1885">
        <f>'KUSEN PINTU'!H80</f>
        <v>0</v>
      </c>
      <c r="D85" s="1213" t="s">
        <v>80</v>
      </c>
      <c r="E85" s="1214">
        <v>0</v>
      </c>
      <c r="F85" s="931">
        <f t="shared" si="3"/>
        <v>0</v>
      </c>
      <c r="J85" s="913"/>
    </row>
    <row r="86" spans="1:10" ht="12" customHeight="1">
      <c r="A86" s="957">
        <v>14</v>
      </c>
      <c r="B86" s="933" t="str">
        <f>BOQ!B517</f>
        <v>Pemasangan BV1 (Full Aksesoris)</v>
      </c>
      <c r="C86" s="1885">
        <f>'KUSEN PINTU'!H81</f>
        <v>4</v>
      </c>
      <c r="D86" s="1213" t="s">
        <v>80</v>
      </c>
      <c r="E86" s="1214">
        <v>0</v>
      </c>
      <c r="F86" s="931">
        <f t="shared" si="3"/>
        <v>0</v>
      </c>
      <c r="J86" s="913"/>
    </row>
    <row r="87" spans="1:10" ht="12" customHeight="1" thickBot="1">
      <c r="A87" s="957">
        <v>15</v>
      </c>
      <c r="B87" s="933" t="str">
        <f>BOQ!B518</f>
        <v>Pemasangan BV2 (Full Aksesoris)</v>
      </c>
      <c r="C87" s="1885">
        <f>'KUSEN PINTU'!H82</f>
        <v>2</v>
      </c>
      <c r="D87" s="1213" t="s">
        <v>80</v>
      </c>
      <c r="E87" s="1214">
        <v>0</v>
      </c>
      <c r="F87" s="931">
        <f t="shared" si="3"/>
        <v>0</v>
      </c>
      <c r="J87" s="913"/>
    </row>
    <row r="88" spans="1:10" ht="12" hidden="1" customHeight="1">
      <c r="A88" s="957">
        <v>22</v>
      </c>
      <c r="B88" s="933" t="str">
        <f>BOQ!B519</f>
        <v>Pemasangan  (Full Aksesoris)</v>
      </c>
      <c r="C88" s="1885">
        <f>'KUSEN PINTU'!H83</f>
        <v>0</v>
      </c>
      <c r="D88" s="1213" t="s">
        <v>80</v>
      </c>
      <c r="E88" s="1214">
        <v>0</v>
      </c>
      <c r="F88" s="931">
        <f t="shared" si="3"/>
        <v>0</v>
      </c>
      <c r="J88" s="913"/>
    </row>
    <row r="89" spans="1:10" ht="12" hidden="1" customHeight="1">
      <c r="A89" s="957">
        <v>23</v>
      </c>
      <c r="B89" s="933" t="str">
        <f>BOQ!B520</f>
        <v>Pemasangan  (Full Aksesoris)</v>
      </c>
      <c r="C89" s="1885">
        <f>'KUSEN PINTU'!H84</f>
        <v>0</v>
      </c>
      <c r="D89" s="1213" t="s">
        <v>80</v>
      </c>
      <c r="E89" s="1214">
        <v>0</v>
      </c>
      <c r="F89" s="931">
        <f t="shared" si="3"/>
        <v>0</v>
      </c>
      <c r="J89" s="913"/>
    </row>
    <row r="90" spans="1:10" ht="12" hidden="1" customHeight="1">
      <c r="A90" s="957">
        <v>24</v>
      </c>
      <c r="B90" s="933" t="str">
        <f>BOQ!B521</f>
        <v>Pemasangan  (Full Aksesoris)</v>
      </c>
      <c r="C90" s="1885">
        <f>'KUSEN PINTU'!H85</f>
        <v>0</v>
      </c>
      <c r="D90" s="1213" t="s">
        <v>80</v>
      </c>
      <c r="E90" s="1214">
        <v>0</v>
      </c>
      <c r="F90" s="931">
        <f t="shared" ref="F90:F95" si="4">C90*E90</f>
        <v>0</v>
      </c>
      <c r="J90" s="913"/>
    </row>
    <row r="91" spans="1:10" ht="12" hidden="1" customHeight="1">
      <c r="A91" s="957">
        <v>25</v>
      </c>
      <c r="B91" s="933" t="str">
        <f>BOQ!B522</f>
        <v>Pemasangan  (Full Aksesoris)</v>
      </c>
      <c r="C91" s="1885">
        <f>'KUSEN PINTU'!H86</f>
        <v>0</v>
      </c>
      <c r="D91" s="1213" t="s">
        <v>80</v>
      </c>
      <c r="E91" s="1214">
        <v>0</v>
      </c>
      <c r="F91" s="931">
        <f t="shared" si="4"/>
        <v>0</v>
      </c>
      <c r="J91" s="913"/>
    </row>
    <row r="92" spans="1:10" ht="12" hidden="1" customHeight="1">
      <c r="A92" s="957">
        <v>26</v>
      </c>
      <c r="B92" s="933" t="str">
        <f>BOQ!B523</f>
        <v>Pemasangan  (Full Aksesoris)</v>
      </c>
      <c r="C92" s="1885">
        <f>'KUSEN PINTU'!H87</f>
        <v>0</v>
      </c>
      <c r="D92" s="1213" t="s">
        <v>80</v>
      </c>
      <c r="E92" s="1214">
        <v>0</v>
      </c>
      <c r="F92" s="931">
        <f t="shared" si="4"/>
        <v>0</v>
      </c>
      <c r="J92" s="913"/>
    </row>
    <row r="93" spans="1:10" ht="12" hidden="1" customHeight="1">
      <c r="A93" s="957">
        <v>27</v>
      </c>
      <c r="B93" s="933" t="str">
        <f>BOQ!B524</f>
        <v>Pemasangan  (Full Aksesoris)</v>
      </c>
      <c r="C93" s="1885">
        <f>'KUSEN PINTU'!H88</f>
        <v>0</v>
      </c>
      <c r="D93" s="1213" t="s">
        <v>80</v>
      </c>
      <c r="E93" s="1214">
        <v>0</v>
      </c>
      <c r="F93" s="931">
        <f t="shared" si="4"/>
        <v>0</v>
      </c>
      <c r="J93" s="913"/>
    </row>
    <row r="94" spans="1:10" ht="12" hidden="1" customHeight="1">
      <c r="A94" s="957">
        <v>28</v>
      </c>
      <c r="B94" s="933" t="str">
        <f>BOQ!B525</f>
        <v>Pemasangan  (Full Aksesoris)</v>
      </c>
      <c r="C94" s="1885">
        <f>'KUSEN PINTU'!H89</f>
        <v>0</v>
      </c>
      <c r="D94" s="1213" t="s">
        <v>80</v>
      </c>
      <c r="E94" s="1214">
        <v>0</v>
      </c>
      <c r="F94" s="931">
        <f t="shared" si="4"/>
        <v>0</v>
      </c>
      <c r="J94" s="913"/>
    </row>
    <row r="95" spans="1:10" ht="12" hidden="1" customHeight="1" thickBot="1">
      <c r="A95" s="957">
        <v>29</v>
      </c>
      <c r="B95" s="933" t="str">
        <f>BOQ!B526</f>
        <v>Pemasangan  (Full Aksesoris)</v>
      </c>
      <c r="C95" s="1885">
        <f>'KUSEN PINTU'!H90</f>
        <v>0</v>
      </c>
      <c r="D95" s="1213" t="s">
        <v>80</v>
      </c>
      <c r="E95" s="1214">
        <v>0</v>
      </c>
      <c r="F95" s="931">
        <f t="shared" si="4"/>
        <v>0</v>
      </c>
      <c r="J95" s="913"/>
    </row>
    <row r="96" spans="1:10" ht="12" customHeight="1" thickBot="1">
      <c r="A96" s="1113"/>
      <c r="B96" s="937" t="s">
        <v>1568</v>
      </c>
      <c r="C96" s="1894"/>
      <c r="D96" s="938"/>
      <c r="E96" s="940"/>
      <c r="F96" s="939">
        <f>SUM(F67:F95)</f>
        <v>0</v>
      </c>
      <c r="G96" s="913">
        <v>1</v>
      </c>
      <c r="J96" s="913"/>
    </row>
    <row r="97" spans="1:10" ht="12" customHeight="1">
      <c r="A97" s="1085"/>
      <c r="B97" s="1086"/>
      <c r="C97" s="1895"/>
      <c r="D97" s="1896"/>
      <c r="E97" s="1897"/>
      <c r="F97" s="951"/>
      <c r="J97" s="913"/>
    </row>
    <row r="98" spans="1:10" ht="12" customHeight="1">
      <c r="A98" s="1088" t="s">
        <v>1413</v>
      </c>
      <c r="B98" s="1087" t="s">
        <v>1657</v>
      </c>
      <c r="C98" s="1885"/>
      <c r="D98" s="1862"/>
      <c r="E98" s="1214"/>
      <c r="F98" s="931"/>
      <c r="G98" s="913" t="s">
        <v>2400</v>
      </c>
      <c r="J98" s="913"/>
    </row>
    <row r="99" spans="1:10" ht="12" customHeight="1">
      <c r="A99" s="957">
        <v>1</v>
      </c>
      <c r="B99" s="957" t="s">
        <v>1528</v>
      </c>
      <c r="C99" s="1898">
        <f>BOQ!$E$622</f>
        <v>25</v>
      </c>
      <c r="D99" s="1898" t="s">
        <v>88</v>
      </c>
      <c r="E99" s="1898">
        <v>0</v>
      </c>
      <c r="F99" s="931">
        <f>E99*C99</f>
        <v>0</v>
      </c>
      <c r="J99" s="913"/>
    </row>
    <row r="100" spans="1:10" ht="12" hidden="1" customHeight="1">
      <c r="A100" s="957">
        <v>2</v>
      </c>
      <c r="B100" s="957" t="s">
        <v>1529</v>
      </c>
      <c r="C100" s="1898">
        <f>BOQ!$E$623</f>
        <v>0</v>
      </c>
      <c r="D100" s="1898" t="s">
        <v>88</v>
      </c>
      <c r="E100" s="1898">
        <v>0</v>
      </c>
      <c r="F100" s="931">
        <f t="shared" ref="F100:F111" si="5">E100*C100</f>
        <v>0</v>
      </c>
      <c r="J100" s="913"/>
    </row>
    <row r="101" spans="1:10" ht="12" hidden="1" customHeight="1">
      <c r="A101" s="957"/>
      <c r="B101" s="957" t="s">
        <v>611</v>
      </c>
      <c r="C101" s="1898">
        <f>BOQ!$E$624</f>
        <v>62</v>
      </c>
      <c r="D101" s="1898" t="s">
        <v>88</v>
      </c>
      <c r="E101" s="1898">
        <v>0</v>
      </c>
      <c r="F101" s="931">
        <f t="shared" si="5"/>
        <v>0</v>
      </c>
      <c r="J101" s="913"/>
    </row>
    <row r="102" spans="1:10" ht="12" hidden="1" customHeight="1">
      <c r="A102" s="957">
        <v>3</v>
      </c>
      <c r="B102" s="957" t="s">
        <v>2222</v>
      </c>
      <c r="C102" s="1898">
        <f>BOQ!$E$625</f>
        <v>0</v>
      </c>
      <c r="D102" s="1898" t="s">
        <v>88</v>
      </c>
      <c r="E102" s="1898">
        <v>0</v>
      </c>
      <c r="F102" s="931">
        <f t="shared" si="5"/>
        <v>0</v>
      </c>
      <c r="J102" s="913"/>
    </row>
    <row r="103" spans="1:10" ht="12" hidden="1" customHeight="1">
      <c r="A103" s="957"/>
      <c r="B103" s="957" t="s">
        <v>1642</v>
      </c>
      <c r="C103" s="1898">
        <f>BOQ!$E$626</f>
        <v>102</v>
      </c>
      <c r="D103" s="1898" t="s">
        <v>152</v>
      </c>
      <c r="E103" s="1898">
        <v>0</v>
      </c>
      <c r="F103" s="931">
        <f t="shared" si="5"/>
        <v>0</v>
      </c>
      <c r="J103" s="913"/>
    </row>
    <row r="104" spans="1:10" ht="12" hidden="1" customHeight="1">
      <c r="A104" s="957">
        <v>4</v>
      </c>
      <c r="B104" s="957" t="s">
        <v>2223</v>
      </c>
      <c r="C104" s="1898">
        <f>BOQ!$E$627</f>
        <v>0</v>
      </c>
      <c r="D104" s="1898" t="s">
        <v>152</v>
      </c>
      <c r="E104" s="1898">
        <v>0</v>
      </c>
      <c r="F104" s="931">
        <f t="shared" si="5"/>
        <v>0</v>
      </c>
      <c r="J104" s="913"/>
    </row>
    <row r="105" spans="1:10" ht="12" customHeight="1">
      <c r="A105" s="957">
        <v>2</v>
      </c>
      <c r="B105" s="957" t="s">
        <v>1643</v>
      </c>
      <c r="C105" s="1898">
        <f>BOQ!$E$628</f>
        <v>56</v>
      </c>
      <c r="D105" s="1898" t="s">
        <v>152</v>
      </c>
      <c r="E105" s="1898">
        <v>0</v>
      </c>
      <c r="F105" s="931">
        <f t="shared" si="5"/>
        <v>0</v>
      </c>
      <c r="J105" s="913"/>
    </row>
    <row r="106" spans="1:10" ht="12" hidden="1" customHeight="1">
      <c r="A106" s="957"/>
      <c r="B106" s="957" t="s">
        <v>1530</v>
      </c>
      <c r="C106" s="1898">
        <f>BOQ!$E$629</f>
        <v>0</v>
      </c>
      <c r="D106" s="1898" t="s">
        <v>152</v>
      </c>
      <c r="E106" s="1898">
        <v>0</v>
      </c>
      <c r="F106" s="931">
        <f t="shared" si="5"/>
        <v>0</v>
      </c>
      <c r="J106" s="913"/>
    </row>
    <row r="107" spans="1:10" ht="12" hidden="1" customHeight="1">
      <c r="A107" s="957"/>
      <c r="B107" s="957" t="s">
        <v>2224</v>
      </c>
      <c r="C107" s="1898">
        <f>BOQ!$E$630</f>
        <v>0</v>
      </c>
      <c r="D107" s="1898" t="s">
        <v>88</v>
      </c>
      <c r="E107" s="1898">
        <v>0</v>
      </c>
      <c r="F107" s="931">
        <f t="shared" si="5"/>
        <v>0</v>
      </c>
      <c r="J107" s="913"/>
    </row>
    <row r="108" spans="1:10" ht="12" hidden="1" customHeight="1">
      <c r="A108" s="957"/>
      <c r="B108" s="957" t="s">
        <v>2225</v>
      </c>
      <c r="C108" s="1898">
        <f>BOQ!$E$631</f>
        <v>0</v>
      </c>
      <c r="D108" s="1898" t="s">
        <v>88</v>
      </c>
      <c r="E108" s="1898">
        <v>0</v>
      </c>
      <c r="F108" s="931">
        <f t="shared" si="5"/>
        <v>0</v>
      </c>
      <c r="J108" s="913"/>
    </row>
    <row r="109" spans="1:10" ht="12" hidden="1" customHeight="1">
      <c r="A109" s="957">
        <v>6</v>
      </c>
      <c r="B109" s="957" t="s">
        <v>2226</v>
      </c>
      <c r="C109" s="1898">
        <f>BOQ!$E$632</f>
        <v>0</v>
      </c>
      <c r="D109" s="1898" t="s">
        <v>88</v>
      </c>
      <c r="E109" s="1898">
        <v>0</v>
      </c>
      <c r="F109" s="931">
        <f t="shared" si="5"/>
        <v>0</v>
      </c>
      <c r="J109" s="913"/>
    </row>
    <row r="110" spans="1:10" ht="12" customHeight="1">
      <c r="A110" s="957">
        <v>3</v>
      </c>
      <c r="B110" s="957" t="s">
        <v>1644</v>
      </c>
      <c r="C110" s="1898">
        <f>BOQ!$E$633</f>
        <v>19</v>
      </c>
      <c r="D110" s="1898" t="s">
        <v>152</v>
      </c>
      <c r="E110" s="1898">
        <v>0</v>
      </c>
      <c r="F110" s="931">
        <f t="shared" si="5"/>
        <v>0</v>
      </c>
      <c r="J110" s="913"/>
    </row>
    <row r="111" spans="1:10" ht="12" customHeight="1" thickBot="1">
      <c r="A111" s="963">
        <v>4</v>
      </c>
      <c r="B111" s="963" t="s">
        <v>1467</v>
      </c>
      <c r="C111" s="1898">
        <f>BOQ!$E$634</f>
        <v>12</v>
      </c>
      <c r="D111" s="1899" t="s">
        <v>152</v>
      </c>
      <c r="E111" s="1898">
        <v>0</v>
      </c>
      <c r="F111" s="962">
        <f t="shared" si="5"/>
        <v>0</v>
      </c>
      <c r="J111" s="913"/>
    </row>
    <row r="112" spans="1:10" ht="12" customHeight="1" thickBot="1">
      <c r="A112" s="1113"/>
      <c r="B112" s="937" t="s">
        <v>1568</v>
      </c>
      <c r="C112" s="1892"/>
      <c r="D112" s="938"/>
      <c r="E112" s="940"/>
      <c r="F112" s="939">
        <f>SUM(F99:F111)</f>
        <v>0</v>
      </c>
      <c r="G112" s="913">
        <v>1</v>
      </c>
      <c r="J112" s="913"/>
    </row>
    <row r="113" spans="1:10" ht="12.75" customHeight="1">
      <c r="A113" s="924"/>
      <c r="B113" s="925"/>
      <c r="C113" s="1884"/>
      <c r="D113" s="926"/>
      <c r="E113" s="928"/>
      <c r="F113" s="927"/>
      <c r="J113" s="913"/>
    </row>
    <row r="114" spans="1:10" ht="11.25" customHeight="1">
      <c r="A114" s="929" t="s">
        <v>1010</v>
      </c>
      <c r="B114" s="930" t="s">
        <v>1569</v>
      </c>
      <c r="C114" s="1885"/>
      <c r="D114" s="1893"/>
      <c r="E114" s="1214"/>
      <c r="F114" s="931"/>
      <c r="J114" s="913"/>
    </row>
    <row r="115" spans="1:10" ht="12" hidden="1" customHeight="1">
      <c r="A115" s="932">
        <v>1</v>
      </c>
      <c r="B115" s="933" t="s">
        <v>1570</v>
      </c>
      <c r="C115" s="1885">
        <f>G!$K$133</f>
        <v>0</v>
      </c>
      <c r="D115" s="1213" t="s">
        <v>147</v>
      </c>
      <c r="E115" s="1214">
        <v>0</v>
      </c>
      <c r="F115" s="931">
        <f>SUM(C115*E115)</f>
        <v>0</v>
      </c>
      <c r="J115" s="913"/>
    </row>
    <row r="116" spans="1:10" ht="12" hidden="1" customHeight="1">
      <c r="A116" s="932">
        <v>2</v>
      </c>
      <c r="B116" s="934" t="s">
        <v>2582</v>
      </c>
      <c r="C116" s="1214">
        <f>G!$K$210</f>
        <v>0</v>
      </c>
      <c r="D116" s="1213" t="s">
        <v>147</v>
      </c>
      <c r="E116" s="1214">
        <v>0</v>
      </c>
      <c r="F116" s="931">
        <f>SUM(C116*E116)</f>
        <v>0</v>
      </c>
      <c r="G116" s="913" t="s">
        <v>2400</v>
      </c>
      <c r="J116" s="913"/>
    </row>
    <row r="117" spans="1:10" ht="12" hidden="1" customHeight="1">
      <c r="A117" s="932"/>
      <c r="B117" s="934" t="s">
        <v>2258</v>
      </c>
      <c r="C117" s="1214">
        <f>G!$K$7</f>
        <v>0</v>
      </c>
      <c r="D117" s="1213" t="s">
        <v>147</v>
      </c>
      <c r="E117" s="1214">
        <v>0</v>
      </c>
      <c r="F117" s="931">
        <f>SUM(C117*E117)</f>
        <v>0</v>
      </c>
      <c r="G117" s="913" t="s">
        <v>2400</v>
      </c>
      <c r="J117" s="913"/>
    </row>
    <row r="118" spans="1:10" ht="12" hidden="1" customHeight="1">
      <c r="A118" s="932"/>
      <c r="B118" s="933" t="s">
        <v>2364</v>
      </c>
      <c r="C118" s="1885">
        <f>G!$K$150</f>
        <v>0</v>
      </c>
      <c r="D118" s="1213" t="s">
        <v>971</v>
      </c>
      <c r="E118" s="1214">
        <v>0</v>
      </c>
      <c r="F118" s="931">
        <f>SUM(C118*E118)</f>
        <v>0</v>
      </c>
      <c r="J118" s="913"/>
    </row>
    <row r="119" spans="1:10" ht="12" customHeight="1">
      <c r="A119" s="932">
        <v>1</v>
      </c>
      <c r="B119" s="933" t="s">
        <v>2259</v>
      </c>
      <c r="C119" s="1885">
        <f>G!$K$31</f>
        <v>229.03225806451616</v>
      </c>
      <c r="D119" s="1213" t="s">
        <v>88</v>
      </c>
      <c r="E119" s="1214">
        <v>0</v>
      </c>
      <c r="F119" s="931">
        <f>SUM(C119*E119)</f>
        <v>0</v>
      </c>
      <c r="J119" s="913"/>
    </row>
    <row r="120" spans="1:10" ht="12" hidden="1" customHeight="1">
      <c r="A120" s="932"/>
      <c r="B120" s="933" t="s">
        <v>1648</v>
      </c>
      <c r="C120" s="1885">
        <v>0</v>
      </c>
      <c r="D120" s="1213" t="s">
        <v>88</v>
      </c>
      <c r="E120" s="1214">
        <v>0</v>
      </c>
      <c r="F120" s="931">
        <f t="shared" ref="F120:F134" si="6">E120*C120</f>
        <v>0</v>
      </c>
      <c r="J120" s="913"/>
    </row>
    <row r="121" spans="1:10" ht="12" hidden="1" customHeight="1">
      <c r="A121" s="932"/>
      <c r="B121" s="933" t="s">
        <v>2260</v>
      </c>
      <c r="C121" s="1885">
        <f>BOQ!$E$489</f>
        <v>0</v>
      </c>
      <c r="D121" s="1213" t="s">
        <v>88</v>
      </c>
      <c r="E121" s="1214">
        <v>0</v>
      </c>
      <c r="F121" s="931">
        <f t="shared" si="6"/>
        <v>0</v>
      </c>
      <c r="J121" s="913"/>
    </row>
    <row r="122" spans="1:10" ht="12" hidden="1" customHeight="1">
      <c r="A122" s="932"/>
      <c r="B122" s="933" t="s">
        <v>1650</v>
      </c>
      <c r="C122" s="1885">
        <f>BOQ!$E$488</f>
        <v>0</v>
      </c>
      <c r="D122" s="1213" t="s">
        <v>88</v>
      </c>
      <c r="E122" s="1214">
        <v>0</v>
      </c>
      <c r="F122" s="931">
        <f>E122*C122</f>
        <v>0</v>
      </c>
      <c r="J122" s="913"/>
    </row>
    <row r="123" spans="1:10" ht="12" customHeight="1">
      <c r="A123" s="932">
        <v>2</v>
      </c>
      <c r="B123" s="933" t="s">
        <v>1368</v>
      </c>
      <c r="C123" s="1885">
        <f>G!$K$196</f>
        <v>680.4</v>
      </c>
      <c r="D123" s="1213" t="s">
        <v>171</v>
      </c>
      <c r="E123" s="1214">
        <v>0</v>
      </c>
      <c r="F123" s="931">
        <f t="shared" si="6"/>
        <v>0</v>
      </c>
      <c r="J123" s="913"/>
    </row>
    <row r="124" spans="1:10" ht="12" customHeight="1">
      <c r="A124" s="932">
        <v>3</v>
      </c>
      <c r="B124" s="933" t="s">
        <v>1369</v>
      </c>
      <c r="C124" s="1885">
        <f>G!$K$197</f>
        <v>1239.3</v>
      </c>
      <c r="D124" s="1213" t="s">
        <v>171</v>
      </c>
      <c r="E124" s="1214">
        <v>0</v>
      </c>
      <c r="F124" s="931">
        <f t="shared" si="6"/>
        <v>0</v>
      </c>
      <c r="J124" s="913"/>
    </row>
    <row r="125" spans="1:10" ht="12" customHeight="1">
      <c r="A125" s="932">
        <v>4</v>
      </c>
      <c r="B125" s="933" t="s">
        <v>1370</v>
      </c>
      <c r="C125" s="1885">
        <f>G!$K$198</f>
        <v>6075</v>
      </c>
      <c r="D125" s="1213" t="s">
        <v>88</v>
      </c>
      <c r="E125" s="1214">
        <v>0</v>
      </c>
      <c r="F125" s="931">
        <f t="shared" si="6"/>
        <v>0</v>
      </c>
      <c r="J125" s="913"/>
    </row>
    <row r="126" spans="1:10" ht="12" customHeight="1">
      <c r="A126" s="932">
        <v>5</v>
      </c>
      <c r="B126" s="933" t="s">
        <v>1371</v>
      </c>
      <c r="C126" s="1885">
        <f>G!$K$199</f>
        <v>8505</v>
      </c>
      <c r="D126" s="1213" t="s">
        <v>88</v>
      </c>
      <c r="E126" s="1214">
        <v>0</v>
      </c>
      <c r="F126" s="931">
        <f t="shared" si="6"/>
        <v>0</v>
      </c>
      <c r="J126" s="913"/>
    </row>
    <row r="127" spans="1:10" ht="12" customHeight="1">
      <c r="A127" s="932">
        <v>6</v>
      </c>
      <c r="B127" s="933" t="s">
        <v>1372</v>
      </c>
      <c r="C127" s="1885">
        <f>G!$K$200</f>
        <v>243</v>
      </c>
      <c r="D127" s="1213" t="s">
        <v>88</v>
      </c>
      <c r="E127" s="1214">
        <v>0</v>
      </c>
      <c r="F127" s="931">
        <f t="shared" si="6"/>
        <v>0</v>
      </c>
      <c r="J127" s="913"/>
    </row>
    <row r="128" spans="1:10" ht="12" hidden="1" customHeight="1">
      <c r="A128" s="932"/>
      <c r="B128" s="933" t="s">
        <v>2596</v>
      </c>
      <c r="C128" s="1885">
        <f>G!$K$141</f>
        <v>0</v>
      </c>
      <c r="D128" s="1213" t="s">
        <v>971</v>
      </c>
      <c r="E128" s="1214">
        <v>0</v>
      </c>
      <c r="F128" s="931">
        <f>E128*C128</f>
        <v>0</v>
      </c>
      <c r="J128" s="913"/>
    </row>
    <row r="129" spans="1:10" ht="12" hidden="1" customHeight="1">
      <c r="A129" s="932">
        <v>6</v>
      </c>
      <c r="B129" s="933" t="s">
        <v>2687</v>
      </c>
      <c r="C129" s="1885">
        <f>G!$K$49</f>
        <v>0</v>
      </c>
      <c r="D129" s="1213" t="s">
        <v>971</v>
      </c>
      <c r="E129" s="1214">
        <v>0</v>
      </c>
      <c r="F129" s="931">
        <f>E129*C129</f>
        <v>0</v>
      </c>
      <c r="J129" s="913"/>
    </row>
    <row r="130" spans="1:10" ht="12" hidden="1" customHeight="1">
      <c r="A130" s="932">
        <v>7</v>
      </c>
      <c r="B130" s="933" t="s">
        <v>457</v>
      </c>
      <c r="C130" s="2341">
        <f>G!$K$50</f>
        <v>0</v>
      </c>
      <c r="D130" s="1213" t="s">
        <v>47</v>
      </c>
      <c r="E130" s="1214">
        <v>0</v>
      </c>
      <c r="F130" s="931">
        <f>E130*C130</f>
        <v>0</v>
      </c>
      <c r="J130" s="913"/>
    </row>
    <row r="131" spans="1:10" ht="12" hidden="1" customHeight="1">
      <c r="A131" s="932"/>
      <c r="B131" s="933" t="s">
        <v>2370</v>
      </c>
      <c r="C131" s="1885">
        <f>G!$K$142+G!$K$151</f>
        <v>0</v>
      </c>
      <c r="D131" s="1213" t="s">
        <v>47</v>
      </c>
      <c r="E131" s="1214">
        <v>0</v>
      </c>
      <c r="F131" s="931">
        <f>E131*C131</f>
        <v>0</v>
      </c>
      <c r="J131" s="913"/>
    </row>
    <row r="132" spans="1:10" ht="12" hidden="1" customHeight="1">
      <c r="A132" s="932"/>
      <c r="B132" s="933" t="s">
        <v>1697</v>
      </c>
      <c r="C132" s="1885">
        <f>G!$K$265</f>
        <v>0</v>
      </c>
      <c r="D132" s="1213" t="s">
        <v>147</v>
      </c>
      <c r="E132" s="1214">
        <v>0</v>
      </c>
      <c r="F132" s="931">
        <f>E132*C132</f>
        <v>0</v>
      </c>
      <c r="J132" s="913"/>
    </row>
    <row r="133" spans="1:10" ht="12" customHeight="1" thickBot="1">
      <c r="A133" s="932">
        <v>7</v>
      </c>
      <c r="B133" s="933" t="s">
        <v>1847</v>
      </c>
      <c r="C133" s="1885">
        <f>G!$K$252+G!$K$293</f>
        <v>0</v>
      </c>
      <c r="D133" s="1213" t="s">
        <v>147</v>
      </c>
      <c r="E133" s="1214">
        <v>0</v>
      </c>
      <c r="F133" s="931">
        <f t="shared" si="6"/>
        <v>0</v>
      </c>
      <c r="J133" s="913"/>
    </row>
    <row r="134" spans="1:10" ht="12" hidden="1" customHeight="1">
      <c r="A134" s="932"/>
      <c r="B134" s="933" t="s">
        <v>2554</v>
      </c>
      <c r="C134" s="1885">
        <f>G!$K$23</f>
        <v>0</v>
      </c>
      <c r="D134" s="1213" t="s">
        <v>147</v>
      </c>
      <c r="E134" s="1214">
        <v>0</v>
      </c>
      <c r="F134" s="931">
        <f t="shared" si="6"/>
        <v>0</v>
      </c>
      <c r="J134" s="913"/>
    </row>
    <row r="135" spans="1:10" ht="12" hidden="1" customHeight="1">
      <c r="A135" s="932"/>
      <c r="B135" s="933" t="s">
        <v>2583</v>
      </c>
      <c r="C135" s="1885">
        <f>G!$K$302+G!$K$238</f>
        <v>0</v>
      </c>
      <c r="D135" s="1213" t="s">
        <v>147</v>
      </c>
      <c r="E135" s="1214">
        <v>0</v>
      </c>
      <c r="F135" s="931">
        <f>E135*C135</f>
        <v>0</v>
      </c>
      <c r="J135" s="913"/>
    </row>
    <row r="136" spans="1:10" ht="12" hidden="1" customHeight="1">
      <c r="A136" s="932"/>
      <c r="B136" s="933" t="s">
        <v>2584</v>
      </c>
      <c r="C136" s="1885">
        <f>D!$K$287/12</f>
        <v>0</v>
      </c>
      <c r="D136" s="1213" t="s">
        <v>129</v>
      </c>
      <c r="E136" s="1214">
        <v>0</v>
      </c>
      <c r="F136" s="931">
        <f>E136*C136</f>
        <v>0</v>
      </c>
      <c r="J136" s="913"/>
    </row>
    <row r="137" spans="1:10" ht="12" hidden="1" customHeight="1">
      <c r="A137" s="932"/>
      <c r="B137" s="933" t="s">
        <v>2528</v>
      </c>
      <c r="C137" s="1885">
        <f>D!$K$293*0</f>
        <v>0</v>
      </c>
      <c r="D137" s="1213" t="s">
        <v>129</v>
      </c>
      <c r="E137" s="1214">
        <v>0</v>
      </c>
      <c r="F137" s="931">
        <f>E137*C137</f>
        <v>0</v>
      </c>
      <c r="J137" s="913"/>
    </row>
    <row r="138" spans="1:10" ht="12" hidden="1" customHeight="1">
      <c r="A138" s="932">
        <v>2</v>
      </c>
      <c r="B138" s="933" t="s">
        <v>2475</v>
      </c>
      <c r="C138" s="1885">
        <f>D!$K$299/12</f>
        <v>0</v>
      </c>
      <c r="D138" s="1213" t="s">
        <v>1074</v>
      </c>
      <c r="E138" s="1214">
        <v>0</v>
      </c>
      <c r="F138" s="931">
        <f>E138*C138</f>
        <v>0</v>
      </c>
      <c r="J138" s="913"/>
    </row>
    <row r="139" spans="1:10" ht="12" hidden="1" customHeight="1" thickBot="1">
      <c r="A139" s="932">
        <v>10</v>
      </c>
      <c r="B139" s="933" t="s">
        <v>2531</v>
      </c>
      <c r="C139" s="1885">
        <f>D!$K$305/12</f>
        <v>0</v>
      </c>
      <c r="D139" s="1213" t="s">
        <v>1074</v>
      </c>
      <c r="E139" s="1214">
        <v>0</v>
      </c>
      <c r="F139" s="931">
        <f>E139*C139</f>
        <v>0</v>
      </c>
      <c r="J139" s="913"/>
    </row>
    <row r="140" spans="1:10" ht="12" customHeight="1" thickBot="1">
      <c r="A140" s="1113"/>
      <c r="B140" s="937" t="s">
        <v>1568</v>
      </c>
      <c r="C140" s="1892"/>
      <c r="D140" s="938"/>
      <c r="E140" s="940"/>
      <c r="F140" s="939">
        <f>SUM(F115:F139)</f>
        <v>0</v>
      </c>
      <c r="G140" s="913">
        <v>1</v>
      </c>
      <c r="J140" s="913"/>
    </row>
    <row r="141" spans="1:10" s="1860" customFormat="1" ht="12" customHeight="1">
      <c r="A141" s="1863"/>
      <c r="B141" s="1864"/>
      <c r="C141" s="1900"/>
      <c r="D141" s="1865"/>
      <c r="E141" s="1866"/>
      <c r="F141" s="1867"/>
    </row>
    <row r="142" spans="1:10" ht="12" customHeight="1">
      <c r="A142" s="929" t="s">
        <v>1022</v>
      </c>
      <c r="B142" s="930" t="s">
        <v>1571</v>
      </c>
      <c r="C142" s="1885"/>
      <c r="D142" s="1893"/>
      <c r="E142" s="1214"/>
      <c r="F142" s="931"/>
      <c r="J142" s="913"/>
    </row>
    <row r="143" spans="1:10" ht="12" customHeight="1">
      <c r="A143" s="932">
        <v>1</v>
      </c>
      <c r="B143" s="933" t="s">
        <v>1572</v>
      </c>
      <c r="C143" s="1885">
        <f>N!$K$95</f>
        <v>267.39999999999998</v>
      </c>
      <c r="D143" s="1213" t="s">
        <v>971</v>
      </c>
      <c r="E143" s="1214">
        <v>0</v>
      </c>
      <c r="F143" s="931">
        <f t="shared" ref="F143:F152" si="7">SUM(C143*E143)</f>
        <v>0</v>
      </c>
      <c r="J143" s="913"/>
    </row>
    <row r="144" spans="1:10" ht="12" customHeight="1">
      <c r="A144" s="932">
        <v>2</v>
      </c>
      <c r="B144" s="933" t="s">
        <v>1573</v>
      </c>
      <c r="C144" s="1885">
        <f>N!$K$54+N!$K$73</f>
        <v>178.16000000000003</v>
      </c>
      <c r="D144" s="1213" t="s">
        <v>47</v>
      </c>
      <c r="E144" s="1214">
        <v>0</v>
      </c>
      <c r="F144" s="931">
        <f t="shared" si="7"/>
        <v>0</v>
      </c>
      <c r="J144" s="913"/>
    </row>
    <row r="145" spans="1:10" ht="12" customHeight="1">
      <c r="A145" s="932">
        <v>3</v>
      </c>
      <c r="B145" s="933" t="s">
        <v>2587</v>
      </c>
      <c r="C145" s="1885">
        <f>N!$K$55+N!$K$74</f>
        <v>463.21600000000007</v>
      </c>
      <c r="D145" s="1213" t="s">
        <v>47</v>
      </c>
      <c r="E145" s="1214">
        <v>0</v>
      </c>
      <c r="F145" s="931">
        <f t="shared" si="7"/>
        <v>0</v>
      </c>
      <c r="J145" s="913"/>
    </row>
    <row r="146" spans="1:10" ht="12" customHeight="1">
      <c r="A146" s="932">
        <v>4</v>
      </c>
      <c r="B146" s="933" t="s">
        <v>2588</v>
      </c>
      <c r="C146" s="1885">
        <f>N!$K$91</f>
        <v>106.96</v>
      </c>
      <c r="D146" s="1213" t="s">
        <v>47</v>
      </c>
      <c r="E146" s="1214">
        <v>0</v>
      </c>
      <c r="F146" s="931">
        <f t="shared" si="7"/>
        <v>0</v>
      </c>
      <c r="J146" s="913"/>
    </row>
    <row r="147" spans="1:10" ht="12" customHeight="1">
      <c r="A147" s="932">
        <v>5</v>
      </c>
      <c r="B147" s="933" t="s">
        <v>955</v>
      </c>
      <c r="C147" s="1885">
        <f>N!$K$53+N!$K$92+N!$K$72</f>
        <v>85.567999999999998</v>
      </c>
      <c r="D147" s="1213" t="s">
        <v>47</v>
      </c>
      <c r="E147" s="1214">
        <v>0</v>
      </c>
      <c r="F147" s="931">
        <f t="shared" si="7"/>
        <v>0</v>
      </c>
      <c r="J147" s="913"/>
    </row>
    <row r="148" spans="1:10" ht="12" customHeight="1">
      <c r="A148" s="932">
        <v>6</v>
      </c>
      <c r="B148" s="934" t="s">
        <v>2287</v>
      </c>
      <c r="C148" s="1885">
        <f>N!$K$93</f>
        <v>5.3479999999999999</v>
      </c>
      <c r="D148" s="1213" t="s">
        <v>88</v>
      </c>
      <c r="E148" s="1214">
        <v>0</v>
      </c>
      <c r="F148" s="931">
        <f t="shared" si="7"/>
        <v>0</v>
      </c>
      <c r="J148" s="913"/>
    </row>
    <row r="149" spans="1:10" ht="12" customHeight="1">
      <c r="A149" s="932">
        <v>7</v>
      </c>
      <c r="B149" s="934" t="s">
        <v>1574</v>
      </c>
      <c r="C149" s="1885">
        <f>N!$K$94</f>
        <v>534.79999999999995</v>
      </c>
      <c r="D149" s="1213" t="s">
        <v>21</v>
      </c>
      <c r="E149" s="1214">
        <v>0</v>
      </c>
      <c r="F149" s="931">
        <f t="shared" si="7"/>
        <v>0</v>
      </c>
      <c r="J149" s="913"/>
    </row>
    <row r="150" spans="1:10" ht="12" customHeight="1">
      <c r="A150" s="932">
        <v>8</v>
      </c>
      <c r="B150" s="934" t="s">
        <v>501</v>
      </c>
      <c r="C150" s="1885">
        <f>G!$K$177</f>
        <v>0</v>
      </c>
      <c r="D150" s="1213" t="s">
        <v>147</v>
      </c>
      <c r="E150" s="1214">
        <v>0</v>
      </c>
      <c r="F150" s="931">
        <f t="shared" si="7"/>
        <v>0</v>
      </c>
      <c r="J150" s="913"/>
    </row>
    <row r="151" spans="1:10" ht="12" customHeight="1">
      <c r="A151" s="932">
        <v>9</v>
      </c>
      <c r="B151" s="934" t="s">
        <v>502</v>
      </c>
      <c r="C151" s="1885">
        <f>G!$K$178</f>
        <v>0</v>
      </c>
      <c r="D151" s="1213" t="s">
        <v>171</v>
      </c>
      <c r="E151" s="1214">
        <v>0</v>
      </c>
      <c r="F151" s="931">
        <f t="shared" si="7"/>
        <v>0</v>
      </c>
      <c r="J151" s="913"/>
    </row>
    <row r="152" spans="1:10" ht="12" customHeight="1" thickBot="1">
      <c r="A152" s="932">
        <v>10</v>
      </c>
      <c r="B152" s="934" t="s">
        <v>504</v>
      </c>
      <c r="C152" s="1885">
        <f>G!$K$179</f>
        <v>0</v>
      </c>
      <c r="D152" s="1213" t="s">
        <v>147</v>
      </c>
      <c r="E152" s="1214">
        <v>0</v>
      </c>
      <c r="F152" s="931">
        <f t="shared" si="7"/>
        <v>0</v>
      </c>
      <c r="J152" s="913"/>
    </row>
    <row r="153" spans="1:10" ht="12" customHeight="1" thickBot="1">
      <c r="A153" s="1113"/>
      <c r="B153" s="937" t="s">
        <v>1568</v>
      </c>
      <c r="C153" s="1892"/>
      <c r="D153" s="938"/>
      <c r="E153" s="940"/>
      <c r="F153" s="939">
        <f>SUM(F143:F152)</f>
        <v>0</v>
      </c>
      <c r="G153" s="913">
        <v>1</v>
      </c>
      <c r="J153" s="913"/>
    </row>
    <row r="154" spans="1:10" ht="12" customHeight="1">
      <c r="A154" s="924"/>
      <c r="B154" s="925"/>
      <c r="C154" s="1884"/>
      <c r="D154" s="926"/>
      <c r="E154" s="928"/>
      <c r="F154" s="927"/>
      <c r="J154" s="913"/>
    </row>
    <row r="155" spans="1:10" ht="12" customHeight="1">
      <c r="A155" s="929" t="s">
        <v>1031</v>
      </c>
      <c r="B155" s="930" t="s">
        <v>96</v>
      </c>
      <c r="C155" s="1885"/>
      <c r="D155" s="1893"/>
      <c r="E155" s="1214"/>
      <c r="F155" s="931"/>
      <c r="J155" s="913"/>
    </row>
    <row r="156" spans="1:10" ht="12" hidden="1" customHeight="1">
      <c r="A156" s="932"/>
      <c r="B156" s="933" t="s">
        <v>1575</v>
      </c>
      <c r="C156" s="1885">
        <f>H!$K$46</f>
        <v>0</v>
      </c>
      <c r="D156" s="1213" t="s">
        <v>171</v>
      </c>
      <c r="E156" s="1214">
        <f>H!$G$46</f>
        <v>12500</v>
      </c>
      <c r="F156" s="931">
        <f>C156*E156</f>
        <v>0</v>
      </c>
      <c r="J156" s="913"/>
    </row>
    <row r="157" spans="1:10" ht="12" customHeight="1">
      <c r="A157" s="932">
        <v>1</v>
      </c>
      <c r="B157" s="933" t="s">
        <v>517</v>
      </c>
      <c r="C157" s="1885">
        <f>H!$K$20</f>
        <v>0</v>
      </c>
      <c r="D157" s="1213" t="s">
        <v>971</v>
      </c>
      <c r="E157" s="1214">
        <v>0</v>
      </c>
      <c r="F157" s="931">
        <f t="shared" ref="F157:F171" si="8">C157*E157</f>
        <v>0</v>
      </c>
      <c r="J157" s="913"/>
    </row>
    <row r="158" spans="1:10" ht="12" customHeight="1">
      <c r="A158" s="932">
        <v>2</v>
      </c>
      <c r="B158" s="933" t="s">
        <v>2200</v>
      </c>
      <c r="C158" s="1885">
        <f>H!$K$34</f>
        <v>0</v>
      </c>
      <c r="D158" s="1213" t="s">
        <v>971</v>
      </c>
      <c r="E158" s="1214">
        <v>0</v>
      </c>
      <c r="F158" s="931">
        <f t="shared" si="8"/>
        <v>0</v>
      </c>
      <c r="J158" s="913"/>
    </row>
    <row r="159" spans="1:10" ht="12" hidden="1" customHeight="1">
      <c r="A159" s="932">
        <v>3</v>
      </c>
      <c r="B159" s="933" t="s">
        <v>496</v>
      </c>
      <c r="C159" s="1885">
        <f>G!$K$159</f>
        <v>29.040000000000003</v>
      </c>
      <c r="D159" s="1213" t="s">
        <v>147</v>
      </c>
      <c r="E159" s="1214">
        <v>0</v>
      </c>
      <c r="F159" s="931">
        <f t="shared" si="8"/>
        <v>0</v>
      </c>
      <c r="J159" s="913"/>
    </row>
    <row r="160" spans="1:10" ht="12" customHeight="1">
      <c r="A160" s="932">
        <v>3</v>
      </c>
      <c r="B160" s="933" t="s">
        <v>1490</v>
      </c>
      <c r="C160" s="1885">
        <f>H!$K$57</f>
        <v>0</v>
      </c>
      <c r="D160" s="1213" t="s">
        <v>971</v>
      </c>
      <c r="E160" s="1214">
        <v>0</v>
      </c>
      <c r="F160" s="931">
        <f t="shared" si="8"/>
        <v>0</v>
      </c>
      <c r="J160" s="913"/>
    </row>
    <row r="161" spans="1:10" ht="12" customHeight="1">
      <c r="A161" s="932">
        <v>4</v>
      </c>
      <c r="B161" s="941" t="s">
        <v>1576</v>
      </c>
      <c r="C161" s="1885">
        <f>H!$K$24+H!$K$38+H!$K$61</f>
        <v>0</v>
      </c>
      <c r="D161" s="1862" t="s">
        <v>943</v>
      </c>
      <c r="E161" s="1214">
        <v>0</v>
      </c>
      <c r="F161" s="931">
        <f t="shared" si="8"/>
        <v>0</v>
      </c>
      <c r="J161" s="913"/>
    </row>
    <row r="162" spans="1:10" ht="12" customHeight="1">
      <c r="A162" s="932">
        <v>5</v>
      </c>
      <c r="B162" s="941" t="s">
        <v>1577</v>
      </c>
      <c r="C162" s="1885">
        <f>H!$K$23+H!$K$37+H!$K$60</f>
        <v>0</v>
      </c>
      <c r="D162" s="1862" t="s">
        <v>88</v>
      </c>
      <c r="E162" s="1214">
        <v>0</v>
      </c>
      <c r="F162" s="931">
        <f t="shared" si="8"/>
        <v>0</v>
      </c>
      <c r="J162" s="913"/>
    </row>
    <row r="163" spans="1:10" ht="12" hidden="1" customHeight="1">
      <c r="A163" s="932"/>
      <c r="B163" s="941" t="s">
        <v>1593</v>
      </c>
      <c r="C163" s="1885">
        <v>0</v>
      </c>
      <c r="D163" s="1862" t="s">
        <v>47</v>
      </c>
      <c r="E163" s="1214">
        <v>0</v>
      </c>
      <c r="F163" s="931">
        <f t="shared" si="8"/>
        <v>0</v>
      </c>
      <c r="J163" s="913"/>
    </row>
    <row r="164" spans="1:10" ht="12" customHeight="1">
      <c r="A164" s="932">
        <v>6</v>
      </c>
      <c r="B164" s="941" t="s">
        <v>518</v>
      </c>
      <c r="C164" s="1885">
        <f>H!$K$21+G!$K$240</f>
        <v>0</v>
      </c>
      <c r="D164" s="1862" t="s">
        <v>47</v>
      </c>
      <c r="E164" s="1214">
        <v>0</v>
      </c>
      <c r="F164" s="931">
        <f t="shared" si="8"/>
        <v>0</v>
      </c>
      <c r="J164" s="913"/>
    </row>
    <row r="165" spans="1:10" ht="12" customHeight="1">
      <c r="A165" s="932">
        <v>7</v>
      </c>
      <c r="B165" s="941" t="s">
        <v>521</v>
      </c>
      <c r="C165" s="1885">
        <f>H!$K$35+H!$K$58+G!$K$267</f>
        <v>0</v>
      </c>
      <c r="D165" s="1862" t="s">
        <v>47</v>
      </c>
      <c r="E165" s="1214">
        <v>0</v>
      </c>
      <c r="F165" s="931">
        <f t="shared" si="8"/>
        <v>0</v>
      </c>
      <c r="J165" s="913"/>
    </row>
    <row r="166" spans="1:10" ht="12" hidden="1" customHeight="1">
      <c r="A166" s="932">
        <v>9</v>
      </c>
      <c r="B166" s="941" t="s">
        <v>419</v>
      </c>
      <c r="C166" s="1885">
        <f>G!$K$160</f>
        <v>4.4000000000000004</v>
      </c>
      <c r="D166" s="1862" t="s">
        <v>47</v>
      </c>
      <c r="E166" s="1214">
        <v>0</v>
      </c>
      <c r="F166" s="931">
        <f t="shared" si="8"/>
        <v>0</v>
      </c>
      <c r="J166" s="913"/>
    </row>
    <row r="167" spans="1:10" ht="12" hidden="1" customHeight="1">
      <c r="A167" s="932"/>
      <c r="B167" s="941" t="s">
        <v>1578</v>
      </c>
      <c r="C167" s="1885">
        <f>H!$K$47</f>
        <v>0</v>
      </c>
      <c r="D167" s="1862" t="s">
        <v>47</v>
      </c>
      <c r="E167" s="1214">
        <v>0</v>
      </c>
      <c r="F167" s="931">
        <f t="shared" si="8"/>
        <v>0</v>
      </c>
      <c r="J167" s="913"/>
    </row>
    <row r="168" spans="1:10" ht="12" customHeight="1">
      <c r="A168" s="932">
        <v>8</v>
      </c>
      <c r="B168" s="941" t="s">
        <v>519</v>
      </c>
      <c r="C168" s="1885">
        <f>H!$K$22+H!$K$36+H!$K$59+G!$K$241</f>
        <v>0</v>
      </c>
      <c r="D168" s="1862" t="s">
        <v>124</v>
      </c>
      <c r="E168" s="1214">
        <v>0</v>
      </c>
      <c r="F168" s="931">
        <f t="shared" si="8"/>
        <v>0</v>
      </c>
      <c r="J168" s="913"/>
    </row>
    <row r="169" spans="1:10" ht="12" hidden="1" customHeight="1">
      <c r="A169" s="932"/>
      <c r="B169" s="941" t="s">
        <v>1542</v>
      </c>
      <c r="C169" s="1885">
        <v>0</v>
      </c>
      <c r="D169" s="1862" t="s">
        <v>971</v>
      </c>
      <c r="E169" s="1214">
        <v>0</v>
      </c>
      <c r="F169" s="931">
        <f t="shared" si="8"/>
        <v>0</v>
      </c>
      <c r="J169" s="913"/>
    </row>
    <row r="170" spans="1:10" ht="12" customHeight="1">
      <c r="A170" s="932">
        <v>9</v>
      </c>
      <c r="B170" s="941" t="s">
        <v>1579</v>
      </c>
      <c r="C170" s="1885">
        <f>H!$K$19+H!$K$33+H!$K$56+H!$K$70</f>
        <v>0</v>
      </c>
      <c r="D170" s="1862" t="s">
        <v>220</v>
      </c>
      <c r="E170" s="1214">
        <v>0</v>
      </c>
      <c r="F170" s="931">
        <f t="shared" si="8"/>
        <v>0</v>
      </c>
      <c r="J170" s="913"/>
    </row>
    <row r="171" spans="1:10" ht="12" customHeight="1" thickBot="1">
      <c r="A171" s="957">
        <v>10</v>
      </c>
      <c r="B171" s="941" t="s">
        <v>1580</v>
      </c>
      <c r="C171" s="1885">
        <f>H!$K$18+H!$K$32+H!$K$55+H!$K$69</f>
        <v>0</v>
      </c>
      <c r="D171" s="1862" t="s">
        <v>220</v>
      </c>
      <c r="E171" s="1214">
        <v>0</v>
      </c>
      <c r="F171" s="931">
        <f t="shared" si="8"/>
        <v>0</v>
      </c>
      <c r="H171" s="941"/>
      <c r="J171" s="913"/>
    </row>
    <row r="172" spans="1:10" ht="12" customHeight="1" thickBot="1">
      <c r="A172" s="1113"/>
      <c r="B172" s="942" t="s">
        <v>1568</v>
      </c>
      <c r="C172" s="1892"/>
      <c r="D172" s="943"/>
      <c r="E172" s="940"/>
      <c r="F172" s="939">
        <f>SUM(F156:F171)</f>
        <v>0</v>
      </c>
      <c r="G172" s="913">
        <v>1</v>
      </c>
      <c r="H172" s="941"/>
      <c r="J172" s="913"/>
    </row>
    <row r="173" spans="1:10" ht="12" customHeight="1">
      <c r="A173" s="924"/>
      <c r="B173" s="944"/>
      <c r="C173" s="1884"/>
      <c r="D173" s="945"/>
      <c r="E173" s="928"/>
      <c r="F173" s="927"/>
      <c r="J173" s="913"/>
    </row>
    <row r="174" spans="1:10" ht="12" customHeight="1">
      <c r="A174" s="929" t="s">
        <v>1035</v>
      </c>
      <c r="B174" s="930" t="s">
        <v>1581</v>
      </c>
      <c r="C174" s="1885"/>
      <c r="D174" s="1893"/>
      <c r="E174" s="1214"/>
      <c r="F174" s="931"/>
      <c r="H174" s="941"/>
      <c r="J174" s="913"/>
    </row>
    <row r="175" spans="1:10" ht="12" customHeight="1">
      <c r="A175" s="932"/>
      <c r="B175" s="930" t="s">
        <v>1582</v>
      </c>
      <c r="C175" s="1885"/>
      <c r="D175" s="1893"/>
      <c r="E175" s="1214"/>
      <c r="F175" s="931"/>
      <c r="H175" s="941"/>
      <c r="J175" s="913"/>
    </row>
    <row r="176" spans="1:10" ht="12" customHeight="1">
      <c r="A176" s="932">
        <v>1</v>
      </c>
      <c r="B176" s="941" t="str">
        <f t="shared" ref="B176:B182" si="9">"Pas. "&amp;H176</f>
        <v xml:space="preserve">Pas. Batu Andesit Bintik 50x50 </v>
      </c>
      <c r="C176" s="1885">
        <f>I!G265</f>
        <v>0</v>
      </c>
      <c r="D176" s="1213" t="s">
        <v>147</v>
      </c>
      <c r="E176" s="1214">
        <v>0</v>
      </c>
      <c r="F176" s="931">
        <f t="shared" ref="F176:F195" si="10">C176*E176</f>
        <v>0</v>
      </c>
      <c r="H176" s="941" t="str">
        <f>LOOKUP(A176,BOQ!$O$920:$O$947,BOQ!$D$920:$D$947)</f>
        <v xml:space="preserve">Batu Andesit Bintik 50x50 </v>
      </c>
      <c r="J176" s="913"/>
    </row>
    <row r="177" spans="1:10" ht="12" customHeight="1">
      <c r="A177" s="932">
        <v>2</v>
      </c>
      <c r="B177" s="941" t="str">
        <f t="shared" si="9"/>
        <v>Pas. Granite Tile 60x60 Ex. Niro Granite Bianco Luna GBL01 Silky White</v>
      </c>
      <c r="C177" s="1885">
        <f>I!G256</f>
        <v>0</v>
      </c>
      <c r="D177" s="1213" t="s">
        <v>147</v>
      </c>
      <c r="E177" s="1214">
        <v>0</v>
      </c>
      <c r="F177" s="931">
        <f t="shared" si="10"/>
        <v>0</v>
      </c>
      <c r="H177" s="941" t="str">
        <f>LOOKUP(A177,BOQ!$O$920:$O$947,BOQ!$D$920:$D$947)</f>
        <v>Granite Tile 60x60 Ex. Niro Granite Bianco Luna GBL01 Silky White</v>
      </c>
      <c r="J177" s="913"/>
    </row>
    <row r="178" spans="1:10" ht="12" customHeight="1">
      <c r="A178" s="932">
        <v>3</v>
      </c>
      <c r="B178" s="941" t="str">
        <f t="shared" si="9"/>
        <v>Pas. Keramik 40x40 Ex. KIA Monza Crema</v>
      </c>
      <c r="C178" s="1885">
        <f>I!G262</f>
        <v>0</v>
      </c>
      <c r="D178" s="1213" t="s">
        <v>147</v>
      </c>
      <c r="E178" s="1214">
        <v>0</v>
      </c>
      <c r="F178" s="931">
        <f t="shared" si="10"/>
        <v>0</v>
      </c>
      <c r="H178" s="941" t="str">
        <f>LOOKUP(A178,BOQ!$O$920:$O$947,BOQ!$D$920:$D$947)</f>
        <v>Keramik 40x40 Ex. KIA Monza Crema</v>
      </c>
      <c r="J178" s="913"/>
    </row>
    <row r="179" spans="1:10" ht="12" customHeight="1">
      <c r="A179" s="932">
        <v>4</v>
      </c>
      <c r="B179" s="941" t="str">
        <f t="shared" si="9"/>
        <v>Pas. Batu Andesit Bintik 50x50  Finishing Polished</v>
      </c>
      <c r="C179" s="1885">
        <f>I!G276</f>
        <v>0</v>
      </c>
      <c r="D179" s="1213" t="s">
        <v>147</v>
      </c>
      <c r="E179" s="1214">
        <v>0</v>
      </c>
      <c r="F179" s="931">
        <f t="shared" si="10"/>
        <v>0</v>
      </c>
      <c r="H179" s="941" t="str">
        <f>LOOKUP(A179,BOQ!$O$920:$O$947,BOQ!$D$920:$D$947)</f>
        <v>Batu Andesit Bintik 50x50  Finishing Polished</v>
      </c>
      <c r="J179" s="913"/>
    </row>
    <row r="180" spans="1:10" ht="12" customHeight="1">
      <c r="A180" s="932">
        <v>5</v>
      </c>
      <c r="B180" s="941" t="str">
        <f t="shared" si="9"/>
        <v>Pas. Keramik 30x30 Ex. Roman dBorra Grey G330519</v>
      </c>
      <c r="C180" s="1885">
        <f>I!G263</f>
        <v>0</v>
      </c>
      <c r="D180" s="1213" t="s">
        <v>147</v>
      </c>
      <c r="E180" s="1214">
        <v>0</v>
      </c>
      <c r="F180" s="931">
        <f t="shared" si="10"/>
        <v>0</v>
      </c>
      <c r="H180" s="941" t="str">
        <f>LOOKUP(A180,BOQ!$O$920:$O$947,BOQ!$D$920:$D$947)</f>
        <v>Keramik 30x30 Ex. Roman dBorra Grey G330519</v>
      </c>
      <c r="J180" s="913"/>
    </row>
    <row r="181" spans="1:10" ht="12" customHeight="1">
      <c r="A181" s="932">
        <v>6</v>
      </c>
      <c r="B181" s="941" t="str">
        <f t="shared" si="9"/>
        <v>Pas. Granite Tile 80x80 Ex. Niro Granite Lux 3.0 GLX83 Carnelia</v>
      </c>
      <c r="C181" s="1885">
        <f>I!G259</f>
        <v>0</v>
      </c>
      <c r="D181" s="1213" t="s">
        <v>1074</v>
      </c>
      <c r="E181" s="1214">
        <v>0</v>
      </c>
      <c r="F181" s="931">
        <f t="shared" si="10"/>
        <v>0</v>
      </c>
      <c r="H181" s="941" t="str">
        <f>LOOKUP(A181,BOQ!$O$920:$O$947,BOQ!$D$920:$D$947)</f>
        <v>Granite Tile 80x80 Ex. Niro Granite Lux 3.0 GLX83 Carnelia</v>
      </c>
      <c r="J181" s="913"/>
    </row>
    <row r="182" spans="1:10" ht="12" customHeight="1">
      <c r="A182" s="932">
        <v>7</v>
      </c>
      <c r="B182" s="941" t="str">
        <f t="shared" si="9"/>
        <v>Pas. Keramik 40x40 Ex. KIA Terrazo</v>
      </c>
      <c r="C182" s="1885">
        <f>I!G261</f>
        <v>0</v>
      </c>
      <c r="D182" s="1213" t="s">
        <v>1074</v>
      </c>
      <c r="E182" s="1214">
        <v>0</v>
      </c>
      <c r="F182" s="931">
        <f t="shared" si="10"/>
        <v>0</v>
      </c>
      <c r="H182" s="941" t="str">
        <f>LOOKUP(A182,BOQ!$O$920:$O$947,BOQ!$D$920:$D$947)</f>
        <v>Keramik 40x40 Ex. KIA Terrazo</v>
      </c>
      <c r="J182" s="913"/>
    </row>
    <row r="183" spans="1:10" ht="12" customHeight="1">
      <c r="A183" s="932">
        <v>8</v>
      </c>
      <c r="B183" s="941" t="str">
        <f>"Pas. "&amp;BOQ!$D$963</f>
        <v>Pas. Keramik Dinding 30x60 Ex. Roman dBritannia Rhombus W63843R</v>
      </c>
      <c r="C183" s="1885">
        <f>E!$K$75</f>
        <v>0</v>
      </c>
      <c r="D183" s="1213" t="s">
        <v>147</v>
      </c>
      <c r="E183" s="1214">
        <v>0</v>
      </c>
      <c r="F183" s="931">
        <f t="shared" si="10"/>
        <v>0</v>
      </c>
      <c r="H183" s="941"/>
      <c r="J183" s="913"/>
    </row>
    <row r="184" spans="1:10" ht="12" hidden="1" customHeight="1">
      <c r="A184" s="932"/>
      <c r="B184" s="941" t="str">
        <f>"Pas. Dinding "&amp;BOQ!D1268</f>
        <v xml:space="preserve">Pas. Dinding </v>
      </c>
      <c r="C184" s="1885">
        <f>E!$K$47</f>
        <v>0</v>
      </c>
      <c r="D184" s="1213" t="s">
        <v>88</v>
      </c>
      <c r="E184" s="1214">
        <v>0</v>
      </c>
      <c r="F184" s="931">
        <f t="shared" si="10"/>
        <v>0</v>
      </c>
      <c r="H184" s="941"/>
      <c r="J184" s="913"/>
    </row>
    <row r="185" spans="1:10" ht="12" hidden="1" customHeight="1">
      <c r="A185" s="932"/>
      <c r="B185" s="941" t="str">
        <f>"Pas. Dinding "&amp;BOQ!D1269</f>
        <v>Pas. Dinding Glassblock 20 x 20 cm</v>
      </c>
      <c r="C185" s="1885">
        <f>E!$K230</f>
        <v>0</v>
      </c>
      <c r="D185" s="1213" t="s">
        <v>88</v>
      </c>
      <c r="E185" s="1214">
        <v>0</v>
      </c>
      <c r="F185" s="931">
        <f t="shared" si="10"/>
        <v>0</v>
      </c>
      <c r="H185" s="941"/>
      <c r="J185" s="913"/>
    </row>
    <row r="186" spans="1:10" ht="12" hidden="1" customHeight="1">
      <c r="A186" s="932"/>
      <c r="B186" s="941" t="str">
        <f>"Pas. Dinding "&amp;BOQ!D1270</f>
        <v>Pas. Dinding Batu palimanan</v>
      </c>
      <c r="C186" s="1885">
        <f>E!$K171</f>
        <v>0</v>
      </c>
      <c r="D186" s="1213" t="s">
        <v>147</v>
      </c>
      <c r="E186" s="1214">
        <v>0</v>
      </c>
      <c r="F186" s="931">
        <f t="shared" si="10"/>
        <v>0</v>
      </c>
      <c r="H186" s="941"/>
      <c r="J186" s="913"/>
    </row>
    <row r="187" spans="1:10" ht="12" hidden="1" customHeight="1">
      <c r="A187" s="932"/>
      <c r="B187" s="941" t="s">
        <v>2799</v>
      </c>
      <c r="C187" s="1885">
        <f>E!$K270</f>
        <v>0</v>
      </c>
      <c r="D187" s="1213" t="s">
        <v>147</v>
      </c>
      <c r="E187" s="1214">
        <v>0</v>
      </c>
      <c r="F187" s="931">
        <f t="shared" si="10"/>
        <v>0</v>
      </c>
      <c r="H187" s="941"/>
      <c r="J187" s="913"/>
    </row>
    <row r="188" spans="1:10" ht="12" hidden="1" customHeight="1">
      <c r="A188" s="932"/>
      <c r="B188" s="941" t="s">
        <v>2860</v>
      </c>
      <c r="C188" s="1885">
        <f>E!$K$151</f>
        <v>0</v>
      </c>
      <c r="D188" s="1213" t="s">
        <v>147</v>
      </c>
      <c r="E188" s="1214">
        <v>0</v>
      </c>
      <c r="F188" s="931">
        <f t="shared" si="10"/>
        <v>0</v>
      </c>
      <c r="H188" s="941"/>
      <c r="J188" s="913"/>
    </row>
    <row r="189" spans="1:10" ht="12" hidden="1" customHeight="1">
      <c r="A189" s="932">
        <v>8</v>
      </c>
      <c r="B189" s="941" t="s">
        <v>2803</v>
      </c>
      <c r="C189" s="1885">
        <f>E!$K161</f>
        <v>0</v>
      </c>
      <c r="D189" s="1213" t="s">
        <v>147</v>
      </c>
      <c r="E189" s="1214">
        <v>0</v>
      </c>
      <c r="F189" s="931">
        <f t="shared" si="10"/>
        <v>0</v>
      </c>
      <c r="H189" s="941"/>
      <c r="J189" s="913"/>
    </row>
    <row r="190" spans="1:10" ht="12" hidden="1" customHeight="1">
      <c r="A190" s="932">
        <v>10</v>
      </c>
      <c r="B190" s="941" t="s">
        <v>2924</v>
      </c>
      <c r="C190" s="1885">
        <f>E!$K303</f>
        <v>0</v>
      </c>
      <c r="D190" s="1213" t="s">
        <v>147</v>
      </c>
      <c r="E190" s="1214">
        <v>0</v>
      </c>
      <c r="F190" s="931">
        <f t="shared" si="10"/>
        <v>0</v>
      </c>
      <c r="H190" s="941"/>
      <c r="J190" s="913"/>
    </row>
    <row r="191" spans="1:10" ht="12" hidden="1" customHeight="1">
      <c r="A191" s="932"/>
      <c r="B191" s="941" t="str">
        <f>"Pas. "&amp;BOQ!D1272</f>
        <v>Pas. Dinding Parket WPC</v>
      </c>
      <c r="C191" s="1885">
        <f>E!$K141</f>
        <v>0</v>
      </c>
      <c r="D191" s="1213" t="s">
        <v>147</v>
      </c>
      <c r="E191" s="1214">
        <v>0</v>
      </c>
      <c r="F191" s="931">
        <f t="shared" si="10"/>
        <v>0</v>
      </c>
      <c r="H191" s="941"/>
      <c r="J191" s="913"/>
    </row>
    <row r="192" spans="1:10" ht="12" customHeight="1">
      <c r="A192" s="932">
        <v>9</v>
      </c>
      <c r="B192" s="941" t="str">
        <f>"Pas. Keramik Dinding "&amp;BOQ!D1271</f>
        <v>Pas. Keramik Dinding Ex. Gemilang Fiorentina Beige</v>
      </c>
      <c r="C192" s="1885">
        <f>E!$K97</f>
        <v>0</v>
      </c>
      <c r="D192" s="1213" t="s">
        <v>147</v>
      </c>
      <c r="E192" s="1214">
        <v>0</v>
      </c>
      <c r="F192" s="931">
        <f t="shared" si="10"/>
        <v>0</v>
      </c>
      <c r="H192" s="941"/>
      <c r="J192" s="913"/>
    </row>
    <row r="193" spans="1:10" ht="12" hidden="1" customHeight="1">
      <c r="A193" s="932">
        <v>10</v>
      </c>
      <c r="B193" s="941" t="str">
        <f>"Pas. Keramik Dinding "&amp;BOQ!D1276</f>
        <v>Pas. Keramik Dinding Ex. Habitat Brescia Gris</v>
      </c>
      <c r="C193" s="1885">
        <f>E!$K$119</f>
        <v>0</v>
      </c>
      <c r="D193" s="1213" t="s">
        <v>147</v>
      </c>
      <c r="E193" s="1214">
        <v>0</v>
      </c>
      <c r="F193" s="931">
        <f t="shared" si="10"/>
        <v>0</v>
      </c>
      <c r="H193" s="941"/>
      <c r="J193" s="913"/>
    </row>
    <row r="194" spans="1:10" ht="12" customHeight="1" thickBot="1">
      <c r="A194" s="932">
        <v>10</v>
      </c>
      <c r="B194" s="941" t="str">
        <f>"Pas. Keramik Motif Kayu "&amp;BOQ!D1277</f>
        <v>Pas. Keramik Motif Kayu Ex. Torch 158016</v>
      </c>
      <c r="C194" s="1885">
        <f>E!$K$313</f>
        <v>0</v>
      </c>
      <c r="D194" s="1213" t="s">
        <v>147</v>
      </c>
      <c r="E194" s="1214">
        <v>0</v>
      </c>
      <c r="F194" s="931">
        <f t="shared" si="10"/>
        <v>0</v>
      </c>
      <c r="H194" s="941"/>
      <c r="J194" s="913"/>
    </row>
    <row r="195" spans="1:10" ht="12" hidden="1" customHeight="1" thickBot="1">
      <c r="A195" s="932">
        <v>12</v>
      </c>
      <c r="B195" s="941" t="str">
        <f>"Pas. Keramik Motif Hitam "&amp;BOQ!D1278</f>
        <v>Pas. Keramik Motif Hitam Ex. Roman dPortoro Black W63456R</v>
      </c>
      <c r="C195" s="1885">
        <f>E!$K$324</f>
        <v>0</v>
      </c>
      <c r="D195" s="1213" t="s">
        <v>147</v>
      </c>
      <c r="E195" s="1214">
        <f>E!$G$324</f>
        <v>174444.44444444444</v>
      </c>
      <c r="F195" s="931">
        <f t="shared" si="10"/>
        <v>0</v>
      </c>
      <c r="H195" s="941"/>
      <c r="J195" s="913"/>
    </row>
    <row r="196" spans="1:10" ht="12" customHeight="1" thickBot="1">
      <c r="A196" s="1113"/>
      <c r="B196" s="937" t="s">
        <v>1568</v>
      </c>
      <c r="C196" s="1892"/>
      <c r="D196" s="938"/>
      <c r="E196" s="940"/>
      <c r="F196" s="939">
        <f>SUM(F176:F195)</f>
        <v>0</v>
      </c>
      <c r="G196" s="913">
        <v>1</v>
      </c>
      <c r="H196" s="941"/>
      <c r="J196" s="913"/>
    </row>
    <row r="197" spans="1:10" ht="12" customHeight="1">
      <c r="A197" s="924"/>
      <c r="B197" s="925"/>
      <c r="C197" s="1884"/>
      <c r="D197" s="926"/>
      <c r="E197" s="928"/>
      <c r="F197" s="927"/>
      <c r="H197" s="941"/>
      <c r="J197" s="913"/>
    </row>
    <row r="198" spans="1:10" ht="12" customHeight="1">
      <c r="A198" s="929" t="s">
        <v>17</v>
      </c>
      <c r="B198" s="930" t="s">
        <v>1583</v>
      </c>
      <c r="C198" s="1885"/>
      <c r="D198" s="1893"/>
      <c r="E198" s="1214"/>
      <c r="F198" s="931"/>
      <c r="H198" s="941"/>
      <c r="J198" s="913"/>
    </row>
    <row r="199" spans="1:10" ht="12" hidden="1" customHeight="1">
      <c r="A199" s="932"/>
      <c r="B199" s="933" t="s">
        <v>1876</v>
      </c>
      <c r="C199" s="1885">
        <f>K!$K$149+K!$K$163+G!K175</f>
        <v>0</v>
      </c>
      <c r="D199" s="1636" t="s">
        <v>1074</v>
      </c>
      <c r="E199" s="1637">
        <f>K!$G$177</f>
        <v>44620</v>
      </c>
      <c r="F199" s="931">
        <f t="shared" ref="F199:F204" si="11">C199*E199</f>
        <v>0</v>
      </c>
      <c r="G199" s="913" t="s">
        <v>2400</v>
      </c>
      <c r="H199" s="941"/>
      <c r="J199" s="913"/>
    </row>
    <row r="200" spans="1:10" ht="12" hidden="1" customHeight="1">
      <c r="A200" s="936"/>
      <c r="B200" s="933" t="s">
        <v>1909</v>
      </c>
      <c r="C200" s="1885">
        <f>K!$K$178</f>
        <v>0</v>
      </c>
      <c r="D200" s="1636" t="s">
        <v>1074</v>
      </c>
      <c r="E200" s="1637">
        <f>K!$G$178</f>
        <v>45000</v>
      </c>
      <c r="F200" s="931">
        <f t="shared" si="11"/>
        <v>0</v>
      </c>
      <c r="J200" s="913"/>
    </row>
    <row r="201" spans="1:10" ht="12" hidden="1" customHeight="1">
      <c r="A201" s="932"/>
      <c r="B201" s="933" t="s">
        <v>1910</v>
      </c>
      <c r="C201" s="1885">
        <f>K!$K$176+K!$K$219+K!$K$256</f>
        <v>0</v>
      </c>
      <c r="D201" s="1636" t="s">
        <v>1074</v>
      </c>
      <c r="E201" s="1637">
        <f>K!$G$176</f>
        <v>69000</v>
      </c>
      <c r="F201" s="931">
        <f t="shared" si="11"/>
        <v>0</v>
      </c>
      <c r="H201" s="941"/>
      <c r="J201" s="913"/>
    </row>
    <row r="202" spans="1:10" ht="12" hidden="1" customHeight="1">
      <c r="A202" s="932"/>
      <c r="B202" s="933" t="s">
        <v>2656</v>
      </c>
      <c r="C202" s="1885">
        <f>K!$K$230</f>
        <v>0</v>
      </c>
      <c r="D202" s="1636" t="s">
        <v>1074</v>
      </c>
      <c r="E202" s="1637">
        <f>K!$G$230</f>
        <v>276000</v>
      </c>
      <c r="F202" s="931">
        <f t="shared" si="11"/>
        <v>0</v>
      </c>
      <c r="H202" s="941"/>
      <c r="J202" s="913"/>
    </row>
    <row r="203" spans="1:10" ht="12" customHeight="1">
      <c r="A203" s="936">
        <v>1</v>
      </c>
      <c r="B203" s="933" t="s">
        <v>2230</v>
      </c>
      <c r="C203" s="1885">
        <f>K!$K$148+K!$K$162+K!$K$241</f>
        <v>0</v>
      </c>
      <c r="D203" s="1636" t="s">
        <v>1074</v>
      </c>
      <c r="E203" s="1637">
        <v>0</v>
      </c>
      <c r="F203" s="931">
        <f t="shared" si="11"/>
        <v>0</v>
      </c>
      <c r="H203" s="941"/>
      <c r="J203" s="913"/>
    </row>
    <row r="204" spans="1:10" ht="12" customHeight="1">
      <c r="A204" s="932">
        <v>2</v>
      </c>
      <c r="B204" s="933" t="s">
        <v>1916</v>
      </c>
      <c r="C204" s="1885">
        <f>G!$K$237+K!$K$255+G!$K$251</f>
        <v>0</v>
      </c>
      <c r="D204" s="1636" t="s">
        <v>1074</v>
      </c>
      <c r="E204" s="1637">
        <v>0</v>
      </c>
      <c r="F204" s="931">
        <f t="shared" si="11"/>
        <v>0</v>
      </c>
      <c r="H204" s="941"/>
      <c r="J204" s="913"/>
    </row>
    <row r="205" spans="1:10" ht="12" hidden="1" customHeight="1">
      <c r="A205" s="936"/>
      <c r="B205" s="1200" t="s">
        <v>1734</v>
      </c>
      <c r="C205" s="1885">
        <f>K!$K$151+K!$K$165</f>
        <v>0</v>
      </c>
      <c r="D205" s="1636" t="s">
        <v>88</v>
      </c>
      <c r="E205" s="1637">
        <v>0</v>
      </c>
      <c r="F205" s="931">
        <f>C205*E205</f>
        <v>0</v>
      </c>
      <c r="H205" s="941"/>
      <c r="J205" s="913"/>
    </row>
    <row r="206" spans="1:10" ht="12" hidden="1" customHeight="1">
      <c r="A206" s="932"/>
      <c r="B206" s="933" t="s">
        <v>2688</v>
      </c>
      <c r="C206" s="1885">
        <f>D!$K$293/12</f>
        <v>0</v>
      </c>
      <c r="D206" s="1213" t="s">
        <v>1074</v>
      </c>
      <c r="E206" s="1637">
        <v>0</v>
      </c>
      <c r="F206" s="931">
        <f>E206*C206</f>
        <v>0</v>
      </c>
      <c r="J206" s="913"/>
    </row>
    <row r="207" spans="1:10" ht="12" hidden="1" customHeight="1">
      <c r="A207" s="932"/>
      <c r="B207" s="1200" t="s">
        <v>2014</v>
      </c>
      <c r="C207" s="1885">
        <f>D!$K$299/12*0</f>
        <v>0</v>
      </c>
      <c r="D207" s="1213" t="s">
        <v>1074</v>
      </c>
      <c r="E207" s="1637">
        <v>0</v>
      </c>
      <c r="F207" s="931">
        <f>C207*E207</f>
        <v>0</v>
      </c>
      <c r="H207" s="941"/>
      <c r="J207" s="913"/>
    </row>
    <row r="208" spans="1:10" ht="12" hidden="1" customHeight="1">
      <c r="A208" s="936"/>
      <c r="B208" s="1200" t="s">
        <v>2262</v>
      </c>
      <c r="C208" s="1885">
        <f>D!$K$305/12*0</f>
        <v>0</v>
      </c>
      <c r="D208" s="1213" t="s">
        <v>1074</v>
      </c>
      <c r="E208" s="1637">
        <v>0</v>
      </c>
      <c r="F208" s="931">
        <f>C208*E208</f>
        <v>0</v>
      </c>
      <c r="H208" s="941"/>
      <c r="J208" s="913"/>
    </row>
    <row r="209" spans="1:10" ht="12" customHeight="1">
      <c r="A209" s="932">
        <v>3</v>
      </c>
      <c r="B209" s="1200" t="s">
        <v>1373</v>
      </c>
      <c r="C209" s="1885">
        <f>K!K257+K!K166+G!K254</f>
        <v>0</v>
      </c>
      <c r="D209" s="1636" t="s">
        <v>21</v>
      </c>
      <c r="E209" s="1637">
        <v>0</v>
      </c>
      <c r="F209" s="931">
        <f>C209*E209</f>
        <v>0</v>
      </c>
      <c r="H209" s="941"/>
      <c r="J209" s="913"/>
    </row>
    <row r="210" spans="1:10" ht="12" customHeight="1" thickBot="1">
      <c r="A210" s="936">
        <v>4</v>
      </c>
      <c r="B210" s="1200" t="s">
        <v>1735</v>
      </c>
      <c r="C210" s="1885">
        <f>K!K259+K!K168+G!$K$257</f>
        <v>0</v>
      </c>
      <c r="D210" s="1636" t="s">
        <v>309</v>
      </c>
      <c r="E210" s="1637">
        <v>0</v>
      </c>
      <c r="F210" s="1211">
        <f>C210*E210</f>
        <v>0</v>
      </c>
      <c r="H210" s="941"/>
      <c r="J210" s="913"/>
    </row>
    <row r="211" spans="1:10" ht="12" customHeight="1" thickBot="1">
      <c r="A211" s="1113"/>
      <c r="B211" s="942" t="s">
        <v>1568</v>
      </c>
      <c r="C211" s="1892"/>
      <c r="D211" s="943"/>
      <c r="E211" s="940"/>
      <c r="F211" s="939">
        <f>SUM(F199:F210)</f>
        <v>0</v>
      </c>
      <c r="G211" s="913">
        <v>1</v>
      </c>
      <c r="H211" s="941"/>
      <c r="J211" s="913"/>
    </row>
    <row r="212" spans="1:10" ht="12" customHeight="1">
      <c r="A212" s="924"/>
      <c r="B212" s="925"/>
      <c r="C212" s="1884"/>
      <c r="D212" s="926"/>
      <c r="E212" s="928"/>
      <c r="F212" s="927"/>
      <c r="H212" s="941"/>
      <c r="J212" s="913"/>
    </row>
    <row r="213" spans="1:10" s="1860" customFormat="1" ht="12" customHeight="1">
      <c r="A213" s="2501" t="s">
        <v>1091</v>
      </c>
      <c r="B213" s="2502" t="s">
        <v>1584</v>
      </c>
      <c r="C213" s="1890"/>
      <c r="D213" s="2503"/>
      <c r="E213" s="1889"/>
      <c r="F213" s="1859"/>
      <c r="H213" s="2504" t="s">
        <v>2400</v>
      </c>
    </row>
    <row r="214" spans="1:10" ht="12" customHeight="1">
      <c r="A214" s="932"/>
      <c r="B214" s="930" t="s">
        <v>1585</v>
      </c>
      <c r="C214" s="1885"/>
      <c r="D214" s="1893"/>
      <c r="E214" s="1214"/>
      <c r="F214" s="931"/>
      <c r="H214" s="941"/>
      <c r="J214" s="913"/>
    </row>
    <row r="215" spans="1:10" ht="12" customHeight="1">
      <c r="A215" s="932">
        <v>1</v>
      </c>
      <c r="B215" s="934" t="s">
        <v>894</v>
      </c>
      <c r="C215" s="1885">
        <f>P!$L$164</f>
        <v>0</v>
      </c>
      <c r="D215" s="1213" t="s">
        <v>88</v>
      </c>
      <c r="E215" s="1214">
        <v>0</v>
      </c>
      <c r="F215" s="931">
        <f>C215*E215</f>
        <v>0</v>
      </c>
      <c r="G215" s="913" t="s">
        <v>2459</v>
      </c>
      <c r="H215" s="941"/>
      <c r="J215" s="913"/>
    </row>
    <row r="216" spans="1:10" ht="12" customHeight="1">
      <c r="A216" s="932">
        <v>2</v>
      </c>
      <c r="B216" s="933" t="s">
        <v>2633</v>
      </c>
      <c r="C216" s="1885">
        <f>P!$L$173</f>
        <v>0</v>
      </c>
      <c r="D216" s="1213" t="s">
        <v>88</v>
      </c>
      <c r="E216" s="1214">
        <v>0</v>
      </c>
      <c r="F216" s="931">
        <f t="shared" ref="F216:F254" si="12">C216*E216</f>
        <v>0</v>
      </c>
      <c r="H216" s="941"/>
      <c r="J216" s="913"/>
    </row>
    <row r="217" spans="1:10" ht="12" customHeight="1">
      <c r="A217" s="932">
        <v>3</v>
      </c>
      <c r="B217" s="933" t="s">
        <v>1591</v>
      </c>
      <c r="C217" s="1885">
        <f>P!$L$182</f>
        <v>0</v>
      </c>
      <c r="D217" s="1213" t="s">
        <v>88</v>
      </c>
      <c r="E217" s="1214">
        <v>0</v>
      </c>
      <c r="F217" s="931">
        <f t="shared" si="12"/>
        <v>0</v>
      </c>
      <c r="H217" s="941"/>
      <c r="J217" s="913"/>
    </row>
    <row r="218" spans="1:10" ht="12" customHeight="1">
      <c r="A218" s="932">
        <v>4</v>
      </c>
      <c r="B218" s="933" t="s">
        <v>1473</v>
      </c>
      <c r="C218" s="1885">
        <f>P!$L$209</f>
        <v>0</v>
      </c>
      <c r="D218" s="1213" t="s">
        <v>88</v>
      </c>
      <c r="E218" s="1214">
        <v>0</v>
      </c>
      <c r="F218" s="931">
        <f t="shared" si="12"/>
        <v>0</v>
      </c>
      <c r="H218" s="941"/>
      <c r="J218" s="913"/>
    </row>
    <row r="219" spans="1:10" ht="12" customHeight="1">
      <c r="A219" s="932">
        <v>5</v>
      </c>
      <c r="B219" s="933" t="s">
        <v>900</v>
      </c>
      <c r="C219" s="1885">
        <f>P!$L$200</f>
        <v>0</v>
      </c>
      <c r="D219" s="1213" t="s">
        <v>88</v>
      </c>
      <c r="E219" s="1214">
        <v>0</v>
      </c>
      <c r="F219" s="931">
        <f>C219*E219</f>
        <v>0</v>
      </c>
      <c r="H219" s="941"/>
      <c r="J219" s="913"/>
    </row>
    <row r="220" spans="1:10" ht="12" customHeight="1">
      <c r="A220" s="932">
        <v>6</v>
      </c>
      <c r="B220" s="933" t="s">
        <v>1423</v>
      </c>
      <c r="C220" s="1885">
        <f>P!$L$245</f>
        <v>0</v>
      </c>
      <c r="D220" s="1213" t="s">
        <v>88</v>
      </c>
      <c r="E220" s="1214">
        <v>0</v>
      </c>
      <c r="F220" s="931">
        <f t="shared" si="12"/>
        <v>0</v>
      </c>
      <c r="H220" s="941"/>
      <c r="J220" s="913"/>
    </row>
    <row r="221" spans="1:10" ht="12" customHeight="1">
      <c r="A221" s="932">
        <v>7</v>
      </c>
      <c r="B221" s="933" t="s">
        <v>2255</v>
      </c>
      <c r="C221" s="1885">
        <f>P!$L$155</f>
        <v>0</v>
      </c>
      <c r="D221" s="1213" t="s">
        <v>88</v>
      </c>
      <c r="E221" s="1214">
        <v>0</v>
      </c>
      <c r="F221" s="931">
        <f t="shared" si="12"/>
        <v>0</v>
      </c>
      <c r="H221" s="941"/>
      <c r="J221" s="913"/>
    </row>
    <row r="222" spans="1:10" ht="12" hidden="1" customHeight="1">
      <c r="A222" s="932"/>
      <c r="B222" s="933" t="s">
        <v>897</v>
      </c>
      <c r="C222" s="1885">
        <f>BOQ!$P$1007</f>
        <v>0</v>
      </c>
      <c r="D222" s="1213" t="s">
        <v>88</v>
      </c>
      <c r="E222" s="1214">
        <v>0</v>
      </c>
      <c r="F222" s="931">
        <f>C222*E222</f>
        <v>0</v>
      </c>
      <c r="H222" s="941"/>
      <c r="J222" s="913"/>
    </row>
    <row r="223" spans="1:10" ht="12" hidden="1" customHeight="1">
      <c r="A223" s="932"/>
      <c r="B223" s="933" t="s">
        <v>1512</v>
      </c>
      <c r="C223" s="1885">
        <f>BOQ!$P$1010</f>
        <v>6</v>
      </c>
      <c r="D223" s="1213" t="s">
        <v>88</v>
      </c>
      <c r="E223" s="1214">
        <v>0</v>
      </c>
      <c r="F223" s="931">
        <f>C223*E223</f>
        <v>0</v>
      </c>
      <c r="H223" s="941"/>
      <c r="J223" s="913"/>
    </row>
    <row r="224" spans="1:10" ht="12" customHeight="1">
      <c r="A224" s="932">
        <v>8</v>
      </c>
      <c r="B224" s="933" t="s">
        <v>1667</v>
      </c>
      <c r="C224" s="1885">
        <f>P!$L$408</f>
        <v>0</v>
      </c>
      <c r="D224" s="1213" t="s">
        <v>129</v>
      </c>
      <c r="E224" s="1214">
        <v>0</v>
      </c>
      <c r="F224" s="931">
        <f>C224*E224</f>
        <v>0</v>
      </c>
      <c r="J224" s="913"/>
    </row>
    <row r="225" spans="1:10" ht="12" hidden="1" customHeight="1">
      <c r="A225" s="932"/>
      <c r="B225" s="933" t="s">
        <v>2323</v>
      </c>
      <c r="C225" s="1885">
        <f>BOQ!E1013</f>
        <v>0</v>
      </c>
      <c r="D225" s="1213" t="s">
        <v>88</v>
      </c>
      <c r="E225" s="1214">
        <v>0</v>
      </c>
      <c r="F225" s="931">
        <f>C225*E225</f>
        <v>0</v>
      </c>
      <c r="J225" s="913"/>
    </row>
    <row r="226" spans="1:10" ht="12" customHeight="1">
      <c r="A226" s="932">
        <v>9</v>
      </c>
      <c r="B226" s="933" t="s">
        <v>2326</v>
      </c>
      <c r="C226" s="1885">
        <f>BOQ!$E$1014</f>
        <v>0</v>
      </c>
      <c r="D226" s="1213" t="s">
        <v>88</v>
      </c>
      <c r="E226" s="1214">
        <v>0</v>
      </c>
      <c r="F226" s="931">
        <f>C226*E226</f>
        <v>0</v>
      </c>
      <c r="J226" s="913"/>
    </row>
    <row r="227" spans="1:10" ht="12" hidden="1" customHeight="1">
      <c r="A227" s="932"/>
      <c r="B227" s="933" t="s">
        <v>2171</v>
      </c>
      <c r="C227" s="1885">
        <f>SUMIF(BOQ!$B$1:$B$1282,'KEB. MATERIAL'!B227,BOQ!$E$1:$E$1282)</f>
        <v>0</v>
      </c>
      <c r="D227" s="1213" t="s">
        <v>88</v>
      </c>
      <c r="E227" s="1214">
        <v>0</v>
      </c>
      <c r="F227" s="931">
        <f t="shared" si="12"/>
        <v>0</v>
      </c>
      <c r="J227" s="913"/>
    </row>
    <row r="228" spans="1:10" ht="12" customHeight="1">
      <c r="A228" s="932">
        <v>10</v>
      </c>
      <c r="B228" s="933" t="s">
        <v>2365</v>
      </c>
      <c r="C228" s="1885">
        <f>SUMIF(BOQ!$B$1:$B$1282,'KEB. MATERIAL'!B228,BOQ!$E$1:$E$1282)</f>
        <v>0</v>
      </c>
      <c r="D228" s="1213" t="s">
        <v>88</v>
      </c>
      <c r="E228" s="1214">
        <v>0</v>
      </c>
      <c r="F228" s="931">
        <f t="shared" si="12"/>
        <v>0</v>
      </c>
      <c r="J228" s="913"/>
    </row>
    <row r="229" spans="1:10" ht="12" hidden="1" customHeight="1">
      <c r="A229" s="932"/>
      <c r="B229" s="933" t="s">
        <v>2493</v>
      </c>
      <c r="C229" s="1885">
        <f>SUMIF(BOQ!$B$1:$B$1282,'KEB. MATERIAL'!B229,BOQ!$E$1:$E$1282)</f>
        <v>0</v>
      </c>
      <c r="D229" s="1213" t="s">
        <v>88</v>
      </c>
      <c r="E229" s="1214">
        <v>0</v>
      </c>
      <c r="F229" s="931">
        <f>C229*E229</f>
        <v>0</v>
      </c>
      <c r="J229" s="913"/>
    </row>
    <row r="230" spans="1:10" ht="12" hidden="1" customHeight="1">
      <c r="A230" s="932"/>
      <c r="B230" s="933" t="s">
        <v>2358</v>
      </c>
      <c r="C230" s="1885">
        <f>SUMIF(BOQ!$B$1:$B$1282,'KEB. MATERIAL'!B230,BOQ!$E$1:$E$1282)</f>
        <v>0</v>
      </c>
      <c r="D230" s="1213" t="s">
        <v>88</v>
      </c>
      <c r="E230" s="1214">
        <v>0</v>
      </c>
      <c r="F230" s="931">
        <f>C230*E230</f>
        <v>0</v>
      </c>
      <c r="J230" s="913"/>
    </row>
    <row r="231" spans="1:10" ht="12" hidden="1" customHeight="1">
      <c r="A231" s="932"/>
      <c r="B231" s="933" t="s">
        <v>2244</v>
      </c>
      <c r="C231" s="1885">
        <f>SUMIF(BOQ!$B$1:$B$1282,'KEB. MATERIAL'!B231,BOQ!$E$1:$E$1282)</f>
        <v>0</v>
      </c>
      <c r="D231" s="1213" t="s">
        <v>88</v>
      </c>
      <c r="E231" s="1214">
        <v>0</v>
      </c>
      <c r="F231" s="931">
        <f>C231*E231</f>
        <v>0</v>
      </c>
      <c r="J231" s="913"/>
    </row>
    <row r="232" spans="1:10" ht="12" customHeight="1">
      <c r="A232" s="932">
        <v>11</v>
      </c>
      <c r="B232" s="933" t="s">
        <v>2311</v>
      </c>
      <c r="C232" s="1885">
        <f>SUMIF(BOQ!$B$1:$B$1282,'KEB. MATERIAL'!B232,BOQ!$E$1:$E$1282)</f>
        <v>1</v>
      </c>
      <c r="D232" s="1213" t="s">
        <v>88</v>
      </c>
      <c r="E232" s="1214">
        <v>0</v>
      </c>
      <c r="F232" s="931">
        <f t="shared" si="12"/>
        <v>0</v>
      </c>
      <c r="J232" s="913"/>
    </row>
    <row r="233" spans="1:10" ht="12" hidden="1" customHeight="1">
      <c r="A233" s="932"/>
      <c r="B233" s="933" t="s">
        <v>2471</v>
      </c>
      <c r="C233" s="1885">
        <f>SUMIF(BOQ!$B$1:$B$1282,'KEB. MATERIAL'!B233,BOQ!$E$1:$E$1282)</f>
        <v>0</v>
      </c>
      <c r="D233" s="1213" t="s">
        <v>88</v>
      </c>
      <c r="E233" s="1214">
        <v>0</v>
      </c>
      <c r="F233" s="931">
        <f>C233*E233</f>
        <v>0</v>
      </c>
      <c r="J233" s="913"/>
    </row>
    <row r="234" spans="1:10" ht="12" customHeight="1">
      <c r="A234" s="932">
        <v>12</v>
      </c>
      <c r="B234" s="933" t="s">
        <v>2331</v>
      </c>
      <c r="C234" s="1885">
        <f>SUMIF(BOQ!$B$1:$B$1282,'KEB. MATERIAL'!B234,BOQ!$E$1:$E$1282)</f>
        <v>0</v>
      </c>
      <c r="D234" s="1213" t="s">
        <v>88</v>
      </c>
      <c r="E234" s="1214">
        <v>0</v>
      </c>
      <c r="F234" s="931">
        <f>C234*E234</f>
        <v>0</v>
      </c>
      <c r="J234" s="913"/>
    </row>
    <row r="235" spans="1:10" ht="12" hidden="1" customHeight="1">
      <c r="A235" s="932"/>
      <c r="B235" s="933" t="s">
        <v>2401</v>
      </c>
      <c r="C235" s="1885">
        <f>SUMIF(BOQ!$B$1:$B$1282,'KEB. MATERIAL'!B235,BOQ!$E$1:$E$1282)</f>
        <v>0</v>
      </c>
      <c r="D235" s="1213" t="s">
        <v>88</v>
      </c>
      <c r="E235" s="1214">
        <v>0</v>
      </c>
      <c r="F235" s="931">
        <f>C235*E235</f>
        <v>0</v>
      </c>
      <c r="J235" s="913"/>
    </row>
    <row r="236" spans="1:10" ht="12" customHeight="1">
      <c r="A236" s="932">
        <v>13</v>
      </c>
      <c r="B236" s="933" t="s">
        <v>1586</v>
      </c>
      <c r="C236" s="1885">
        <f>BOQ!$P$987</f>
        <v>1</v>
      </c>
      <c r="D236" s="1213" t="s">
        <v>88</v>
      </c>
      <c r="E236" s="1214">
        <v>0</v>
      </c>
      <c r="F236" s="931">
        <f t="shared" si="12"/>
        <v>0</v>
      </c>
      <c r="J236" s="913"/>
    </row>
    <row r="237" spans="1:10" ht="12" customHeight="1">
      <c r="A237" s="932">
        <v>14</v>
      </c>
      <c r="B237" s="933" t="s">
        <v>1630</v>
      </c>
      <c r="C237" s="1885">
        <f>BOQ!$P$988</f>
        <v>1</v>
      </c>
      <c r="D237" s="1213" t="s">
        <v>80</v>
      </c>
      <c r="E237" s="1214">
        <v>0</v>
      </c>
      <c r="F237" s="931">
        <f t="shared" si="12"/>
        <v>0</v>
      </c>
      <c r="J237" s="913"/>
    </row>
    <row r="238" spans="1:10" ht="12" customHeight="1">
      <c r="A238" s="932">
        <v>15</v>
      </c>
      <c r="B238" s="933" t="s">
        <v>1626</v>
      </c>
      <c r="C238" s="1885">
        <f>BOQ!$P$999</f>
        <v>22</v>
      </c>
      <c r="D238" s="1213" t="s">
        <v>129</v>
      </c>
      <c r="E238" s="1214">
        <v>0</v>
      </c>
      <c r="F238" s="931">
        <f t="shared" si="12"/>
        <v>0</v>
      </c>
      <c r="J238" s="913"/>
    </row>
    <row r="239" spans="1:10" ht="12" customHeight="1">
      <c r="A239" s="932">
        <v>16</v>
      </c>
      <c r="B239" s="933" t="s">
        <v>842</v>
      </c>
      <c r="C239" s="1885">
        <f>P!$N$7</f>
        <v>95</v>
      </c>
      <c r="D239" s="1213" t="s">
        <v>841</v>
      </c>
      <c r="E239" s="1214">
        <v>0</v>
      </c>
      <c r="F239" s="931">
        <f t="shared" si="12"/>
        <v>0</v>
      </c>
      <c r="J239" s="913"/>
    </row>
    <row r="240" spans="1:10" ht="12" customHeight="1">
      <c r="A240" s="932">
        <v>17</v>
      </c>
      <c r="B240" s="933" t="s">
        <v>840</v>
      </c>
      <c r="C240" s="1885">
        <f>P!$L$6</f>
        <v>0</v>
      </c>
      <c r="D240" s="1213" t="s">
        <v>841</v>
      </c>
      <c r="E240" s="1214">
        <v>0</v>
      </c>
      <c r="F240" s="931">
        <f t="shared" si="12"/>
        <v>0</v>
      </c>
      <c r="J240" s="913"/>
    </row>
    <row r="241" spans="1:10" ht="12" customHeight="1">
      <c r="A241" s="932">
        <v>18</v>
      </c>
      <c r="B241" s="933" t="s">
        <v>851</v>
      </c>
      <c r="C241" s="1885">
        <f>P!$N$16</f>
        <v>0</v>
      </c>
      <c r="D241" s="1213" t="s">
        <v>841</v>
      </c>
      <c r="E241" s="1214">
        <v>0</v>
      </c>
      <c r="F241" s="931">
        <f t="shared" si="12"/>
        <v>0</v>
      </c>
      <c r="J241" s="913"/>
    </row>
    <row r="242" spans="1:10" ht="12" customHeight="1">
      <c r="A242" s="932">
        <v>19</v>
      </c>
      <c r="B242" s="933" t="s">
        <v>1438</v>
      </c>
      <c r="C242" s="1885">
        <f>P!$L$254</f>
        <v>57.750000000000007</v>
      </c>
      <c r="D242" s="1213" t="s">
        <v>841</v>
      </c>
      <c r="E242" s="1214">
        <v>0</v>
      </c>
      <c r="F242" s="931">
        <f t="shared" si="12"/>
        <v>0</v>
      </c>
      <c r="J242" s="913"/>
    </row>
    <row r="243" spans="1:10" ht="12" customHeight="1">
      <c r="A243" s="932">
        <v>20</v>
      </c>
      <c r="B243" s="933" t="s">
        <v>856</v>
      </c>
      <c r="C243" s="1885">
        <f>P!$L$36</f>
        <v>42</v>
      </c>
      <c r="D243" s="1213" t="s">
        <v>841</v>
      </c>
      <c r="E243" s="1214">
        <v>0</v>
      </c>
      <c r="F243" s="931">
        <f t="shared" si="12"/>
        <v>0</v>
      </c>
      <c r="J243" s="913"/>
    </row>
    <row r="244" spans="1:10" ht="12" customHeight="1">
      <c r="A244" s="932">
        <v>21</v>
      </c>
      <c r="B244" s="933" t="s">
        <v>903</v>
      </c>
      <c r="C244" s="1885">
        <f>P!$L$227</f>
        <v>0</v>
      </c>
      <c r="D244" s="1213" t="s">
        <v>88</v>
      </c>
      <c r="E244" s="1214">
        <v>0</v>
      </c>
      <c r="F244" s="931">
        <f t="shared" si="12"/>
        <v>0</v>
      </c>
      <c r="J244" s="913"/>
    </row>
    <row r="245" spans="1:10" ht="12" customHeight="1">
      <c r="A245" s="932">
        <v>22</v>
      </c>
      <c r="B245" s="933" t="s">
        <v>862</v>
      </c>
      <c r="C245" s="1885">
        <f>BOQ!$E$1208</f>
        <v>5</v>
      </c>
      <c r="D245" s="1213" t="s">
        <v>88</v>
      </c>
      <c r="E245" s="1214">
        <v>0</v>
      </c>
      <c r="F245" s="931">
        <f t="shared" si="12"/>
        <v>0</v>
      </c>
      <c r="J245" s="913"/>
    </row>
    <row r="246" spans="1:10" ht="12" customHeight="1">
      <c r="A246" s="932">
        <v>23</v>
      </c>
      <c r="B246" s="933" t="s">
        <v>888</v>
      </c>
      <c r="C246" s="1885">
        <f>P!$L$128</f>
        <v>0</v>
      </c>
      <c r="D246" s="1213" t="s">
        <v>88</v>
      </c>
      <c r="E246" s="1214">
        <v>0</v>
      </c>
      <c r="F246" s="931">
        <f t="shared" si="12"/>
        <v>0</v>
      </c>
      <c r="J246" s="913"/>
    </row>
    <row r="247" spans="1:10" ht="12" customHeight="1">
      <c r="A247" s="932">
        <v>24</v>
      </c>
      <c r="B247" s="933" t="s">
        <v>885</v>
      </c>
      <c r="C247" s="1885">
        <f>P!$L$119</f>
        <v>0</v>
      </c>
      <c r="D247" s="1213" t="s">
        <v>88</v>
      </c>
      <c r="E247" s="1214">
        <v>0</v>
      </c>
      <c r="F247" s="931">
        <f t="shared" si="12"/>
        <v>0</v>
      </c>
      <c r="J247" s="913"/>
    </row>
    <row r="248" spans="1:10" ht="12" customHeight="1">
      <c r="A248" s="932">
        <v>25</v>
      </c>
      <c r="B248" s="933" t="s">
        <v>1424</v>
      </c>
      <c r="C248" s="1885">
        <f>P!$L$137</f>
        <v>0</v>
      </c>
      <c r="D248" s="1213" t="s">
        <v>88</v>
      </c>
      <c r="E248" s="1214">
        <v>0</v>
      </c>
      <c r="F248" s="931">
        <f t="shared" si="12"/>
        <v>0</v>
      </c>
      <c r="J248" s="913"/>
    </row>
    <row r="249" spans="1:10" ht="12" customHeight="1">
      <c r="A249" s="932">
        <v>26</v>
      </c>
      <c r="B249" s="933" t="s">
        <v>1537</v>
      </c>
      <c r="C249" s="1885">
        <f>P!$L$399</f>
        <v>0</v>
      </c>
      <c r="D249" s="1213" t="s">
        <v>88</v>
      </c>
      <c r="E249" s="1214">
        <v>0</v>
      </c>
      <c r="F249" s="931">
        <f t="shared" si="12"/>
        <v>0</v>
      </c>
      <c r="J249" s="913"/>
    </row>
    <row r="250" spans="1:10" ht="12" customHeight="1">
      <c r="A250" s="932">
        <v>27</v>
      </c>
      <c r="B250" s="933" t="s">
        <v>1669</v>
      </c>
      <c r="C250" s="1885">
        <f>P!$L$390</f>
        <v>0</v>
      </c>
      <c r="D250" s="1213" t="s">
        <v>88</v>
      </c>
      <c r="E250" s="1214">
        <v>0</v>
      </c>
      <c r="F250" s="931">
        <f t="shared" si="12"/>
        <v>0</v>
      </c>
      <c r="J250" s="913"/>
    </row>
    <row r="251" spans="1:10" ht="12" customHeight="1">
      <c r="A251" s="932">
        <v>28</v>
      </c>
      <c r="B251" s="933" t="s">
        <v>1625</v>
      </c>
      <c r="C251" s="1885">
        <f>P!$L$83</f>
        <v>0</v>
      </c>
      <c r="D251" s="1213" t="s">
        <v>88</v>
      </c>
      <c r="E251" s="1214">
        <v>0</v>
      </c>
      <c r="F251" s="931">
        <f t="shared" si="12"/>
        <v>0</v>
      </c>
      <c r="J251" s="913"/>
    </row>
    <row r="252" spans="1:10" ht="12" hidden="1" customHeight="1">
      <c r="A252" s="932"/>
      <c r="B252" s="933" t="s">
        <v>2419</v>
      </c>
      <c r="C252" s="1885">
        <f>BOQ!$P$1016</f>
        <v>1</v>
      </c>
      <c r="D252" s="1213" t="s">
        <v>88</v>
      </c>
      <c r="E252" s="1214">
        <v>0</v>
      </c>
      <c r="F252" s="931">
        <f t="shared" si="12"/>
        <v>0</v>
      </c>
      <c r="J252" s="913"/>
    </row>
    <row r="253" spans="1:10" ht="12" customHeight="1">
      <c r="A253" s="932">
        <v>29</v>
      </c>
      <c r="B253" s="933" t="s">
        <v>873</v>
      </c>
      <c r="C253" s="1885">
        <f>P!$L$74</f>
        <v>0</v>
      </c>
      <c r="D253" s="1213" t="s">
        <v>88</v>
      </c>
      <c r="E253" s="1214">
        <v>0</v>
      </c>
      <c r="F253" s="931">
        <f t="shared" si="12"/>
        <v>0</v>
      </c>
      <c r="J253" s="913"/>
    </row>
    <row r="254" spans="1:10" ht="12" customHeight="1" thickBot="1">
      <c r="A254" s="932">
        <v>30</v>
      </c>
      <c r="B254" s="933" t="s">
        <v>882</v>
      </c>
      <c r="C254" s="1885">
        <f>P!$L$110</f>
        <v>0</v>
      </c>
      <c r="D254" s="1213" t="s">
        <v>88</v>
      </c>
      <c r="E254" s="1214">
        <v>0</v>
      </c>
      <c r="F254" s="931">
        <f t="shared" si="12"/>
        <v>0</v>
      </c>
      <c r="J254" s="913"/>
    </row>
    <row r="255" spans="1:10" ht="12" customHeight="1" thickBot="1">
      <c r="A255" s="1113"/>
      <c r="B255" s="937" t="s">
        <v>1568</v>
      </c>
      <c r="C255" s="1892"/>
      <c r="D255" s="947"/>
      <c r="E255" s="940"/>
      <c r="F255" s="939">
        <f>SUM(F215:F254)</f>
        <v>0</v>
      </c>
      <c r="G255" s="913">
        <v>1</v>
      </c>
      <c r="J255" s="913"/>
    </row>
    <row r="256" spans="1:10" ht="12" customHeight="1">
      <c r="A256" s="924"/>
      <c r="B256" s="925"/>
      <c r="C256" s="1884"/>
      <c r="D256" s="948"/>
      <c r="E256" s="928"/>
      <c r="F256" s="927"/>
      <c r="J256" s="913"/>
    </row>
    <row r="257" spans="1:10" ht="12" customHeight="1">
      <c r="A257" s="929" t="s">
        <v>1100</v>
      </c>
      <c r="B257" s="930" t="s">
        <v>1587</v>
      </c>
      <c r="C257" s="1885"/>
      <c r="D257" s="1893"/>
      <c r="E257" s="1214"/>
      <c r="F257" s="931"/>
      <c r="H257" s="913" t="s">
        <v>2400</v>
      </c>
      <c r="J257" s="913"/>
    </row>
    <row r="258" spans="1:10" ht="12" customHeight="1">
      <c r="A258" s="932"/>
      <c r="B258" s="930" t="s">
        <v>1588</v>
      </c>
      <c r="C258" s="1885"/>
      <c r="D258" s="1893"/>
      <c r="E258" s="1214"/>
      <c r="F258" s="931"/>
      <c r="J258" s="913"/>
    </row>
    <row r="259" spans="1:10" ht="12" customHeight="1">
      <c r="A259" s="932">
        <v>1</v>
      </c>
      <c r="B259" s="933" t="str">
        <f>"Closet duduk "&amp;BAHAN!$F$241</f>
        <v>Closet duduk Setara AMERICAN STANDARD MY WINSTON CCST</v>
      </c>
      <c r="C259" s="1885">
        <f>M!$K$17</f>
        <v>0</v>
      </c>
      <c r="D259" s="1213" t="s">
        <v>88</v>
      </c>
      <c r="E259" s="1214">
        <v>0</v>
      </c>
      <c r="F259" s="931">
        <f>C259*E259</f>
        <v>0</v>
      </c>
      <c r="G259" s="913" t="s">
        <v>2459</v>
      </c>
      <c r="J259" s="913"/>
    </row>
    <row r="260" spans="1:10" ht="12" hidden="1" customHeight="1">
      <c r="A260" s="932"/>
      <c r="B260" s="933" t="s">
        <v>643</v>
      </c>
      <c r="C260" s="1885">
        <f>M!$K$7</f>
        <v>0</v>
      </c>
      <c r="D260" s="1213" t="s">
        <v>88</v>
      </c>
      <c r="E260" s="1214">
        <v>0</v>
      </c>
      <c r="F260" s="931">
        <f>C260*E260</f>
        <v>0</v>
      </c>
      <c r="J260" s="913"/>
    </row>
    <row r="261" spans="1:10" ht="12" hidden="1" customHeight="1">
      <c r="A261" s="932"/>
      <c r="B261" s="933" t="s">
        <v>2356</v>
      </c>
      <c r="C261" s="1885">
        <f>M!$K$48</f>
        <v>0</v>
      </c>
      <c r="D261" s="1213" t="s">
        <v>80</v>
      </c>
      <c r="E261" s="1214">
        <v>0</v>
      </c>
      <c r="F261" s="931">
        <f t="shared" ref="F261:F299" si="13">C261*E261</f>
        <v>0</v>
      </c>
      <c r="J261" s="913"/>
    </row>
    <row r="262" spans="1:10" ht="12" customHeight="1">
      <c r="A262" s="932">
        <v>2</v>
      </c>
      <c r="B262" s="933" t="str">
        <f>"Wastafel "&amp;BAHAN!$F$238</f>
        <v xml:space="preserve">Wastafel Setara OULU KW1 W 288 </v>
      </c>
      <c r="C262" s="1885">
        <f>M!$K$37</f>
        <v>0</v>
      </c>
      <c r="D262" s="1213" t="s">
        <v>80</v>
      </c>
      <c r="E262" s="1214">
        <v>0</v>
      </c>
      <c r="F262" s="931">
        <f t="shared" si="13"/>
        <v>0</v>
      </c>
      <c r="J262" s="913"/>
    </row>
    <row r="263" spans="1:10" ht="12" hidden="1" customHeight="1">
      <c r="A263" s="932"/>
      <c r="B263" s="933" t="str">
        <f>BOQ!$B$704&amp;" setara "&amp;BOQ!$D$704</f>
        <v>Bathtub setara Toto PPY1710HPWE</v>
      </c>
      <c r="C263" s="1885">
        <f>M!$K$336</f>
        <v>0</v>
      </c>
      <c r="D263" s="1213" t="s">
        <v>80</v>
      </c>
      <c r="E263" s="1214">
        <v>0</v>
      </c>
      <c r="F263" s="931">
        <f>C263*E263</f>
        <v>0</v>
      </c>
      <c r="J263" s="913"/>
    </row>
    <row r="264" spans="1:10" ht="12" customHeight="1">
      <c r="A264" s="932">
        <v>3</v>
      </c>
      <c r="B264" s="934" t="s">
        <v>679</v>
      </c>
      <c r="C264" s="1885">
        <f>M!$K$107</f>
        <v>0</v>
      </c>
      <c r="D264" s="1213" t="s">
        <v>171</v>
      </c>
      <c r="E264" s="1214">
        <v>0</v>
      </c>
      <c r="F264" s="931">
        <f t="shared" si="13"/>
        <v>0</v>
      </c>
      <c r="J264" s="913"/>
    </row>
    <row r="265" spans="1:10" ht="12" customHeight="1">
      <c r="A265" s="932">
        <v>4</v>
      </c>
      <c r="B265" s="934" t="s">
        <v>683</v>
      </c>
      <c r="C265" s="1885">
        <f>M!$K$116</f>
        <v>0</v>
      </c>
      <c r="D265" s="1213" t="s">
        <v>171</v>
      </c>
      <c r="E265" s="1214">
        <v>0</v>
      </c>
      <c r="F265" s="931">
        <f t="shared" si="13"/>
        <v>0</v>
      </c>
      <c r="J265" s="913"/>
    </row>
    <row r="266" spans="1:10" ht="12" hidden="1" customHeight="1">
      <c r="A266" s="932"/>
      <c r="B266" s="933" t="s">
        <v>687</v>
      </c>
      <c r="C266" s="1885">
        <f>M!$K$143</f>
        <v>0</v>
      </c>
      <c r="D266" s="1213" t="s">
        <v>171</v>
      </c>
      <c r="E266" s="1214">
        <v>0</v>
      </c>
      <c r="F266" s="931">
        <f t="shared" si="13"/>
        <v>0</v>
      </c>
    </row>
    <row r="267" spans="1:10" ht="12" customHeight="1">
      <c r="A267" s="932">
        <v>5</v>
      </c>
      <c r="B267" s="934" t="s">
        <v>1376</v>
      </c>
      <c r="C267" s="1885">
        <f>M!$K$134</f>
        <v>0</v>
      </c>
      <c r="D267" s="1213" t="s">
        <v>171</v>
      </c>
      <c r="E267" s="1214">
        <v>0</v>
      </c>
      <c r="F267" s="931">
        <f t="shared" si="13"/>
        <v>0</v>
      </c>
    </row>
    <row r="268" spans="1:10" ht="12" customHeight="1">
      <c r="A268" s="932">
        <v>6</v>
      </c>
      <c r="B268" s="933" t="s">
        <v>690</v>
      </c>
      <c r="C268" s="1885">
        <f>M!$K$152</f>
        <v>0</v>
      </c>
      <c r="D268" s="1213" t="s">
        <v>171</v>
      </c>
      <c r="E268" s="1214">
        <v>0</v>
      </c>
      <c r="F268" s="931">
        <f t="shared" si="13"/>
        <v>0</v>
      </c>
    </row>
    <row r="269" spans="1:10" ht="12" customHeight="1">
      <c r="A269" s="932">
        <v>7</v>
      </c>
      <c r="B269" s="933" t="s">
        <v>693</v>
      </c>
      <c r="C269" s="1885">
        <f>M!$K$170</f>
        <v>0</v>
      </c>
      <c r="D269" s="1213" t="s">
        <v>171</v>
      </c>
      <c r="E269" s="1214">
        <v>0</v>
      </c>
      <c r="F269" s="931">
        <f t="shared" si="13"/>
        <v>0</v>
      </c>
    </row>
    <row r="270" spans="1:10" ht="12" hidden="1" customHeight="1">
      <c r="A270" s="932"/>
      <c r="B270" s="933" t="s">
        <v>2657</v>
      </c>
      <c r="C270" s="1885">
        <f>M!$K$299</f>
        <v>0</v>
      </c>
      <c r="D270" s="1213" t="s">
        <v>171</v>
      </c>
      <c r="E270" s="1214">
        <v>0</v>
      </c>
      <c r="F270" s="931">
        <f t="shared" si="13"/>
        <v>0</v>
      </c>
    </row>
    <row r="271" spans="1:10" ht="12" hidden="1" customHeight="1">
      <c r="A271" s="932"/>
      <c r="B271" s="933" t="s">
        <v>738</v>
      </c>
      <c r="C271" s="1885">
        <f>M!$K$300</f>
        <v>0</v>
      </c>
      <c r="D271" s="1213" t="s">
        <v>171</v>
      </c>
      <c r="E271" s="1214">
        <v>0</v>
      </c>
      <c r="F271" s="931">
        <f t="shared" si="13"/>
        <v>0</v>
      </c>
    </row>
    <row r="272" spans="1:10" ht="12" hidden="1" customHeight="1">
      <c r="A272" s="932"/>
      <c r="B272" s="933" t="s">
        <v>2658</v>
      </c>
      <c r="C272" s="1885">
        <f>M!$K$304</f>
        <v>0</v>
      </c>
      <c r="D272" s="1213" t="s">
        <v>171</v>
      </c>
      <c r="E272" s="1214">
        <v>0</v>
      </c>
      <c r="F272" s="931">
        <f t="shared" si="13"/>
        <v>0</v>
      </c>
    </row>
    <row r="273" spans="1:10" ht="12" customHeight="1">
      <c r="A273" s="932">
        <v>8</v>
      </c>
      <c r="B273" s="934" t="s">
        <v>696</v>
      </c>
      <c r="C273" s="1885">
        <f>M!K179</f>
        <v>0</v>
      </c>
      <c r="D273" s="1213" t="s">
        <v>171</v>
      </c>
      <c r="E273" s="1214">
        <v>0</v>
      </c>
      <c r="F273" s="931">
        <f>C273*E273</f>
        <v>0</v>
      </c>
      <c r="J273" s="913"/>
    </row>
    <row r="274" spans="1:10" ht="12" customHeight="1">
      <c r="A274" s="932">
        <v>9</v>
      </c>
      <c r="B274" s="934" t="s">
        <v>699</v>
      </c>
      <c r="C274" s="1885">
        <f>M!$K$188</f>
        <v>0</v>
      </c>
      <c r="D274" s="1213" t="s">
        <v>171</v>
      </c>
      <c r="E274" s="1214">
        <v>0</v>
      </c>
      <c r="F274" s="931">
        <f>C274*E274</f>
        <v>0</v>
      </c>
      <c r="J274" s="913"/>
    </row>
    <row r="275" spans="1:10" ht="12" customHeight="1">
      <c r="A275" s="932">
        <v>10</v>
      </c>
      <c r="B275" s="934" t="s">
        <v>2349</v>
      </c>
      <c r="C275" s="1885">
        <f>M!$K$197</f>
        <v>0</v>
      </c>
      <c r="D275" s="1213" t="s">
        <v>171</v>
      </c>
      <c r="E275" s="1214">
        <v>0</v>
      </c>
      <c r="F275" s="931">
        <f>C275*E275</f>
        <v>0</v>
      </c>
      <c r="J275" s="913"/>
    </row>
    <row r="276" spans="1:10" ht="12" customHeight="1">
      <c r="A276" s="932">
        <v>11</v>
      </c>
      <c r="B276" s="933" t="str">
        <f>"Kran air "&amp;BAHAN!$F$234</f>
        <v>Kran air Setara  kran bak mdel toto</v>
      </c>
      <c r="C276" s="1885">
        <f>M!$K$232</f>
        <v>0</v>
      </c>
      <c r="D276" s="1213" t="s">
        <v>88</v>
      </c>
      <c r="E276" s="1214">
        <v>0</v>
      </c>
      <c r="F276" s="931">
        <f t="shared" si="13"/>
        <v>0</v>
      </c>
    </row>
    <row r="277" spans="1:10" ht="12" customHeight="1">
      <c r="A277" s="932">
        <v>12</v>
      </c>
      <c r="B277" s="933" t="str">
        <f>"Shower "&amp;BAHAN!$F$236</f>
        <v xml:space="preserve">Shower Setara American Standard Kran Bath and Shower type ART 2132 Mixer (panas - dingin) &amp;
Hand Shower </v>
      </c>
      <c r="C277" s="1885">
        <f>M!$K$241</f>
        <v>0</v>
      </c>
      <c r="D277" s="1213" t="s">
        <v>88</v>
      </c>
      <c r="E277" s="1214">
        <v>0</v>
      </c>
      <c r="F277" s="931">
        <f t="shared" si="13"/>
        <v>0</v>
      </c>
    </row>
    <row r="278" spans="1:10" ht="12" customHeight="1">
      <c r="A278" s="932">
        <v>13</v>
      </c>
      <c r="B278" s="933" t="s">
        <v>1690</v>
      </c>
      <c r="C278" s="1885">
        <f>M!$K$372</f>
        <v>0</v>
      </c>
      <c r="D278" s="1213" t="s">
        <v>88</v>
      </c>
      <c r="E278" s="1214">
        <v>0</v>
      </c>
      <c r="F278" s="931">
        <f t="shared" si="13"/>
        <v>0</v>
      </c>
    </row>
    <row r="279" spans="1:10" ht="12" customHeight="1">
      <c r="A279" s="932">
        <v>14</v>
      </c>
      <c r="B279" s="933" t="s">
        <v>2540</v>
      </c>
      <c r="C279" s="1885">
        <f>M!$K$390</f>
        <v>0</v>
      </c>
      <c r="D279" s="1213" t="s">
        <v>88</v>
      </c>
      <c r="E279" s="1214">
        <v>0</v>
      </c>
      <c r="F279" s="931">
        <f t="shared" si="13"/>
        <v>0</v>
      </c>
    </row>
    <row r="280" spans="1:10" ht="12" customHeight="1">
      <c r="A280" s="932">
        <v>15</v>
      </c>
      <c r="B280" s="933" t="s">
        <v>717</v>
      </c>
      <c r="C280" s="1885">
        <f>M!$K$250</f>
        <v>0</v>
      </c>
      <c r="D280" s="1213" t="s">
        <v>88</v>
      </c>
      <c r="E280" s="1214">
        <v>0</v>
      </c>
      <c r="F280" s="931">
        <f t="shared" si="13"/>
        <v>0</v>
      </c>
    </row>
    <row r="281" spans="1:10" ht="12" customHeight="1">
      <c r="A281" s="932">
        <v>16</v>
      </c>
      <c r="B281" s="933" t="s">
        <v>720</v>
      </c>
      <c r="C281" s="1885">
        <f>M!$K$258</f>
        <v>0</v>
      </c>
      <c r="D281" s="1213" t="s">
        <v>88</v>
      </c>
      <c r="E281" s="1214">
        <v>0</v>
      </c>
      <c r="F281" s="931">
        <f t="shared" si="13"/>
        <v>0</v>
      </c>
    </row>
    <row r="282" spans="1:10" ht="12" customHeight="1">
      <c r="A282" s="932">
        <v>17</v>
      </c>
      <c r="B282" s="933" t="s">
        <v>1689</v>
      </c>
      <c r="C282" s="1885">
        <f>M!$K$224</f>
        <v>0</v>
      </c>
      <c r="D282" s="1213" t="s">
        <v>88</v>
      </c>
      <c r="E282" s="1214">
        <v>0</v>
      </c>
      <c r="F282" s="931">
        <f t="shared" si="13"/>
        <v>0</v>
      </c>
    </row>
    <row r="283" spans="1:10" ht="12" customHeight="1">
      <c r="A283" s="932">
        <v>18</v>
      </c>
      <c r="B283" s="933" t="s">
        <v>2381</v>
      </c>
      <c r="C283" s="1885">
        <f>M!$K$275</f>
        <v>0</v>
      </c>
      <c r="D283" s="1213" t="s">
        <v>88</v>
      </c>
      <c r="E283" s="1214">
        <v>0</v>
      </c>
      <c r="F283" s="931">
        <f t="shared" si="13"/>
        <v>0</v>
      </c>
    </row>
    <row r="284" spans="1:10" ht="12" hidden="1" customHeight="1">
      <c r="A284" s="932"/>
      <c r="B284" s="933" t="s">
        <v>2616</v>
      </c>
      <c r="C284" s="1885">
        <f>M!$K$284</f>
        <v>0</v>
      </c>
      <c r="D284" s="1213" t="s">
        <v>88</v>
      </c>
      <c r="E284" s="1214">
        <v>0</v>
      </c>
      <c r="F284" s="931">
        <f>C284*E284</f>
        <v>0</v>
      </c>
    </row>
    <row r="285" spans="1:10" ht="12" customHeight="1">
      <c r="A285" s="932">
        <v>19</v>
      </c>
      <c r="B285" s="933" t="s">
        <v>711</v>
      </c>
      <c r="C285" s="2341">
        <f>M!$K$233+M!$K$242+M!$K$373+M!$K$382+M!$K$391</f>
        <v>2.5000000000000001E-2</v>
      </c>
      <c r="D285" s="1213" t="s">
        <v>88</v>
      </c>
      <c r="E285" s="1214">
        <v>0</v>
      </c>
      <c r="F285" s="931">
        <f t="shared" si="13"/>
        <v>0</v>
      </c>
    </row>
    <row r="286" spans="1:10" ht="12" hidden="1" customHeight="1">
      <c r="A286" s="932"/>
      <c r="B286" s="933" t="s">
        <v>746</v>
      </c>
      <c r="C286" s="1885"/>
      <c r="D286" s="1213" t="s">
        <v>88</v>
      </c>
      <c r="E286" s="1214">
        <v>0</v>
      </c>
      <c r="F286" s="931">
        <f t="shared" si="13"/>
        <v>0</v>
      </c>
    </row>
    <row r="287" spans="1:10" ht="12" customHeight="1">
      <c r="A287" s="932">
        <v>20</v>
      </c>
      <c r="B287" s="933" t="str">
        <f>BAHAN!$C$323</f>
        <v>Solar Water Heater 300 L</v>
      </c>
      <c r="C287" s="1885">
        <f>M!$K$327</f>
        <v>0</v>
      </c>
      <c r="D287" s="1213" t="s">
        <v>88</v>
      </c>
      <c r="E287" s="1214">
        <v>0</v>
      </c>
      <c r="F287" s="931">
        <f t="shared" si="13"/>
        <v>0</v>
      </c>
    </row>
    <row r="288" spans="1:10" ht="12" hidden="1" customHeight="1">
      <c r="A288" s="932"/>
      <c r="B288" s="933" t="s">
        <v>762</v>
      </c>
      <c r="C288" s="1885">
        <f>M!$K$363</f>
        <v>6</v>
      </c>
      <c r="D288" s="1213" t="s">
        <v>88</v>
      </c>
      <c r="E288" s="1214">
        <v>0</v>
      </c>
      <c r="F288" s="931">
        <f t="shared" si="13"/>
        <v>0</v>
      </c>
      <c r="J288" s="913"/>
    </row>
    <row r="289" spans="1:10" ht="12" customHeight="1">
      <c r="A289" s="932">
        <v>21</v>
      </c>
      <c r="B289" s="933" t="s">
        <v>2198</v>
      </c>
      <c r="C289" s="1885">
        <f>M!$K$381</f>
        <v>0</v>
      </c>
      <c r="D289" s="1213" t="s">
        <v>88</v>
      </c>
      <c r="E289" s="1214">
        <v>0</v>
      </c>
      <c r="F289" s="931">
        <f t="shared" si="13"/>
        <v>0</v>
      </c>
      <c r="G289" s="1885"/>
      <c r="H289" s="1885"/>
      <c r="J289" s="913"/>
    </row>
    <row r="290" spans="1:10" ht="12" customHeight="1">
      <c r="A290" s="932">
        <v>22</v>
      </c>
      <c r="B290" s="933" t="str">
        <f>BAHAN!$C$365&amp;BAHAN!$F$365</f>
        <v>Mesin Pompa Air 60 meter Ex. Grundfos JD Basic 7 jet pump 60m</v>
      </c>
      <c r="C290" s="1885">
        <f>M!$K$345</f>
        <v>0</v>
      </c>
      <c r="D290" s="1213" t="s">
        <v>88</v>
      </c>
      <c r="E290" s="1214">
        <v>0</v>
      </c>
      <c r="F290" s="931">
        <f>C290*E290</f>
        <v>0</v>
      </c>
      <c r="J290" s="913"/>
    </row>
    <row r="291" spans="1:10" ht="12" customHeight="1">
      <c r="A291" s="932">
        <v>23</v>
      </c>
      <c r="B291" s="933" t="str">
        <f>BAHAN!C368&amp;BAHAN!F368</f>
        <v>Pompa Air Pendorong Ex. Shimizu 135 E</v>
      </c>
      <c r="C291" s="1885">
        <f>M!$K$354</f>
        <v>0</v>
      </c>
      <c r="D291" s="1213" t="s">
        <v>88</v>
      </c>
      <c r="E291" s="1214">
        <v>0</v>
      </c>
      <c r="F291" s="931">
        <f t="shared" si="13"/>
        <v>0</v>
      </c>
      <c r="J291" s="913"/>
    </row>
    <row r="292" spans="1:10" ht="12" customHeight="1">
      <c r="A292" s="932">
        <v>24</v>
      </c>
      <c r="B292" s="933" t="str">
        <f>BAHAN!C249&amp;BAHAN!$F$249</f>
        <v>Biotank Ex. Induro Biofil BF 03 AT. 1000 Liter</v>
      </c>
      <c r="C292" s="1885">
        <f>BOQ!$E$653</f>
        <v>1</v>
      </c>
      <c r="D292" s="1213" t="s">
        <v>88</v>
      </c>
      <c r="E292" s="1214">
        <v>0</v>
      </c>
      <c r="F292" s="931">
        <f t="shared" ref="F292:F297" si="14">C292*E292</f>
        <v>0</v>
      </c>
      <c r="J292" s="913"/>
    </row>
    <row r="293" spans="1:10" ht="12" hidden="1" customHeight="1">
      <c r="A293" s="932"/>
      <c r="B293" s="933" t="str">
        <f>BAHAN!C250&amp;" "&amp;BAHAN!$F$250</f>
        <v>Tangki Fiber Glass/ Rooftank Kapasitas 10 &lt; x ≤ 30 m3</v>
      </c>
      <c r="C293" s="1885">
        <v>0</v>
      </c>
      <c r="D293" s="1213" t="s">
        <v>88</v>
      </c>
      <c r="E293" s="1214">
        <v>0</v>
      </c>
      <c r="F293" s="931">
        <f t="shared" si="14"/>
        <v>0</v>
      </c>
      <c r="J293" s="913"/>
    </row>
    <row r="294" spans="1:10" ht="12" hidden="1" customHeight="1">
      <c r="A294" s="932"/>
      <c r="B294" s="933" t="str">
        <f>BAHAN!$C$251</f>
        <v xml:space="preserve">Wall Inlet Kolam Renang </v>
      </c>
      <c r="C294" s="1885">
        <f>M!$K$423</f>
        <v>0</v>
      </c>
      <c r="D294" s="1213" t="s">
        <v>88</v>
      </c>
      <c r="E294" s="1214">
        <v>0</v>
      </c>
      <c r="F294" s="931">
        <f t="shared" si="14"/>
        <v>0</v>
      </c>
      <c r="J294" s="913"/>
    </row>
    <row r="295" spans="1:10" ht="12" hidden="1" customHeight="1">
      <c r="A295" s="932"/>
      <c r="B295" s="933" t="str">
        <f>BAHAN!$C$252</f>
        <v xml:space="preserve">Maindrain Kolam Renang </v>
      </c>
      <c r="C295" s="1885">
        <f>M!$K$432</f>
        <v>0</v>
      </c>
      <c r="D295" s="1213" t="s">
        <v>88</v>
      </c>
      <c r="E295" s="1214">
        <v>0</v>
      </c>
      <c r="F295" s="931">
        <f t="shared" si="14"/>
        <v>0</v>
      </c>
      <c r="J295" s="913"/>
    </row>
    <row r="296" spans="1:10" ht="12" hidden="1" customHeight="1">
      <c r="A296" s="932"/>
      <c r="B296" s="933" t="str">
        <f>BAHAN!$C$369&amp;BAHAN!$F$369</f>
        <v>Pompa Kolam Renang Ex. Grundfos Wave SB 20. 16,5 m</v>
      </c>
      <c r="C296" s="1885">
        <f>M!K441</f>
        <v>0</v>
      </c>
      <c r="D296" s="1213" t="s">
        <v>88</v>
      </c>
      <c r="E296" s="1214">
        <v>0</v>
      </c>
      <c r="F296" s="931">
        <f t="shared" si="14"/>
        <v>0</v>
      </c>
      <c r="J296" s="913"/>
    </row>
    <row r="297" spans="1:10" ht="12" hidden="1" customHeight="1">
      <c r="A297" s="932"/>
      <c r="B297" s="933" t="str">
        <f>BAHAN!$C$370&amp;BAHAN!$F$370</f>
        <v>Sand Filter Kolam Renang Ex. Jakmax 16 inch</v>
      </c>
      <c r="C297" s="1885">
        <f>M!K450</f>
        <v>0</v>
      </c>
      <c r="D297" s="1213" t="s">
        <v>88</v>
      </c>
      <c r="E297" s="1214">
        <v>0</v>
      </c>
      <c r="F297" s="931">
        <f t="shared" si="14"/>
        <v>0</v>
      </c>
      <c r="J297" s="913"/>
    </row>
    <row r="298" spans="1:10" ht="12" customHeight="1">
      <c r="A298" s="932">
        <v>25</v>
      </c>
      <c r="B298" s="933" t="s">
        <v>1621</v>
      </c>
      <c r="C298" s="1885">
        <v>1</v>
      </c>
      <c r="D298" s="1862" t="s">
        <v>21</v>
      </c>
      <c r="E298" s="1214">
        <v>0</v>
      </c>
      <c r="F298" s="931">
        <f t="shared" si="13"/>
        <v>0</v>
      </c>
      <c r="J298" s="913"/>
    </row>
    <row r="299" spans="1:10" ht="12" customHeight="1" thickBot="1">
      <c r="A299" s="932">
        <v>26</v>
      </c>
      <c r="B299" s="956" t="s">
        <v>85</v>
      </c>
      <c r="C299" s="1885">
        <v>1</v>
      </c>
      <c r="D299" s="1901" t="s">
        <v>21</v>
      </c>
      <c r="E299" s="1214">
        <v>0</v>
      </c>
      <c r="F299" s="931">
        <f t="shared" si="13"/>
        <v>0</v>
      </c>
      <c r="J299" s="913"/>
    </row>
    <row r="300" spans="1:10" ht="12" thickBot="1">
      <c r="A300" s="1113"/>
      <c r="B300" s="942" t="s">
        <v>1568</v>
      </c>
      <c r="C300" s="1892"/>
      <c r="D300" s="943"/>
      <c r="E300" s="940"/>
      <c r="F300" s="939">
        <f>SUM(F259:F299)</f>
        <v>0</v>
      </c>
      <c r="G300" s="913">
        <v>1</v>
      </c>
      <c r="J300" s="913"/>
    </row>
    <row r="301" spans="1:10" ht="9.75" thickBot="1">
      <c r="A301" s="949"/>
      <c r="B301" s="950"/>
      <c r="C301" s="1884"/>
      <c r="D301" s="1896"/>
      <c r="E301" s="1897"/>
      <c r="F301" s="951"/>
      <c r="J301" s="913"/>
    </row>
    <row r="302" spans="1:10" ht="12" customHeight="1" thickBot="1">
      <c r="A302" s="1114"/>
      <c r="B302" s="1115" t="s">
        <v>1589</v>
      </c>
      <c r="C302" s="2079"/>
      <c r="D302" s="2080"/>
      <c r="E302" s="2080"/>
      <c r="F302" s="2081">
        <f>SUMIF(G1:G300,1,F1:F300)</f>
        <v>0</v>
      </c>
      <c r="J302" s="913"/>
    </row>
    <row r="303" spans="1:10" ht="12" customHeight="1">
      <c r="J303" s="913"/>
    </row>
    <row r="304" spans="1:10" ht="12" customHeight="1">
      <c r="F304" s="1628" t="e">
        <f>C302/'REKAP '!M80*100</f>
        <v>#DIV/0!</v>
      </c>
      <c r="J304" s="913"/>
    </row>
    <row r="305" spans="2:10" ht="12" customHeight="1">
      <c r="B305" s="952"/>
      <c r="J305" s="913"/>
    </row>
    <row r="306" spans="2:10" ht="12" customHeight="1">
      <c r="J306" s="913"/>
    </row>
    <row r="307" spans="2:10" ht="12" customHeight="1">
      <c r="C307" s="1869"/>
      <c r="E307" s="1870"/>
      <c r="F307" s="953"/>
      <c r="J307" s="913"/>
    </row>
    <row r="308" spans="2:10" ht="12" customHeight="1">
      <c r="C308" s="1869"/>
      <c r="E308" s="1870"/>
      <c r="F308" s="953"/>
      <c r="J308" s="913"/>
    </row>
    <row r="309" spans="2:10" ht="12" customHeight="1">
      <c r="J309" s="913"/>
    </row>
    <row r="310" spans="2:10" ht="12" customHeight="1">
      <c r="J310" s="913"/>
    </row>
    <row r="311" spans="2:10" ht="12" customHeight="1">
      <c r="J311" s="913"/>
    </row>
    <row r="312" spans="2:10">
      <c r="J312" s="913"/>
    </row>
    <row r="313" spans="2:10">
      <c r="B313" s="2498"/>
      <c r="J313" s="913"/>
    </row>
    <row r="314" spans="2:10">
      <c r="J314" s="913"/>
    </row>
  </sheetData>
  <mergeCells count="3">
    <mergeCell ref="D6:D7"/>
    <mergeCell ref="C5:F5"/>
    <mergeCell ref="C6:C7"/>
  </mergeCells>
  <phoneticPr fontId="66" type="noConversion"/>
  <hyperlinks>
    <hyperlink ref="C12" location="E!K27" display="E!K27" xr:uid="{00000000-0004-0000-0600-000000000000}"/>
    <hyperlink ref="C156" location="H!K46" display="H!K46" xr:uid="{00000000-0004-0000-0600-000001000000}"/>
    <hyperlink ref="C157" location="H!K20" display="H!K20" xr:uid="{00000000-0004-0000-0600-000002000000}"/>
    <hyperlink ref="C158" location="H!K34" display="H!K34" xr:uid="{00000000-0004-0000-0600-000003000000}"/>
    <hyperlink ref="C160" location="H!K57" display="H!K57" xr:uid="{00000000-0004-0000-0600-000004000000}"/>
    <hyperlink ref="C15" location="A!K11" display="A!K11" xr:uid="{00000000-0004-0000-0600-000005000000}"/>
    <hyperlink ref="C16" location="D!K224" display="D!K224" xr:uid="{00000000-0004-0000-0600-000006000000}"/>
    <hyperlink ref="C17" location="D!K233" display="D!K233" xr:uid="{00000000-0004-0000-0600-000007000000}"/>
    <hyperlink ref="C18" location="D!K242" display="D!K242" xr:uid="{00000000-0004-0000-0600-000008000000}"/>
    <hyperlink ref="C19" location="D!K251" display="D!K251" xr:uid="{00000000-0004-0000-0600-000009000000}"/>
    <hyperlink ref="C21" location="D!K269" display="D!K269" xr:uid="{00000000-0004-0000-0600-00000A000000}"/>
    <hyperlink ref="C22" location="D!K16" display="D!K16" xr:uid="{00000000-0004-0000-0600-00000B000000}"/>
    <hyperlink ref="C23" location="D!K47" display="D!K47" xr:uid="{00000000-0004-0000-0600-00000C000000}"/>
    <hyperlink ref="C24" location="A!K7" display="A!K7" xr:uid="{00000000-0004-0000-0600-00000D000000}"/>
    <hyperlink ref="C25" location="D!K27" display="D!K27" xr:uid="{00000000-0004-0000-0600-00000E000000}"/>
    <hyperlink ref="C26" location="D!K122" display="D!K122" xr:uid="{00000000-0004-0000-0600-00000F000000}"/>
    <hyperlink ref="C27" location="D!K124" display="D!K124" xr:uid="{00000000-0004-0000-0600-000010000000}"/>
    <hyperlink ref="C28" location="D!K225" display="D!K225" xr:uid="{00000000-0004-0000-0600-000011000000}"/>
    <hyperlink ref="C29" location="D!K17" display="D!K17" xr:uid="{00000000-0004-0000-0600-000012000000}"/>
    <hyperlink ref="C31" location="A!K13" display="A!K13" xr:uid="{00000000-0004-0000-0600-000013000000}"/>
    <hyperlink ref="C33" location="A!K9" display="A!K9" xr:uid="{00000000-0004-0000-0600-000014000000}"/>
    <hyperlink ref="C34" location="A!K14" display="A!K14" xr:uid="{00000000-0004-0000-0600-000015000000}"/>
    <hyperlink ref="C35" location="M!K99" display="M!K99" xr:uid="{00000000-0004-0000-0600-000016000000}"/>
    <hyperlink ref="C36" location="A!K10" display="A!K10" xr:uid="{00000000-0004-0000-0600-000017000000}"/>
    <hyperlink ref="C37" location="M!K285" display="M!K285" xr:uid="{00000000-0004-0000-0600-000018000000}"/>
    <hyperlink ref="C38" location="B!K40" display="B!K40" xr:uid="{00000000-0004-0000-0600-000019000000}"/>
    <hyperlink ref="C39" location="A!K37" display="A!K37" xr:uid="{00000000-0004-0000-0600-00001A000000}"/>
    <hyperlink ref="C40" location="M!K294" display="M!K294" xr:uid="{00000000-0004-0000-0600-00001B000000}"/>
    <hyperlink ref="C41" location="B!K52" display="B!K52" xr:uid="{00000000-0004-0000-0600-00001C000000}"/>
    <hyperlink ref="C42" location="BOQ!H509" display="BOQ!H509" xr:uid="{00000000-0004-0000-0600-00001D000000}"/>
    <hyperlink ref="C43" location="M!K293" display="M!K293" xr:uid="{00000000-0004-0000-0600-00001E000000}"/>
    <hyperlink ref="C45" location="BOQ!H180" display="BOQ!H180" xr:uid="{00000000-0004-0000-0600-00001F000000}"/>
    <hyperlink ref="C46" location="A!K8" display="A!K8" xr:uid="{00000000-0004-0000-0600-000020000000}"/>
    <hyperlink ref="C47" location="E!K78" display="E!K78" xr:uid="{00000000-0004-0000-0600-000021000000}"/>
    <hyperlink ref="C48" location="E!K58" display="E!K58" xr:uid="{00000000-0004-0000-0600-000022000000}"/>
    <hyperlink ref="C50" location="D!K206" display="D!K206" xr:uid="{00000000-0004-0000-0600-000023000000}"/>
    <hyperlink ref="C51" location="D!K207" display="D!K207" xr:uid="{00000000-0004-0000-0600-000024000000}"/>
    <hyperlink ref="C59" location="A!K12" display="A!K12" xr:uid="{00000000-0004-0000-0600-000025000000}"/>
    <hyperlink ref="C60" location="A!K24" display="A!K24" xr:uid="{00000000-0004-0000-0600-000026000000}"/>
    <hyperlink ref="C61" location="D!K46" display="D!K46" xr:uid="{00000000-0004-0000-0600-000027000000}"/>
    <hyperlink ref="C62" location="D!K69" display="D!K69" xr:uid="{00000000-0004-0000-0600-000028000000}"/>
    <hyperlink ref="C63" location="BOQ!H355" display="BOQ!H355" xr:uid="{00000000-0004-0000-0600-000029000000}"/>
    <hyperlink ref="C133" location="G!K238" display="G!K238" xr:uid="{00000000-0004-0000-0600-00002A000000}"/>
    <hyperlink ref="C143" location="N!K95" display="N!K95" xr:uid="{00000000-0004-0000-0600-00002B000000}"/>
    <hyperlink ref="C144" location="N!K54" display="N!K54" xr:uid="{00000000-0004-0000-0600-00002C000000}"/>
    <hyperlink ref="C145" location="N!K55" display="N!K55" xr:uid="{00000000-0004-0000-0600-00002D000000}"/>
    <hyperlink ref="C146" location="N!K91" display="N!K91" xr:uid="{00000000-0004-0000-0600-00002E000000}"/>
    <hyperlink ref="C147" location="N!K53" display="N!K53" xr:uid="{00000000-0004-0000-0600-00002F000000}"/>
    <hyperlink ref="C148" location="N!K93" display="N!K93" xr:uid="{00000000-0004-0000-0600-000030000000}"/>
    <hyperlink ref="C149" location="N!K94" display="N!K94" xr:uid="{00000000-0004-0000-0600-000031000000}"/>
    <hyperlink ref="C150" location="G!K177" display="G!K177" xr:uid="{00000000-0004-0000-0600-000032000000}"/>
    <hyperlink ref="C151" location="G!K178" display="G!K178" xr:uid="{00000000-0004-0000-0600-000033000000}"/>
    <hyperlink ref="C152" location="G!K179" display="G!K179" xr:uid="{00000000-0004-0000-0600-000034000000}"/>
    <hyperlink ref="C161" location="H!K24" display="H!K24" xr:uid="{00000000-0004-0000-0600-000035000000}"/>
    <hyperlink ref="C162" location="H!K23" display="H!K23" xr:uid="{00000000-0004-0000-0600-000036000000}"/>
    <hyperlink ref="C164" location="H!K21" display="H!K21" xr:uid="{00000000-0004-0000-0600-000037000000}"/>
    <hyperlink ref="C165" location="H!K35" display="H!K35" xr:uid="{00000000-0004-0000-0600-000038000000}"/>
    <hyperlink ref="C167" location="H!K47" display="H!K47" xr:uid="{00000000-0004-0000-0600-000039000000}"/>
    <hyperlink ref="C168" location="H!K22" display="H!K22" xr:uid="{00000000-0004-0000-0600-00003A000000}"/>
    <hyperlink ref="C170" location="H!K19" display="H!K19" xr:uid="{00000000-0004-0000-0600-00003B000000}"/>
    <hyperlink ref="C171" location="H!K18" display="H!K18" xr:uid="{00000000-0004-0000-0600-00003C000000}"/>
    <hyperlink ref="F304" location="'REKAP '!M56" display="'REKAP '!M56" xr:uid="{00000000-0004-0000-0600-00003D000000}"/>
    <hyperlink ref="C13" location="E!K57" display="E!K57" xr:uid="{00000000-0004-0000-0600-00003E000000}"/>
    <hyperlink ref="C14" location="E!K57" display="E!K57" xr:uid="{00000000-0004-0000-0600-00003F000000}"/>
    <hyperlink ref="C49" location="D!K206" display="D!K206" xr:uid="{00000000-0004-0000-0600-000040000000}"/>
  </hyperlinks>
  <printOptions horizontalCentered="1"/>
  <pageMargins left="0.23622047244094491" right="0.23622047244094491" top="0.43307086614173229" bottom="0.23622047244094491" header="0.23622047244094491" footer="0.23622047244094491"/>
  <pageSetup paperSize="9" scale="120" fitToHeight="0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>
    <pageSetUpPr fitToPage="1"/>
  </sheetPr>
  <dimension ref="B2:Q487"/>
  <sheetViews>
    <sheetView view="pageBreakPreview" zoomScale="115" zoomScaleNormal="115" zoomScaleSheetLayoutView="115" workbookViewId="0">
      <selection activeCell="F130" sqref="F130"/>
    </sheetView>
  </sheetViews>
  <sheetFormatPr defaultRowHeight="15"/>
  <cols>
    <col min="1" max="1" width="1.5703125" style="5" customWidth="1"/>
    <col min="2" max="2" width="6.42578125" style="829" customWidth="1"/>
    <col min="3" max="3" width="24.42578125" style="830" customWidth="1"/>
    <col min="4" max="4" width="8" style="830" customWidth="1"/>
    <col min="5" max="5" width="15.140625" style="830" customWidth="1"/>
    <col min="6" max="6" width="15.28515625" style="832" customWidth="1"/>
    <col min="7" max="7" width="20.5703125" style="830" customWidth="1"/>
    <col min="8" max="256" width="9.140625" style="5"/>
    <col min="257" max="257" width="1.5703125" style="5" customWidth="1"/>
    <col min="258" max="258" width="6.42578125" style="5" customWidth="1"/>
    <col min="259" max="259" width="24.42578125" style="5" customWidth="1"/>
    <col min="260" max="260" width="8" style="5" customWidth="1"/>
    <col min="261" max="261" width="15.140625" style="5" customWidth="1"/>
    <col min="262" max="262" width="15.28515625" style="5" customWidth="1"/>
    <col min="263" max="263" width="20.5703125" style="5" customWidth="1"/>
    <col min="264" max="512" width="9.140625" style="5"/>
    <col min="513" max="513" width="1.5703125" style="5" customWidth="1"/>
    <col min="514" max="514" width="6.42578125" style="5" customWidth="1"/>
    <col min="515" max="515" width="24.42578125" style="5" customWidth="1"/>
    <col min="516" max="516" width="8" style="5" customWidth="1"/>
    <col min="517" max="517" width="15.140625" style="5" customWidth="1"/>
    <col min="518" max="518" width="15.28515625" style="5" customWidth="1"/>
    <col min="519" max="519" width="20.5703125" style="5" customWidth="1"/>
    <col min="520" max="768" width="9.140625" style="5"/>
    <col min="769" max="769" width="1.5703125" style="5" customWidth="1"/>
    <col min="770" max="770" width="6.42578125" style="5" customWidth="1"/>
    <col min="771" max="771" width="24.42578125" style="5" customWidth="1"/>
    <col min="772" max="772" width="8" style="5" customWidth="1"/>
    <col min="773" max="773" width="15.140625" style="5" customWidth="1"/>
    <col min="774" max="774" width="15.28515625" style="5" customWidth="1"/>
    <col min="775" max="775" width="20.5703125" style="5" customWidth="1"/>
    <col min="776" max="1024" width="9.140625" style="5"/>
    <col min="1025" max="1025" width="1.5703125" style="5" customWidth="1"/>
    <col min="1026" max="1026" width="6.42578125" style="5" customWidth="1"/>
    <col min="1027" max="1027" width="24.42578125" style="5" customWidth="1"/>
    <col min="1028" max="1028" width="8" style="5" customWidth="1"/>
    <col min="1029" max="1029" width="15.140625" style="5" customWidth="1"/>
    <col min="1030" max="1030" width="15.28515625" style="5" customWidth="1"/>
    <col min="1031" max="1031" width="20.5703125" style="5" customWidth="1"/>
    <col min="1032" max="1280" width="9.140625" style="5"/>
    <col min="1281" max="1281" width="1.5703125" style="5" customWidth="1"/>
    <col min="1282" max="1282" width="6.42578125" style="5" customWidth="1"/>
    <col min="1283" max="1283" width="24.42578125" style="5" customWidth="1"/>
    <col min="1284" max="1284" width="8" style="5" customWidth="1"/>
    <col min="1285" max="1285" width="15.140625" style="5" customWidth="1"/>
    <col min="1286" max="1286" width="15.28515625" style="5" customWidth="1"/>
    <col min="1287" max="1287" width="20.5703125" style="5" customWidth="1"/>
    <col min="1288" max="1536" width="9.140625" style="5"/>
    <col min="1537" max="1537" width="1.5703125" style="5" customWidth="1"/>
    <col min="1538" max="1538" width="6.42578125" style="5" customWidth="1"/>
    <col min="1539" max="1539" width="24.42578125" style="5" customWidth="1"/>
    <col min="1540" max="1540" width="8" style="5" customWidth="1"/>
    <col min="1541" max="1541" width="15.140625" style="5" customWidth="1"/>
    <col min="1542" max="1542" width="15.28515625" style="5" customWidth="1"/>
    <col min="1543" max="1543" width="20.5703125" style="5" customWidth="1"/>
    <col min="1544" max="1792" width="9.140625" style="5"/>
    <col min="1793" max="1793" width="1.5703125" style="5" customWidth="1"/>
    <col min="1794" max="1794" width="6.42578125" style="5" customWidth="1"/>
    <col min="1795" max="1795" width="24.42578125" style="5" customWidth="1"/>
    <col min="1796" max="1796" width="8" style="5" customWidth="1"/>
    <col min="1797" max="1797" width="15.140625" style="5" customWidth="1"/>
    <col min="1798" max="1798" width="15.28515625" style="5" customWidth="1"/>
    <col min="1799" max="1799" width="20.5703125" style="5" customWidth="1"/>
    <col min="1800" max="2048" width="9.140625" style="5"/>
    <col min="2049" max="2049" width="1.5703125" style="5" customWidth="1"/>
    <col min="2050" max="2050" width="6.42578125" style="5" customWidth="1"/>
    <col min="2051" max="2051" width="24.42578125" style="5" customWidth="1"/>
    <col min="2052" max="2052" width="8" style="5" customWidth="1"/>
    <col min="2053" max="2053" width="15.140625" style="5" customWidth="1"/>
    <col min="2054" max="2054" width="15.28515625" style="5" customWidth="1"/>
    <col min="2055" max="2055" width="20.5703125" style="5" customWidth="1"/>
    <col min="2056" max="2304" width="9.140625" style="5"/>
    <col min="2305" max="2305" width="1.5703125" style="5" customWidth="1"/>
    <col min="2306" max="2306" width="6.42578125" style="5" customWidth="1"/>
    <col min="2307" max="2307" width="24.42578125" style="5" customWidth="1"/>
    <col min="2308" max="2308" width="8" style="5" customWidth="1"/>
    <col min="2309" max="2309" width="15.140625" style="5" customWidth="1"/>
    <col min="2310" max="2310" width="15.28515625" style="5" customWidth="1"/>
    <col min="2311" max="2311" width="20.5703125" style="5" customWidth="1"/>
    <col min="2312" max="2560" width="9.140625" style="5"/>
    <col min="2561" max="2561" width="1.5703125" style="5" customWidth="1"/>
    <col min="2562" max="2562" width="6.42578125" style="5" customWidth="1"/>
    <col min="2563" max="2563" width="24.42578125" style="5" customWidth="1"/>
    <col min="2564" max="2564" width="8" style="5" customWidth="1"/>
    <col min="2565" max="2565" width="15.140625" style="5" customWidth="1"/>
    <col min="2566" max="2566" width="15.28515625" style="5" customWidth="1"/>
    <col min="2567" max="2567" width="20.5703125" style="5" customWidth="1"/>
    <col min="2568" max="2816" width="9.140625" style="5"/>
    <col min="2817" max="2817" width="1.5703125" style="5" customWidth="1"/>
    <col min="2818" max="2818" width="6.42578125" style="5" customWidth="1"/>
    <col min="2819" max="2819" width="24.42578125" style="5" customWidth="1"/>
    <col min="2820" max="2820" width="8" style="5" customWidth="1"/>
    <col min="2821" max="2821" width="15.140625" style="5" customWidth="1"/>
    <col min="2822" max="2822" width="15.28515625" style="5" customWidth="1"/>
    <col min="2823" max="2823" width="20.5703125" style="5" customWidth="1"/>
    <col min="2824" max="3072" width="9.140625" style="5"/>
    <col min="3073" max="3073" width="1.5703125" style="5" customWidth="1"/>
    <col min="3074" max="3074" width="6.42578125" style="5" customWidth="1"/>
    <col min="3075" max="3075" width="24.42578125" style="5" customWidth="1"/>
    <col min="3076" max="3076" width="8" style="5" customWidth="1"/>
    <col min="3077" max="3077" width="15.140625" style="5" customWidth="1"/>
    <col min="3078" max="3078" width="15.28515625" style="5" customWidth="1"/>
    <col min="3079" max="3079" width="20.5703125" style="5" customWidth="1"/>
    <col min="3080" max="3328" width="9.140625" style="5"/>
    <col min="3329" max="3329" width="1.5703125" style="5" customWidth="1"/>
    <col min="3330" max="3330" width="6.42578125" style="5" customWidth="1"/>
    <col min="3331" max="3331" width="24.42578125" style="5" customWidth="1"/>
    <col min="3332" max="3332" width="8" style="5" customWidth="1"/>
    <col min="3333" max="3333" width="15.140625" style="5" customWidth="1"/>
    <col min="3334" max="3334" width="15.28515625" style="5" customWidth="1"/>
    <col min="3335" max="3335" width="20.5703125" style="5" customWidth="1"/>
    <col min="3336" max="3584" width="9.140625" style="5"/>
    <col min="3585" max="3585" width="1.5703125" style="5" customWidth="1"/>
    <col min="3586" max="3586" width="6.42578125" style="5" customWidth="1"/>
    <col min="3587" max="3587" width="24.42578125" style="5" customWidth="1"/>
    <col min="3588" max="3588" width="8" style="5" customWidth="1"/>
    <col min="3589" max="3589" width="15.140625" style="5" customWidth="1"/>
    <col min="3590" max="3590" width="15.28515625" style="5" customWidth="1"/>
    <col min="3591" max="3591" width="20.5703125" style="5" customWidth="1"/>
    <col min="3592" max="3840" width="9.140625" style="5"/>
    <col min="3841" max="3841" width="1.5703125" style="5" customWidth="1"/>
    <col min="3842" max="3842" width="6.42578125" style="5" customWidth="1"/>
    <col min="3843" max="3843" width="24.42578125" style="5" customWidth="1"/>
    <col min="3844" max="3844" width="8" style="5" customWidth="1"/>
    <col min="3845" max="3845" width="15.140625" style="5" customWidth="1"/>
    <col min="3846" max="3846" width="15.28515625" style="5" customWidth="1"/>
    <col min="3847" max="3847" width="20.5703125" style="5" customWidth="1"/>
    <col min="3848" max="4096" width="9.140625" style="5"/>
    <col min="4097" max="4097" width="1.5703125" style="5" customWidth="1"/>
    <col min="4098" max="4098" width="6.42578125" style="5" customWidth="1"/>
    <col min="4099" max="4099" width="24.42578125" style="5" customWidth="1"/>
    <col min="4100" max="4100" width="8" style="5" customWidth="1"/>
    <col min="4101" max="4101" width="15.140625" style="5" customWidth="1"/>
    <col min="4102" max="4102" width="15.28515625" style="5" customWidth="1"/>
    <col min="4103" max="4103" width="20.5703125" style="5" customWidth="1"/>
    <col min="4104" max="4352" width="9.140625" style="5"/>
    <col min="4353" max="4353" width="1.5703125" style="5" customWidth="1"/>
    <col min="4354" max="4354" width="6.42578125" style="5" customWidth="1"/>
    <col min="4355" max="4355" width="24.42578125" style="5" customWidth="1"/>
    <col min="4356" max="4356" width="8" style="5" customWidth="1"/>
    <col min="4357" max="4357" width="15.140625" style="5" customWidth="1"/>
    <col min="4358" max="4358" width="15.28515625" style="5" customWidth="1"/>
    <col min="4359" max="4359" width="20.5703125" style="5" customWidth="1"/>
    <col min="4360" max="4608" width="9.140625" style="5"/>
    <col min="4609" max="4609" width="1.5703125" style="5" customWidth="1"/>
    <col min="4610" max="4610" width="6.42578125" style="5" customWidth="1"/>
    <col min="4611" max="4611" width="24.42578125" style="5" customWidth="1"/>
    <col min="4612" max="4612" width="8" style="5" customWidth="1"/>
    <col min="4613" max="4613" width="15.140625" style="5" customWidth="1"/>
    <col min="4614" max="4614" width="15.28515625" style="5" customWidth="1"/>
    <col min="4615" max="4615" width="20.5703125" style="5" customWidth="1"/>
    <col min="4616" max="4864" width="9.140625" style="5"/>
    <col min="4865" max="4865" width="1.5703125" style="5" customWidth="1"/>
    <col min="4866" max="4866" width="6.42578125" style="5" customWidth="1"/>
    <col min="4867" max="4867" width="24.42578125" style="5" customWidth="1"/>
    <col min="4868" max="4868" width="8" style="5" customWidth="1"/>
    <col min="4869" max="4869" width="15.140625" style="5" customWidth="1"/>
    <col min="4870" max="4870" width="15.28515625" style="5" customWidth="1"/>
    <col min="4871" max="4871" width="20.5703125" style="5" customWidth="1"/>
    <col min="4872" max="5120" width="9.140625" style="5"/>
    <col min="5121" max="5121" width="1.5703125" style="5" customWidth="1"/>
    <col min="5122" max="5122" width="6.42578125" style="5" customWidth="1"/>
    <col min="5123" max="5123" width="24.42578125" style="5" customWidth="1"/>
    <col min="5124" max="5124" width="8" style="5" customWidth="1"/>
    <col min="5125" max="5125" width="15.140625" style="5" customWidth="1"/>
    <col min="5126" max="5126" width="15.28515625" style="5" customWidth="1"/>
    <col min="5127" max="5127" width="20.5703125" style="5" customWidth="1"/>
    <col min="5128" max="5376" width="9.140625" style="5"/>
    <col min="5377" max="5377" width="1.5703125" style="5" customWidth="1"/>
    <col min="5378" max="5378" width="6.42578125" style="5" customWidth="1"/>
    <col min="5379" max="5379" width="24.42578125" style="5" customWidth="1"/>
    <col min="5380" max="5380" width="8" style="5" customWidth="1"/>
    <col min="5381" max="5381" width="15.140625" style="5" customWidth="1"/>
    <col min="5382" max="5382" width="15.28515625" style="5" customWidth="1"/>
    <col min="5383" max="5383" width="20.5703125" style="5" customWidth="1"/>
    <col min="5384" max="5632" width="9.140625" style="5"/>
    <col min="5633" max="5633" width="1.5703125" style="5" customWidth="1"/>
    <col min="5634" max="5634" width="6.42578125" style="5" customWidth="1"/>
    <col min="5635" max="5635" width="24.42578125" style="5" customWidth="1"/>
    <col min="5636" max="5636" width="8" style="5" customWidth="1"/>
    <col min="5637" max="5637" width="15.140625" style="5" customWidth="1"/>
    <col min="5638" max="5638" width="15.28515625" style="5" customWidth="1"/>
    <col min="5639" max="5639" width="20.5703125" style="5" customWidth="1"/>
    <col min="5640" max="5888" width="9.140625" style="5"/>
    <col min="5889" max="5889" width="1.5703125" style="5" customWidth="1"/>
    <col min="5890" max="5890" width="6.42578125" style="5" customWidth="1"/>
    <col min="5891" max="5891" width="24.42578125" style="5" customWidth="1"/>
    <col min="5892" max="5892" width="8" style="5" customWidth="1"/>
    <col min="5893" max="5893" width="15.140625" style="5" customWidth="1"/>
    <col min="5894" max="5894" width="15.28515625" style="5" customWidth="1"/>
    <col min="5895" max="5895" width="20.5703125" style="5" customWidth="1"/>
    <col min="5896" max="6144" width="9.140625" style="5"/>
    <col min="6145" max="6145" width="1.5703125" style="5" customWidth="1"/>
    <col min="6146" max="6146" width="6.42578125" style="5" customWidth="1"/>
    <col min="6147" max="6147" width="24.42578125" style="5" customWidth="1"/>
    <col min="6148" max="6148" width="8" style="5" customWidth="1"/>
    <col min="6149" max="6149" width="15.140625" style="5" customWidth="1"/>
    <col min="6150" max="6150" width="15.28515625" style="5" customWidth="1"/>
    <col min="6151" max="6151" width="20.5703125" style="5" customWidth="1"/>
    <col min="6152" max="6400" width="9.140625" style="5"/>
    <col min="6401" max="6401" width="1.5703125" style="5" customWidth="1"/>
    <col min="6402" max="6402" width="6.42578125" style="5" customWidth="1"/>
    <col min="6403" max="6403" width="24.42578125" style="5" customWidth="1"/>
    <col min="6404" max="6404" width="8" style="5" customWidth="1"/>
    <col min="6405" max="6405" width="15.140625" style="5" customWidth="1"/>
    <col min="6406" max="6406" width="15.28515625" style="5" customWidth="1"/>
    <col min="6407" max="6407" width="20.5703125" style="5" customWidth="1"/>
    <col min="6408" max="6656" width="9.140625" style="5"/>
    <col min="6657" max="6657" width="1.5703125" style="5" customWidth="1"/>
    <col min="6658" max="6658" width="6.42578125" style="5" customWidth="1"/>
    <col min="6659" max="6659" width="24.42578125" style="5" customWidth="1"/>
    <col min="6660" max="6660" width="8" style="5" customWidth="1"/>
    <col min="6661" max="6661" width="15.140625" style="5" customWidth="1"/>
    <col min="6662" max="6662" width="15.28515625" style="5" customWidth="1"/>
    <col min="6663" max="6663" width="20.5703125" style="5" customWidth="1"/>
    <col min="6664" max="6912" width="9.140625" style="5"/>
    <col min="6913" max="6913" width="1.5703125" style="5" customWidth="1"/>
    <col min="6914" max="6914" width="6.42578125" style="5" customWidth="1"/>
    <col min="6915" max="6915" width="24.42578125" style="5" customWidth="1"/>
    <col min="6916" max="6916" width="8" style="5" customWidth="1"/>
    <col min="6917" max="6917" width="15.140625" style="5" customWidth="1"/>
    <col min="6918" max="6918" width="15.28515625" style="5" customWidth="1"/>
    <col min="6919" max="6919" width="20.5703125" style="5" customWidth="1"/>
    <col min="6920" max="7168" width="9.140625" style="5"/>
    <col min="7169" max="7169" width="1.5703125" style="5" customWidth="1"/>
    <col min="7170" max="7170" width="6.42578125" style="5" customWidth="1"/>
    <col min="7171" max="7171" width="24.42578125" style="5" customWidth="1"/>
    <col min="7172" max="7172" width="8" style="5" customWidth="1"/>
    <col min="7173" max="7173" width="15.140625" style="5" customWidth="1"/>
    <col min="7174" max="7174" width="15.28515625" style="5" customWidth="1"/>
    <col min="7175" max="7175" width="20.5703125" style="5" customWidth="1"/>
    <col min="7176" max="7424" width="9.140625" style="5"/>
    <col min="7425" max="7425" width="1.5703125" style="5" customWidth="1"/>
    <col min="7426" max="7426" width="6.42578125" style="5" customWidth="1"/>
    <col min="7427" max="7427" width="24.42578125" style="5" customWidth="1"/>
    <col min="7428" max="7428" width="8" style="5" customWidth="1"/>
    <col min="7429" max="7429" width="15.140625" style="5" customWidth="1"/>
    <col min="7430" max="7430" width="15.28515625" style="5" customWidth="1"/>
    <col min="7431" max="7431" width="20.5703125" style="5" customWidth="1"/>
    <col min="7432" max="7680" width="9.140625" style="5"/>
    <col min="7681" max="7681" width="1.5703125" style="5" customWidth="1"/>
    <col min="7682" max="7682" width="6.42578125" style="5" customWidth="1"/>
    <col min="7683" max="7683" width="24.42578125" style="5" customWidth="1"/>
    <col min="7684" max="7684" width="8" style="5" customWidth="1"/>
    <col min="7685" max="7685" width="15.140625" style="5" customWidth="1"/>
    <col min="7686" max="7686" width="15.28515625" style="5" customWidth="1"/>
    <col min="7687" max="7687" width="20.5703125" style="5" customWidth="1"/>
    <col min="7688" max="7936" width="9.140625" style="5"/>
    <col min="7937" max="7937" width="1.5703125" style="5" customWidth="1"/>
    <col min="7938" max="7938" width="6.42578125" style="5" customWidth="1"/>
    <col min="7939" max="7939" width="24.42578125" style="5" customWidth="1"/>
    <col min="7940" max="7940" width="8" style="5" customWidth="1"/>
    <col min="7941" max="7941" width="15.140625" style="5" customWidth="1"/>
    <col min="7942" max="7942" width="15.28515625" style="5" customWidth="1"/>
    <col min="7943" max="7943" width="20.5703125" style="5" customWidth="1"/>
    <col min="7944" max="8192" width="9.140625" style="5"/>
    <col min="8193" max="8193" width="1.5703125" style="5" customWidth="1"/>
    <col min="8194" max="8194" width="6.42578125" style="5" customWidth="1"/>
    <col min="8195" max="8195" width="24.42578125" style="5" customWidth="1"/>
    <col min="8196" max="8196" width="8" style="5" customWidth="1"/>
    <col min="8197" max="8197" width="15.140625" style="5" customWidth="1"/>
    <col min="8198" max="8198" width="15.28515625" style="5" customWidth="1"/>
    <col min="8199" max="8199" width="20.5703125" style="5" customWidth="1"/>
    <col min="8200" max="8448" width="9.140625" style="5"/>
    <col min="8449" max="8449" width="1.5703125" style="5" customWidth="1"/>
    <col min="8450" max="8450" width="6.42578125" style="5" customWidth="1"/>
    <col min="8451" max="8451" width="24.42578125" style="5" customWidth="1"/>
    <col min="8452" max="8452" width="8" style="5" customWidth="1"/>
    <col min="8453" max="8453" width="15.140625" style="5" customWidth="1"/>
    <col min="8454" max="8454" width="15.28515625" style="5" customWidth="1"/>
    <col min="8455" max="8455" width="20.5703125" style="5" customWidth="1"/>
    <col min="8456" max="8704" width="9.140625" style="5"/>
    <col min="8705" max="8705" width="1.5703125" style="5" customWidth="1"/>
    <col min="8706" max="8706" width="6.42578125" style="5" customWidth="1"/>
    <col min="8707" max="8707" width="24.42578125" style="5" customWidth="1"/>
    <col min="8708" max="8708" width="8" style="5" customWidth="1"/>
    <col min="8709" max="8709" width="15.140625" style="5" customWidth="1"/>
    <col min="8710" max="8710" width="15.28515625" style="5" customWidth="1"/>
    <col min="8711" max="8711" width="20.5703125" style="5" customWidth="1"/>
    <col min="8712" max="8960" width="9.140625" style="5"/>
    <col min="8961" max="8961" width="1.5703125" style="5" customWidth="1"/>
    <col min="8962" max="8962" width="6.42578125" style="5" customWidth="1"/>
    <col min="8963" max="8963" width="24.42578125" style="5" customWidth="1"/>
    <col min="8964" max="8964" width="8" style="5" customWidth="1"/>
    <col min="8965" max="8965" width="15.140625" style="5" customWidth="1"/>
    <col min="8966" max="8966" width="15.28515625" style="5" customWidth="1"/>
    <col min="8967" max="8967" width="20.5703125" style="5" customWidth="1"/>
    <col min="8968" max="9216" width="9.140625" style="5"/>
    <col min="9217" max="9217" width="1.5703125" style="5" customWidth="1"/>
    <col min="9218" max="9218" width="6.42578125" style="5" customWidth="1"/>
    <col min="9219" max="9219" width="24.42578125" style="5" customWidth="1"/>
    <col min="9220" max="9220" width="8" style="5" customWidth="1"/>
    <col min="9221" max="9221" width="15.140625" style="5" customWidth="1"/>
    <col min="9222" max="9222" width="15.28515625" style="5" customWidth="1"/>
    <col min="9223" max="9223" width="20.5703125" style="5" customWidth="1"/>
    <col min="9224" max="9472" width="9.140625" style="5"/>
    <col min="9473" max="9473" width="1.5703125" style="5" customWidth="1"/>
    <col min="9474" max="9474" width="6.42578125" style="5" customWidth="1"/>
    <col min="9475" max="9475" width="24.42578125" style="5" customWidth="1"/>
    <col min="9476" max="9476" width="8" style="5" customWidth="1"/>
    <col min="9477" max="9477" width="15.140625" style="5" customWidth="1"/>
    <col min="9478" max="9478" width="15.28515625" style="5" customWidth="1"/>
    <col min="9479" max="9479" width="20.5703125" style="5" customWidth="1"/>
    <col min="9480" max="9728" width="9.140625" style="5"/>
    <col min="9729" max="9729" width="1.5703125" style="5" customWidth="1"/>
    <col min="9730" max="9730" width="6.42578125" style="5" customWidth="1"/>
    <col min="9731" max="9731" width="24.42578125" style="5" customWidth="1"/>
    <col min="9732" max="9732" width="8" style="5" customWidth="1"/>
    <col min="9733" max="9733" width="15.140625" style="5" customWidth="1"/>
    <col min="9734" max="9734" width="15.28515625" style="5" customWidth="1"/>
    <col min="9735" max="9735" width="20.5703125" style="5" customWidth="1"/>
    <col min="9736" max="9984" width="9.140625" style="5"/>
    <col min="9985" max="9985" width="1.5703125" style="5" customWidth="1"/>
    <col min="9986" max="9986" width="6.42578125" style="5" customWidth="1"/>
    <col min="9987" max="9987" width="24.42578125" style="5" customWidth="1"/>
    <col min="9988" max="9988" width="8" style="5" customWidth="1"/>
    <col min="9989" max="9989" width="15.140625" style="5" customWidth="1"/>
    <col min="9990" max="9990" width="15.28515625" style="5" customWidth="1"/>
    <col min="9991" max="9991" width="20.5703125" style="5" customWidth="1"/>
    <col min="9992" max="10240" width="9.140625" style="5"/>
    <col min="10241" max="10241" width="1.5703125" style="5" customWidth="1"/>
    <col min="10242" max="10242" width="6.42578125" style="5" customWidth="1"/>
    <col min="10243" max="10243" width="24.42578125" style="5" customWidth="1"/>
    <col min="10244" max="10244" width="8" style="5" customWidth="1"/>
    <col min="10245" max="10245" width="15.140625" style="5" customWidth="1"/>
    <col min="10246" max="10246" width="15.28515625" style="5" customWidth="1"/>
    <col min="10247" max="10247" width="20.5703125" style="5" customWidth="1"/>
    <col min="10248" max="10496" width="9.140625" style="5"/>
    <col min="10497" max="10497" width="1.5703125" style="5" customWidth="1"/>
    <col min="10498" max="10498" width="6.42578125" style="5" customWidth="1"/>
    <col min="10499" max="10499" width="24.42578125" style="5" customWidth="1"/>
    <col min="10500" max="10500" width="8" style="5" customWidth="1"/>
    <col min="10501" max="10501" width="15.140625" style="5" customWidth="1"/>
    <col min="10502" max="10502" width="15.28515625" style="5" customWidth="1"/>
    <col min="10503" max="10503" width="20.5703125" style="5" customWidth="1"/>
    <col min="10504" max="10752" width="9.140625" style="5"/>
    <col min="10753" max="10753" width="1.5703125" style="5" customWidth="1"/>
    <col min="10754" max="10754" width="6.42578125" style="5" customWidth="1"/>
    <col min="10755" max="10755" width="24.42578125" style="5" customWidth="1"/>
    <col min="10756" max="10756" width="8" style="5" customWidth="1"/>
    <col min="10757" max="10757" width="15.140625" style="5" customWidth="1"/>
    <col min="10758" max="10758" width="15.28515625" style="5" customWidth="1"/>
    <col min="10759" max="10759" width="20.5703125" style="5" customWidth="1"/>
    <col min="10760" max="11008" width="9.140625" style="5"/>
    <col min="11009" max="11009" width="1.5703125" style="5" customWidth="1"/>
    <col min="11010" max="11010" width="6.42578125" style="5" customWidth="1"/>
    <col min="11011" max="11011" width="24.42578125" style="5" customWidth="1"/>
    <col min="11012" max="11012" width="8" style="5" customWidth="1"/>
    <col min="11013" max="11013" width="15.140625" style="5" customWidth="1"/>
    <col min="11014" max="11014" width="15.28515625" style="5" customWidth="1"/>
    <col min="11015" max="11015" width="20.5703125" style="5" customWidth="1"/>
    <col min="11016" max="11264" width="9.140625" style="5"/>
    <col min="11265" max="11265" width="1.5703125" style="5" customWidth="1"/>
    <col min="11266" max="11266" width="6.42578125" style="5" customWidth="1"/>
    <col min="11267" max="11267" width="24.42578125" style="5" customWidth="1"/>
    <col min="11268" max="11268" width="8" style="5" customWidth="1"/>
    <col min="11269" max="11269" width="15.140625" style="5" customWidth="1"/>
    <col min="11270" max="11270" width="15.28515625" style="5" customWidth="1"/>
    <col min="11271" max="11271" width="20.5703125" style="5" customWidth="1"/>
    <col min="11272" max="11520" width="9.140625" style="5"/>
    <col min="11521" max="11521" width="1.5703125" style="5" customWidth="1"/>
    <col min="11522" max="11522" width="6.42578125" style="5" customWidth="1"/>
    <col min="11523" max="11523" width="24.42578125" style="5" customWidth="1"/>
    <col min="11524" max="11524" width="8" style="5" customWidth="1"/>
    <col min="11525" max="11525" width="15.140625" style="5" customWidth="1"/>
    <col min="11526" max="11526" width="15.28515625" style="5" customWidth="1"/>
    <col min="11527" max="11527" width="20.5703125" style="5" customWidth="1"/>
    <col min="11528" max="11776" width="9.140625" style="5"/>
    <col min="11777" max="11777" width="1.5703125" style="5" customWidth="1"/>
    <col min="11778" max="11778" width="6.42578125" style="5" customWidth="1"/>
    <col min="11779" max="11779" width="24.42578125" style="5" customWidth="1"/>
    <col min="11780" max="11780" width="8" style="5" customWidth="1"/>
    <col min="11781" max="11781" width="15.140625" style="5" customWidth="1"/>
    <col min="11782" max="11782" width="15.28515625" style="5" customWidth="1"/>
    <col min="11783" max="11783" width="20.5703125" style="5" customWidth="1"/>
    <col min="11784" max="12032" width="9.140625" style="5"/>
    <col min="12033" max="12033" width="1.5703125" style="5" customWidth="1"/>
    <col min="12034" max="12034" width="6.42578125" style="5" customWidth="1"/>
    <col min="12035" max="12035" width="24.42578125" style="5" customWidth="1"/>
    <col min="12036" max="12036" width="8" style="5" customWidth="1"/>
    <col min="12037" max="12037" width="15.140625" style="5" customWidth="1"/>
    <col min="12038" max="12038" width="15.28515625" style="5" customWidth="1"/>
    <col min="12039" max="12039" width="20.5703125" style="5" customWidth="1"/>
    <col min="12040" max="12288" width="9.140625" style="5"/>
    <col min="12289" max="12289" width="1.5703125" style="5" customWidth="1"/>
    <col min="12290" max="12290" width="6.42578125" style="5" customWidth="1"/>
    <col min="12291" max="12291" width="24.42578125" style="5" customWidth="1"/>
    <col min="12292" max="12292" width="8" style="5" customWidth="1"/>
    <col min="12293" max="12293" width="15.140625" style="5" customWidth="1"/>
    <col min="12294" max="12294" width="15.28515625" style="5" customWidth="1"/>
    <col min="12295" max="12295" width="20.5703125" style="5" customWidth="1"/>
    <col min="12296" max="12544" width="9.140625" style="5"/>
    <col min="12545" max="12545" width="1.5703125" style="5" customWidth="1"/>
    <col min="12546" max="12546" width="6.42578125" style="5" customWidth="1"/>
    <col min="12547" max="12547" width="24.42578125" style="5" customWidth="1"/>
    <col min="12548" max="12548" width="8" style="5" customWidth="1"/>
    <col min="12549" max="12549" width="15.140625" style="5" customWidth="1"/>
    <col min="12550" max="12550" width="15.28515625" style="5" customWidth="1"/>
    <col min="12551" max="12551" width="20.5703125" style="5" customWidth="1"/>
    <col min="12552" max="12800" width="9.140625" style="5"/>
    <col min="12801" max="12801" width="1.5703125" style="5" customWidth="1"/>
    <col min="12802" max="12802" width="6.42578125" style="5" customWidth="1"/>
    <col min="12803" max="12803" width="24.42578125" style="5" customWidth="1"/>
    <col min="12804" max="12804" width="8" style="5" customWidth="1"/>
    <col min="12805" max="12805" width="15.140625" style="5" customWidth="1"/>
    <col min="12806" max="12806" width="15.28515625" style="5" customWidth="1"/>
    <col min="12807" max="12807" width="20.5703125" style="5" customWidth="1"/>
    <col min="12808" max="13056" width="9.140625" style="5"/>
    <col min="13057" max="13057" width="1.5703125" style="5" customWidth="1"/>
    <col min="13058" max="13058" width="6.42578125" style="5" customWidth="1"/>
    <col min="13059" max="13059" width="24.42578125" style="5" customWidth="1"/>
    <col min="13060" max="13060" width="8" style="5" customWidth="1"/>
    <col min="13061" max="13061" width="15.140625" style="5" customWidth="1"/>
    <col min="13062" max="13062" width="15.28515625" style="5" customWidth="1"/>
    <col min="13063" max="13063" width="20.5703125" style="5" customWidth="1"/>
    <col min="13064" max="13312" width="9.140625" style="5"/>
    <col min="13313" max="13313" width="1.5703125" style="5" customWidth="1"/>
    <col min="13314" max="13314" width="6.42578125" style="5" customWidth="1"/>
    <col min="13315" max="13315" width="24.42578125" style="5" customWidth="1"/>
    <col min="13316" max="13316" width="8" style="5" customWidth="1"/>
    <col min="13317" max="13317" width="15.140625" style="5" customWidth="1"/>
    <col min="13318" max="13318" width="15.28515625" style="5" customWidth="1"/>
    <col min="13319" max="13319" width="20.5703125" style="5" customWidth="1"/>
    <col min="13320" max="13568" width="9.140625" style="5"/>
    <col min="13569" max="13569" width="1.5703125" style="5" customWidth="1"/>
    <col min="13570" max="13570" width="6.42578125" style="5" customWidth="1"/>
    <col min="13571" max="13571" width="24.42578125" style="5" customWidth="1"/>
    <col min="13572" max="13572" width="8" style="5" customWidth="1"/>
    <col min="13573" max="13573" width="15.140625" style="5" customWidth="1"/>
    <col min="13574" max="13574" width="15.28515625" style="5" customWidth="1"/>
    <col min="13575" max="13575" width="20.5703125" style="5" customWidth="1"/>
    <col min="13576" max="13824" width="9.140625" style="5"/>
    <col min="13825" max="13825" width="1.5703125" style="5" customWidth="1"/>
    <col min="13826" max="13826" width="6.42578125" style="5" customWidth="1"/>
    <col min="13827" max="13827" width="24.42578125" style="5" customWidth="1"/>
    <col min="13828" max="13828" width="8" style="5" customWidth="1"/>
    <col min="13829" max="13829" width="15.140625" style="5" customWidth="1"/>
    <col min="13830" max="13830" width="15.28515625" style="5" customWidth="1"/>
    <col min="13831" max="13831" width="20.5703125" style="5" customWidth="1"/>
    <col min="13832" max="14080" width="9.140625" style="5"/>
    <col min="14081" max="14081" width="1.5703125" style="5" customWidth="1"/>
    <col min="14082" max="14082" width="6.42578125" style="5" customWidth="1"/>
    <col min="14083" max="14083" width="24.42578125" style="5" customWidth="1"/>
    <col min="14084" max="14084" width="8" style="5" customWidth="1"/>
    <col min="14085" max="14085" width="15.140625" style="5" customWidth="1"/>
    <col min="14086" max="14086" width="15.28515625" style="5" customWidth="1"/>
    <col min="14087" max="14087" width="20.5703125" style="5" customWidth="1"/>
    <col min="14088" max="14336" width="9.140625" style="5"/>
    <col min="14337" max="14337" width="1.5703125" style="5" customWidth="1"/>
    <col min="14338" max="14338" width="6.42578125" style="5" customWidth="1"/>
    <col min="14339" max="14339" width="24.42578125" style="5" customWidth="1"/>
    <col min="14340" max="14340" width="8" style="5" customWidth="1"/>
    <col min="14341" max="14341" width="15.140625" style="5" customWidth="1"/>
    <col min="14342" max="14342" width="15.28515625" style="5" customWidth="1"/>
    <col min="14343" max="14343" width="20.5703125" style="5" customWidth="1"/>
    <col min="14344" max="14592" width="9.140625" style="5"/>
    <col min="14593" max="14593" width="1.5703125" style="5" customWidth="1"/>
    <col min="14594" max="14594" width="6.42578125" style="5" customWidth="1"/>
    <col min="14595" max="14595" width="24.42578125" style="5" customWidth="1"/>
    <col min="14596" max="14596" width="8" style="5" customWidth="1"/>
    <col min="14597" max="14597" width="15.140625" style="5" customWidth="1"/>
    <col min="14598" max="14598" width="15.28515625" style="5" customWidth="1"/>
    <col min="14599" max="14599" width="20.5703125" style="5" customWidth="1"/>
    <col min="14600" max="14848" width="9.140625" style="5"/>
    <col min="14849" max="14849" width="1.5703125" style="5" customWidth="1"/>
    <col min="14850" max="14850" width="6.42578125" style="5" customWidth="1"/>
    <col min="14851" max="14851" width="24.42578125" style="5" customWidth="1"/>
    <col min="14852" max="14852" width="8" style="5" customWidth="1"/>
    <col min="14853" max="14853" width="15.140625" style="5" customWidth="1"/>
    <col min="14854" max="14854" width="15.28515625" style="5" customWidth="1"/>
    <col min="14855" max="14855" width="20.5703125" style="5" customWidth="1"/>
    <col min="14856" max="15104" width="9.140625" style="5"/>
    <col min="15105" max="15105" width="1.5703125" style="5" customWidth="1"/>
    <col min="15106" max="15106" width="6.42578125" style="5" customWidth="1"/>
    <col min="15107" max="15107" width="24.42578125" style="5" customWidth="1"/>
    <col min="15108" max="15108" width="8" style="5" customWidth="1"/>
    <col min="15109" max="15109" width="15.140625" style="5" customWidth="1"/>
    <col min="15110" max="15110" width="15.28515625" style="5" customWidth="1"/>
    <col min="15111" max="15111" width="20.5703125" style="5" customWidth="1"/>
    <col min="15112" max="15360" width="9.140625" style="5"/>
    <col min="15361" max="15361" width="1.5703125" style="5" customWidth="1"/>
    <col min="15362" max="15362" width="6.42578125" style="5" customWidth="1"/>
    <col min="15363" max="15363" width="24.42578125" style="5" customWidth="1"/>
    <col min="15364" max="15364" width="8" style="5" customWidth="1"/>
    <col min="15365" max="15365" width="15.140625" style="5" customWidth="1"/>
    <col min="15366" max="15366" width="15.28515625" style="5" customWidth="1"/>
    <col min="15367" max="15367" width="20.5703125" style="5" customWidth="1"/>
    <col min="15368" max="15616" width="9.140625" style="5"/>
    <col min="15617" max="15617" width="1.5703125" style="5" customWidth="1"/>
    <col min="15618" max="15618" width="6.42578125" style="5" customWidth="1"/>
    <col min="15619" max="15619" width="24.42578125" style="5" customWidth="1"/>
    <col min="15620" max="15620" width="8" style="5" customWidth="1"/>
    <col min="15621" max="15621" width="15.140625" style="5" customWidth="1"/>
    <col min="15622" max="15622" width="15.28515625" style="5" customWidth="1"/>
    <col min="15623" max="15623" width="20.5703125" style="5" customWidth="1"/>
    <col min="15624" max="15872" width="9.140625" style="5"/>
    <col min="15873" max="15873" width="1.5703125" style="5" customWidth="1"/>
    <col min="15874" max="15874" width="6.42578125" style="5" customWidth="1"/>
    <col min="15875" max="15875" width="24.42578125" style="5" customWidth="1"/>
    <col min="15876" max="15876" width="8" style="5" customWidth="1"/>
    <col min="15877" max="15877" width="15.140625" style="5" customWidth="1"/>
    <col min="15878" max="15878" width="15.28515625" style="5" customWidth="1"/>
    <col min="15879" max="15879" width="20.5703125" style="5" customWidth="1"/>
    <col min="15880" max="16128" width="9.140625" style="5"/>
    <col min="16129" max="16129" width="1.5703125" style="5" customWidth="1"/>
    <col min="16130" max="16130" width="6.42578125" style="5" customWidth="1"/>
    <col min="16131" max="16131" width="24.42578125" style="5" customWidth="1"/>
    <col min="16132" max="16132" width="8" style="5" customWidth="1"/>
    <col min="16133" max="16133" width="15.140625" style="5" customWidth="1"/>
    <col min="16134" max="16134" width="15.28515625" style="5" customWidth="1"/>
    <col min="16135" max="16135" width="20.5703125" style="5" customWidth="1"/>
    <col min="16136" max="16384" width="9.140625" style="5"/>
  </cols>
  <sheetData>
    <row r="2" spans="2:7" ht="15.75">
      <c r="B2" s="2703" t="s">
        <v>907</v>
      </c>
      <c r="C2" s="2703"/>
      <c r="D2" s="2703"/>
      <c r="E2" s="2703"/>
      <c r="F2" s="2703"/>
      <c r="G2" s="2703"/>
    </row>
    <row r="3" spans="2:7" ht="9" customHeight="1">
      <c r="B3" s="817"/>
      <c r="C3" s="818"/>
      <c r="D3" s="818"/>
      <c r="E3" s="818"/>
      <c r="F3" s="819"/>
      <c r="G3" s="820"/>
    </row>
    <row r="4" spans="2:7">
      <c r="B4" s="821" t="s">
        <v>908</v>
      </c>
      <c r="C4" s="821" t="s">
        <v>909</v>
      </c>
      <c r="D4" s="821" t="s">
        <v>556</v>
      </c>
      <c r="E4" s="821" t="s">
        <v>821</v>
      </c>
      <c r="F4" s="822" t="s">
        <v>910</v>
      </c>
      <c r="G4" s="821" t="s">
        <v>911</v>
      </c>
    </row>
    <row r="5" spans="2:7" ht="32.25" customHeight="1">
      <c r="B5" s="823" t="s">
        <v>42</v>
      </c>
      <c r="C5" s="824" t="s">
        <v>912</v>
      </c>
      <c r="D5" s="823"/>
      <c r="E5" s="825"/>
      <c r="F5" s="826"/>
      <c r="G5" s="827"/>
    </row>
    <row r="6" spans="2:7" ht="103.5" customHeight="1">
      <c r="B6" s="1206">
        <v>1</v>
      </c>
      <c r="C6" s="1207" t="s">
        <v>913</v>
      </c>
      <c r="D6" s="1206" t="s">
        <v>100</v>
      </c>
      <c r="E6" s="2533">
        <v>170000</v>
      </c>
      <c r="F6" s="1209"/>
      <c r="G6" s="1212"/>
    </row>
    <row r="7" spans="2:7" ht="103.5" customHeight="1">
      <c r="B7" s="1206">
        <v>2</v>
      </c>
      <c r="C7" s="1207" t="s">
        <v>914</v>
      </c>
      <c r="D7" s="1206" t="s">
        <v>100</v>
      </c>
      <c r="E7" s="2533">
        <v>255000</v>
      </c>
      <c r="F7" s="1209" t="s">
        <v>915</v>
      </c>
      <c r="G7" s="1212"/>
    </row>
    <row r="8" spans="2:7" ht="103.5" customHeight="1">
      <c r="B8" s="1206">
        <v>3</v>
      </c>
      <c r="C8" s="1207" t="s">
        <v>285</v>
      </c>
      <c r="D8" s="1206" t="s">
        <v>100</v>
      </c>
      <c r="E8" s="2533">
        <v>290000</v>
      </c>
      <c r="F8" s="1468"/>
      <c r="G8" s="1212"/>
    </row>
    <row r="9" spans="2:7" ht="103.5" customHeight="1">
      <c r="B9" s="1206">
        <v>4</v>
      </c>
      <c r="C9" s="1207" t="s">
        <v>237</v>
      </c>
      <c r="D9" s="1206" t="s">
        <v>100</v>
      </c>
      <c r="E9" s="2533">
        <v>246000</v>
      </c>
      <c r="F9" s="1209" t="s">
        <v>916</v>
      </c>
      <c r="G9" s="1212"/>
    </row>
    <row r="10" spans="2:7" ht="103.5" customHeight="1">
      <c r="B10" s="1206">
        <v>5</v>
      </c>
      <c r="C10" s="1207" t="s">
        <v>917</v>
      </c>
      <c r="D10" s="1206" t="s">
        <v>100</v>
      </c>
      <c r="E10" s="2533">
        <v>345000</v>
      </c>
      <c r="F10" s="1209" t="s">
        <v>918</v>
      </c>
      <c r="G10" s="1210"/>
    </row>
    <row r="11" spans="2:7" ht="103.5" customHeight="1">
      <c r="B11" s="1206">
        <v>6</v>
      </c>
      <c r="C11" s="1207" t="s">
        <v>919</v>
      </c>
      <c r="D11" s="1206" t="s">
        <v>47</v>
      </c>
      <c r="E11" s="2533">
        <v>18500</v>
      </c>
      <c r="F11" s="1209"/>
      <c r="G11" s="1212"/>
    </row>
    <row r="12" spans="2:7" ht="103.5" customHeight="1">
      <c r="B12" s="1206">
        <v>7</v>
      </c>
      <c r="C12" s="1207" t="s">
        <v>920</v>
      </c>
      <c r="D12" s="1206" t="s">
        <v>100</v>
      </c>
      <c r="E12" s="2533">
        <v>297000</v>
      </c>
      <c r="F12" s="1209" t="s">
        <v>921</v>
      </c>
      <c r="G12" s="1212"/>
    </row>
    <row r="13" spans="2:7" ht="103.5" customHeight="1">
      <c r="B13" s="1206">
        <v>8</v>
      </c>
      <c r="C13" s="1207" t="s">
        <v>922</v>
      </c>
      <c r="D13" s="1206" t="s">
        <v>100</v>
      </c>
      <c r="E13" s="2533">
        <v>297000</v>
      </c>
      <c r="F13" s="1209" t="s">
        <v>923</v>
      </c>
      <c r="G13" s="1212"/>
    </row>
    <row r="14" spans="2:7" ht="103.5" customHeight="1">
      <c r="B14" s="1206">
        <v>9</v>
      </c>
      <c r="C14" s="1207" t="s">
        <v>924</v>
      </c>
      <c r="D14" s="1206" t="s">
        <v>100</v>
      </c>
      <c r="E14" s="2533">
        <v>297000</v>
      </c>
      <c r="F14" s="1209" t="s">
        <v>925</v>
      </c>
      <c r="G14" s="1210"/>
    </row>
    <row r="15" spans="2:7" ht="103.5" customHeight="1">
      <c r="B15" s="1206">
        <v>10</v>
      </c>
      <c r="C15" s="1207" t="s">
        <v>926</v>
      </c>
      <c r="D15" s="1206" t="s">
        <v>100</v>
      </c>
      <c r="E15" s="2533">
        <v>297000</v>
      </c>
      <c r="F15" s="1209" t="s">
        <v>927</v>
      </c>
      <c r="G15" s="1212"/>
    </row>
    <row r="16" spans="2:7" ht="103.5" customHeight="1">
      <c r="B16" s="1206">
        <v>11</v>
      </c>
      <c r="C16" s="1207" t="s">
        <v>928</v>
      </c>
      <c r="D16" s="1206" t="s">
        <v>100</v>
      </c>
      <c r="E16" s="2533">
        <v>285000</v>
      </c>
      <c r="F16" s="1209"/>
      <c r="G16" s="1212"/>
    </row>
    <row r="17" spans="2:14" ht="103.5" customHeight="1">
      <c r="B17" s="1206">
        <v>12</v>
      </c>
      <c r="C17" s="1207" t="s">
        <v>929</v>
      </c>
      <c r="D17" s="1206" t="s">
        <v>147</v>
      </c>
      <c r="E17" s="2533">
        <v>75000</v>
      </c>
      <c r="F17" s="1209" t="s">
        <v>930</v>
      </c>
      <c r="G17" s="1212"/>
    </row>
    <row r="18" spans="2:14" ht="103.5" customHeight="1">
      <c r="B18" s="1206">
        <v>13</v>
      </c>
      <c r="C18" s="1207" t="s">
        <v>931</v>
      </c>
      <c r="D18" s="1206" t="s">
        <v>147</v>
      </c>
      <c r="E18" s="2533">
        <v>125000</v>
      </c>
      <c r="F18" s="1209" t="s">
        <v>932</v>
      </c>
      <c r="G18" s="1212"/>
    </row>
    <row r="19" spans="2:14" ht="103.5" customHeight="1">
      <c r="B19" s="1206">
        <v>14</v>
      </c>
      <c r="C19" s="1207" t="s">
        <v>1825</v>
      </c>
      <c r="D19" s="1206" t="s">
        <v>147</v>
      </c>
      <c r="E19" s="2533">
        <v>100000</v>
      </c>
      <c r="F19" s="1209" t="s">
        <v>1824</v>
      </c>
      <c r="G19" s="1212"/>
      <c r="K19" s="5" t="s">
        <v>2466</v>
      </c>
    </row>
    <row r="20" spans="2:14" ht="103.5" customHeight="1">
      <c r="B20" s="1206">
        <v>15</v>
      </c>
      <c r="C20" s="1207" t="s">
        <v>933</v>
      </c>
      <c r="D20" s="1206" t="s">
        <v>47</v>
      </c>
      <c r="E20" s="2533">
        <v>5000</v>
      </c>
      <c r="F20" s="1209" t="s">
        <v>934</v>
      </c>
      <c r="G20" s="1212"/>
      <c r="K20"/>
      <c r="M20"/>
      <c r="N20"/>
    </row>
    <row r="21" spans="2:14" ht="103.5" customHeight="1">
      <c r="B21" s="1206">
        <v>16</v>
      </c>
      <c r="C21" s="1207" t="s">
        <v>1502</v>
      </c>
      <c r="D21" s="1206" t="s">
        <v>147</v>
      </c>
      <c r="E21" s="2533">
        <v>70650</v>
      </c>
      <c r="F21" s="1209" t="s">
        <v>1501</v>
      </c>
      <c r="G21" s="1212"/>
    </row>
    <row r="22" spans="2:14" ht="103.5" customHeight="1">
      <c r="B22" s="1206">
        <v>17</v>
      </c>
      <c r="C22" s="1207" t="s">
        <v>238</v>
      </c>
      <c r="D22" s="1206" t="s">
        <v>88</v>
      </c>
      <c r="E22" s="2533">
        <v>1100</v>
      </c>
      <c r="F22" s="1209" t="s">
        <v>935</v>
      </c>
      <c r="G22" s="1212"/>
      <c r="L22" s="2387" t="s">
        <v>2573</v>
      </c>
    </row>
    <row r="23" spans="2:14" ht="103.5" customHeight="1">
      <c r="B23" s="1206">
        <v>18</v>
      </c>
      <c r="C23" s="1207" t="s">
        <v>1884</v>
      </c>
      <c r="D23" s="1206" t="s">
        <v>88</v>
      </c>
      <c r="E23" s="2533">
        <f>68800/38</f>
        <v>1810.5263157894738</v>
      </c>
      <c r="F23" s="1209" t="s">
        <v>1883</v>
      </c>
      <c r="G23" s="1212"/>
    </row>
    <row r="24" spans="2:14" ht="103.5" customHeight="1">
      <c r="B24" s="1206">
        <v>19</v>
      </c>
      <c r="C24" s="1207" t="s">
        <v>936</v>
      </c>
      <c r="D24" s="1206" t="s">
        <v>100</v>
      </c>
      <c r="E24" s="2533">
        <v>600000</v>
      </c>
      <c r="F24" s="1209" t="s">
        <v>2741</v>
      </c>
      <c r="G24" s="1212"/>
    </row>
    <row r="25" spans="2:14" ht="103.5" customHeight="1">
      <c r="B25" s="1206">
        <v>20</v>
      </c>
      <c r="C25" s="1207" t="s">
        <v>937</v>
      </c>
      <c r="D25" s="1206" t="s">
        <v>100</v>
      </c>
      <c r="E25" s="2533">
        <v>600000</v>
      </c>
      <c r="F25" s="1209" t="s">
        <v>2742</v>
      </c>
      <c r="G25" s="1210"/>
    </row>
    <row r="26" spans="2:14" ht="103.5" customHeight="1">
      <c r="B26" s="1206">
        <v>21</v>
      </c>
      <c r="C26" s="1207" t="s">
        <v>938</v>
      </c>
      <c r="D26" s="1206" t="s">
        <v>88</v>
      </c>
      <c r="E26" s="2533">
        <v>9500</v>
      </c>
      <c r="F26" s="1209"/>
      <c r="G26" s="1212"/>
    </row>
    <row r="27" spans="2:14" ht="103.5" customHeight="1">
      <c r="B27" s="1206">
        <v>22</v>
      </c>
      <c r="C27" s="1207" t="s">
        <v>939</v>
      </c>
      <c r="D27" s="1206" t="s">
        <v>88</v>
      </c>
      <c r="E27" s="2533">
        <v>60000</v>
      </c>
      <c r="F27" s="1209" t="s">
        <v>940</v>
      </c>
      <c r="G27" s="1212"/>
    </row>
    <row r="28" spans="2:14" ht="103.5" customHeight="1">
      <c r="B28" s="1206">
        <v>23</v>
      </c>
      <c r="C28" s="1207" t="s">
        <v>941</v>
      </c>
      <c r="D28" s="1206" t="s">
        <v>147</v>
      </c>
      <c r="E28" s="2533">
        <v>79000</v>
      </c>
      <c r="F28" s="1469"/>
      <c r="G28" s="1212"/>
    </row>
    <row r="29" spans="2:14" ht="103.5" customHeight="1">
      <c r="B29" s="1206">
        <v>24</v>
      </c>
      <c r="C29" s="1207" t="s">
        <v>942</v>
      </c>
      <c r="D29" s="1206" t="s">
        <v>171</v>
      </c>
      <c r="E29" s="2533">
        <f>(1/0.4)*17000</f>
        <v>42500</v>
      </c>
      <c r="F29" s="1209"/>
      <c r="G29" s="1212"/>
    </row>
    <row r="30" spans="2:14" ht="103.5" customHeight="1">
      <c r="B30" s="1206">
        <v>25</v>
      </c>
      <c r="C30" s="2343" t="s">
        <v>944</v>
      </c>
      <c r="D30" s="2342" t="s">
        <v>943</v>
      </c>
      <c r="E30" s="2533">
        <v>75000</v>
      </c>
      <c r="F30" s="2577" t="s">
        <v>2934</v>
      </c>
      <c r="G30" s="1221"/>
    </row>
    <row r="31" spans="2:14" ht="103.5" customHeight="1">
      <c r="B31" s="1206">
        <v>26</v>
      </c>
      <c r="C31" s="1207" t="s">
        <v>945</v>
      </c>
      <c r="D31" s="1206" t="s">
        <v>943</v>
      </c>
      <c r="E31" s="2533">
        <v>100000</v>
      </c>
      <c r="F31" s="1470" t="s">
        <v>944</v>
      </c>
      <c r="G31" s="1210"/>
    </row>
    <row r="32" spans="2:14" ht="103.5" customHeight="1">
      <c r="B32" s="1206">
        <v>27</v>
      </c>
      <c r="C32" s="1207" t="s">
        <v>395</v>
      </c>
      <c r="D32" s="1206" t="s">
        <v>943</v>
      </c>
      <c r="E32" s="2533">
        <v>84000</v>
      </c>
      <c r="F32" s="1470" t="s">
        <v>2743</v>
      </c>
      <c r="G32" s="1212"/>
    </row>
    <row r="33" spans="2:11" ht="103.5" customHeight="1">
      <c r="B33" s="1206">
        <v>28</v>
      </c>
      <c r="C33" s="1207" t="s">
        <v>946</v>
      </c>
      <c r="D33" s="1206" t="s">
        <v>100</v>
      </c>
      <c r="E33" s="2533">
        <v>890000</v>
      </c>
      <c r="F33" s="1209" t="s">
        <v>2744</v>
      </c>
      <c r="G33" s="1210"/>
    </row>
    <row r="34" spans="2:11" ht="103.5" customHeight="1">
      <c r="B34" s="1206">
        <v>29</v>
      </c>
      <c r="C34" s="1207" t="s">
        <v>947</v>
      </c>
      <c r="D34" s="1206" t="s">
        <v>100</v>
      </c>
      <c r="E34" s="2533">
        <v>860000</v>
      </c>
      <c r="F34" s="1209" t="s">
        <v>2744</v>
      </c>
      <c r="G34" s="1210"/>
    </row>
    <row r="35" spans="2:11" ht="103.5" customHeight="1">
      <c r="B35" s="1206">
        <v>30</v>
      </c>
      <c r="C35" s="1207" t="s">
        <v>948</v>
      </c>
      <c r="D35" s="1206" t="s">
        <v>100</v>
      </c>
      <c r="E35" s="2533">
        <v>810000</v>
      </c>
      <c r="F35" s="1209" t="s">
        <v>2744</v>
      </c>
      <c r="G35" s="1210"/>
    </row>
    <row r="36" spans="2:11" ht="103.5" customHeight="1">
      <c r="B36" s="1206">
        <v>31</v>
      </c>
      <c r="C36" s="1207" t="s">
        <v>949</v>
      </c>
      <c r="D36" s="1206" t="s">
        <v>100</v>
      </c>
      <c r="E36" s="2533">
        <v>770000</v>
      </c>
      <c r="F36" s="1209" t="s">
        <v>2744</v>
      </c>
      <c r="G36" s="1210"/>
    </row>
    <row r="37" spans="2:11" ht="103.5" customHeight="1">
      <c r="B37" s="1206">
        <v>32</v>
      </c>
      <c r="C37" s="1207" t="s">
        <v>950</v>
      </c>
      <c r="D37" s="1206" t="s">
        <v>100</v>
      </c>
      <c r="E37" s="2533">
        <v>750000</v>
      </c>
      <c r="F37" s="1209" t="s">
        <v>2744</v>
      </c>
      <c r="G37" s="1210"/>
    </row>
    <row r="38" spans="2:11" ht="103.5" customHeight="1">
      <c r="B38" s="1206">
        <v>33</v>
      </c>
      <c r="C38" s="1207" t="s">
        <v>373</v>
      </c>
      <c r="D38" s="1206" t="s">
        <v>100</v>
      </c>
      <c r="E38" s="2533">
        <f>4800000/30</f>
        <v>160000</v>
      </c>
      <c r="F38" s="1209" t="s">
        <v>951</v>
      </c>
      <c r="G38" s="1212"/>
    </row>
    <row r="39" spans="2:11" ht="103.5" customHeight="1">
      <c r="B39" s="1206">
        <v>34</v>
      </c>
      <c r="C39" s="1207" t="s">
        <v>952</v>
      </c>
      <c r="D39" s="1206" t="s">
        <v>47</v>
      </c>
      <c r="E39" s="2533">
        <v>16000</v>
      </c>
      <c r="F39" s="1209" t="s">
        <v>2745</v>
      </c>
      <c r="G39" s="1212"/>
    </row>
    <row r="40" spans="2:11" ht="103.5" customHeight="1">
      <c r="B40" s="1206">
        <v>35</v>
      </c>
      <c r="C40" s="1207" t="s">
        <v>300</v>
      </c>
      <c r="D40" s="1206" t="s">
        <v>100</v>
      </c>
      <c r="E40" s="2533">
        <v>2500</v>
      </c>
      <c r="F40" s="1209"/>
      <c r="G40" s="1212"/>
    </row>
    <row r="41" spans="2:11" ht="103.5" customHeight="1">
      <c r="B41" s="1206">
        <v>36</v>
      </c>
      <c r="C41" s="1207" t="s">
        <v>352</v>
      </c>
      <c r="D41" s="1206" t="s">
        <v>88</v>
      </c>
      <c r="E41" s="2533">
        <v>5000</v>
      </c>
      <c r="F41" s="1209" t="s">
        <v>953</v>
      </c>
      <c r="G41" s="1212"/>
    </row>
    <row r="42" spans="2:11" ht="103.5" customHeight="1">
      <c r="B42" s="1206">
        <v>37</v>
      </c>
      <c r="C42" s="1399" t="s">
        <v>1745</v>
      </c>
      <c r="D42" s="1398" t="s">
        <v>88</v>
      </c>
      <c r="E42" s="2533">
        <v>176500</v>
      </c>
      <c r="F42" s="1400" t="s">
        <v>1746</v>
      </c>
      <c r="G42" s="1401"/>
    </row>
    <row r="43" spans="2:11" ht="103.5" customHeight="1">
      <c r="B43" s="1206">
        <v>38</v>
      </c>
      <c r="C43" s="1399" t="s">
        <v>2307</v>
      </c>
      <c r="D43" s="1398" t="s">
        <v>88</v>
      </c>
      <c r="E43" s="2533">
        <v>17000</v>
      </c>
      <c r="F43" s="1400"/>
      <c r="G43" s="1401"/>
    </row>
    <row r="44" spans="2:11" ht="103.5" customHeight="1">
      <c r="B44" s="1206">
        <v>39</v>
      </c>
      <c r="C44" s="1207" t="s">
        <v>2467</v>
      </c>
      <c r="D44" s="1206" t="s">
        <v>147</v>
      </c>
      <c r="E44" s="2533">
        <f>(115000+170000)/2</f>
        <v>142500</v>
      </c>
      <c r="F44" s="1209" t="s">
        <v>2468</v>
      </c>
      <c r="G44" s="1212"/>
      <c r="H44" s="5" t="s">
        <v>2469</v>
      </c>
    </row>
    <row r="45" spans="2:11" ht="32.25" customHeight="1">
      <c r="B45" s="1471" t="s">
        <v>60</v>
      </c>
      <c r="C45" s="1472" t="s">
        <v>954</v>
      </c>
      <c r="D45" s="1473"/>
      <c r="E45" s="1474"/>
      <c r="F45" s="1475"/>
      <c r="G45" s="1476"/>
    </row>
    <row r="46" spans="2:11" ht="103.5" customHeight="1">
      <c r="B46" s="1206">
        <v>1</v>
      </c>
      <c r="C46" s="1207" t="s">
        <v>955</v>
      </c>
      <c r="D46" s="1206" t="s">
        <v>47</v>
      </c>
      <c r="E46" s="2533">
        <v>44000</v>
      </c>
      <c r="F46" s="819" t="s">
        <v>2936</v>
      </c>
      <c r="G46" s="2578"/>
      <c r="J46" s="5">
        <f>65000/4</f>
        <v>16250</v>
      </c>
      <c r="K46" s="5">
        <f>80000/4</f>
        <v>20000</v>
      </c>
    </row>
    <row r="47" spans="2:11" ht="103.5" customHeight="1">
      <c r="B47" s="1206">
        <v>2</v>
      </c>
      <c r="C47" s="1207" t="s">
        <v>956</v>
      </c>
      <c r="D47" s="1206" t="s">
        <v>301</v>
      </c>
      <c r="E47" s="2533">
        <f>1958000/20</f>
        <v>97900</v>
      </c>
      <c r="F47" s="819" t="s">
        <v>2937</v>
      </c>
      <c r="G47" s="2578"/>
      <c r="H47" s="828"/>
      <c r="J47" s="5">
        <f>650000/25</f>
        <v>26000</v>
      </c>
    </row>
    <row r="48" spans="2:11" ht="103.5" customHeight="1">
      <c r="B48" s="1206">
        <v>3</v>
      </c>
      <c r="C48" s="1207" t="s">
        <v>958</v>
      </c>
      <c r="D48" s="1206" t="s">
        <v>47</v>
      </c>
      <c r="E48" s="2533">
        <v>88125</v>
      </c>
      <c r="F48" s="819" t="s">
        <v>2938</v>
      </c>
      <c r="G48" s="2578"/>
      <c r="H48" s="2284"/>
      <c r="I48" s="5">
        <f>210000/2.5</f>
        <v>84000</v>
      </c>
    </row>
    <row r="49" spans="2:9" ht="103.5" customHeight="1">
      <c r="B49" s="1206">
        <v>4</v>
      </c>
      <c r="C49" s="1207" t="s">
        <v>959</v>
      </c>
      <c r="D49" s="1206" t="s">
        <v>957</v>
      </c>
      <c r="E49" s="2533">
        <v>65250</v>
      </c>
      <c r="F49" s="819" t="s">
        <v>2823</v>
      </c>
      <c r="G49" s="2578"/>
    </row>
    <row r="50" spans="2:9" ht="103.5" customHeight="1">
      <c r="B50" s="1206">
        <v>5</v>
      </c>
      <c r="C50" s="1207" t="s">
        <v>960</v>
      </c>
      <c r="D50" s="1206" t="s">
        <v>47</v>
      </c>
      <c r="E50" s="2533">
        <v>44204</v>
      </c>
      <c r="F50" s="819" t="s">
        <v>2939</v>
      </c>
      <c r="G50" s="2578"/>
      <c r="H50" s="2284"/>
    </row>
    <row r="51" spans="2:9" ht="103.5" customHeight="1">
      <c r="B51" s="1206">
        <v>6</v>
      </c>
      <c r="C51" s="1207" t="s">
        <v>961</v>
      </c>
      <c r="D51" s="1206" t="s">
        <v>47</v>
      </c>
      <c r="E51" s="1208">
        <v>45000</v>
      </c>
      <c r="F51" s="1209" t="s">
        <v>2746</v>
      </c>
      <c r="G51" s="1212"/>
      <c r="I51" s="5">
        <f>900000/20</f>
        <v>45000</v>
      </c>
    </row>
    <row r="52" spans="2:9" ht="103.5" customHeight="1">
      <c r="B52" s="1206">
        <v>7</v>
      </c>
      <c r="C52" s="1207" t="s">
        <v>962</v>
      </c>
      <c r="D52" s="1206" t="s">
        <v>147</v>
      </c>
      <c r="E52" s="1208">
        <v>31333.333333333332</v>
      </c>
      <c r="F52" s="1209" t="s">
        <v>963</v>
      </c>
      <c r="G52" s="1212"/>
    </row>
    <row r="53" spans="2:9" ht="103.5" customHeight="1">
      <c r="B53" s="1206">
        <v>8</v>
      </c>
      <c r="C53" s="1207" t="s">
        <v>964</v>
      </c>
      <c r="D53" s="1206" t="s">
        <v>147</v>
      </c>
      <c r="E53" s="1208">
        <v>98000</v>
      </c>
      <c r="F53" s="1209" t="s">
        <v>507</v>
      </c>
      <c r="G53" s="1212"/>
    </row>
    <row r="54" spans="2:9" ht="103.5" customHeight="1">
      <c r="B54" s="1206">
        <v>9</v>
      </c>
      <c r="C54" s="1207" t="s">
        <v>965</v>
      </c>
      <c r="D54" s="1206" t="s">
        <v>88</v>
      </c>
      <c r="E54" s="1208">
        <v>30000</v>
      </c>
      <c r="F54" s="1209"/>
      <c r="G54" s="1210"/>
    </row>
    <row r="55" spans="2:9" ht="103.5" customHeight="1">
      <c r="B55" s="1206">
        <v>10</v>
      </c>
      <c r="C55" s="1207" t="s">
        <v>966</v>
      </c>
      <c r="D55" s="1206" t="s">
        <v>88</v>
      </c>
      <c r="E55" s="1208">
        <v>9500</v>
      </c>
      <c r="F55" s="1209"/>
      <c r="G55" s="1212"/>
    </row>
    <row r="56" spans="2:9" ht="103.5" customHeight="1">
      <c r="B56" s="1206">
        <v>11</v>
      </c>
      <c r="C56" s="1207" t="s">
        <v>967</v>
      </c>
      <c r="D56" s="1206" t="s">
        <v>88</v>
      </c>
      <c r="E56" s="1208">
        <v>10000</v>
      </c>
      <c r="F56" s="1209"/>
      <c r="G56" s="1212"/>
    </row>
    <row r="57" spans="2:9" ht="103.5" customHeight="1">
      <c r="B57" s="1206">
        <v>12</v>
      </c>
      <c r="C57" s="1207" t="s">
        <v>968</v>
      </c>
      <c r="D57" s="1206" t="s">
        <v>47</v>
      </c>
      <c r="E57" s="1208">
        <f>AVERAGE(45000,65000)</f>
        <v>55000</v>
      </c>
      <c r="F57" s="1209" t="s">
        <v>2747</v>
      </c>
      <c r="G57" s="1212"/>
    </row>
    <row r="58" spans="2:9" ht="103.5" customHeight="1">
      <c r="B58" s="1206">
        <v>13</v>
      </c>
      <c r="C58" s="1207" t="s">
        <v>785</v>
      </c>
      <c r="D58" s="1206" t="s">
        <v>957</v>
      </c>
      <c r="E58" s="1208">
        <f>AVERAGE(88000,66001)</f>
        <v>77000.5</v>
      </c>
      <c r="F58" s="1209" t="s">
        <v>969</v>
      </c>
      <c r="G58" s="1212"/>
    </row>
    <row r="59" spans="2:9" ht="103.5" customHeight="1">
      <c r="B59" s="1206">
        <v>14</v>
      </c>
      <c r="C59" s="1207" t="s">
        <v>970</v>
      </c>
      <c r="D59" s="1206" t="s">
        <v>47</v>
      </c>
      <c r="E59" s="1208">
        <v>23846.153846153844</v>
      </c>
      <c r="F59" s="1209" t="s">
        <v>2748</v>
      </c>
      <c r="G59" s="1212"/>
    </row>
    <row r="60" spans="2:9" ht="103.5" customHeight="1">
      <c r="B60" s="1206">
        <v>15</v>
      </c>
      <c r="C60" s="1207" t="s">
        <v>787</v>
      </c>
      <c r="D60" s="1206" t="s">
        <v>971</v>
      </c>
      <c r="E60" s="1208">
        <f>AVERAGE(19500,10000)</f>
        <v>14750</v>
      </c>
      <c r="F60" s="1209"/>
      <c r="G60" s="1212"/>
    </row>
    <row r="61" spans="2:9" ht="103.5" customHeight="1">
      <c r="B61" s="1206">
        <v>16</v>
      </c>
      <c r="C61" s="1207" t="s">
        <v>972</v>
      </c>
      <c r="D61" s="1206" t="s">
        <v>47</v>
      </c>
      <c r="E61" s="1208">
        <v>44500</v>
      </c>
      <c r="F61" s="1209" t="s">
        <v>2749</v>
      </c>
      <c r="G61" s="1212"/>
    </row>
    <row r="62" spans="2:9" ht="103.5" customHeight="1">
      <c r="B62" s="1206">
        <v>17</v>
      </c>
      <c r="C62" s="1207" t="s">
        <v>973</v>
      </c>
      <c r="D62" s="1206" t="s">
        <v>47</v>
      </c>
      <c r="E62" s="1208">
        <v>58000</v>
      </c>
      <c r="F62" s="1209" t="s">
        <v>2750</v>
      </c>
      <c r="G62" s="1212"/>
    </row>
    <row r="63" spans="2:9" ht="103.5" customHeight="1">
      <c r="B63" s="1206">
        <v>18</v>
      </c>
      <c r="C63" s="1207" t="s">
        <v>974</v>
      </c>
      <c r="D63" s="1206" t="s">
        <v>47</v>
      </c>
      <c r="E63" s="1208">
        <v>58000</v>
      </c>
      <c r="F63" s="1209" t="s">
        <v>2750</v>
      </c>
      <c r="G63" s="1212"/>
    </row>
    <row r="64" spans="2:9" ht="32.25" customHeight="1">
      <c r="B64" s="1471" t="s">
        <v>71</v>
      </c>
      <c r="C64" s="1472" t="s">
        <v>975</v>
      </c>
      <c r="D64" s="1477"/>
      <c r="E64" s="1474"/>
      <c r="F64" s="1475"/>
      <c r="G64" s="1476"/>
    </row>
    <row r="65" spans="2:7" ht="103.5" customHeight="1">
      <c r="B65" s="1206">
        <v>1</v>
      </c>
      <c r="C65" s="1207" t="s">
        <v>976</v>
      </c>
      <c r="D65" s="1206" t="s">
        <v>977</v>
      </c>
      <c r="E65" s="1208">
        <v>25000</v>
      </c>
      <c r="F65" s="1209" t="s">
        <v>978</v>
      </c>
      <c r="G65" s="1212"/>
    </row>
    <row r="66" spans="2:7" ht="103.5" customHeight="1">
      <c r="B66" s="1206">
        <v>2</v>
      </c>
      <c r="C66" s="1207" t="s">
        <v>979</v>
      </c>
      <c r="D66" s="1206" t="s">
        <v>100</v>
      </c>
      <c r="E66" s="1208">
        <f>AVERAGE(2200000,2000000)</f>
        <v>2100000</v>
      </c>
      <c r="F66" s="1209" t="s">
        <v>980</v>
      </c>
      <c r="G66" s="1212"/>
    </row>
    <row r="67" spans="2:7" ht="103.5" customHeight="1">
      <c r="B67" s="1206">
        <v>3</v>
      </c>
      <c r="C67" s="1207" t="s">
        <v>981</v>
      </c>
      <c r="D67" s="1206" t="s">
        <v>100</v>
      </c>
      <c r="E67" s="1208">
        <f>AVERAGE(10764000,4107142.85714286)</f>
        <v>7435571.42857143</v>
      </c>
      <c r="F67" s="1209" t="s">
        <v>982</v>
      </c>
      <c r="G67" s="1212"/>
    </row>
    <row r="68" spans="2:7" ht="103.5" customHeight="1">
      <c r="B68" s="1206">
        <v>4</v>
      </c>
      <c r="C68" s="1207" t="s">
        <v>983</v>
      </c>
      <c r="D68" s="1206" t="s">
        <v>100</v>
      </c>
      <c r="E68" s="1208">
        <f>AVERAGE(10764000,4125000)</f>
        <v>7444500</v>
      </c>
      <c r="F68" s="1209" t="s">
        <v>984</v>
      </c>
      <c r="G68" s="1212"/>
    </row>
    <row r="69" spans="2:7" ht="103.5" customHeight="1">
      <c r="B69" s="1206">
        <v>5</v>
      </c>
      <c r="C69" s="1207" t="s">
        <v>985</v>
      </c>
      <c r="D69" s="1206" t="s">
        <v>100</v>
      </c>
      <c r="E69" s="1208">
        <f>AVERAGE(14240000,13472222.2222222)</f>
        <v>13856111.111111101</v>
      </c>
      <c r="F69" s="1209" t="s">
        <v>986</v>
      </c>
      <c r="G69" s="1212"/>
    </row>
    <row r="70" spans="2:7" ht="103.5" customHeight="1">
      <c r="B70" s="1206">
        <v>6</v>
      </c>
      <c r="C70" s="1207" t="s">
        <v>987</v>
      </c>
      <c r="D70" s="1206" t="s">
        <v>100</v>
      </c>
      <c r="E70" s="1208">
        <f>AVERAGE(16413100,14166666.6666667)</f>
        <v>15289883.333333351</v>
      </c>
      <c r="F70" s="1209" t="s">
        <v>988</v>
      </c>
      <c r="G70" s="1212"/>
    </row>
    <row r="71" spans="2:7" s="1397" customFormat="1" ht="103.5" customHeight="1">
      <c r="B71" s="1206">
        <v>7</v>
      </c>
      <c r="C71" s="1399" t="s">
        <v>2267</v>
      </c>
      <c r="D71" s="1398" t="s">
        <v>100</v>
      </c>
      <c r="E71" s="1208">
        <f>AVERAGE(14240000,10500000)</f>
        <v>12370000</v>
      </c>
      <c r="F71" s="1400" t="s">
        <v>2268</v>
      </c>
      <c r="G71" s="1401"/>
    </row>
    <row r="72" spans="2:7" s="1397" customFormat="1" ht="103.5" customHeight="1">
      <c r="B72" s="1206">
        <v>8</v>
      </c>
      <c r="C72" s="1399" t="s">
        <v>1814</v>
      </c>
      <c r="D72" s="1398" t="s">
        <v>100</v>
      </c>
      <c r="E72" s="1208">
        <f>AVERAGE(29500000,60000000)</f>
        <v>44750000</v>
      </c>
      <c r="F72" s="1400" t="s">
        <v>986</v>
      </c>
      <c r="G72" s="1401"/>
    </row>
    <row r="73" spans="2:7" s="1397" customFormat="1" ht="103.5" customHeight="1">
      <c r="B73" s="1206">
        <v>9</v>
      </c>
      <c r="C73" s="1399" t="s">
        <v>1813</v>
      </c>
      <c r="D73" s="1398" t="s">
        <v>100</v>
      </c>
      <c r="E73" s="1208">
        <f>AVERAGE(29500000,60000000)</f>
        <v>44750000</v>
      </c>
      <c r="F73" s="1400" t="s">
        <v>988</v>
      </c>
      <c r="G73" s="1401"/>
    </row>
    <row r="74" spans="2:7" s="1397" customFormat="1" ht="103.5" customHeight="1">
      <c r="B74" s="1206">
        <v>10</v>
      </c>
      <c r="C74" s="1399" t="s">
        <v>1815</v>
      </c>
      <c r="D74" s="1398" t="s">
        <v>100</v>
      </c>
      <c r="E74" s="1208">
        <v>29166666.666666668</v>
      </c>
      <c r="F74" s="1400" t="s">
        <v>986</v>
      </c>
      <c r="G74" s="1401"/>
    </row>
    <row r="75" spans="2:7" s="1397" customFormat="1" ht="103.5" customHeight="1">
      <c r="B75" s="1206">
        <v>11</v>
      </c>
      <c r="C75" s="1399" t="s">
        <v>1816</v>
      </c>
      <c r="D75" s="1398" t="s">
        <v>100</v>
      </c>
      <c r="E75" s="1208">
        <v>30000000</v>
      </c>
      <c r="F75" s="1400" t="s">
        <v>988</v>
      </c>
      <c r="G75" s="1401"/>
    </row>
    <row r="76" spans="2:7" ht="103.5" customHeight="1">
      <c r="B76" s="1206">
        <v>12</v>
      </c>
      <c r="C76" s="1207" t="s">
        <v>989</v>
      </c>
      <c r="D76" s="1206" t="s">
        <v>100</v>
      </c>
      <c r="E76" s="1208">
        <f>AVERAGE(2200000,2083333.33333333)</f>
        <v>2141666.6666666651</v>
      </c>
      <c r="F76" s="1209" t="s">
        <v>990</v>
      </c>
      <c r="G76" s="1212"/>
    </row>
    <row r="77" spans="2:7" ht="103.5" customHeight="1">
      <c r="B77" s="1206">
        <v>13</v>
      </c>
      <c r="C77" s="1207" t="s">
        <v>991</v>
      </c>
      <c r="D77" s="1206" t="s">
        <v>977</v>
      </c>
      <c r="E77" s="1208">
        <f>AVERAGE(28000,16000)</f>
        <v>22000</v>
      </c>
      <c r="F77" s="1209" t="s">
        <v>992</v>
      </c>
      <c r="G77" s="1210"/>
    </row>
    <row r="78" spans="2:7" ht="103.5" customHeight="1">
      <c r="B78" s="1206">
        <v>14</v>
      </c>
      <c r="C78" s="1207" t="s">
        <v>993</v>
      </c>
      <c r="D78" s="1206" t="s">
        <v>977</v>
      </c>
      <c r="E78" s="1208">
        <f>AVERAGE(38000,22000)</f>
        <v>30000</v>
      </c>
      <c r="F78" s="1209" t="s">
        <v>992</v>
      </c>
      <c r="G78" s="1210"/>
    </row>
    <row r="79" spans="2:7" ht="103.5" customHeight="1">
      <c r="B79" s="1206">
        <v>15</v>
      </c>
      <c r="C79" s="1207" t="s">
        <v>994</v>
      </c>
      <c r="D79" s="1206" t="s">
        <v>171</v>
      </c>
      <c r="E79" s="1208">
        <v>118000</v>
      </c>
      <c r="F79" s="1209" t="s">
        <v>2450</v>
      </c>
      <c r="G79" s="1212"/>
    </row>
    <row r="80" spans="2:7" ht="103.5" customHeight="1">
      <c r="B80" s="1206">
        <v>16</v>
      </c>
      <c r="C80" s="1207" t="s">
        <v>995</v>
      </c>
      <c r="D80" s="1206" t="s">
        <v>100</v>
      </c>
      <c r="E80" s="1208">
        <f>AVERAGE(2590000,2361111.11111111)</f>
        <v>2475555.555555555</v>
      </c>
      <c r="F80" s="1209"/>
      <c r="G80" s="1212"/>
    </row>
    <row r="81" spans="2:9" ht="103.5" customHeight="1">
      <c r="B81" s="1206">
        <v>17</v>
      </c>
      <c r="C81" s="1207" t="s">
        <v>996</v>
      </c>
      <c r="D81" s="1206" t="s">
        <v>47</v>
      </c>
      <c r="E81" s="1208">
        <f>AVERAGE(35000,15000)</f>
        <v>25000</v>
      </c>
      <c r="F81" s="1209"/>
      <c r="G81" s="1212"/>
    </row>
    <row r="82" spans="2:9" ht="103.5" customHeight="1">
      <c r="B82" s="1206">
        <v>18</v>
      </c>
      <c r="C82" s="1207" t="s">
        <v>997</v>
      </c>
      <c r="D82" s="1206" t="s">
        <v>147</v>
      </c>
      <c r="E82" s="1208">
        <v>25000</v>
      </c>
      <c r="F82" s="1209"/>
      <c r="G82" s="1210"/>
    </row>
    <row r="83" spans="2:9" ht="103.5" customHeight="1">
      <c r="B83" s="1206">
        <v>19</v>
      </c>
      <c r="C83" s="1207" t="s">
        <v>998</v>
      </c>
      <c r="D83" s="1206" t="s">
        <v>147</v>
      </c>
      <c r="E83" s="1208">
        <v>147222.22222222222</v>
      </c>
      <c r="F83" s="1209" t="s">
        <v>999</v>
      </c>
      <c r="G83" s="1212"/>
    </row>
    <row r="84" spans="2:9" ht="103.5" customHeight="1">
      <c r="B84" s="1206">
        <v>20</v>
      </c>
      <c r="C84" s="1207" t="s">
        <v>1000</v>
      </c>
      <c r="D84" s="1206" t="s">
        <v>147</v>
      </c>
      <c r="E84" s="1208">
        <v>330000</v>
      </c>
      <c r="F84" s="1209" t="s">
        <v>1001</v>
      </c>
      <c r="G84" s="1212"/>
    </row>
    <row r="85" spans="2:9" ht="32.25" customHeight="1">
      <c r="B85" s="1471" t="s">
        <v>1002</v>
      </c>
      <c r="C85" s="1472" t="s">
        <v>1003</v>
      </c>
      <c r="D85" s="1473"/>
      <c r="E85" s="1474"/>
      <c r="F85" s="1475"/>
      <c r="G85" s="1476"/>
    </row>
    <row r="86" spans="2:9" ht="103.5" customHeight="1">
      <c r="B86" s="1206">
        <v>1</v>
      </c>
      <c r="C86" s="1207" t="s">
        <v>1004</v>
      </c>
      <c r="D86" s="1206" t="s">
        <v>971</v>
      </c>
      <c r="E86" s="2533">
        <v>65000</v>
      </c>
      <c r="F86" s="819" t="s">
        <v>2935</v>
      </c>
      <c r="G86" s="2578"/>
    </row>
    <row r="87" spans="2:9" ht="103.5" customHeight="1">
      <c r="B87" s="1206">
        <v>2</v>
      </c>
      <c r="C87" s="1207" t="s">
        <v>422</v>
      </c>
      <c r="D87" s="1206" t="s">
        <v>47</v>
      </c>
      <c r="E87" s="2533">
        <v>4500</v>
      </c>
      <c r="F87" s="819" t="s">
        <v>2848</v>
      </c>
      <c r="G87" s="2578"/>
      <c r="I87" s="5">
        <f>54000/20</f>
        <v>2700</v>
      </c>
    </row>
    <row r="88" spans="2:9" ht="103.5" customHeight="1">
      <c r="B88" s="1206">
        <v>3</v>
      </c>
      <c r="C88" s="1207" t="s">
        <v>1005</v>
      </c>
      <c r="D88" s="1206" t="s">
        <v>971</v>
      </c>
      <c r="E88" s="1208">
        <v>45000</v>
      </c>
      <c r="F88" s="1209"/>
      <c r="G88" s="1212"/>
    </row>
    <row r="89" spans="2:9" ht="103.5" customHeight="1">
      <c r="B89" s="1206">
        <v>4</v>
      </c>
      <c r="C89" s="1207" t="s">
        <v>1006</v>
      </c>
      <c r="D89" s="1206" t="s">
        <v>88</v>
      </c>
      <c r="E89" s="1208">
        <v>13000</v>
      </c>
      <c r="F89" s="1209" t="s">
        <v>1007</v>
      </c>
      <c r="G89" s="1212"/>
    </row>
    <row r="90" spans="2:9" ht="103.5" customHeight="1">
      <c r="B90" s="1206">
        <v>5</v>
      </c>
      <c r="C90" s="1207" t="s">
        <v>1663</v>
      </c>
      <c r="D90" s="1206" t="s">
        <v>971</v>
      </c>
      <c r="E90" s="2533">
        <v>95000</v>
      </c>
      <c r="F90" s="819" t="s">
        <v>2935</v>
      </c>
      <c r="G90" s="820"/>
    </row>
    <row r="91" spans="2:9" ht="103.5" customHeight="1">
      <c r="B91" s="1206">
        <v>6</v>
      </c>
      <c r="C91" s="1207" t="s">
        <v>1664</v>
      </c>
      <c r="D91" s="1206" t="s">
        <v>971</v>
      </c>
      <c r="E91" s="2336">
        <v>61650</v>
      </c>
      <c r="F91" s="2337" t="s">
        <v>2849</v>
      </c>
      <c r="G91" s="2376"/>
    </row>
    <row r="92" spans="2:9" ht="103.5" customHeight="1">
      <c r="B92" s="1206">
        <v>7</v>
      </c>
      <c r="C92" s="1478" t="s">
        <v>1008</v>
      </c>
      <c r="D92" s="1206" t="s">
        <v>943</v>
      </c>
      <c r="E92" s="2336">
        <v>90000</v>
      </c>
      <c r="F92" s="2337" t="s">
        <v>2848</v>
      </c>
      <c r="G92" s="2376"/>
    </row>
    <row r="93" spans="2:9" ht="103.5" customHeight="1">
      <c r="B93" s="1206">
        <v>8</v>
      </c>
      <c r="C93" s="1478" t="s">
        <v>524</v>
      </c>
      <c r="D93" s="1206" t="s">
        <v>129</v>
      </c>
      <c r="E93" s="1208">
        <f>50000/4</f>
        <v>12500</v>
      </c>
      <c r="F93" s="1209" t="s">
        <v>1009</v>
      </c>
      <c r="G93" s="1212"/>
    </row>
    <row r="94" spans="2:9" ht="32.25" customHeight="1">
      <c r="B94" s="1471" t="s">
        <v>1010</v>
      </c>
      <c r="C94" s="1472" t="s">
        <v>1011</v>
      </c>
      <c r="D94" s="1473"/>
      <c r="E94" s="1474"/>
      <c r="F94" s="1475"/>
      <c r="G94" s="1476"/>
    </row>
    <row r="95" spans="2:9" ht="103.5" customHeight="1">
      <c r="B95" s="1206">
        <v>1</v>
      </c>
      <c r="C95" s="1207" t="s">
        <v>1012</v>
      </c>
      <c r="D95" s="1206" t="s">
        <v>147</v>
      </c>
      <c r="E95" s="1208">
        <v>44050</v>
      </c>
      <c r="F95" s="1209" t="s">
        <v>1013</v>
      </c>
      <c r="G95" s="1212"/>
    </row>
    <row r="96" spans="2:9" ht="103.5" customHeight="1">
      <c r="B96" s="1206">
        <v>2</v>
      </c>
      <c r="C96" s="1207" t="s">
        <v>1014</v>
      </c>
      <c r="D96" s="1206" t="s">
        <v>971</v>
      </c>
      <c r="E96" s="1208">
        <f>AVERAGE(166000,212000)</f>
        <v>189000</v>
      </c>
      <c r="F96" s="1209" t="s">
        <v>1015</v>
      </c>
      <c r="G96" s="1212"/>
    </row>
    <row r="97" spans="2:15" ht="103.5" customHeight="1">
      <c r="B97" s="1206">
        <v>3</v>
      </c>
      <c r="C97" s="1207" t="s">
        <v>1016</v>
      </c>
      <c r="D97" s="1206" t="s">
        <v>971</v>
      </c>
      <c r="E97" s="1208">
        <f>AVERAGE(125000,104000)</f>
        <v>114500</v>
      </c>
      <c r="F97" s="1209" t="s">
        <v>1017</v>
      </c>
      <c r="G97" s="1210"/>
    </row>
    <row r="98" spans="2:15" ht="103.5" customHeight="1">
      <c r="B98" s="1206">
        <v>4</v>
      </c>
      <c r="C98" s="1207" t="s">
        <v>1800</v>
      </c>
      <c r="D98" s="1206" t="s">
        <v>971</v>
      </c>
      <c r="E98" s="1208">
        <f>AVERAGE(155000,62000)</f>
        <v>108500</v>
      </c>
      <c r="F98" s="1209" t="s">
        <v>1020</v>
      </c>
      <c r="G98" s="1210"/>
    </row>
    <row r="99" spans="2:15" ht="103.5" customHeight="1">
      <c r="B99" s="1206">
        <v>5</v>
      </c>
      <c r="C99" s="1207" t="s">
        <v>1019</v>
      </c>
      <c r="D99" s="1206" t="s">
        <v>971</v>
      </c>
      <c r="E99" s="1208">
        <v>92000</v>
      </c>
      <c r="F99" s="1209" t="s">
        <v>1020</v>
      </c>
      <c r="G99" s="1212"/>
    </row>
    <row r="100" spans="2:15" ht="103.5" customHeight="1">
      <c r="B100" s="1206">
        <v>6</v>
      </c>
      <c r="C100" s="1207" t="s">
        <v>1021</v>
      </c>
      <c r="D100" s="1206" t="s">
        <v>971</v>
      </c>
      <c r="E100" s="1208">
        <v>99000</v>
      </c>
      <c r="F100" s="1209" t="s">
        <v>1018</v>
      </c>
      <c r="G100" s="1210"/>
    </row>
    <row r="101" spans="2:15" ht="103.5" customHeight="1">
      <c r="B101" s="1206">
        <v>7</v>
      </c>
      <c r="C101" s="1207" t="s">
        <v>1504</v>
      </c>
      <c r="D101" s="1206" t="s">
        <v>971</v>
      </c>
      <c r="E101" s="1208">
        <v>67000</v>
      </c>
      <c r="F101" s="1209" t="s">
        <v>1503</v>
      </c>
      <c r="G101" s="1210"/>
    </row>
    <row r="102" spans="2:15" ht="103.5" customHeight="1">
      <c r="B102" s="1206">
        <v>8</v>
      </c>
      <c r="C102" s="1207" t="s">
        <v>1539</v>
      </c>
      <c r="D102" s="1206" t="s">
        <v>971</v>
      </c>
      <c r="E102" s="1208">
        <v>100600</v>
      </c>
      <c r="F102" s="1209" t="s">
        <v>1540</v>
      </c>
      <c r="G102" s="1210"/>
    </row>
    <row r="103" spans="2:15" ht="32.25" customHeight="1">
      <c r="B103" s="1471" t="s">
        <v>1022</v>
      </c>
      <c r="C103" s="1472" t="s">
        <v>1023</v>
      </c>
      <c r="D103" s="1473"/>
      <c r="E103" s="1474"/>
      <c r="F103" s="1475"/>
      <c r="G103" s="1476"/>
    </row>
    <row r="104" spans="2:15" ht="103.5" customHeight="1">
      <c r="B104" s="1206">
        <v>1</v>
      </c>
      <c r="C104" s="2343" t="s">
        <v>2571</v>
      </c>
      <c r="D104" s="1206" t="s">
        <v>147</v>
      </c>
      <c r="E104" s="2336">
        <f>157001/0.9</f>
        <v>174445.55555555556</v>
      </c>
      <c r="F104" s="2337" t="s">
        <v>2965</v>
      </c>
      <c r="G104" s="2338"/>
      <c r="I104" s="2343" t="s">
        <v>2571</v>
      </c>
      <c r="J104" s="2342" t="s">
        <v>147</v>
      </c>
      <c r="K104" s="2336">
        <v>129000</v>
      </c>
      <c r="L104" s="2337" t="s">
        <v>2751</v>
      </c>
      <c r="M104" s="2376"/>
    </row>
    <row r="105" spans="2:15" ht="103.5" customHeight="1">
      <c r="B105" s="1206">
        <v>2</v>
      </c>
      <c r="C105" s="1207" t="s">
        <v>1024</v>
      </c>
      <c r="D105" s="1206" t="s">
        <v>147</v>
      </c>
      <c r="E105" s="1208">
        <v>228000</v>
      </c>
      <c r="F105" s="1209" t="s">
        <v>2118</v>
      </c>
      <c r="G105" s="1210"/>
      <c r="K105" s="2343"/>
      <c r="L105" s="2342"/>
      <c r="M105" s="2336"/>
      <c r="N105" s="2337"/>
      <c r="O105" s="2376"/>
    </row>
    <row r="106" spans="2:15" ht="103.5" customHeight="1">
      <c r="B106" s="1206">
        <v>3</v>
      </c>
      <c r="C106" s="2343" t="s">
        <v>2571</v>
      </c>
      <c r="D106" s="2342" t="s">
        <v>147</v>
      </c>
      <c r="E106" s="2336">
        <v>129000</v>
      </c>
      <c r="F106" s="2337" t="s">
        <v>2751</v>
      </c>
      <c r="G106" s="2376"/>
    </row>
    <row r="107" spans="2:15" ht="103.5" customHeight="1">
      <c r="B107" s="1206">
        <v>4</v>
      </c>
      <c r="C107" s="1207" t="s">
        <v>1755</v>
      </c>
      <c r="D107" s="1206" t="s">
        <v>147</v>
      </c>
      <c r="E107" s="2336">
        <f>211680/1.44</f>
        <v>147000</v>
      </c>
      <c r="F107" s="2337" t="s">
        <v>2966</v>
      </c>
      <c r="G107" s="2376"/>
      <c r="I107" s="5">
        <f>4*0.6*0.6</f>
        <v>1.44</v>
      </c>
      <c r="J107" s="5">
        <f>0.6*0.6*3</f>
        <v>1.08</v>
      </c>
      <c r="K107" s="5">
        <f>97000/J107</f>
        <v>89814.814814814803</v>
      </c>
    </row>
    <row r="108" spans="2:15" ht="103.5" customHeight="1">
      <c r="B108" s="1206">
        <v>5</v>
      </c>
      <c r="C108" s="2343" t="s">
        <v>2827</v>
      </c>
      <c r="D108" s="2342" t="s">
        <v>147</v>
      </c>
      <c r="E108" s="2336">
        <v>50500</v>
      </c>
      <c r="F108" s="2337" t="s">
        <v>2828</v>
      </c>
      <c r="G108" s="2376"/>
    </row>
    <row r="109" spans="2:15" ht="103.5" customHeight="1">
      <c r="B109" s="1206">
        <v>6</v>
      </c>
      <c r="C109" s="1207" t="s">
        <v>1025</v>
      </c>
      <c r="D109" s="1206" t="s">
        <v>147</v>
      </c>
      <c r="E109" s="1208">
        <v>518220</v>
      </c>
      <c r="F109" s="1209" t="s">
        <v>2752</v>
      </c>
      <c r="G109" s="1210"/>
    </row>
    <row r="110" spans="2:15" ht="103.5" customHeight="1">
      <c r="B110" s="1206">
        <v>7</v>
      </c>
      <c r="C110" s="2343" t="s">
        <v>2859</v>
      </c>
      <c r="D110" s="1206" t="s">
        <v>147</v>
      </c>
      <c r="E110" s="1208">
        <v>122000</v>
      </c>
      <c r="F110" s="1209" t="s">
        <v>2885</v>
      </c>
      <c r="G110" s="1210"/>
      <c r="I110">
        <f>0.3*0.6*8</f>
        <v>1.44</v>
      </c>
    </row>
    <row r="111" spans="2:15" ht="103.5" customHeight="1">
      <c r="B111" s="1206">
        <v>8</v>
      </c>
      <c r="C111" s="1207" t="s">
        <v>1848</v>
      </c>
      <c r="D111" s="1206" t="s">
        <v>147</v>
      </c>
      <c r="E111" s="1208">
        <v>500000</v>
      </c>
      <c r="F111" s="1209" t="s">
        <v>2753</v>
      </c>
      <c r="G111" s="1210"/>
    </row>
    <row r="112" spans="2:15" ht="103.5" customHeight="1">
      <c r="B112" s="1206">
        <v>9</v>
      </c>
      <c r="C112" s="1207" t="s">
        <v>2856</v>
      </c>
      <c r="D112" s="1206" t="s">
        <v>147</v>
      </c>
      <c r="E112" s="1208">
        <f>208800/I112</f>
        <v>145000</v>
      </c>
      <c r="F112" s="1209" t="s">
        <v>2857</v>
      </c>
      <c r="G112" s="1210"/>
      <c r="I112" s="5">
        <f>0.6*0.6*4</f>
        <v>1.44</v>
      </c>
    </row>
    <row r="113" spans="2:11" ht="103.5" customHeight="1">
      <c r="B113" s="1206">
        <v>10</v>
      </c>
      <c r="C113" s="1207" t="s">
        <v>1026</v>
      </c>
      <c r="D113" s="1206" t="s">
        <v>147</v>
      </c>
      <c r="E113" s="1208">
        <v>725000</v>
      </c>
      <c r="F113" s="1209" t="s">
        <v>2754</v>
      </c>
      <c r="G113" s="1212"/>
    </row>
    <row r="114" spans="2:11" ht="103.5" customHeight="1">
      <c r="B114" s="1206">
        <v>11</v>
      </c>
      <c r="C114" s="1207" t="s">
        <v>2173</v>
      </c>
      <c r="D114" s="1206" t="s">
        <v>147</v>
      </c>
      <c r="E114" s="2336">
        <f>387840/1.92</f>
        <v>202000</v>
      </c>
      <c r="F114" s="2337" t="s">
        <v>2967</v>
      </c>
      <c r="G114" s="2338"/>
      <c r="H114">
        <f>259200/1.92</f>
        <v>135000</v>
      </c>
      <c r="I114" s="5">
        <f>0.8*0.8*3</f>
        <v>1.9200000000000004</v>
      </c>
      <c r="J114" s="5">
        <f>611.28/I114</f>
        <v>318.37499999999994</v>
      </c>
    </row>
    <row r="115" spans="2:11" ht="103.5" customHeight="1">
      <c r="B115" s="1206">
        <v>12</v>
      </c>
      <c r="C115" s="1207" t="s">
        <v>1027</v>
      </c>
      <c r="D115" s="1206" t="s">
        <v>147</v>
      </c>
      <c r="E115" s="1208">
        <v>186000</v>
      </c>
      <c r="F115" s="1209" t="s">
        <v>2755</v>
      </c>
      <c r="G115" s="1212"/>
    </row>
    <row r="116" spans="2:11" ht="103.5" customHeight="1">
      <c r="B116" s="1206">
        <v>13</v>
      </c>
      <c r="C116" s="1207" t="s">
        <v>1755</v>
      </c>
      <c r="D116" s="1206" t="s">
        <v>147</v>
      </c>
      <c r="E116" s="1208">
        <v>90000</v>
      </c>
      <c r="F116" s="1209" t="s">
        <v>2756</v>
      </c>
      <c r="G116" s="1210"/>
    </row>
    <row r="117" spans="2:11" ht="103.5" customHeight="1">
      <c r="B117" s="1206">
        <v>14</v>
      </c>
      <c r="C117" s="1207" t="s">
        <v>1028</v>
      </c>
      <c r="D117" s="1206" t="s">
        <v>147</v>
      </c>
      <c r="E117" s="1208">
        <v>112000</v>
      </c>
      <c r="F117" s="1209" t="s">
        <v>2757</v>
      </c>
      <c r="G117" s="1212"/>
    </row>
    <row r="118" spans="2:11" ht="103.5" customHeight="1">
      <c r="B118" s="1206">
        <v>15</v>
      </c>
      <c r="C118" s="1207" t="s">
        <v>2933</v>
      </c>
      <c r="D118" s="1206" t="s">
        <v>147</v>
      </c>
      <c r="E118" s="1208">
        <f>157000/0.9</f>
        <v>174444.44444444444</v>
      </c>
      <c r="F118" s="1400" t="s">
        <v>2932</v>
      </c>
      <c r="G118" s="1785"/>
      <c r="H118">
        <f>0.3*0.6*5</f>
        <v>0.89999999999999991</v>
      </c>
    </row>
    <row r="119" spans="2:11" ht="103.5" customHeight="1">
      <c r="B119" s="1206">
        <v>16</v>
      </c>
      <c r="C119" s="1207" t="s">
        <v>2591</v>
      </c>
      <c r="D119" s="1206" t="s">
        <v>147</v>
      </c>
      <c r="E119" s="1208">
        <v>65500</v>
      </c>
      <c r="F119" s="1209" t="s">
        <v>2758</v>
      </c>
      <c r="G119" s="1210"/>
      <c r="I119"/>
    </row>
    <row r="120" spans="2:11" ht="103.5" customHeight="1">
      <c r="B120" s="1206">
        <v>17</v>
      </c>
      <c r="C120" s="1207" t="s">
        <v>2591</v>
      </c>
      <c r="D120" s="1206" t="s">
        <v>147</v>
      </c>
      <c r="E120" s="1208">
        <v>57000</v>
      </c>
      <c r="F120" s="1209" t="s">
        <v>2759</v>
      </c>
      <c r="G120" s="1212"/>
      <c r="I120" s="1208">
        <v>44000</v>
      </c>
      <c r="J120" s="1209" t="s">
        <v>2760</v>
      </c>
      <c r="K120" s="1212"/>
    </row>
    <row r="121" spans="2:11" ht="103.5" customHeight="1">
      <c r="B121" s="1206">
        <v>18</v>
      </c>
      <c r="C121" s="1207" t="s">
        <v>2396</v>
      </c>
      <c r="D121" s="1206" t="s">
        <v>147</v>
      </c>
      <c r="E121" s="1208">
        <v>137000</v>
      </c>
      <c r="F121" s="1209" t="s">
        <v>2762</v>
      </c>
      <c r="G121" s="1210"/>
      <c r="K121" s="1396"/>
    </row>
    <row r="122" spans="2:11" ht="103.5" customHeight="1">
      <c r="B122" s="1206">
        <v>19</v>
      </c>
      <c r="C122" s="1207" t="s">
        <v>2396</v>
      </c>
      <c r="D122" s="1206" t="s">
        <v>147</v>
      </c>
      <c r="E122" s="2336">
        <f>100000/0.99</f>
        <v>101010.10101010102</v>
      </c>
      <c r="F122" s="2337" t="s">
        <v>2968</v>
      </c>
      <c r="G122" s="2617"/>
      <c r="I122" s="1208">
        <v>38540</v>
      </c>
      <c r="J122" s="1209" t="s">
        <v>2761</v>
      </c>
      <c r="K122" s="1210"/>
    </row>
    <row r="123" spans="2:11" ht="103.5" customHeight="1">
      <c r="B123" s="1206">
        <v>20</v>
      </c>
      <c r="C123" s="1207" t="s">
        <v>2995</v>
      </c>
      <c r="D123" s="1206" t="s">
        <v>147</v>
      </c>
      <c r="E123" s="1208">
        <v>190000</v>
      </c>
      <c r="F123" s="1209" t="s">
        <v>1678</v>
      </c>
      <c r="G123" s="1210"/>
    </row>
    <row r="124" spans="2:11" ht="103.5" customHeight="1">
      <c r="B124" s="1206">
        <v>21</v>
      </c>
      <c r="C124" s="1207" t="s">
        <v>1029</v>
      </c>
      <c r="D124" s="1206" t="s">
        <v>147</v>
      </c>
      <c r="E124" s="1208">
        <v>175000</v>
      </c>
      <c r="F124" s="1209" t="s">
        <v>1030</v>
      </c>
      <c r="G124" s="1212"/>
    </row>
    <row r="125" spans="2:11" ht="103.5" customHeight="1">
      <c r="B125" s="1206">
        <v>22</v>
      </c>
      <c r="C125" s="1207" t="s">
        <v>1029</v>
      </c>
      <c r="D125" s="1206" t="s">
        <v>147</v>
      </c>
      <c r="E125" s="1208">
        <v>222000</v>
      </c>
      <c r="F125" s="1209" t="s">
        <v>1469</v>
      </c>
      <c r="G125" s="1212"/>
    </row>
    <row r="126" spans="2:11" ht="103.5" customHeight="1">
      <c r="B126" s="1206">
        <v>23</v>
      </c>
      <c r="C126" s="1207" t="s">
        <v>1494</v>
      </c>
      <c r="D126" s="1206" t="s">
        <v>147</v>
      </c>
      <c r="E126" s="1208">
        <v>985000</v>
      </c>
      <c r="F126" s="1209" t="s">
        <v>1493</v>
      </c>
      <c r="G126" s="1212"/>
    </row>
    <row r="127" spans="2:11" ht="103.5" customHeight="1">
      <c r="B127" s="1206">
        <v>24</v>
      </c>
      <c r="C127" s="1207" t="s">
        <v>1696</v>
      </c>
      <c r="D127" s="1206" t="s">
        <v>1074</v>
      </c>
      <c r="E127" s="1208">
        <v>245000</v>
      </c>
      <c r="F127" s="1209" t="s">
        <v>2763</v>
      </c>
      <c r="G127" s="1212"/>
      <c r="H127" s="5" t="s">
        <v>2727</v>
      </c>
    </row>
    <row r="128" spans="2:11" s="1397" customFormat="1" ht="103.5" customHeight="1">
      <c r="B128" s="1206">
        <v>25</v>
      </c>
      <c r="C128" s="1399" t="s">
        <v>1831</v>
      </c>
      <c r="D128" s="1398" t="s">
        <v>1074</v>
      </c>
      <c r="E128" s="1208">
        <f>1/0.435*170000</f>
        <v>390804.59770114941</v>
      </c>
      <c r="F128" s="1400" t="s">
        <v>2764</v>
      </c>
      <c r="G128" s="1401"/>
    </row>
    <row r="129" spans="2:12" s="1397" customFormat="1" ht="103.5" customHeight="1">
      <c r="B129" s="1206">
        <v>26</v>
      </c>
      <c r="C129" s="1399" t="s">
        <v>1696</v>
      </c>
      <c r="D129" s="1398" t="s">
        <v>1074</v>
      </c>
      <c r="E129" s="1208">
        <v>129000</v>
      </c>
      <c r="F129" s="1400" t="s">
        <v>2765</v>
      </c>
      <c r="G129" s="1401"/>
    </row>
    <row r="130" spans="2:12" s="1397" customFormat="1" ht="103.5" customHeight="1">
      <c r="B130" s="1206">
        <v>27</v>
      </c>
      <c r="C130" s="1399" t="s">
        <v>2396</v>
      </c>
      <c r="D130" s="1398" t="s">
        <v>147</v>
      </c>
      <c r="E130" s="2336">
        <f>39000/0.99</f>
        <v>39393.939393939392</v>
      </c>
      <c r="F130" s="2616" t="s">
        <v>3014</v>
      </c>
      <c r="G130"/>
    </row>
    <row r="131" spans="2:12" ht="103.5" customHeight="1">
      <c r="B131" s="1206">
        <v>28</v>
      </c>
      <c r="C131" s="1399" t="s">
        <v>2313</v>
      </c>
      <c r="D131" s="1398" t="s">
        <v>147</v>
      </c>
      <c r="E131" s="1208">
        <v>320000</v>
      </c>
      <c r="F131" s="1400" t="s">
        <v>2314</v>
      </c>
      <c r="G131" s="1401"/>
    </row>
    <row r="132" spans="2:12" ht="103.5" customHeight="1">
      <c r="B132" s="1206">
        <v>29</v>
      </c>
      <c r="C132" s="2343" t="s">
        <v>2921</v>
      </c>
      <c r="D132" s="2342" t="s">
        <v>147</v>
      </c>
      <c r="E132" s="2336">
        <f>180000/1.2</f>
        <v>150000</v>
      </c>
      <c r="F132" s="2337" t="s">
        <v>2922</v>
      </c>
      <c r="G132" s="2376"/>
    </row>
    <row r="133" spans="2:12" ht="32.25" customHeight="1">
      <c r="B133" s="1471" t="s">
        <v>1031</v>
      </c>
      <c r="C133" s="1472" t="s">
        <v>1032</v>
      </c>
      <c r="D133" s="1473"/>
      <c r="E133" s="1474"/>
      <c r="F133" s="1475"/>
      <c r="G133" s="1476"/>
    </row>
    <row r="134" spans="2:12" ht="103.5" customHeight="1">
      <c r="B134" s="1206">
        <v>1</v>
      </c>
      <c r="C134" s="1207" t="s">
        <v>1033</v>
      </c>
      <c r="D134" s="1206" t="s">
        <v>171</v>
      </c>
      <c r="E134" s="1208">
        <f>AVERAGE(133100,168000)</f>
        <v>150550</v>
      </c>
      <c r="F134" s="1209"/>
      <c r="G134" s="1212"/>
      <c r="I134" s="2284" t="s">
        <v>2925</v>
      </c>
    </row>
    <row r="135" spans="2:12" ht="103.5" customHeight="1">
      <c r="B135" s="1206">
        <v>2</v>
      </c>
      <c r="C135" s="1207" t="s">
        <v>1034</v>
      </c>
      <c r="D135" s="1206" t="s">
        <v>47</v>
      </c>
      <c r="E135" s="1208">
        <f>AVERAGE(35000,25000)</f>
        <v>30000</v>
      </c>
      <c r="F135" s="1209"/>
      <c r="G135" s="1212"/>
    </row>
    <row r="136" spans="2:12" ht="32.25" customHeight="1">
      <c r="B136" s="1471" t="s">
        <v>1035</v>
      </c>
      <c r="C136" s="1472" t="s">
        <v>1036</v>
      </c>
      <c r="D136" s="1473"/>
      <c r="E136" s="1474"/>
      <c r="F136" s="1475"/>
      <c r="G136" s="1476"/>
      <c r="J136" s="2331"/>
      <c r="K136" s="2284"/>
      <c r="L136" s="2284"/>
    </row>
    <row r="137" spans="2:12" ht="103.5" customHeight="1">
      <c r="B137" s="1206">
        <v>1</v>
      </c>
      <c r="C137" s="1207" t="s">
        <v>1808</v>
      </c>
      <c r="D137" s="1206" t="s">
        <v>47</v>
      </c>
      <c r="E137" s="1208">
        <v>9076.18</v>
      </c>
      <c r="F137" s="1209" t="s">
        <v>1809</v>
      </c>
      <c r="G137" s="1210"/>
      <c r="I137" s="2331">
        <v>1E-3</v>
      </c>
      <c r="J137" s="2331"/>
      <c r="L137" s="2331"/>
    </row>
    <row r="138" spans="2:12" ht="103.5" customHeight="1">
      <c r="B138" s="1206">
        <v>2</v>
      </c>
      <c r="C138" s="1207" t="s">
        <v>1037</v>
      </c>
      <c r="D138" s="1206" t="s">
        <v>47</v>
      </c>
      <c r="E138" s="1208">
        <v>8665.8700000000008</v>
      </c>
      <c r="F138" s="1209" t="s">
        <v>1809</v>
      </c>
      <c r="G138" s="1210"/>
      <c r="I138" s="2331">
        <v>2E-3</v>
      </c>
      <c r="J138" s="2331"/>
      <c r="L138" s="2331"/>
    </row>
    <row r="139" spans="2:12" ht="103.5" customHeight="1">
      <c r="B139" s="1206">
        <v>3</v>
      </c>
      <c r="C139" s="1207" t="s">
        <v>1038</v>
      </c>
      <c r="D139" s="1206" t="s">
        <v>47</v>
      </c>
      <c r="E139" s="1208">
        <v>8583.86</v>
      </c>
      <c r="F139" s="1209" t="s">
        <v>1809</v>
      </c>
      <c r="G139" s="1210"/>
      <c r="I139" s="2331">
        <v>3.0000000000000001E-3</v>
      </c>
      <c r="J139" s="2331"/>
      <c r="L139" s="2331"/>
    </row>
    <row r="140" spans="2:12" ht="103.5" customHeight="1">
      <c r="B140" s="1206">
        <v>4</v>
      </c>
      <c r="C140" s="1207" t="s">
        <v>1039</v>
      </c>
      <c r="D140" s="1206" t="s">
        <v>47</v>
      </c>
      <c r="E140" s="1208">
        <v>16013.888888888891</v>
      </c>
      <c r="F140" s="1209" t="s">
        <v>1809</v>
      </c>
      <c r="G140" s="1210"/>
      <c r="I140" s="5">
        <v>4.0000000000000001E-3</v>
      </c>
      <c r="L140" s="2331"/>
    </row>
    <row r="141" spans="2:12" ht="103.5" customHeight="1">
      <c r="B141" s="1206">
        <v>5</v>
      </c>
      <c r="C141" s="1207" t="s">
        <v>1040</v>
      </c>
      <c r="D141" s="1206" t="s">
        <v>47</v>
      </c>
      <c r="E141" s="1208">
        <v>8417.7199999999993</v>
      </c>
      <c r="F141" s="1209" t="s">
        <v>1809</v>
      </c>
      <c r="G141" s="1212"/>
      <c r="I141" s="2331">
        <v>5.0000000000000001E-3</v>
      </c>
      <c r="J141" s="2331"/>
      <c r="L141" s="2331"/>
    </row>
    <row r="142" spans="2:12" ht="103.5" customHeight="1">
      <c r="B142" s="1206">
        <v>6</v>
      </c>
      <c r="C142" s="1207" t="s">
        <v>1041</v>
      </c>
      <c r="D142" s="1206" t="s">
        <v>47</v>
      </c>
      <c r="E142" s="1208">
        <v>8225.2800000000007</v>
      </c>
      <c r="F142" s="1209" t="s">
        <v>1809</v>
      </c>
      <c r="G142" s="1210"/>
      <c r="I142" s="2331">
        <v>6.0000000000000001E-3</v>
      </c>
      <c r="J142" s="2331"/>
      <c r="L142" s="2331"/>
    </row>
    <row r="143" spans="2:12" ht="103.5" customHeight="1">
      <c r="B143" s="1206">
        <v>7</v>
      </c>
      <c r="C143" s="1207" t="s">
        <v>1042</v>
      </c>
      <c r="D143" s="1206" t="s">
        <v>47</v>
      </c>
      <c r="E143" s="1208">
        <v>8079.95</v>
      </c>
      <c r="F143" s="1209" t="s">
        <v>1809</v>
      </c>
      <c r="G143" s="1210"/>
      <c r="I143" s="2331">
        <v>7.0000000000000001E-3</v>
      </c>
      <c r="J143" s="2331"/>
      <c r="L143" s="2331"/>
    </row>
    <row r="144" spans="2:12" ht="103.5" customHeight="1">
      <c r="B144" s="1206">
        <v>8</v>
      </c>
      <c r="C144" s="1207" t="s">
        <v>1043</v>
      </c>
      <c r="D144" s="1206" t="s">
        <v>147</v>
      </c>
      <c r="E144" s="1208">
        <f>(96195+92341)/2</f>
        <v>94268</v>
      </c>
      <c r="F144" s="1209" t="s">
        <v>1044</v>
      </c>
      <c r="G144" s="1212"/>
    </row>
    <row r="145" spans="2:17" ht="103.5" customHeight="1">
      <c r="B145" s="1206">
        <v>9</v>
      </c>
      <c r="C145" s="1207" t="s">
        <v>1045</v>
      </c>
      <c r="D145" s="1206" t="s">
        <v>47</v>
      </c>
      <c r="E145" s="1208">
        <f>AVERAGE(26100,7955.35714285714)</f>
        <v>17027.678571428569</v>
      </c>
      <c r="F145" s="1209" t="s">
        <v>1046</v>
      </c>
      <c r="G145" s="1210"/>
    </row>
    <row r="146" spans="2:17" ht="103.5" customHeight="1">
      <c r="B146" s="1206">
        <v>10</v>
      </c>
      <c r="C146" s="1207" t="s">
        <v>1877</v>
      </c>
      <c r="D146" s="1206" t="s">
        <v>129</v>
      </c>
      <c r="E146" s="1208">
        <f>677000/6</f>
        <v>112833.33333333333</v>
      </c>
      <c r="F146" s="1209" t="s">
        <v>1046</v>
      </c>
      <c r="G146" s="1210"/>
      <c r="K146"/>
    </row>
    <row r="147" spans="2:17" ht="103.5" customHeight="1">
      <c r="B147" s="1206">
        <v>11</v>
      </c>
      <c r="C147" s="1207" t="s">
        <v>2560</v>
      </c>
      <c r="D147" s="1206" t="s">
        <v>129</v>
      </c>
      <c r="E147" s="2275">
        <f>AVERAGE(376667,444070)</f>
        <v>410368.5</v>
      </c>
      <c r="F147" s="2276" t="s">
        <v>1046</v>
      </c>
      <c r="G147" s="2277"/>
      <c r="H147" s="1397"/>
      <c r="I147" s="2278">
        <v>12100</v>
      </c>
      <c r="J147" s="1397">
        <v>29.6</v>
      </c>
      <c r="K147" s="1631">
        <v>256</v>
      </c>
      <c r="L147" s="1632" t="s">
        <v>2015</v>
      </c>
      <c r="M147" s="5" t="e">
        <f>L147/12</f>
        <v>#VALUE!</v>
      </c>
      <c r="O147" s="1221"/>
      <c r="P147" s="1633">
        <f>2041000/12</f>
        <v>170083.33333333334</v>
      </c>
      <c r="Q147" s="5">
        <f>4520000/12</f>
        <v>376666.66666666669</v>
      </c>
    </row>
    <row r="148" spans="2:17" ht="103.5" customHeight="1">
      <c r="B148" s="1206">
        <v>12</v>
      </c>
      <c r="C148" s="1207" t="s">
        <v>2526</v>
      </c>
      <c r="D148" s="1206" t="s">
        <v>129</v>
      </c>
      <c r="E148" s="2275">
        <f>AVERAGE(288750,I148*J148)</f>
        <v>323455</v>
      </c>
      <c r="F148" s="2276" t="s">
        <v>1046</v>
      </c>
      <c r="G148" s="2277"/>
      <c r="H148" s="1397"/>
      <c r="I148" s="2278">
        <v>12100</v>
      </c>
      <c r="J148" s="1397">
        <v>29.6</v>
      </c>
      <c r="K148" s="1631">
        <v>256</v>
      </c>
      <c r="L148" s="1632" t="s">
        <v>2015</v>
      </c>
      <c r="M148" s="5" t="e">
        <f>L148/12</f>
        <v>#VALUE!</v>
      </c>
      <c r="O148" s="1221"/>
      <c r="P148" s="1633">
        <f>2041000/12</f>
        <v>170083.33333333334</v>
      </c>
      <c r="Q148" s="5">
        <f>3465000/12</f>
        <v>288750</v>
      </c>
    </row>
    <row r="149" spans="2:17" ht="103.5" customHeight="1">
      <c r="B149" s="1206">
        <v>13</v>
      </c>
      <c r="C149" s="1207" t="s">
        <v>2014</v>
      </c>
      <c r="D149" s="1206" t="s">
        <v>129</v>
      </c>
      <c r="E149" s="1208">
        <f>AVERAGE(166667,2041000/12)</f>
        <v>168375.16666666669</v>
      </c>
      <c r="F149" s="1209" t="s">
        <v>1046</v>
      </c>
      <c r="G149" s="1210"/>
      <c r="J149" s="1631" t="s">
        <v>2014</v>
      </c>
      <c r="K149" s="1631">
        <v>256</v>
      </c>
      <c r="L149" s="1632" t="s">
        <v>2015</v>
      </c>
      <c r="M149" s="5" t="e">
        <f>L149/12</f>
        <v>#VALUE!</v>
      </c>
      <c r="O149"/>
      <c r="P149" s="1633">
        <f>2041000/12</f>
        <v>170083.33333333334</v>
      </c>
      <c r="Q149" s="5">
        <f>2000000/12</f>
        <v>166666.66666666666</v>
      </c>
    </row>
    <row r="150" spans="2:17" ht="103.5" customHeight="1">
      <c r="B150" s="1206">
        <v>14</v>
      </c>
      <c r="C150" s="1207" t="s">
        <v>2261</v>
      </c>
      <c r="D150" s="1206" t="s">
        <v>129</v>
      </c>
      <c r="E150" s="1208">
        <f>AVERAGE(146667,1922760/12)</f>
        <v>153448.5</v>
      </c>
      <c r="F150" s="1209" t="s">
        <v>1046</v>
      </c>
      <c r="G150" s="1210"/>
      <c r="J150" s="1631" t="s">
        <v>2014</v>
      </c>
      <c r="K150" s="1631">
        <v>256</v>
      </c>
      <c r="L150" s="1632" t="s">
        <v>2015</v>
      </c>
      <c r="M150" s="5" t="e">
        <f>L150/12</f>
        <v>#VALUE!</v>
      </c>
      <c r="O150" s="1221"/>
      <c r="P150" s="1633">
        <f>2041000/12</f>
        <v>170083.33333333334</v>
      </c>
      <c r="Q150" s="5">
        <f>1760000/12</f>
        <v>146666.66666666666</v>
      </c>
    </row>
    <row r="151" spans="2:17" ht="103.5" customHeight="1">
      <c r="B151" s="1206">
        <v>15</v>
      </c>
      <c r="C151" s="1207" t="s">
        <v>1047</v>
      </c>
      <c r="D151" s="1206" t="s">
        <v>47</v>
      </c>
      <c r="E151" s="1208">
        <v>5000</v>
      </c>
      <c r="F151" s="1209"/>
      <c r="G151" s="1212"/>
    </row>
    <row r="152" spans="2:17" ht="103.5" customHeight="1">
      <c r="B152" s="1206">
        <v>16</v>
      </c>
      <c r="C152" s="1207" t="s">
        <v>326</v>
      </c>
      <c r="D152" s="1206" t="s">
        <v>47</v>
      </c>
      <c r="E152" s="1208">
        <f>(12563+23000)/2</f>
        <v>17781.5</v>
      </c>
      <c r="F152" s="1209" t="s">
        <v>1048</v>
      </c>
      <c r="G152" s="1210"/>
    </row>
    <row r="153" spans="2:17" ht="103.5" customHeight="1">
      <c r="B153" s="1206">
        <v>17</v>
      </c>
      <c r="C153" s="1207" t="s">
        <v>1049</v>
      </c>
      <c r="D153" s="1206" t="s">
        <v>47</v>
      </c>
      <c r="E153" s="1208">
        <f>AVERAGE(89000,35000)</f>
        <v>62000</v>
      </c>
      <c r="F153" s="1209"/>
      <c r="G153" s="1212"/>
    </row>
    <row r="154" spans="2:17" ht="103.5" customHeight="1">
      <c r="B154" s="1206">
        <v>18</v>
      </c>
      <c r="C154" s="1207" t="s">
        <v>1050</v>
      </c>
      <c r="D154" s="1206" t="s">
        <v>147</v>
      </c>
      <c r="E154" s="1208">
        <v>25000</v>
      </c>
      <c r="F154" s="1209" t="s">
        <v>1051</v>
      </c>
      <c r="G154" s="1210"/>
    </row>
    <row r="155" spans="2:17" ht="103.5" customHeight="1">
      <c r="B155" s="1206">
        <v>19</v>
      </c>
      <c r="C155" s="1207" t="s">
        <v>1052</v>
      </c>
      <c r="D155" s="1206" t="s">
        <v>147</v>
      </c>
      <c r="E155" s="1208">
        <f>AVERAGE(90472,77601.4109347443,80247)</f>
        <v>82773.470311581434</v>
      </c>
      <c r="F155" s="1209" t="s">
        <v>1053</v>
      </c>
      <c r="G155" s="1212"/>
      <c r="I155" s="5">
        <f>5.4*2.1</f>
        <v>11.340000000000002</v>
      </c>
      <c r="J155" s="5">
        <v>910000</v>
      </c>
      <c r="K155" s="5">
        <f>J155/I155</f>
        <v>80246.913580246895</v>
      </c>
      <c r="M155" s="5">
        <v>910000</v>
      </c>
    </row>
    <row r="156" spans="2:17" ht="103.5" customHeight="1">
      <c r="B156" s="1206">
        <v>20</v>
      </c>
      <c r="C156" s="1207" t="s">
        <v>1054</v>
      </c>
      <c r="D156" s="1206" t="s">
        <v>147</v>
      </c>
      <c r="E156" s="1208">
        <f>AVERAGE(65779,48500.8818342152,49383)</f>
        <v>54554.293944738398</v>
      </c>
      <c r="F156" s="1209" t="s">
        <v>1053</v>
      </c>
      <c r="G156" s="1210"/>
      <c r="I156" s="5">
        <f>5.4*2.1</f>
        <v>11.340000000000002</v>
      </c>
      <c r="J156" s="5">
        <v>560000</v>
      </c>
      <c r="K156" s="5">
        <f>J156/I156</f>
        <v>49382.71604938271</v>
      </c>
    </row>
    <row r="157" spans="2:17" ht="103.5" customHeight="1">
      <c r="B157" s="1206">
        <v>21</v>
      </c>
      <c r="C157" s="1207" t="s">
        <v>1055</v>
      </c>
      <c r="D157" s="1206" t="s">
        <v>147</v>
      </c>
      <c r="E157" s="1208">
        <f>AVERAGE(33112,27777.7777777778,27777)</f>
        <v>29555.592592592599</v>
      </c>
      <c r="F157" s="1209" t="s">
        <v>1053</v>
      </c>
      <c r="G157" s="1210"/>
      <c r="I157" s="5">
        <f>5.4*2.1</f>
        <v>11.340000000000002</v>
      </c>
      <c r="J157" s="5">
        <v>315000</v>
      </c>
      <c r="K157" s="5">
        <f>J157/I157</f>
        <v>27777.777777777774</v>
      </c>
    </row>
    <row r="158" spans="2:17" ht="103.5" customHeight="1">
      <c r="B158" s="1206">
        <v>22</v>
      </c>
      <c r="C158" s="1207" t="s">
        <v>236</v>
      </c>
      <c r="D158" s="1206" t="s">
        <v>47</v>
      </c>
      <c r="E158" s="1208">
        <f>AVERAGE(22500,45000)</f>
        <v>33750</v>
      </c>
      <c r="F158" s="1209"/>
      <c r="G158" s="1212"/>
    </row>
    <row r="159" spans="2:17" ht="103.5" customHeight="1">
      <c r="B159" s="1206">
        <v>23</v>
      </c>
      <c r="C159" s="1207" t="s">
        <v>1056</v>
      </c>
      <c r="D159" s="1206" t="s">
        <v>147</v>
      </c>
      <c r="E159" s="1208">
        <f>AVERAGE(180000,110000)</f>
        <v>145000</v>
      </c>
      <c r="F159" s="1209"/>
      <c r="G159" s="1212"/>
    </row>
    <row r="160" spans="2:17" ht="103.5" customHeight="1">
      <c r="B160" s="1206">
        <v>24</v>
      </c>
      <c r="C160" s="1207" t="s">
        <v>2536</v>
      </c>
      <c r="D160" s="1206" t="s">
        <v>171</v>
      </c>
      <c r="E160" s="1208">
        <v>75000</v>
      </c>
      <c r="F160" s="1209" t="s">
        <v>2537</v>
      </c>
      <c r="G160" s="1212"/>
    </row>
    <row r="161" spans="2:11" ht="103.5" customHeight="1">
      <c r="B161" s="1206">
        <v>25</v>
      </c>
      <c r="C161" s="1207" t="s">
        <v>2536</v>
      </c>
      <c r="D161" s="1206" t="s">
        <v>171</v>
      </c>
      <c r="E161" s="1208">
        <v>55000</v>
      </c>
      <c r="F161" s="1209" t="s">
        <v>2538</v>
      </c>
      <c r="G161" s="1210"/>
    </row>
    <row r="162" spans="2:11" ht="103.5" customHeight="1">
      <c r="B162" s="1206">
        <v>26</v>
      </c>
      <c r="C162" s="1207" t="s">
        <v>2023</v>
      </c>
      <c r="D162" s="1206" t="s">
        <v>171</v>
      </c>
      <c r="E162" s="1208">
        <v>215000</v>
      </c>
      <c r="F162" s="1209" t="s">
        <v>2024</v>
      </c>
      <c r="G162" s="1212"/>
      <c r="H162" s="5" t="s">
        <v>2811</v>
      </c>
      <c r="J162" s="1221"/>
      <c r="K162" s="1221"/>
    </row>
    <row r="163" spans="2:11" ht="103.5" customHeight="1">
      <c r="B163" s="1206">
        <v>27</v>
      </c>
      <c r="C163" s="1207" t="s">
        <v>2025</v>
      </c>
      <c r="D163" s="1206" t="s">
        <v>171</v>
      </c>
      <c r="E163" s="1208">
        <v>400000</v>
      </c>
      <c r="F163" s="1209" t="s">
        <v>2024</v>
      </c>
      <c r="G163" s="1210"/>
      <c r="I163"/>
    </row>
    <row r="164" spans="2:11" ht="103.5" customHeight="1">
      <c r="B164" s="1206">
        <v>28</v>
      </c>
      <c r="C164" s="1207" t="s">
        <v>1057</v>
      </c>
      <c r="D164" s="1206" t="s">
        <v>88</v>
      </c>
      <c r="E164" s="1208">
        <v>160000</v>
      </c>
      <c r="F164" s="1209" t="s">
        <v>1058</v>
      </c>
      <c r="G164" s="1212"/>
    </row>
    <row r="165" spans="2:11" ht="103.5" customHeight="1">
      <c r="B165" s="1206">
        <v>29</v>
      </c>
      <c r="C165" s="1207" t="s">
        <v>1059</v>
      </c>
      <c r="D165" s="1206" t="s">
        <v>152</v>
      </c>
      <c r="E165" s="1208">
        <v>28000</v>
      </c>
      <c r="F165" s="1209" t="s">
        <v>1060</v>
      </c>
      <c r="G165" s="1212"/>
    </row>
    <row r="166" spans="2:11" ht="103.5" customHeight="1">
      <c r="B166" s="1206">
        <v>30</v>
      </c>
      <c r="C166" s="1207" t="s">
        <v>1061</v>
      </c>
      <c r="D166" s="1206" t="s">
        <v>171</v>
      </c>
      <c r="E166" s="1208">
        <v>2125</v>
      </c>
      <c r="F166" s="1209" t="s">
        <v>1062</v>
      </c>
      <c r="G166" s="1212"/>
    </row>
    <row r="167" spans="2:11" ht="103.5" customHeight="1">
      <c r="B167" s="1206">
        <v>31</v>
      </c>
      <c r="C167" s="1207" t="s">
        <v>1063</v>
      </c>
      <c r="D167" s="1206" t="s">
        <v>841</v>
      </c>
      <c r="E167" s="1208">
        <v>25000</v>
      </c>
      <c r="F167" s="1470" t="s">
        <v>1064</v>
      </c>
      <c r="G167" s="1212"/>
    </row>
    <row r="168" spans="2:11" ht="103.5" customHeight="1">
      <c r="B168" s="1206">
        <v>32</v>
      </c>
      <c r="C168" s="1207" t="s">
        <v>1065</v>
      </c>
      <c r="D168" s="1206" t="s">
        <v>47</v>
      </c>
      <c r="E168" s="1208">
        <v>7000</v>
      </c>
      <c r="F168" s="1209"/>
      <c r="G168" s="1212"/>
    </row>
    <row r="169" spans="2:11" ht="103.5" customHeight="1">
      <c r="B169" s="1206">
        <v>33</v>
      </c>
      <c r="C169" s="1207" t="s">
        <v>1066</v>
      </c>
      <c r="D169" s="1206" t="s">
        <v>47</v>
      </c>
      <c r="E169" s="1208">
        <v>7000</v>
      </c>
      <c r="F169" s="1209"/>
      <c r="G169" s="1210"/>
    </row>
    <row r="170" spans="2:11" ht="103.5" customHeight="1">
      <c r="B170" s="1206">
        <v>34</v>
      </c>
      <c r="C170" s="1207" t="s">
        <v>1067</v>
      </c>
      <c r="D170" s="1206" t="s">
        <v>47</v>
      </c>
      <c r="E170" s="1208">
        <v>7000</v>
      </c>
      <c r="F170" s="1209"/>
      <c r="G170" s="1210"/>
    </row>
    <row r="171" spans="2:11" ht="103.5" customHeight="1">
      <c r="B171" s="1206">
        <v>35</v>
      </c>
      <c r="C171" s="1207" t="s">
        <v>1068</v>
      </c>
      <c r="D171" s="1206" t="s">
        <v>47</v>
      </c>
      <c r="E171" s="1208">
        <v>7000</v>
      </c>
      <c r="F171" s="1209"/>
      <c r="G171" s="1210"/>
    </row>
    <row r="172" spans="2:11" ht="103.5" customHeight="1">
      <c r="B172" s="1206">
        <v>36</v>
      </c>
      <c r="C172" s="1207" t="s">
        <v>1069</v>
      </c>
      <c r="D172" s="1206" t="s">
        <v>47</v>
      </c>
      <c r="E172" s="1208">
        <v>95000</v>
      </c>
      <c r="F172" s="1209"/>
      <c r="G172" s="1210"/>
    </row>
    <row r="173" spans="2:11" ht="103.5" customHeight="1">
      <c r="B173" s="1206">
        <v>37</v>
      </c>
      <c r="C173" s="1207" t="s">
        <v>1070</v>
      </c>
      <c r="D173" s="1206" t="s">
        <v>47</v>
      </c>
      <c r="E173" s="1208">
        <v>25000</v>
      </c>
      <c r="F173" s="1209"/>
      <c r="G173" s="1212"/>
    </row>
    <row r="174" spans="2:11" ht="103.5" customHeight="1">
      <c r="B174" s="1206">
        <v>38</v>
      </c>
      <c r="C174" s="1207" t="s">
        <v>1071</v>
      </c>
      <c r="D174" s="1206" t="s">
        <v>47</v>
      </c>
      <c r="E174" s="1208">
        <v>70000</v>
      </c>
      <c r="F174" s="1209" t="s">
        <v>1072</v>
      </c>
      <c r="G174" s="1212"/>
    </row>
    <row r="175" spans="2:11" ht="103.5" customHeight="1">
      <c r="B175" s="1206">
        <v>39</v>
      </c>
      <c r="C175" s="1207" t="s">
        <v>1073</v>
      </c>
      <c r="D175" s="1206" t="s">
        <v>171</v>
      </c>
      <c r="E175" s="1208">
        <v>25000</v>
      </c>
      <c r="F175" s="1209"/>
      <c r="G175" s="1210"/>
    </row>
    <row r="176" spans="2:11" s="1397" customFormat="1" ht="103.5" customHeight="1">
      <c r="B176" s="1206">
        <v>40</v>
      </c>
      <c r="C176" s="1399" t="s">
        <v>1818</v>
      </c>
      <c r="D176" s="1398" t="s">
        <v>1074</v>
      </c>
      <c r="E176" s="1208">
        <v>44620</v>
      </c>
      <c r="F176" s="1400" t="s">
        <v>1838</v>
      </c>
      <c r="G176" s="1401"/>
    </row>
    <row r="177" spans="2:9" ht="103.5" customHeight="1">
      <c r="B177" s="1206">
        <v>41</v>
      </c>
      <c r="C177" s="1207" t="s">
        <v>1817</v>
      </c>
      <c r="D177" s="1206" t="s">
        <v>1074</v>
      </c>
      <c r="E177" s="1208">
        <v>45000</v>
      </c>
      <c r="F177" s="1209" t="s">
        <v>1075</v>
      </c>
      <c r="G177" s="1212"/>
    </row>
    <row r="178" spans="2:9" ht="103.5" customHeight="1">
      <c r="B178" s="1206">
        <v>42</v>
      </c>
      <c r="C178" s="1207" t="s">
        <v>1817</v>
      </c>
      <c r="D178" s="1206" t="s">
        <v>1074</v>
      </c>
      <c r="E178" s="1208">
        <v>101650</v>
      </c>
      <c r="F178" s="1209" t="s">
        <v>1820</v>
      </c>
      <c r="G178" s="1212"/>
    </row>
    <row r="179" spans="2:9" ht="103.5" customHeight="1">
      <c r="B179" s="1206">
        <v>43</v>
      </c>
      <c r="C179" s="1207" t="s">
        <v>1852</v>
      </c>
      <c r="D179" s="1206" t="s">
        <v>1074</v>
      </c>
      <c r="E179" s="1208">
        <v>63250</v>
      </c>
      <c r="F179" s="1209" t="s">
        <v>1838</v>
      </c>
      <c r="G179" s="1212"/>
    </row>
    <row r="180" spans="2:9" ht="103.5" customHeight="1">
      <c r="B180" s="1206">
        <v>44</v>
      </c>
      <c r="C180" s="1207" t="s">
        <v>1819</v>
      </c>
      <c r="D180" s="1206" t="s">
        <v>1074</v>
      </c>
      <c r="E180" s="1208">
        <v>69000</v>
      </c>
      <c r="F180" s="1209" t="s">
        <v>1075</v>
      </c>
      <c r="G180" s="1210"/>
    </row>
    <row r="181" spans="2:9" ht="103.5" customHeight="1">
      <c r="B181" s="1206">
        <v>45</v>
      </c>
      <c r="C181" s="1207" t="s">
        <v>1819</v>
      </c>
      <c r="D181" s="1206" t="s">
        <v>1074</v>
      </c>
      <c r="E181" s="1208">
        <v>126500</v>
      </c>
      <c r="F181" s="1209" t="s">
        <v>1820</v>
      </c>
      <c r="G181" s="1210"/>
    </row>
    <row r="182" spans="2:9" ht="103.5" customHeight="1">
      <c r="B182" s="1206">
        <v>46</v>
      </c>
      <c r="C182" s="1207" t="s">
        <v>2647</v>
      </c>
      <c r="D182" s="1206" t="s">
        <v>1074</v>
      </c>
      <c r="E182" s="1208">
        <v>276000</v>
      </c>
      <c r="F182" s="1209" t="s">
        <v>2646</v>
      </c>
      <c r="G182" s="1210"/>
    </row>
    <row r="183" spans="2:9" ht="103.5" customHeight="1">
      <c r="B183" s="1206">
        <v>47</v>
      </c>
      <c r="C183" s="1207" t="s">
        <v>1821</v>
      </c>
      <c r="D183" s="1206" t="s">
        <v>1074</v>
      </c>
      <c r="E183" s="1208">
        <v>161000</v>
      </c>
      <c r="F183" s="1209" t="s">
        <v>1820</v>
      </c>
      <c r="G183" s="1210"/>
    </row>
    <row r="184" spans="2:9" ht="103.5" customHeight="1">
      <c r="B184" s="1206">
        <v>48</v>
      </c>
      <c r="C184" s="1207" t="s">
        <v>1826</v>
      </c>
      <c r="D184" s="1206" t="s">
        <v>1074</v>
      </c>
      <c r="E184" s="1208">
        <v>373750</v>
      </c>
      <c r="F184" s="1209" t="s">
        <v>1851</v>
      </c>
      <c r="G184" s="1210"/>
    </row>
    <row r="185" spans="2:9" ht="103.5" customHeight="1">
      <c r="B185" s="1206">
        <v>49</v>
      </c>
      <c r="C185" s="1207" t="s">
        <v>1822</v>
      </c>
      <c r="D185" s="1206" t="s">
        <v>1074</v>
      </c>
      <c r="E185" s="1208">
        <v>171000</v>
      </c>
      <c r="F185" s="1209" t="s">
        <v>1820</v>
      </c>
      <c r="G185" s="1210"/>
    </row>
    <row r="186" spans="2:9" ht="103.5" customHeight="1">
      <c r="B186" s="1206">
        <v>50</v>
      </c>
      <c r="C186" s="1207" t="s">
        <v>1076</v>
      </c>
      <c r="D186" s="1206" t="s">
        <v>1074</v>
      </c>
      <c r="E186" s="1208">
        <f>(17500+14704)/2</f>
        <v>16102</v>
      </c>
      <c r="F186" s="1209" t="s">
        <v>1077</v>
      </c>
      <c r="G186" s="1212"/>
    </row>
    <row r="187" spans="2:9" ht="103.5" customHeight="1">
      <c r="B187" s="1206">
        <v>51</v>
      </c>
      <c r="C187" s="1207" t="s">
        <v>1078</v>
      </c>
      <c r="D187" s="1206" t="s">
        <v>1074</v>
      </c>
      <c r="E187" s="1208">
        <f>(19738+24000)/2</f>
        <v>21869</v>
      </c>
      <c r="F187" s="1209" t="s">
        <v>1077</v>
      </c>
      <c r="G187" s="1210"/>
    </row>
    <row r="188" spans="2:9" ht="103.5" customHeight="1">
      <c r="B188" s="1206">
        <v>52</v>
      </c>
      <c r="C188" s="1207" t="s">
        <v>1079</v>
      </c>
      <c r="D188" s="1206" t="s">
        <v>147</v>
      </c>
      <c r="E188" s="1208">
        <v>305700</v>
      </c>
      <c r="F188" s="1209" t="s">
        <v>1080</v>
      </c>
      <c r="G188" s="1212"/>
    </row>
    <row r="189" spans="2:9" ht="103.5" customHeight="1">
      <c r="B189" s="1206">
        <v>53</v>
      </c>
      <c r="C189" s="1207" t="s">
        <v>1081</v>
      </c>
      <c r="D189" s="1206" t="s">
        <v>147</v>
      </c>
      <c r="E189" s="1208">
        <v>400000</v>
      </c>
      <c r="F189" s="1209"/>
      <c r="G189"/>
      <c r="H189" s="5" t="s">
        <v>2837</v>
      </c>
    </row>
    <row r="190" spans="2:9" ht="103.5" customHeight="1">
      <c r="B190" s="1206">
        <v>54</v>
      </c>
      <c r="C190" s="1207" t="s">
        <v>2138</v>
      </c>
      <c r="D190" s="1206" t="s">
        <v>147</v>
      </c>
      <c r="E190" s="1208">
        <v>900000</v>
      </c>
      <c r="F190" s="1209" t="s">
        <v>1082</v>
      </c>
      <c r="G190" s="1212"/>
    </row>
    <row r="191" spans="2:9" ht="103.5" customHeight="1">
      <c r="B191" s="1206">
        <v>55</v>
      </c>
      <c r="C191" s="2343" t="s">
        <v>2818</v>
      </c>
      <c r="D191" s="2342" t="s">
        <v>154</v>
      </c>
      <c r="E191" s="2336">
        <v>759050</v>
      </c>
      <c r="F191" s="2337" t="s">
        <v>2819</v>
      </c>
      <c r="G191" s="2338"/>
      <c r="H191" s="2284" t="s">
        <v>2820</v>
      </c>
    </row>
    <row r="192" spans="2:9" ht="103.5" customHeight="1">
      <c r="B192" s="1206">
        <v>56</v>
      </c>
      <c r="C192" s="1207" t="s">
        <v>2227</v>
      </c>
      <c r="D192" s="1206" t="s">
        <v>154</v>
      </c>
      <c r="E192" s="1208">
        <v>1250000</v>
      </c>
      <c r="F192" s="1209" t="s">
        <v>2228</v>
      </c>
      <c r="G192" s="1212"/>
      <c r="I192"/>
    </row>
    <row r="193" spans="2:13" ht="103.5" customHeight="1">
      <c r="B193" s="1206">
        <v>57</v>
      </c>
      <c r="C193" s="1207" t="s">
        <v>2867</v>
      </c>
      <c r="D193" s="1206" t="s">
        <v>80</v>
      </c>
      <c r="E193" s="1208">
        <v>2150000</v>
      </c>
      <c r="F193" s="1209" t="s">
        <v>2809</v>
      </c>
      <c r="G193" s="1212"/>
      <c r="I193" s="1221"/>
    </row>
    <row r="194" spans="2:13" ht="103.5" customHeight="1">
      <c r="B194" s="1206">
        <v>58</v>
      </c>
      <c r="C194" s="1207" t="s">
        <v>2517</v>
      </c>
      <c r="D194" s="1206" t="s">
        <v>154</v>
      </c>
      <c r="E194" s="1208">
        <v>5070000</v>
      </c>
      <c r="F194" s="1209" t="s">
        <v>2553</v>
      </c>
      <c r="G194" s="1212"/>
      <c r="I194" s="1221"/>
      <c r="M194" s="2255"/>
    </row>
    <row r="195" spans="2:13" ht="103.5" customHeight="1">
      <c r="B195" s="1206">
        <v>59</v>
      </c>
      <c r="C195" s="1207" t="s">
        <v>2876</v>
      </c>
      <c r="D195" s="1206" t="s">
        <v>147</v>
      </c>
      <c r="E195" s="1208">
        <v>1350000</v>
      </c>
      <c r="F195" s="1209" t="s">
        <v>2877</v>
      </c>
      <c r="G195" s="1212"/>
      <c r="I195" s="1221"/>
      <c r="M195" s="2255"/>
    </row>
    <row r="196" spans="2:13" ht="32.25" customHeight="1">
      <c r="B196" s="1471" t="s">
        <v>17</v>
      </c>
      <c r="C196" s="1472" t="s">
        <v>1083</v>
      </c>
      <c r="D196" s="1479"/>
      <c r="E196" s="1474"/>
      <c r="F196" s="1475"/>
      <c r="G196" s="1476"/>
    </row>
    <row r="197" spans="2:13" ht="103.5" customHeight="1">
      <c r="B197" s="1206">
        <v>1</v>
      </c>
      <c r="C197" s="1207" t="s">
        <v>1084</v>
      </c>
      <c r="D197" s="1206" t="s">
        <v>147</v>
      </c>
      <c r="E197" s="1208">
        <f>AVERAGE(131000,90000)</f>
        <v>110500</v>
      </c>
      <c r="F197" s="1209" t="s">
        <v>2766</v>
      </c>
      <c r="G197" s="1212"/>
    </row>
    <row r="198" spans="2:13" ht="103.5" customHeight="1">
      <c r="B198" s="1206">
        <v>2</v>
      </c>
      <c r="C198" s="1207" t="s">
        <v>1085</v>
      </c>
      <c r="D198" s="1206" t="s">
        <v>147</v>
      </c>
      <c r="E198" s="1208">
        <f>AVERAGE(157200,97500)</f>
        <v>127350</v>
      </c>
      <c r="F198" s="1209" t="s">
        <v>2766</v>
      </c>
      <c r="G198" s="1210"/>
    </row>
    <row r="199" spans="2:13" ht="103.5" customHeight="1">
      <c r="B199" s="1206">
        <v>3</v>
      </c>
      <c r="C199" s="1207" t="s">
        <v>1086</v>
      </c>
      <c r="D199" s="1206" t="s">
        <v>147</v>
      </c>
      <c r="E199" s="1208">
        <f>AVERAGE(157200,72500)</f>
        <v>114850</v>
      </c>
      <c r="F199" s="1209" t="s">
        <v>2766</v>
      </c>
      <c r="G199" s="1212"/>
    </row>
    <row r="200" spans="2:13" ht="103.5" customHeight="1">
      <c r="B200" s="1206">
        <v>4</v>
      </c>
      <c r="C200" s="1207" t="s">
        <v>1087</v>
      </c>
      <c r="D200" s="1206" t="s">
        <v>147</v>
      </c>
      <c r="E200" s="1208">
        <v>135000</v>
      </c>
      <c r="F200" s="1209" t="s">
        <v>2766</v>
      </c>
      <c r="G200" s="1210"/>
    </row>
    <row r="201" spans="2:13" ht="103.5" customHeight="1">
      <c r="B201" s="1206">
        <v>5</v>
      </c>
      <c r="C201" s="1207" t="s">
        <v>1088</v>
      </c>
      <c r="D201" s="1206" t="s">
        <v>147</v>
      </c>
      <c r="E201" s="1208">
        <v>4000000</v>
      </c>
      <c r="F201" s="1209" t="s">
        <v>1089</v>
      </c>
      <c r="G201" s="1212"/>
    </row>
    <row r="202" spans="2:13" ht="103.5" customHeight="1">
      <c r="B202" s="1206">
        <v>6</v>
      </c>
      <c r="C202" s="1207" t="s">
        <v>1498</v>
      </c>
      <c r="D202" s="1206" t="s">
        <v>147</v>
      </c>
      <c r="E202" s="1208">
        <v>2500000</v>
      </c>
      <c r="F202" s="1209" t="s">
        <v>1499</v>
      </c>
      <c r="G202" s="1212"/>
    </row>
    <row r="203" spans="2:13" ht="103.5" customHeight="1">
      <c r="B203" s="1206">
        <v>7</v>
      </c>
      <c r="C203" s="1207" t="s">
        <v>1090</v>
      </c>
      <c r="D203" s="1206" t="s">
        <v>88</v>
      </c>
      <c r="E203" s="1208">
        <v>23000</v>
      </c>
      <c r="F203" s="1209" t="s">
        <v>2767</v>
      </c>
      <c r="G203" s="1210"/>
    </row>
    <row r="204" spans="2:13" ht="103.5" customHeight="1">
      <c r="B204" s="1206">
        <v>8</v>
      </c>
      <c r="C204" s="1207" t="s">
        <v>1836</v>
      </c>
      <c r="D204" s="1206" t="s">
        <v>88</v>
      </c>
      <c r="E204" s="1208">
        <v>385000</v>
      </c>
      <c r="F204" s="1209" t="s">
        <v>2766</v>
      </c>
      <c r="G204" s="1210"/>
    </row>
    <row r="205" spans="2:13" ht="103.5" customHeight="1">
      <c r="B205" s="1206">
        <v>9</v>
      </c>
      <c r="C205" s="1207" t="s">
        <v>1738</v>
      </c>
      <c r="D205" s="1206" t="s">
        <v>88</v>
      </c>
      <c r="E205" s="1208">
        <v>410000</v>
      </c>
      <c r="F205" s="1209" t="s">
        <v>2766</v>
      </c>
      <c r="G205" s="1210"/>
    </row>
    <row r="206" spans="2:13" ht="103.5" customHeight="1">
      <c r="B206" s="1206">
        <v>10</v>
      </c>
      <c r="C206" s="1207" t="s">
        <v>131</v>
      </c>
      <c r="D206" s="1206" t="s">
        <v>47</v>
      </c>
      <c r="E206" s="1208">
        <v>58500</v>
      </c>
      <c r="F206" s="1209" t="s">
        <v>131</v>
      </c>
      <c r="G206" s="1210"/>
    </row>
    <row r="207" spans="2:13" ht="32.25" customHeight="1">
      <c r="B207" s="1471" t="s">
        <v>1091</v>
      </c>
      <c r="C207" s="1472" t="s">
        <v>1092</v>
      </c>
      <c r="D207" s="1473"/>
      <c r="E207" s="1474"/>
      <c r="F207" s="1475"/>
      <c r="G207" s="1476"/>
    </row>
    <row r="208" spans="2:13" ht="103.5" customHeight="1">
      <c r="B208" s="1206">
        <v>1</v>
      </c>
      <c r="C208" s="1207" t="s">
        <v>1093</v>
      </c>
      <c r="D208" s="1206" t="s">
        <v>47</v>
      </c>
      <c r="E208" s="1208">
        <f>AVERAGE(25000,22500)</f>
        <v>23750</v>
      </c>
      <c r="F208" s="1209" t="s">
        <v>1094</v>
      </c>
      <c r="G208" s="1212"/>
    </row>
    <row r="209" spans="2:9" ht="103.5" customHeight="1">
      <c r="B209" s="1206">
        <v>2</v>
      </c>
      <c r="C209" s="1207" t="s">
        <v>1095</v>
      </c>
      <c r="D209" s="1206" t="s">
        <v>47</v>
      </c>
      <c r="E209" s="1208">
        <v>17500</v>
      </c>
      <c r="F209" s="1209" t="s">
        <v>1096</v>
      </c>
      <c r="G209" s="1212"/>
    </row>
    <row r="210" spans="2:9" ht="103.5" customHeight="1">
      <c r="B210" s="1206">
        <v>3</v>
      </c>
      <c r="C210" s="1207" t="s">
        <v>1097</v>
      </c>
      <c r="D210" s="1206" t="s">
        <v>88</v>
      </c>
      <c r="E210" s="1208">
        <v>200</v>
      </c>
      <c r="F210" s="1209"/>
      <c r="G210" s="1210"/>
    </row>
    <row r="211" spans="2:9" ht="103.5" customHeight="1">
      <c r="B211" s="1206">
        <v>4</v>
      </c>
      <c r="C211" s="1207" t="s">
        <v>461</v>
      </c>
      <c r="D211" s="1206" t="s">
        <v>47</v>
      </c>
      <c r="E211" s="1208">
        <f>AVERAGE(36000,35000)</f>
        <v>35500</v>
      </c>
      <c r="F211" s="1209"/>
      <c r="G211" s="1212"/>
    </row>
    <row r="212" spans="2:9" ht="103.5" customHeight="1">
      <c r="B212" s="1206">
        <v>5</v>
      </c>
      <c r="C212" s="1207" t="s">
        <v>1098</v>
      </c>
      <c r="D212" s="1206" t="s">
        <v>88</v>
      </c>
      <c r="E212" s="1208">
        <v>800</v>
      </c>
      <c r="F212" s="1209"/>
      <c r="G212" s="1212"/>
    </row>
    <row r="213" spans="2:9" ht="103.5" customHeight="1">
      <c r="B213" s="1206">
        <v>6</v>
      </c>
      <c r="C213" s="1207" t="s">
        <v>419</v>
      </c>
      <c r="D213" s="1206" t="s">
        <v>47</v>
      </c>
      <c r="E213" s="1208">
        <f>AVERAGE(25000,58500)</f>
        <v>41750</v>
      </c>
      <c r="F213" s="1209"/>
      <c r="G213" s="1212"/>
    </row>
    <row r="214" spans="2:9" ht="103.5" customHeight="1">
      <c r="B214" s="1206">
        <v>7</v>
      </c>
      <c r="C214" s="1207" t="s">
        <v>1099</v>
      </c>
      <c r="D214" s="1206" t="s">
        <v>47</v>
      </c>
      <c r="E214" s="1208">
        <f>AVERAGE(33000,75000)</f>
        <v>54000</v>
      </c>
      <c r="F214" s="1209"/>
      <c r="G214" s="1212"/>
    </row>
    <row r="215" spans="2:9" ht="32.25" customHeight="1">
      <c r="B215" s="1471" t="s">
        <v>1100</v>
      </c>
      <c r="C215" s="1472" t="s">
        <v>1101</v>
      </c>
      <c r="D215" s="1473"/>
      <c r="E215" s="1474"/>
      <c r="F215" s="1475"/>
      <c r="G215" s="1476"/>
    </row>
    <row r="216" spans="2:9" ht="103.5" customHeight="1">
      <c r="B216" s="1206">
        <v>1</v>
      </c>
      <c r="C216" s="1207" t="s">
        <v>1102</v>
      </c>
      <c r="D216" s="1206" t="s">
        <v>841</v>
      </c>
      <c r="E216" s="1208">
        <f>AVERAGE(125000,124300)</f>
        <v>124650</v>
      </c>
      <c r="F216" s="1209"/>
      <c r="G216" s="1212"/>
    </row>
    <row r="217" spans="2:9" ht="103.5" customHeight="1">
      <c r="B217" s="1206">
        <v>2</v>
      </c>
      <c r="C217" s="1207" t="s">
        <v>1377</v>
      </c>
      <c r="D217" s="1206" t="s">
        <v>841</v>
      </c>
      <c r="E217" s="1208">
        <f>AVERAGE(5825,5850)</f>
        <v>5837.5</v>
      </c>
      <c r="F217" s="1209"/>
      <c r="G217" s="1210"/>
      <c r="I217" s="5">
        <f>23300/4</f>
        <v>5825</v>
      </c>
    </row>
    <row r="218" spans="2:9" ht="103.5" customHeight="1">
      <c r="B218" s="1206">
        <v>3</v>
      </c>
      <c r="C218" s="1207" t="s">
        <v>1378</v>
      </c>
      <c r="D218" s="1206" t="s">
        <v>841</v>
      </c>
      <c r="E218" s="1208">
        <f>AVERAGE(7925,7387.5)</f>
        <v>7656.25</v>
      </c>
      <c r="F218" s="1209"/>
      <c r="G218" s="1210"/>
      <c r="I218" s="5">
        <f>31700/4</f>
        <v>7925</v>
      </c>
    </row>
    <row r="219" spans="2:9" ht="103.5" customHeight="1">
      <c r="B219" s="1206">
        <v>4</v>
      </c>
      <c r="C219" s="1207" t="s">
        <v>1379</v>
      </c>
      <c r="D219" s="1206" t="s">
        <v>841</v>
      </c>
      <c r="E219" s="1208">
        <f>AVERAGE(10825,9900)</f>
        <v>10362.5</v>
      </c>
      <c r="F219" s="1209"/>
      <c r="G219" s="1210"/>
      <c r="I219" s="5">
        <f>43300/4</f>
        <v>10825</v>
      </c>
    </row>
    <row r="220" spans="2:9" ht="103.5" customHeight="1">
      <c r="B220" s="1206">
        <v>5</v>
      </c>
      <c r="C220" s="2281" t="s">
        <v>2555</v>
      </c>
      <c r="D220" s="2282" t="s">
        <v>841</v>
      </c>
      <c r="E220" s="2275">
        <f>AVERAGE(34725,44675)</f>
        <v>39700</v>
      </c>
      <c r="F220" s="1209"/>
      <c r="G220" s="1210"/>
      <c r="I220" s="5">
        <f>138900/4</f>
        <v>34725</v>
      </c>
    </row>
    <row r="221" spans="2:9" ht="103.5" customHeight="1">
      <c r="B221" s="1206">
        <v>6</v>
      </c>
      <c r="C221" s="2343" t="s">
        <v>2814</v>
      </c>
      <c r="D221" s="2342" t="s">
        <v>841</v>
      </c>
      <c r="E221" s="2336">
        <f>AVERAGE(48975,23800)</f>
        <v>36387.5</v>
      </c>
      <c r="F221" s="1209"/>
      <c r="G221" s="1210"/>
      <c r="I221" s="5">
        <f>195900/4</f>
        <v>48975</v>
      </c>
    </row>
    <row r="222" spans="2:9" ht="103.5" customHeight="1">
      <c r="B222" s="1206">
        <v>7</v>
      </c>
      <c r="C222" s="2343" t="s">
        <v>2556</v>
      </c>
      <c r="D222" s="2342" t="s">
        <v>841</v>
      </c>
      <c r="E222" s="2336">
        <f>95201/4</f>
        <v>23800.25</v>
      </c>
      <c r="F222" s="1209"/>
      <c r="G222" s="1210"/>
      <c r="I222" s="5">
        <f>95200/4</f>
        <v>23800</v>
      </c>
    </row>
    <row r="223" spans="2:9" ht="103.5" customHeight="1">
      <c r="B223" s="1206">
        <v>8</v>
      </c>
      <c r="C223" s="2343" t="s">
        <v>2641</v>
      </c>
      <c r="D223" s="2342" t="s">
        <v>841</v>
      </c>
      <c r="E223" s="2336">
        <f>AVERAGE(41600,90000/4)</f>
        <v>32050</v>
      </c>
      <c r="F223" s="1209"/>
      <c r="G223" s="1210"/>
      <c r="I223" s="5">
        <f>166400/4</f>
        <v>41600</v>
      </c>
    </row>
    <row r="224" spans="2:9" ht="103.5" customHeight="1">
      <c r="B224" s="1206">
        <v>9</v>
      </c>
      <c r="C224" s="2343" t="s">
        <v>2642</v>
      </c>
      <c r="D224" s="2342" t="s">
        <v>841</v>
      </c>
      <c r="E224" s="2336">
        <f>AVERAGE(84525,180000/4)</f>
        <v>64762.5</v>
      </c>
      <c r="F224" s="1209"/>
      <c r="G224" s="1210"/>
      <c r="I224" s="5">
        <f>338100/4</f>
        <v>84525</v>
      </c>
    </row>
    <row r="225" spans="2:10" ht="103.5" customHeight="1">
      <c r="B225" s="1206">
        <v>10</v>
      </c>
      <c r="C225" s="2343" t="s">
        <v>2557</v>
      </c>
      <c r="D225" s="2342" t="s">
        <v>841</v>
      </c>
      <c r="E225" s="2336">
        <v>302150</v>
      </c>
      <c r="F225" s="1209"/>
      <c r="G225" s="1212"/>
      <c r="I225" s="5">
        <f>1208600/4</f>
        <v>302150</v>
      </c>
    </row>
    <row r="226" spans="2:10" ht="103.5" customHeight="1">
      <c r="B226" s="1206">
        <v>11</v>
      </c>
      <c r="C226" s="1207" t="s">
        <v>1103</v>
      </c>
      <c r="D226" s="1206" t="s">
        <v>841</v>
      </c>
      <c r="E226" s="1208">
        <f>AVERAGE(63000,15250)</f>
        <v>39125</v>
      </c>
      <c r="F226" s="1209" t="s">
        <v>1104</v>
      </c>
      <c r="G226" s="1212"/>
    </row>
    <row r="227" spans="2:10" ht="103.5" customHeight="1">
      <c r="B227" s="1206">
        <v>12</v>
      </c>
      <c r="C227" s="1207" t="s">
        <v>1105</v>
      </c>
      <c r="D227" s="1206" t="s">
        <v>841</v>
      </c>
      <c r="E227" s="1208">
        <f>AVERAGE(97700,23500)</f>
        <v>60600</v>
      </c>
      <c r="F227" s="1209" t="s">
        <v>1104</v>
      </c>
      <c r="G227" s="1212"/>
    </row>
    <row r="228" spans="2:10" ht="103.5" customHeight="1">
      <c r="B228" s="1206">
        <v>13</v>
      </c>
      <c r="C228" s="1207" t="s">
        <v>1106</v>
      </c>
      <c r="D228" s="1206" t="s">
        <v>841</v>
      </c>
      <c r="E228" s="1208">
        <f>AVERAGE(160700,38500)</f>
        <v>99600</v>
      </c>
      <c r="F228" s="1209" t="s">
        <v>1104</v>
      </c>
      <c r="G228" s="1212"/>
    </row>
    <row r="229" spans="2:10" ht="103.5" customHeight="1">
      <c r="B229" s="1206">
        <v>14</v>
      </c>
      <c r="C229" s="1207" t="s">
        <v>1714</v>
      </c>
      <c r="D229" s="1206" t="s">
        <v>841</v>
      </c>
      <c r="E229" s="1208">
        <f>245000/10</f>
        <v>24500</v>
      </c>
      <c r="F229" s="1209" t="s">
        <v>2768</v>
      </c>
      <c r="G229" s="1480"/>
    </row>
    <row r="230" spans="2:10" ht="103.5" customHeight="1">
      <c r="B230" s="1206">
        <v>15</v>
      </c>
      <c r="C230" s="1207" t="s">
        <v>1107</v>
      </c>
      <c r="D230" s="1206" t="s">
        <v>1108</v>
      </c>
      <c r="E230" s="1208">
        <f>AVERAGE(14000,11900)</f>
        <v>12950</v>
      </c>
      <c r="F230" s="1209" t="s">
        <v>2769</v>
      </c>
      <c r="G230" s="1212"/>
    </row>
    <row r="231" spans="2:10" ht="103.5" customHeight="1">
      <c r="B231" s="1206">
        <v>16</v>
      </c>
      <c r="C231" s="1207" t="s">
        <v>1109</v>
      </c>
      <c r="D231" s="1206" t="s">
        <v>1110</v>
      </c>
      <c r="E231" s="1208">
        <f>AVERAGE(6500,5000)</f>
        <v>5750</v>
      </c>
      <c r="F231" s="1209" t="s">
        <v>2770</v>
      </c>
      <c r="G231" s="1212"/>
    </row>
    <row r="232" spans="2:10" ht="32.25" customHeight="1">
      <c r="B232" s="1471" t="s">
        <v>1111</v>
      </c>
      <c r="C232" s="1472" t="s">
        <v>1112</v>
      </c>
      <c r="D232" s="1473"/>
      <c r="E232" s="1474"/>
      <c r="F232" s="1475"/>
      <c r="G232" s="1476"/>
    </row>
    <row r="233" spans="2:10" ht="103.5" customHeight="1">
      <c r="B233" s="1206">
        <v>1</v>
      </c>
      <c r="C233" s="1207" t="s">
        <v>1113</v>
      </c>
      <c r="D233" s="1206" t="s">
        <v>88</v>
      </c>
      <c r="E233" s="2336">
        <v>2920000</v>
      </c>
      <c r="F233" s="2337" t="s">
        <v>2841</v>
      </c>
      <c r="G233" s="2338"/>
    </row>
    <row r="234" spans="2:10" ht="103.5" customHeight="1">
      <c r="B234" s="1206">
        <v>2</v>
      </c>
      <c r="C234" s="1207" t="s">
        <v>1114</v>
      </c>
      <c r="D234" s="1206" t="s">
        <v>88</v>
      </c>
      <c r="E234" s="2336">
        <v>90000</v>
      </c>
      <c r="F234" s="2337" t="s">
        <v>3011</v>
      </c>
      <c r="G234"/>
      <c r="H234" s="5" t="s">
        <v>2575</v>
      </c>
    </row>
    <row r="235" spans="2:10" ht="103.5" customHeight="1">
      <c r="B235" s="1206">
        <v>3</v>
      </c>
      <c r="C235" s="1207" t="s">
        <v>1521</v>
      </c>
      <c r="D235" s="1206" t="s">
        <v>88</v>
      </c>
      <c r="E235" s="2336">
        <v>23000</v>
      </c>
      <c r="F235" s="2337" t="s">
        <v>2770</v>
      </c>
      <c r="G235" s="2338"/>
    </row>
    <row r="236" spans="2:10" ht="103.5" customHeight="1">
      <c r="B236" s="1206">
        <v>4</v>
      </c>
      <c r="C236" s="1207" t="s">
        <v>1115</v>
      </c>
      <c r="D236" s="1206" t="s">
        <v>88</v>
      </c>
      <c r="E236" s="2336">
        <v>1040900</v>
      </c>
      <c r="F236" s="2337" t="s">
        <v>2888</v>
      </c>
      <c r="G236" s="2338"/>
      <c r="H236" s="5" t="s">
        <v>2824</v>
      </c>
    </row>
    <row r="237" spans="2:10" ht="103.5" customHeight="1">
      <c r="B237" s="1206">
        <v>5</v>
      </c>
      <c r="C237" s="1207" t="s">
        <v>1116</v>
      </c>
      <c r="D237" s="1206" t="s">
        <v>88</v>
      </c>
      <c r="E237" s="1208">
        <v>2000000</v>
      </c>
      <c r="F237" s="2641" t="s">
        <v>3010</v>
      </c>
      <c r="G237" s="1210"/>
    </row>
    <row r="238" spans="2:10" ht="103.5" customHeight="1">
      <c r="B238" s="1206">
        <v>6</v>
      </c>
      <c r="C238" s="1207" t="s">
        <v>1117</v>
      </c>
      <c r="D238" s="1206" t="s">
        <v>80</v>
      </c>
      <c r="E238" s="2336">
        <v>199900</v>
      </c>
      <c r="F238" s="2337" t="s">
        <v>2889</v>
      </c>
      <c r="G238" s="2338"/>
      <c r="H238" s="1296"/>
    </row>
    <row r="239" spans="2:10" ht="103.5" customHeight="1">
      <c r="B239" s="1206">
        <v>7</v>
      </c>
      <c r="C239" s="1207" t="s">
        <v>1118</v>
      </c>
      <c r="D239" s="1206" t="s">
        <v>80</v>
      </c>
      <c r="E239" s="1208">
        <v>1050000</v>
      </c>
      <c r="F239" s="1209" t="s">
        <v>2771</v>
      </c>
      <c r="G239" s="1212"/>
      <c r="J239"/>
    </row>
    <row r="240" spans="2:10" ht="103.5" customHeight="1">
      <c r="B240" s="1206">
        <v>8</v>
      </c>
      <c r="C240" s="1207" t="s">
        <v>1119</v>
      </c>
      <c r="D240" s="1206" t="s">
        <v>80</v>
      </c>
      <c r="E240" s="1208">
        <v>384000</v>
      </c>
      <c r="F240" s="1209" t="s">
        <v>2842</v>
      </c>
      <c r="G240" s="1212"/>
    </row>
    <row r="241" spans="2:10" ht="103.5" customHeight="1">
      <c r="B241" s="1206">
        <v>9</v>
      </c>
      <c r="C241" s="1207" t="s">
        <v>2847</v>
      </c>
      <c r="D241" s="1206" t="s">
        <v>80</v>
      </c>
      <c r="E241" s="2336">
        <v>1550000</v>
      </c>
      <c r="F241" s="2337" t="s">
        <v>2890</v>
      </c>
      <c r="G241" s="2338"/>
      <c r="H241" s="1296" t="s">
        <v>2825</v>
      </c>
    </row>
    <row r="242" spans="2:10" ht="103.5" customHeight="1">
      <c r="B242" s="1206">
        <v>10</v>
      </c>
      <c r="C242" s="1207" t="s">
        <v>1120</v>
      </c>
      <c r="D242" s="1206" t="s">
        <v>80</v>
      </c>
      <c r="E242" s="1208">
        <v>3110000</v>
      </c>
      <c r="F242" s="1209" t="s">
        <v>2772</v>
      </c>
      <c r="G242" s="1210"/>
    </row>
    <row r="243" spans="2:10" ht="103.5" customHeight="1">
      <c r="B243" s="1206">
        <v>11</v>
      </c>
      <c r="C243" s="1207" t="s">
        <v>2843</v>
      </c>
      <c r="D243" s="1206" t="s">
        <v>88</v>
      </c>
      <c r="E243" s="2336">
        <v>150000</v>
      </c>
      <c r="F243" s="2337" t="s">
        <v>3013</v>
      </c>
      <c r="G243"/>
    </row>
    <row r="244" spans="2:10" ht="103.5" customHeight="1">
      <c r="B244" s="1206">
        <v>12</v>
      </c>
      <c r="C244" s="1207" t="s">
        <v>1121</v>
      </c>
      <c r="D244" s="1206" t="s">
        <v>88</v>
      </c>
      <c r="E244" s="1208">
        <v>30000</v>
      </c>
      <c r="F244" s="1209" t="s">
        <v>3012</v>
      </c>
      <c r="G244"/>
      <c r="H244" s="1296" t="s">
        <v>1759</v>
      </c>
    </row>
    <row r="245" spans="2:10" ht="103.5" customHeight="1">
      <c r="B245" s="1206">
        <v>13</v>
      </c>
      <c r="C245" s="1207" t="s">
        <v>1122</v>
      </c>
      <c r="D245" s="1206" t="s">
        <v>88</v>
      </c>
      <c r="E245" s="1208">
        <v>10000</v>
      </c>
      <c r="F245" s="1209" t="s">
        <v>1758</v>
      </c>
      <c r="G245"/>
      <c r="H245" s="1296" t="s">
        <v>1760</v>
      </c>
    </row>
    <row r="246" spans="2:10" ht="103.5" customHeight="1">
      <c r="B246" s="1206">
        <v>14</v>
      </c>
      <c r="C246" s="1207" t="s">
        <v>1123</v>
      </c>
      <c r="D246" s="1206" t="s">
        <v>261</v>
      </c>
      <c r="E246" s="1208">
        <v>65000</v>
      </c>
      <c r="F246" s="1209"/>
      <c r="G246" s="1212"/>
    </row>
    <row r="247" spans="2:10" ht="103.5" customHeight="1">
      <c r="B247" s="1206">
        <v>15</v>
      </c>
      <c r="C247" s="1207" t="s">
        <v>1398</v>
      </c>
      <c r="D247" s="1206" t="s">
        <v>88</v>
      </c>
      <c r="E247" s="1208">
        <v>100000</v>
      </c>
      <c r="F247" s="1209" t="s">
        <v>2773</v>
      </c>
      <c r="G247" s="1480"/>
    </row>
    <row r="248" spans="2:10" ht="103.5" customHeight="1">
      <c r="B248" s="1206">
        <v>16</v>
      </c>
      <c r="C248" s="1207" t="s">
        <v>1400</v>
      </c>
      <c r="D248" s="1206" t="s">
        <v>88</v>
      </c>
      <c r="E248" s="2336">
        <v>80000</v>
      </c>
      <c r="F248" s="2337" t="s">
        <v>2891</v>
      </c>
      <c r="G248" s="2416"/>
    </row>
    <row r="249" spans="2:10" ht="103.5" customHeight="1">
      <c r="B249" s="1206">
        <v>17</v>
      </c>
      <c r="C249" s="1207" t="s">
        <v>2942</v>
      </c>
      <c r="D249" s="1206" t="s">
        <v>88</v>
      </c>
      <c r="E249" s="2336">
        <v>3500000</v>
      </c>
      <c r="F249" s="2337" t="s">
        <v>2941</v>
      </c>
      <c r="G249" s="2416"/>
    </row>
    <row r="250" spans="2:10" ht="103.5" customHeight="1">
      <c r="B250" s="1206">
        <v>18</v>
      </c>
      <c r="C250" s="1207" t="s">
        <v>2513</v>
      </c>
      <c r="D250" s="1206" t="s">
        <v>88</v>
      </c>
      <c r="E250" s="1208">
        <f>(2600000+3000000)/2</f>
        <v>2800000</v>
      </c>
      <c r="F250" s="1209" t="s">
        <v>2516</v>
      </c>
      <c r="G250" s="1480"/>
      <c r="I250" s="5" t="s">
        <v>2514</v>
      </c>
    </row>
    <row r="251" spans="2:10" ht="103.5" customHeight="1">
      <c r="B251" s="1206">
        <v>18</v>
      </c>
      <c r="C251" s="1207" t="s">
        <v>2904</v>
      </c>
      <c r="D251" s="1206" t="s">
        <v>88</v>
      </c>
      <c r="E251" s="1208">
        <v>364100</v>
      </c>
      <c r="F251" s="1209" t="s">
        <v>2905</v>
      </c>
      <c r="G251" s="1480"/>
    </row>
    <row r="252" spans="2:10" ht="103.5" customHeight="1">
      <c r="B252" s="1206">
        <v>18</v>
      </c>
      <c r="C252" s="1207" t="s">
        <v>2906</v>
      </c>
      <c r="D252" s="1206" t="s">
        <v>88</v>
      </c>
      <c r="E252" s="1208">
        <v>866800</v>
      </c>
      <c r="F252" s="1209" t="s">
        <v>2907</v>
      </c>
      <c r="G252" s="1480"/>
    </row>
    <row r="253" spans="2:10" ht="32.25" customHeight="1">
      <c r="B253" s="1471" t="s">
        <v>1124</v>
      </c>
      <c r="C253" s="1472" t="s">
        <v>1125</v>
      </c>
      <c r="D253" s="1473"/>
      <c r="E253" s="1474"/>
      <c r="F253" s="1475"/>
      <c r="G253" s="1476"/>
    </row>
    <row r="254" spans="2:10" ht="103.5" customHeight="1">
      <c r="B254" s="1206">
        <v>1</v>
      </c>
      <c r="C254" s="1207" t="s">
        <v>1126</v>
      </c>
      <c r="D254" s="1206" t="s">
        <v>971</v>
      </c>
      <c r="E254" s="1208">
        <v>858000</v>
      </c>
      <c r="F254" s="1209" t="s">
        <v>1127</v>
      </c>
      <c r="G254" s="1212"/>
    </row>
    <row r="255" spans="2:10" ht="103.5" customHeight="1">
      <c r="B255" s="1206">
        <v>2</v>
      </c>
      <c r="C255" s="1207" t="s">
        <v>2386</v>
      </c>
      <c r="D255" s="1206" t="s">
        <v>147</v>
      </c>
      <c r="E255" s="1208">
        <f>(32289+49000)/2</f>
        <v>40644.5</v>
      </c>
      <c r="F255" s="1209" t="s">
        <v>1077</v>
      </c>
      <c r="G255" s="1212"/>
      <c r="I255" s="5">
        <f>538000/95000</f>
        <v>5.6631578947368419</v>
      </c>
      <c r="J255" s="5">
        <f>425000/I255</f>
        <v>75046.468401486985</v>
      </c>
    </row>
    <row r="256" spans="2:10" ht="103.5" customHeight="1">
      <c r="B256" s="1206">
        <v>3</v>
      </c>
      <c r="C256" s="1207" t="s">
        <v>1128</v>
      </c>
      <c r="D256" s="1206" t="s">
        <v>971</v>
      </c>
      <c r="E256" s="1208">
        <f>AVERAGE(70000,51000)</f>
        <v>60500</v>
      </c>
      <c r="F256" s="1209" t="s">
        <v>2774</v>
      </c>
      <c r="G256" s="1212"/>
    </row>
    <row r="257" spans="2:7" ht="103.5" customHeight="1">
      <c r="B257" s="1206">
        <v>4</v>
      </c>
      <c r="C257" s="1207" t="s">
        <v>1129</v>
      </c>
      <c r="D257" s="1206" t="s">
        <v>971</v>
      </c>
      <c r="E257" s="1208">
        <v>47000</v>
      </c>
      <c r="F257" s="1470" t="s">
        <v>1064</v>
      </c>
      <c r="G257" s="1210"/>
    </row>
    <row r="258" spans="2:7" ht="103.5" customHeight="1">
      <c r="B258" s="1206">
        <v>5</v>
      </c>
      <c r="C258" s="1207" t="s">
        <v>1130</v>
      </c>
      <c r="D258" s="1206" t="s">
        <v>147</v>
      </c>
      <c r="E258" s="1208">
        <v>195000</v>
      </c>
      <c r="F258" s="1209" t="s">
        <v>1131</v>
      </c>
      <c r="G258" s="1212"/>
    </row>
    <row r="259" spans="2:7" ht="103.5" customHeight="1">
      <c r="B259" s="1206">
        <v>6</v>
      </c>
      <c r="C259" s="1207" t="s">
        <v>1132</v>
      </c>
      <c r="D259" s="1206" t="s">
        <v>147</v>
      </c>
      <c r="E259" s="1208">
        <f>1800000/(2.1*11.8)</f>
        <v>72639.225181598056</v>
      </c>
      <c r="F259" s="1209" t="s">
        <v>1133</v>
      </c>
      <c r="G259" s="1212"/>
    </row>
    <row r="260" spans="2:7" ht="103.5" customHeight="1">
      <c r="B260" s="1206">
        <v>7</v>
      </c>
      <c r="C260" s="1207" t="s">
        <v>1134</v>
      </c>
      <c r="D260" s="1206" t="s">
        <v>147</v>
      </c>
      <c r="E260" s="1208">
        <v>3600000</v>
      </c>
      <c r="F260" s="1209" t="s">
        <v>1135</v>
      </c>
      <c r="G260" s="1212"/>
    </row>
    <row r="261" spans="2:7" ht="103.5" customHeight="1">
      <c r="B261" s="1206">
        <v>8</v>
      </c>
      <c r="C261" s="1207" t="s">
        <v>1136</v>
      </c>
      <c r="D261" s="1206" t="s">
        <v>971</v>
      </c>
      <c r="E261" s="1208">
        <v>45000</v>
      </c>
      <c r="F261" s="1209" t="s">
        <v>1137</v>
      </c>
      <c r="G261" s="1212"/>
    </row>
    <row r="262" spans="2:7" ht="103.5" customHeight="1">
      <c r="B262" s="1206">
        <v>9</v>
      </c>
      <c r="C262" s="1207" t="s">
        <v>1697</v>
      </c>
      <c r="D262" s="1206" t="s">
        <v>147</v>
      </c>
      <c r="E262" s="1208">
        <v>950000</v>
      </c>
      <c r="F262" s="1209" t="s">
        <v>1698</v>
      </c>
      <c r="G262" s="1212"/>
    </row>
    <row r="263" spans="2:7" ht="103.5" customHeight="1">
      <c r="B263" s="1206">
        <v>10</v>
      </c>
      <c r="C263" s="1207" t="s">
        <v>1138</v>
      </c>
      <c r="D263" s="1206" t="s">
        <v>147</v>
      </c>
      <c r="E263" s="1208">
        <f>435000/(25*1.2)</f>
        <v>14500</v>
      </c>
      <c r="F263" s="1209"/>
      <c r="G263" s="1212"/>
    </row>
    <row r="264" spans="2:7" ht="103.5" customHeight="1">
      <c r="B264" s="1206">
        <v>11</v>
      </c>
      <c r="C264" s="1207" t="s">
        <v>1139</v>
      </c>
      <c r="D264" s="1206" t="s">
        <v>147</v>
      </c>
      <c r="E264" s="1208">
        <f>1/(0.8*0.8)*32000</f>
        <v>49999.999999999993</v>
      </c>
      <c r="F264" s="1209" t="s">
        <v>1140</v>
      </c>
      <c r="G264" s="1212"/>
    </row>
    <row r="265" spans="2:7" ht="103.5" customHeight="1">
      <c r="B265" s="1206">
        <v>12</v>
      </c>
      <c r="C265" s="1207" t="s">
        <v>1141</v>
      </c>
      <c r="D265" s="1206" t="s">
        <v>971</v>
      </c>
      <c r="E265" s="1208">
        <v>20000</v>
      </c>
      <c r="F265" s="1209"/>
      <c r="G265" s="1212"/>
    </row>
    <row r="266" spans="2:7" ht="103.5" customHeight="1">
      <c r="B266" s="1206">
        <v>13</v>
      </c>
      <c r="C266" s="1207" t="s">
        <v>1142</v>
      </c>
      <c r="D266" s="1206" t="s">
        <v>971</v>
      </c>
      <c r="E266" s="1208">
        <v>65000</v>
      </c>
      <c r="F266" s="1209"/>
      <c r="G266" s="1212"/>
    </row>
    <row r="267" spans="2:7" ht="103.5" customHeight="1">
      <c r="B267" s="1206">
        <v>14</v>
      </c>
      <c r="C267" s="1207" t="s">
        <v>1143</v>
      </c>
      <c r="D267" s="1206" t="s">
        <v>971</v>
      </c>
      <c r="E267" s="1208">
        <v>45000</v>
      </c>
      <c r="F267" s="1209" t="s">
        <v>1144</v>
      </c>
      <c r="G267" s="1212"/>
    </row>
    <row r="268" spans="2:7" ht="103.5" customHeight="1">
      <c r="B268" s="1206">
        <v>15</v>
      </c>
      <c r="C268" s="1207" t="s">
        <v>1145</v>
      </c>
      <c r="D268" s="1206" t="s">
        <v>971</v>
      </c>
      <c r="E268" s="1208">
        <v>50000</v>
      </c>
      <c r="F268" s="1209" t="s">
        <v>1146</v>
      </c>
      <c r="G268" s="1212"/>
    </row>
    <row r="269" spans="2:7" ht="103.5" customHeight="1">
      <c r="B269" s="1206">
        <v>16</v>
      </c>
      <c r="C269" s="1207" t="s">
        <v>1147</v>
      </c>
      <c r="D269" s="1206" t="s">
        <v>971</v>
      </c>
      <c r="E269" s="1208">
        <v>48000</v>
      </c>
      <c r="F269" s="1209" t="s">
        <v>1148</v>
      </c>
      <c r="G269" s="1212"/>
    </row>
    <row r="270" spans="2:7" ht="103.5" customHeight="1">
      <c r="B270" s="1206">
        <v>17</v>
      </c>
      <c r="C270" s="1207" t="s">
        <v>1149</v>
      </c>
      <c r="D270" s="1206" t="s">
        <v>88</v>
      </c>
      <c r="E270" s="1208">
        <v>9900</v>
      </c>
      <c r="F270" s="1209" t="s">
        <v>1150</v>
      </c>
      <c r="G270" s="1212"/>
    </row>
    <row r="271" spans="2:7" ht="103.5" customHeight="1">
      <c r="B271" s="1206">
        <v>18</v>
      </c>
      <c r="C271" s="1207" t="s">
        <v>1151</v>
      </c>
      <c r="D271" s="1206" t="s">
        <v>88</v>
      </c>
      <c r="E271" s="1208">
        <f>52500/4</f>
        <v>13125</v>
      </c>
      <c r="F271" s="1209" t="s">
        <v>1152</v>
      </c>
      <c r="G271" s="1212"/>
    </row>
    <row r="272" spans="2:7" ht="103.5" customHeight="1">
      <c r="B272" s="1206">
        <v>19</v>
      </c>
      <c r="C272" s="1207" t="s">
        <v>1153</v>
      </c>
      <c r="D272" s="1206" t="s">
        <v>147</v>
      </c>
      <c r="E272" s="1208">
        <v>160000</v>
      </c>
      <c r="F272" s="1209" t="s">
        <v>2775</v>
      </c>
      <c r="G272" s="1212"/>
    </row>
    <row r="273" spans="2:9" ht="103.5" customHeight="1">
      <c r="B273" s="1206">
        <v>20</v>
      </c>
      <c r="C273" s="1207" t="s">
        <v>1154</v>
      </c>
      <c r="D273" s="1206" t="s">
        <v>147</v>
      </c>
      <c r="E273" s="1208">
        <f>11.5*12500</f>
        <v>143750</v>
      </c>
      <c r="F273" s="1209" t="s">
        <v>1155</v>
      </c>
      <c r="G273" s="1212"/>
    </row>
    <row r="274" spans="2:9" ht="103.5" customHeight="1">
      <c r="B274" s="1206">
        <v>21</v>
      </c>
      <c r="C274" s="1207" t="s">
        <v>1156</v>
      </c>
      <c r="D274" s="1206" t="s">
        <v>88</v>
      </c>
      <c r="E274" s="1208">
        <f>32500/3</f>
        <v>10833.333333333334</v>
      </c>
      <c r="F274" s="1209" t="s">
        <v>1157</v>
      </c>
      <c r="G274" s="1212"/>
    </row>
    <row r="275" spans="2:9" ht="103.5" customHeight="1">
      <c r="B275" s="1206">
        <v>22</v>
      </c>
      <c r="C275" s="1207" t="s">
        <v>1751</v>
      </c>
      <c r="D275" s="1206" t="s">
        <v>88</v>
      </c>
      <c r="E275" s="1208">
        <v>167000</v>
      </c>
      <c r="F275" s="1209" t="s">
        <v>1157</v>
      </c>
      <c r="G275" s="1212"/>
    </row>
    <row r="276" spans="2:9" ht="103.5" customHeight="1">
      <c r="B276" s="1206">
        <v>23</v>
      </c>
      <c r="C276" s="1207" t="s">
        <v>1752</v>
      </c>
      <c r="D276" s="1206" t="s">
        <v>88</v>
      </c>
      <c r="E276" s="1208">
        <v>92800</v>
      </c>
      <c r="F276" s="1209" t="s">
        <v>1157</v>
      </c>
      <c r="G276" s="1212"/>
    </row>
    <row r="277" spans="2:9" ht="103.5" customHeight="1">
      <c r="B277" s="1206">
        <v>24</v>
      </c>
      <c r="C277" s="1207" t="s">
        <v>1158</v>
      </c>
      <c r="D277" s="1206" t="s">
        <v>147</v>
      </c>
      <c r="E277" s="1208">
        <f>13.7*10000</f>
        <v>137000</v>
      </c>
      <c r="F277" s="1209" t="s">
        <v>1159</v>
      </c>
      <c r="G277" s="1212"/>
    </row>
    <row r="278" spans="2:9" ht="103.5" customHeight="1">
      <c r="B278" s="1206">
        <v>25</v>
      </c>
      <c r="C278" s="1207" t="s">
        <v>1160</v>
      </c>
      <c r="D278" s="1206" t="s">
        <v>88</v>
      </c>
      <c r="E278" s="1208">
        <f>32500/3</f>
        <v>10833.333333333334</v>
      </c>
      <c r="F278" s="1209" t="s">
        <v>1161</v>
      </c>
      <c r="G278" s="1212"/>
    </row>
    <row r="279" spans="2:9" ht="103.5" customHeight="1">
      <c r="B279" s="1206">
        <v>26</v>
      </c>
      <c r="C279" s="1207" t="s">
        <v>1162</v>
      </c>
      <c r="D279" s="1206" t="s">
        <v>147</v>
      </c>
      <c r="E279" s="1208">
        <f>1/(0.3*4)*91000</f>
        <v>75833.333333333343</v>
      </c>
      <c r="F279" s="1209"/>
      <c r="G279" s="1212"/>
    </row>
    <row r="280" spans="2:9" ht="103.5" customHeight="1">
      <c r="B280" s="1206">
        <v>27</v>
      </c>
      <c r="C280" s="1207" t="s">
        <v>1163</v>
      </c>
      <c r="D280" s="1206" t="s">
        <v>171</v>
      </c>
      <c r="E280" s="1208">
        <f>(15353+11872)/2</f>
        <v>13612.5</v>
      </c>
      <c r="F280" s="1209" t="s">
        <v>2776</v>
      </c>
      <c r="G280" s="1212"/>
      <c r="I280" s="5">
        <f>71234/6</f>
        <v>11872.333333333334</v>
      </c>
    </row>
    <row r="281" spans="2:9" ht="103.5" customHeight="1">
      <c r="B281" s="1206">
        <v>28</v>
      </c>
      <c r="C281" s="1207" t="s">
        <v>1164</v>
      </c>
      <c r="D281" s="1206" t="s">
        <v>171</v>
      </c>
      <c r="E281" s="1208">
        <f>(10000+4437)/2</f>
        <v>7218.5</v>
      </c>
      <c r="F281" s="1209" t="s">
        <v>2777</v>
      </c>
      <c r="G281" s="1210"/>
      <c r="I281" s="5">
        <f>26624/6</f>
        <v>4437.333333333333</v>
      </c>
    </row>
    <row r="282" spans="2:9" ht="103.5" customHeight="1">
      <c r="B282" s="1206">
        <v>29</v>
      </c>
      <c r="C282" s="1207" t="s">
        <v>1165</v>
      </c>
      <c r="D282" s="1206" t="s">
        <v>171</v>
      </c>
      <c r="E282" s="1208">
        <f>(15353+11872)/2</f>
        <v>13612.5</v>
      </c>
      <c r="F282" s="1209" t="s">
        <v>2776</v>
      </c>
      <c r="G282" s="1210"/>
    </row>
    <row r="283" spans="2:9" ht="103.5" customHeight="1">
      <c r="B283" s="1206">
        <v>30</v>
      </c>
      <c r="C283" s="1207" t="s">
        <v>1166</v>
      </c>
      <c r="D283" s="1206" t="s">
        <v>171</v>
      </c>
      <c r="E283" s="1208"/>
      <c r="F283" s="1209"/>
      <c r="G283" s="1212"/>
    </row>
    <row r="284" spans="2:9" ht="103.5" customHeight="1">
      <c r="B284" s="1206">
        <v>31</v>
      </c>
      <c r="C284" s="1207" t="s">
        <v>1167</v>
      </c>
      <c r="D284" s="1206" t="s">
        <v>88</v>
      </c>
      <c r="E284" s="1208"/>
      <c r="F284" s="1209"/>
      <c r="G284" s="1212"/>
    </row>
    <row r="285" spans="2:9" ht="32.25" customHeight="1">
      <c r="B285" s="1471" t="s">
        <v>1168</v>
      </c>
      <c r="C285" s="1472" t="s">
        <v>1169</v>
      </c>
      <c r="D285" s="1479"/>
      <c r="E285" s="1474"/>
      <c r="F285" s="1475"/>
      <c r="G285" s="1476"/>
    </row>
    <row r="286" spans="2:9" ht="103.5" customHeight="1">
      <c r="B286" s="1206">
        <v>1</v>
      </c>
      <c r="C286" s="1207" t="s">
        <v>1170</v>
      </c>
      <c r="D286" s="1206" t="s">
        <v>80</v>
      </c>
      <c r="E286" s="1208">
        <v>255000</v>
      </c>
      <c r="F286" s="1470" t="s">
        <v>1171</v>
      </c>
      <c r="G286" s="1212"/>
    </row>
    <row r="287" spans="2:9" ht="103.5" customHeight="1">
      <c r="B287" s="1206">
        <v>2</v>
      </c>
      <c r="C287" s="1207" t="s">
        <v>1172</v>
      </c>
      <c r="D287" s="1206" t="s">
        <v>80</v>
      </c>
      <c r="E287" s="1208">
        <v>3310000</v>
      </c>
      <c r="F287" s="1470" t="s">
        <v>1173</v>
      </c>
      <c r="G287" s="1212"/>
    </row>
    <row r="288" spans="2:9" ht="103.5" customHeight="1">
      <c r="B288" s="1206">
        <v>3</v>
      </c>
      <c r="C288" s="1207" t="s">
        <v>2778</v>
      </c>
      <c r="D288" s="1206" t="s">
        <v>80</v>
      </c>
      <c r="E288" s="1208">
        <v>3500000</v>
      </c>
      <c r="F288" s="1470" t="s">
        <v>1174</v>
      </c>
      <c r="G288" s="1210"/>
    </row>
    <row r="289" spans="2:9" ht="103.5" customHeight="1">
      <c r="B289" s="1206">
        <v>4</v>
      </c>
      <c r="C289" s="1207" t="s">
        <v>2779</v>
      </c>
      <c r="D289" s="1206" t="s">
        <v>80</v>
      </c>
      <c r="E289" s="1208">
        <v>5300000</v>
      </c>
      <c r="F289" s="1470" t="s">
        <v>1175</v>
      </c>
      <c r="G289" s="1210"/>
    </row>
    <row r="290" spans="2:9" ht="32.25" customHeight="1">
      <c r="B290" s="1471" t="s">
        <v>1176</v>
      </c>
      <c r="C290" s="1472" t="s">
        <v>1177</v>
      </c>
      <c r="D290" s="1473"/>
      <c r="E290" s="1474"/>
      <c r="F290" s="1475"/>
      <c r="G290" s="1476"/>
    </row>
    <row r="291" spans="2:9" ht="103.5" customHeight="1">
      <c r="B291" s="1206">
        <v>1</v>
      </c>
      <c r="C291" s="1207" t="s">
        <v>1178</v>
      </c>
      <c r="D291" s="1206" t="s">
        <v>129</v>
      </c>
      <c r="E291" s="1208">
        <f>AVERAGE(350000/50,371145/50)</f>
        <v>7211.45</v>
      </c>
      <c r="F291" s="1400" t="s">
        <v>1856</v>
      </c>
      <c r="G291" s="1212"/>
    </row>
    <row r="292" spans="2:9" ht="103.5" customHeight="1">
      <c r="B292" s="1206">
        <v>2</v>
      </c>
      <c r="C292" s="1207" t="s">
        <v>1179</v>
      </c>
      <c r="D292" s="1206" t="s">
        <v>129</v>
      </c>
      <c r="E292" s="1208">
        <f>AVERAGE(529200/50,450000/50)</f>
        <v>9792</v>
      </c>
      <c r="F292" s="1400" t="s">
        <v>1180</v>
      </c>
      <c r="G292" s="1210"/>
    </row>
    <row r="293" spans="2:9" ht="103.5" customHeight="1">
      <c r="B293" s="1206">
        <v>3</v>
      </c>
      <c r="C293" s="1207" t="s">
        <v>1181</v>
      </c>
      <c r="D293" s="1206" t="s">
        <v>1182</v>
      </c>
      <c r="E293" s="1208">
        <v>410000</v>
      </c>
      <c r="F293" s="1400" t="s">
        <v>1857</v>
      </c>
      <c r="G293" s="1401"/>
    </row>
    <row r="294" spans="2:9" ht="103.5" customHeight="1">
      <c r="B294" s="1206">
        <v>4</v>
      </c>
      <c r="C294" s="1207" t="s">
        <v>1183</v>
      </c>
      <c r="D294" s="1206" t="s">
        <v>88</v>
      </c>
      <c r="E294" s="1807">
        <v>65536</v>
      </c>
      <c r="F294" s="1400" t="s">
        <v>2141</v>
      </c>
      <c r="G294" s="1401"/>
      <c r="I294" s="1612"/>
    </row>
    <row r="295" spans="2:9" ht="103.5" customHeight="1">
      <c r="B295" s="1206">
        <v>5</v>
      </c>
      <c r="C295" s="1207" t="s">
        <v>1183</v>
      </c>
      <c r="D295" s="1206" t="s">
        <v>88</v>
      </c>
      <c r="E295" s="1807">
        <v>65536</v>
      </c>
      <c r="F295" s="1400" t="s">
        <v>2142</v>
      </c>
      <c r="G295" s="1401"/>
    </row>
    <row r="296" spans="2:9" ht="103.5" customHeight="1">
      <c r="B296" s="1206">
        <v>6</v>
      </c>
      <c r="C296" s="1207" t="s">
        <v>1183</v>
      </c>
      <c r="D296" s="1206" t="s">
        <v>88</v>
      </c>
      <c r="E296" s="1808">
        <v>49884</v>
      </c>
      <c r="F296" s="1400" t="s">
        <v>2143</v>
      </c>
      <c r="G296" s="1401"/>
    </row>
    <row r="297" spans="2:9" ht="103.5" customHeight="1">
      <c r="B297" s="1206">
        <v>7</v>
      </c>
      <c r="C297" s="1207" t="s">
        <v>1183</v>
      </c>
      <c r="D297" s="1206" t="s">
        <v>88</v>
      </c>
      <c r="E297" s="1808">
        <v>49884</v>
      </c>
      <c r="F297" s="1400" t="s">
        <v>2144</v>
      </c>
      <c r="G297" s="1401"/>
    </row>
    <row r="298" spans="2:9" ht="103.5" customHeight="1">
      <c r="B298" s="1206">
        <v>8</v>
      </c>
      <c r="C298" s="1207" t="s">
        <v>1183</v>
      </c>
      <c r="D298" s="1206" t="s">
        <v>88</v>
      </c>
      <c r="E298" s="1808">
        <v>49884</v>
      </c>
      <c r="F298" s="1400" t="s">
        <v>1858</v>
      </c>
      <c r="G298" s="1401"/>
    </row>
    <row r="299" spans="2:9" ht="103.5" customHeight="1">
      <c r="B299" s="1206">
        <v>9</v>
      </c>
      <c r="C299" s="1207" t="s">
        <v>1183</v>
      </c>
      <c r="D299" s="1206" t="s">
        <v>88</v>
      </c>
      <c r="E299" s="1808">
        <v>49884</v>
      </c>
      <c r="F299" s="1400" t="s">
        <v>2145</v>
      </c>
      <c r="G299" s="1401"/>
    </row>
    <row r="300" spans="2:9" ht="103.5" customHeight="1">
      <c r="B300" s="1206">
        <v>10</v>
      </c>
      <c r="C300" s="1207" t="s">
        <v>1183</v>
      </c>
      <c r="D300" s="1206" t="s">
        <v>88</v>
      </c>
      <c r="E300" s="1808">
        <v>55381</v>
      </c>
      <c r="F300" s="1400" t="s">
        <v>2146</v>
      </c>
      <c r="G300" s="1401"/>
    </row>
    <row r="301" spans="2:9" ht="103.5" customHeight="1">
      <c r="B301" s="1206">
        <v>11</v>
      </c>
      <c r="C301" s="1207" t="s">
        <v>1183</v>
      </c>
      <c r="D301" s="1206" t="s">
        <v>88</v>
      </c>
      <c r="E301" s="1808">
        <v>57888</v>
      </c>
      <c r="F301" s="1400" t="s">
        <v>2147</v>
      </c>
      <c r="G301" s="1401"/>
    </row>
    <row r="302" spans="2:9" ht="103.5" customHeight="1">
      <c r="B302" s="1206">
        <v>12</v>
      </c>
      <c r="C302" s="1207" t="s">
        <v>1183</v>
      </c>
      <c r="D302" s="1206" t="s">
        <v>88</v>
      </c>
      <c r="E302" s="1808">
        <v>69854</v>
      </c>
      <c r="F302" s="1400" t="s">
        <v>2402</v>
      </c>
      <c r="G302" s="1401"/>
    </row>
    <row r="303" spans="2:9" ht="103.5" customHeight="1">
      <c r="B303" s="1206">
        <v>13</v>
      </c>
      <c r="C303" s="1207" t="s">
        <v>1184</v>
      </c>
      <c r="D303" s="1206" t="s">
        <v>88</v>
      </c>
      <c r="E303" s="1208">
        <v>453915</v>
      </c>
      <c r="F303" s="1209" t="s">
        <v>1185</v>
      </c>
      <c r="G303" s="1212"/>
    </row>
    <row r="304" spans="2:9" ht="103.5" customHeight="1">
      <c r="B304" s="1206">
        <v>14</v>
      </c>
      <c r="C304" s="1207" t="s">
        <v>1186</v>
      </c>
      <c r="D304" s="1206" t="s">
        <v>88</v>
      </c>
      <c r="E304" s="1208">
        <v>9870</v>
      </c>
      <c r="F304" s="1400" t="s">
        <v>1861</v>
      </c>
      <c r="G304" s="1401"/>
    </row>
    <row r="305" spans="2:9" ht="103.5" customHeight="1">
      <c r="B305" s="1206">
        <v>15</v>
      </c>
      <c r="C305" s="1207" t="s">
        <v>1187</v>
      </c>
      <c r="D305" s="1206" t="s">
        <v>88</v>
      </c>
      <c r="E305" s="1208">
        <v>13412</v>
      </c>
      <c r="F305" s="1400" t="s">
        <v>1862</v>
      </c>
      <c r="G305" s="1401"/>
    </row>
    <row r="306" spans="2:9" ht="103.5" customHeight="1">
      <c r="B306" s="1206">
        <v>16</v>
      </c>
      <c r="C306" s="1207" t="s">
        <v>1421</v>
      </c>
      <c r="D306" s="1206" t="s">
        <v>88</v>
      </c>
      <c r="E306" s="1208">
        <v>17493</v>
      </c>
      <c r="F306" s="1400" t="s">
        <v>1863</v>
      </c>
      <c r="G306" s="1401"/>
    </row>
    <row r="307" spans="2:9" s="1397" customFormat="1" ht="103.5" customHeight="1">
      <c r="B307" s="1206">
        <v>17</v>
      </c>
      <c r="C307" s="1399" t="s">
        <v>1859</v>
      </c>
      <c r="D307" s="1398" t="s">
        <v>88</v>
      </c>
      <c r="E307" s="1208">
        <v>87703</v>
      </c>
      <c r="F307" s="1400" t="s">
        <v>1860</v>
      </c>
      <c r="G307" s="1401"/>
    </row>
    <row r="308" spans="2:9" ht="103.5" customHeight="1">
      <c r="B308" s="1206">
        <v>18</v>
      </c>
      <c r="C308" s="1207" t="s">
        <v>1188</v>
      </c>
      <c r="D308" s="1206" t="s">
        <v>88</v>
      </c>
      <c r="E308" s="1208">
        <v>17367</v>
      </c>
      <c r="F308" s="1400" t="s">
        <v>1864</v>
      </c>
      <c r="G308" s="1401"/>
    </row>
    <row r="309" spans="2:9" ht="103.5" customHeight="1">
      <c r="B309" s="1206">
        <v>19</v>
      </c>
      <c r="C309" s="1207" t="s">
        <v>882</v>
      </c>
      <c r="D309" s="1206" t="s">
        <v>88</v>
      </c>
      <c r="E309" s="1208">
        <v>49623</v>
      </c>
      <c r="F309" s="1209" t="s">
        <v>1189</v>
      </c>
      <c r="G309" s="1212"/>
    </row>
    <row r="310" spans="2:9" ht="103.5" customHeight="1">
      <c r="B310" s="1206">
        <v>20</v>
      </c>
      <c r="C310" s="1207" t="s">
        <v>1190</v>
      </c>
      <c r="D310" s="1206" t="s">
        <v>88</v>
      </c>
      <c r="E310" s="1208">
        <v>65000</v>
      </c>
      <c r="F310" s="1209" t="s">
        <v>1191</v>
      </c>
      <c r="G310" s="1212"/>
    </row>
    <row r="311" spans="2:9" ht="103.5" customHeight="1">
      <c r="B311" s="1206">
        <v>21</v>
      </c>
      <c r="C311" s="1207" t="s">
        <v>879</v>
      </c>
      <c r="D311" s="1206" t="s">
        <v>88</v>
      </c>
      <c r="E311" s="1208">
        <v>270000</v>
      </c>
      <c r="F311" s="1209" t="s">
        <v>2780</v>
      </c>
      <c r="G311" s="1212"/>
    </row>
    <row r="312" spans="2:9" ht="103.5" customHeight="1">
      <c r="B312" s="1206">
        <v>22</v>
      </c>
      <c r="C312" s="1207" t="s">
        <v>1192</v>
      </c>
      <c r="D312" s="1206" t="s">
        <v>88</v>
      </c>
      <c r="E312" s="2336">
        <v>37000</v>
      </c>
      <c r="F312" s="2337" t="s">
        <v>2708</v>
      </c>
      <c r="G312" s="2338"/>
      <c r="I312" s="5" t="s">
        <v>2648</v>
      </c>
    </row>
    <row r="313" spans="2:9" ht="103.5" customHeight="1">
      <c r="B313" s="1206">
        <v>23</v>
      </c>
      <c r="C313" s="1207" t="s">
        <v>1192</v>
      </c>
      <c r="D313" s="1206" t="s">
        <v>88</v>
      </c>
      <c r="E313" s="2336">
        <v>139800</v>
      </c>
      <c r="F313" s="2337" t="s">
        <v>2709</v>
      </c>
      <c r="G313" s="2338"/>
      <c r="I313" s="5" t="s">
        <v>2609</v>
      </c>
    </row>
    <row r="314" spans="2:9" ht="103.5" customHeight="1">
      <c r="B314" s="1206">
        <v>24</v>
      </c>
      <c r="C314" s="1207" t="s">
        <v>1192</v>
      </c>
      <c r="D314" s="1206" t="s">
        <v>88</v>
      </c>
      <c r="E314" s="2336">
        <v>175000</v>
      </c>
      <c r="F314" s="2337" t="s">
        <v>1476</v>
      </c>
      <c r="G314" s="2338"/>
      <c r="I314" s="5" t="s">
        <v>2576</v>
      </c>
    </row>
    <row r="315" spans="2:9" ht="103.5" customHeight="1">
      <c r="B315" s="1206">
        <v>25</v>
      </c>
      <c r="C315" s="1207" t="s">
        <v>1193</v>
      </c>
      <c r="D315" s="1206" t="s">
        <v>88</v>
      </c>
      <c r="E315" s="2336">
        <v>58000</v>
      </c>
      <c r="F315" s="2337" t="s">
        <v>2710</v>
      </c>
      <c r="G315" s="2338"/>
      <c r="I315" s="5" t="s">
        <v>2577</v>
      </c>
    </row>
    <row r="316" spans="2:9" ht="103.5" customHeight="1">
      <c r="B316" s="1206">
        <v>26</v>
      </c>
      <c r="C316" s="1207" t="s">
        <v>1512</v>
      </c>
      <c r="D316" s="1206" t="s">
        <v>88</v>
      </c>
      <c r="E316" s="1208">
        <v>617500</v>
      </c>
      <c r="F316" s="1209" t="s">
        <v>2612</v>
      </c>
      <c r="G316" s="1212"/>
      <c r="I316" s="5" t="s">
        <v>2611</v>
      </c>
    </row>
    <row r="317" spans="2:9" ht="103.5" customHeight="1">
      <c r="B317" s="1206">
        <v>27</v>
      </c>
      <c r="C317" s="1207" t="s">
        <v>1194</v>
      </c>
      <c r="D317" s="1206" t="s">
        <v>88</v>
      </c>
      <c r="E317" s="1208">
        <v>315000</v>
      </c>
      <c r="F317" s="1209" t="s">
        <v>1195</v>
      </c>
      <c r="G317" s="1212"/>
    </row>
    <row r="318" spans="2:9" ht="103.5" customHeight="1">
      <c r="B318" s="1206">
        <v>28</v>
      </c>
      <c r="C318" s="1207" t="s">
        <v>1473</v>
      </c>
      <c r="D318" s="1206" t="s">
        <v>88</v>
      </c>
      <c r="E318" s="1208">
        <f>174000</f>
        <v>174000</v>
      </c>
      <c r="F318" s="1209" t="s">
        <v>1487</v>
      </c>
      <c r="G318" s="1212"/>
    </row>
    <row r="319" spans="2:9" ht="103.5" customHeight="1">
      <c r="B319" s="1206">
        <v>29</v>
      </c>
      <c r="C319" s="1207" t="s">
        <v>1196</v>
      </c>
      <c r="D319" s="1206" t="s">
        <v>88</v>
      </c>
      <c r="E319" s="1208">
        <v>225000</v>
      </c>
      <c r="F319" s="1209" t="s">
        <v>1197</v>
      </c>
      <c r="G319" s="1212"/>
    </row>
    <row r="320" spans="2:9" ht="103.5" customHeight="1">
      <c r="B320" s="1206">
        <v>30</v>
      </c>
      <c r="C320" s="1207" t="s">
        <v>900</v>
      </c>
      <c r="D320" s="1206" t="s">
        <v>88</v>
      </c>
      <c r="E320" s="1208">
        <v>49900</v>
      </c>
      <c r="F320" s="1209" t="s">
        <v>1198</v>
      </c>
      <c r="G320" s="1212"/>
    </row>
    <row r="321" spans="2:8" ht="103.5" customHeight="1">
      <c r="B321" s="1206">
        <v>31</v>
      </c>
      <c r="C321" s="1207" t="s">
        <v>1199</v>
      </c>
      <c r="D321" s="1206" t="s">
        <v>88</v>
      </c>
      <c r="E321" s="1208">
        <v>2190000</v>
      </c>
      <c r="F321" s="1209" t="s">
        <v>2781</v>
      </c>
      <c r="G321" s="1212"/>
      <c r="H321"/>
    </row>
    <row r="322" spans="2:8" ht="103.5" customHeight="1">
      <c r="B322" s="1206">
        <v>32</v>
      </c>
      <c r="C322" s="1207" t="s">
        <v>1514</v>
      </c>
      <c r="D322" s="1206" t="s">
        <v>88</v>
      </c>
      <c r="E322" s="1208">
        <v>3417000</v>
      </c>
      <c r="F322" s="1209" t="s">
        <v>2782</v>
      </c>
      <c r="G322" s="1212"/>
      <c r="H322"/>
    </row>
    <row r="323" spans="2:8" ht="103.5" customHeight="1">
      <c r="B323" s="1206">
        <v>33</v>
      </c>
      <c r="C323" s="2343" t="s">
        <v>2737</v>
      </c>
      <c r="D323" s="2342" t="s">
        <v>88</v>
      </c>
      <c r="E323" s="2336">
        <v>26200000</v>
      </c>
      <c r="F323" s="2337" t="s">
        <v>2899</v>
      </c>
      <c r="G323" s="2338"/>
    </row>
    <row r="324" spans="2:8" ht="103.5" customHeight="1">
      <c r="B324" s="1206">
        <v>34</v>
      </c>
      <c r="C324" s="1207" t="s">
        <v>1201</v>
      </c>
      <c r="D324" s="1206" t="s">
        <v>88</v>
      </c>
      <c r="E324" s="1208">
        <v>60000</v>
      </c>
      <c r="F324" s="1209"/>
      <c r="G324" s="1212"/>
    </row>
    <row r="325" spans="2:8" ht="103.5" customHeight="1">
      <c r="B325" s="1206">
        <v>35</v>
      </c>
      <c r="C325" s="1207" t="s">
        <v>906</v>
      </c>
      <c r="D325" s="1206" t="s">
        <v>88</v>
      </c>
      <c r="E325" s="1208">
        <v>160000</v>
      </c>
      <c r="F325" s="1209" t="s">
        <v>906</v>
      </c>
      <c r="G325" s="1212"/>
    </row>
    <row r="326" spans="2:8" ht="103.5" customHeight="1">
      <c r="B326" s="1206">
        <v>36</v>
      </c>
      <c r="C326" s="1207" t="s">
        <v>1202</v>
      </c>
      <c r="D326" s="1206" t="s">
        <v>841</v>
      </c>
      <c r="E326" s="1208">
        <f>9600/3</f>
        <v>3200</v>
      </c>
      <c r="F326" s="1209" t="s">
        <v>1203</v>
      </c>
      <c r="G326" s="1212"/>
    </row>
    <row r="327" spans="2:8" ht="103.5" customHeight="1">
      <c r="B327" s="1206">
        <v>37</v>
      </c>
      <c r="C327" s="1207" t="s">
        <v>205</v>
      </c>
      <c r="D327" s="1206" t="s">
        <v>841</v>
      </c>
      <c r="E327" s="1208">
        <f>155000/20</f>
        <v>7750</v>
      </c>
      <c r="F327" s="1209"/>
      <c r="G327" s="1212"/>
    </row>
    <row r="328" spans="2:8" ht="103.5" customHeight="1">
      <c r="B328" s="1206">
        <v>38</v>
      </c>
      <c r="C328" s="1207" t="s">
        <v>1204</v>
      </c>
      <c r="D328" s="1206" t="s">
        <v>841</v>
      </c>
      <c r="E328" s="1208">
        <f>125000/100</f>
        <v>1250</v>
      </c>
      <c r="F328" s="1209"/>
      <c r="G328" s="1212"/>
    </row>
    <row r="329" spans="2:8" ht="103.5" customHeight="1">
      <c r="B329" s="1206">
        <v>39</v>
      </c>
      <c r="C329" s="1207" t="s">
        <v>1423</v>
      </c>
      <c r="D329" s="1206" t="s">
        <v>88</v>
      </c>
      <c r="E329" s="2615">
        <v>1749300</v>
      </c>
      <c r="F329" s="2616" t="s">
        <v>2964</v>
      </c>
      <c r="G329" s="2416"/>
      <c r="H329" s="570" t="s">
        <v>2898</v>
      </c>
    </row>
    <row r="330" spans="2:8" ht="103.5" customHeight="1">
      <c r="B330" s="1206">
        <v>40</v>
      </c>
      <c r="C330" s="1207" t="s">
        <v>1432</v>
      </c>
      <c r="D330" s="1206" t="s">
        <v>88</v>
      </c>
      <c r="E330" s="1208">
        <v>40000</v>
      </c>
      <c r="F330" s="1400" t="s">
        <v>1865</v>
      </c>
      <c r="G330" s="1480"/>
    </row>
    <row r="331" spans="2:8" ht="103.5" customHeight="1">
      <c r="B331" s="1206">
        <v>41</v>
      </c>
      <c r="C331" s="1207" t="s">
        <v>1433</v>
      </c>
      <c r="D331" s="1206" t="s">
        <v>129</v>
      </c>
      <c r="E331" s="1208">
        <f>1196000/100</f>
        <v>11960</v>
      </c>
      <c r="F331" s="1400" t="s">
        <v>2783</v>
      </c>
      <c r="G331" s="1480"/>
    </row>
    <row r="332" spans="2:8" ht="103.5" customHeight="1">
      <c r="B332" s="1206">
        <v>42</v>
      </c>
      <c r="C332" s="1207" t="s">
        <v>1446</v>
      </c>
      <c r="D332" s="1206" t="s">
        <v>88</v>
      </c>
      <c r="E332" s="1208">
        <v>55000</v>
      </c>
      <c r="F332" s="1209" t="s">
        <v>2784</v>
      </c>
      <c r="G332" s="1480"/>
    </row>
    <row r="333" spans="2:8" s="1397" customFormat="1" ht="103.5" customHeight="1">
      <c r="B333" s="1206">
        <v>43</v>
      </c>
      <c r="C333" s="1399" t="s">
        <v>1866</v>
      </c>
      <c r="D333" s="1398" t="s">
        <v>88</v>
      </c>
      <c r="E333" s="1208">
        <v>80701</v>
      </c>
      <c r="F333" s="1400" t="s">
        <v>1867</v>
      </c>
      <c r="G333" s="1401"/>
    </row>
    <row r="334" spans="2:8" ht="103.5" customHeight="1">
      <c r="B334" s="1206">
        <v>44</v>
      </c>
      <c r="C334" s="1207" t="s">
        <v>1674</v>
      </c>
      <c r="D334" s="1206" t="s">
        <v>88</v>
      </c>
      <c r="E334" s="1208">
        <v>41272</v>
      </c>
      <c r="F334" s="1400" t="s">
        <v>1868</v>
      </c>
      <c r="G334" s="1401"/>
    </row>
    <row r="335" spans="2:8" ht="103.5" customHeight="1">
      <c r="B335" s="1206">
        <v>45</v>
      </c>
      <c r="C335" s="1207" t="s">
        <v>1531</v>
      </c>
      <c r="D335" s="1206" t="s">
        <v>88</v>
      </c>
      <c r="E335" s="1208">
        <f>15729*2</f>
        <v>31458</v>
      </c>
      <c r="F335" s="1400" t="s">
        <v>1869</v>
      </c>
      <c r="G335" s="1401"/>
    </row>
    <row r="336" spans="2:8" ht="103.5" customHeight="1">
      <c r="B336" s="1206">
        <v>46</v>
      </c>
      <c r="C336" s="1207" t="s">
        <v>1669</v>
      </c>
      <c r="D336" s="1206" t="s">
        <v>88</v>
      </c>
      <c r="E336" s="1208">
        <f>15729</f>
        <v>15729</v>
      </c>
      <c r="F336" s="1400" t="s">
        <v>1870</v>
      </c>
      <c r="G336" s="1401"/>
    </row>
    <row r="337" spans="2:13" ht="103.5" customHeight="1">
      <c r="B337" s="1206">
        <v>47</v>
      </c>
      <c r="C337" s="1207" t="s">
        <v>1667</v>
      </c>
      <c r="D337" s="1206" t="s">
        <v>129</v>
      </c>
      <c r="E337" s="1208">
        <f>79000/5</f>
        <v>15800</v>
      </c>
      <c r="F337" s="1209" t="s">
        <v>1668</v>
      </c>
      <c r="G337" s="1212"/>
    </row>
    <row r="338" spans="2:13" ht="103.5" customHeight="1">
      <c r="B338" s="1206">
        <v>48</v>
      </c>
      <c r="C338" s="1207" t="s">
        <v>2323</v>
      </c>
      <c r="D338" s="1206" t="s">
        <v>88</v>
      </c>
      <c r="E338" s="1208">
        <v>385000</v>
      </c>
      <c r="F338" s="1209" t="s">
        <v>2785</v>
      </c>
      <c r="G338" s="1212"/>
    </row>
    <row r="339" spans="2:13" ht="103.5" customHeight="1">
      <c r="B339" s="1206">
        <v>49</v>
      </c>
      <c r="C339" s="1207" t="s">
        <v>2326</v>
      </c>
      <c r="D339" s="1206" t="s">
        <v>88</v>
      </c>
      <c r="E339" s="1208">
        <v>66000</v>
      </c>
      <c r="F339" s="1209" t="s">
        <v>2786</v>
      </c>
      <c r="G339" s="1212"/>
    </row>
    <row r="340" spans="2:13" ht="103.5" customHeight="1">
      <c r="B340" s="1206">
        <v>50</v>
      </c>
      <c r="C340" s="1207" t="s">
        <v>2420</v>
      </c>
      <c r="D340" s="1206" t="s">
        <v>88</v>
      </c>
      <c r="E340" s="1208">
        <v>179000</v>
      </c>
      <c r="F340" s="1209" t="s">
        <v>2420</v>
      </c>
      <c r="G340" s="1212"/>
    </row>
    <row r="341" spans="2:13" ht="103.5" customHeight="1">
      <c r="B341" s="1206">
        <v>51</v>
      </c>
      <c r="C341" s="1207" t="s">
        <v>2607</v>
      </c>
      <c r="D341" s="1206" t="s">
        <v>88</v>
      </c>
      <c r="E341" s="1208">
        <v>99000</v>
      </c>
      <c r="F341" s="1209" t="s">
        <v>2608</v>
      </c>
      <c r="G341" s="1212"/>
    </row>
    <row r="342" spans="2:13" ht="32.25" customHeight="1">
      <c r="B342" s="1471" t="s">
        <v>1176</v>
      </c>
      <c r="C342" s="1472" t="s">
        <v>2850</v>
      </c>
      <c r="D342" s="1473"/>
      <c r="E342" s="1474"/>
      <c r="F342" s="1475"/>
      <c r="G342" s="1476"/>
    </row>
    <row r="343" spans="2:13" ht="103.5" customHeight="1">
      <c r="B343" s="1206">
        <v>1</v>
      </c>
      <c r="C343" s="1207" t="s">
        <v>1206</v>
      </c>
      <c r="D343" s="1206" t="s">
        <v>88</v>
      </c>
      <c r="E343" s="2336">
        <v>180000</v>
      </c>
      <c r="F343" s="2337" t="s">
        <v>2629</v>
      </c>
      <c r="G343" s="2338"/>
      <c r="M343"/>
    </row>
    <row r="344" spans="2:13" ht="103.5" customHeight="1">
      <c r="B344" s="1206">
        <v>2</v>
      </c>
      <c r="C344" s="1207" t="s">
        <v>1207</v>
      </c>
      <c r="D344" s="1206" t="s">
        <v>88</v>
      </c>
      <c r="E344" s="2336">
        <v>93000</v>
      </c>
      <c r="F344" s="2337" t="s">
        <v>2705</v>
      </c>
      <c r="G344" s="2338"/>
      <c r="H344" s="5" t="s">
        <v>2653</v>
      </c>
    </row>
    <row r="345" spans="2:13" ht="103.5" customHeight="1">
      <c r="B345" s="1206">
        <v>3</v>
      </c>
      <c r="C345" s="1207" t="s">
        <v>1208</v>
      </c>
      <c r="D345" s="1206" t="s">
        <v>88</v>
      </c>
      <c r="E345" s="2336">
        <v>465000</v>
      </c>
      <c r="F345" s="2337" t="s">
        <v>2706</v>
      </c>
      <c r="G345" s="2338"/>
      <c r="H345" s="5" t="s">
        <v>2654</v>
      </c>
    </row>
    <row r="346" spans="2:13" ht="103.5" customHeight="1">
      <c r="B346" s="1206">
        <v>4</v>
      </c>
      <c r="C346" s="1207" t="s">
        <v>1209</v>
      </c>
      <c r="D346" s="1206" t="s">
        <v>88</v>
      </c>
      <c r="E346" s="2336">
        <v>210000</v>
      </c>
      <c r="F346" s="2337" t="s">
        <v>2707</v>
      </c>
      <c r="G346" s="2376"/>
      <c r="H346" s="5" t="s">
        <v>2655</v>
      </c>
    </row>
    <row r="347" spans="2:13" ht="103.5" customHeight="1">
      <c r="B347" s="1206">
        <v>5</v>
      </c>
      <c r="C347" s="1207" t="s">
        <v>1210</v>
      </c>
      <c r="D347" s="1206" t="s">
        <v>88</v>
      </c>
      <c r="E347" s="1208">
        <v>20000</v>
      </c>
      <c r="F347" s="1209" t="s">
        <v>1211</v>
      </c>
      <c r="G347" s="1212"/>
    </row>
    <row r="348" spans="2:13" ht="103.5" customHeight="1">
      <c r="B348" s="1206">
        <v>6</v>
      </c>
      <c r="C348" s="1207" t="s">
        <v>1212</v>
      </c>
      <c r="D348" s="1206" t="s">
        <v>152</v>
      </c>
      <c r="E348" s="1208">
        <v>20000</v>
      </c>
      <c r="F348" s="1209" t="s">
        <v>1213</v>
      </c>
      <c r="G348" s="1212"/>
    </row>
    <row r="349" spans="2:13" ht="103.5" customHeight="1">
      <c r="B349" s="1206">
        <v>7</v>
      </c>
      <c r="C349" s="1207" t="s">
        <v>1214</v>
      </c>
      <c r="D349" s="1206" t="s">
        <v>88</v>
      </c>
      <c r="E349" s="1208">
        <v>55000</v>
      </c>
      <c r="F349" s="1209" t="s">
        <v>2787</v>
      </c>
      <c r="G349" s="1210"/>
    </row>
    <row r="350" spans="2:13" ht="103.5" customHeight="1">
      <c r="B350" s="1206">
        <v>8</v>
      </c>
      <c r="C350" s="1207" t="s">
        <v>1215</v>
      </c>
      <c r="D350" s="1206" t="s">
        <v>152</v>
      </c>
      <c r="E350" s="2336">
        <v>133000</v>
      </c>
      <c r="F350" s="2337" t="s">
        <v>2630</v>
      </c>
      <c r="G350" s="2376"/>
      <c r="H350" s="5" t="s">
        <v>2564</v>
      </c>
    </row>
    <row r="351" spans="2:13" ht="103.5" customHeight="1">
      <c r="B351" s="1206">
        <v>9</v>
      </c>
      <c r="C351" s="1207" t="s">
        <v>1216</v>
      </c>
      <c r="D351" s="1206" t="s">
        <v>152</v>
      </c>
      <c r="E351" s="1208">
        <v>39500</v>
      </c>
      <c r="F351" s="1209" t="s">
        <v>2788</v>
      </c>
      <c r="G351" s="1212"/>
    </row>
    <row r="352" spans="2:13" ht="103.5" customHeight="1">
      <c r="B352" s="1206">
        <v>10</v>
      </c>
      <c r="C352" s="1207" t="s">
        <v>617</v>
      </c>
      <c r="D352" s="1206" t="s">
        <v>88</v>
      </c>
      <c r="E352" s="1208">
        <v>46500</v>
      </c>
      <c r="F352" s="1209" t="s">
        <v>1217</v>
      </c>
      <c r="G352" s="1212"/>
    </row>
    <row r="353" spans="2:8" ht="103.5" customHeight="1">
      <c r="B353" s="1206">
        <v>11</v>
      </c>
      <c r="C353" s="1207" t="s">
        <v>1218</v>
      </c>
      <c r="D353" s="1206" t="s">
        <v>1182</v>
      </c>
      <c r="E353" s="1208">
        <v>274000</v>
      </c>
      <c r="F353" s="1209" t="s">
        <v>1219</v>
      </c>
      <c r="G353" s="1212"/>
    </row>
    <row r="354" spans="2:8" ht="103.5" customHeight="1">
      <c r="B354" s="1206">
        <v>12</v>
      </c>
      <c r="C354" s="1207" t="s">
        <v>1220</v>
      </c>
      <c r="D354" s="1206" t="s">
        <v>1182</v>
      </c>
      <c r="E354" s="1208">
        <v>120000</v>
      </c>
      <c r="F354" s="1209" t="s">
        <v>1221</v>
      </c>
      <c r="G354" s="1212"/>
    </row>
    <row r="355" spans="2:8" ht="103.5" customHeight="1">
      <c r="B355" s="1206">
        <v>13</v>
      </c>
      <c r="C355" s="1207" t="s">
        <v>1453</v>
      </c>
      <c r="D355" s="1206" t="s">
        <v>1452</v>
      </c>
      <c r="E355" s="1208">
        <f>330000/2</f>
        <v>165000</v>
      </c>
      <c r="F355" s="1209" t="s">
        <v>1454</v>
      </c>
      <c r="G355" s="1480"/>
    </row>
    <row r="356" spans="2:8" ht="103.5" customHeight="1">
      <c r="B356" s="1206">
        <v>14</v>
      </c>
      <c r="C356" s="1207" t="s">
        <v>1455</v>
      </c>
      <c r="D356" s="1206" t="s">
        <v>88</v>
      </c>
      <c r="E356" s="2275">
        <v>13500</v>
      </c>
      <c r="F356" s="2283" t="s">
        <v>2578</v>
      </c>
      <c r="G356" s="2265"/>
    </row>
    <row r="357" spans="2:8" ht="32.25" customHeight="1">
      <c r="B357" s="1471" t="s">
        <v>1222</v>
      </c>
      <c r="C357" s="1472" t="s">
        <v>1223</v>
      </c>
      <c r="D357" s="1473"/>
      <c r="E357" s="1474"/>
      <c r="F357" s="1475"/>
      <c r="G357" s="1476"/>
    </row>
    <row r="358" spans="2:8" ht="103.5" customHeight="1">
      <c r="B358" s="1206">
        <v>1</v>
      </c>
      <c r="C358" s="1207" t="s">
        <v>1224</v>
      </c>
      <c r="D358" s="1206" t="s">
        <v>47</v>
      </c>
      <c r="E358" s="1208">
        <f>1000000/155</f>
        <v>6451.6129032258068</v>
      </c>
      <c r="F358" s="1209" t="s">
        <v>1225</v>
      </c>
      <c r="G358" s="1210"/>
    </row>
    <row r="359" spans="2:8" ht="103.5" customHeight="1">
      <c r="B359" s="1206">
        <v>2</v>
      </c>
      <c r="C359" s="1207" t="s">
        <v>1226</v>
      </c>
      <c r="D359" s="1206" t="s">
        <v>47</v>
      </c>
      <c r="E359" s="1208">
        <f>AVERAGE(13500,2100000/200)</f>
        <v>12000</v>
      </c>
      <c r="F359" s="1209" t="s">
        <v>1227</v>
      </c>
      <c r="G359" s="1210"/>
    </row>
    <row r="360" spans="2:8" ht="103.5" customHeight="1">
      <c r="B360" s="1206">
        <v>3</v>
      </c>
      <c r="C360" s="1207" t="s">
        <v>1228</v>
      </c>
      <c r="D360" s="1206" t="s">
        <v>47</v>
      </c>
      <c r="E360" s="1208">
        <f>AVERAGE(8500,7000)</f>
        <v>7750</v>
      </c>
      <c r="F360" s="1209" t="s">
        <v>1229</v>
      </c>
      <c r="G360" s="1210"/>
    </row>
    <row r="361" spans="2:8" ht="103.5" customHeight="1">
      <c r="B361" s="1206">
        <v>4</v>
      </c>
      <c r="C361" s="1207" t="s">
        <v>1230</v>
      </c>
      <c r="D361" s="1206" t="s">
        <v>1231</v>
      </c>
      <c r="E361" s="1208">
        <v>950000</v>
      </c>
      <c r="F361" s="1209"/>
      <c r="G361" s="1212"/>
    </row>
    <row r="362" spans="2:8" ht="103.5" customHeight="1">
      <c r="B362" s="1206">
        <v>5</v>
      </c>
      <c r="C362" s="1207" t="s">
        <v>1232</v>
      </c>
      <c r="D362" s="1206" t="s">
        <v>1231</v>
      </c>
      <c r="E362" s="1208">
        <v>825000</v>
      </c>
      <c r="F362" s="1209"/>
      <c r="G362" s="1210"/>
    </row>
    <row r="363" spans="2:8" ht="103.5" customHeight="1">
      <c r="B363" s="1206">
        <v>6</v>
      </c>
      <c r="C363" s="1207" t="s">
        <v>1233</v>
      </c>
      <c r="D363" s="1206" t="s">
        <v>1231</v>
      </c>
      <c r="E363" s="1208">
        <v>1100000</v>
      </c>
      <c r="F363" s="1209"/>
      <c r="G363" s="1210"/>
    </row>
    <row r="364" spans="2:8" ht="32.25" customHeight="1">
      <c r="B364" s="1471" t="s">
        <v>1234</v>
      </c>
      <c r="C364" s="1472" t="s">
        <v>1235</v>
      </c>
      <c r="D364" s="1473"/>
      <c r="E364" s="1474"/>
      <c r="F364" s="1475"/>
      <c r="G364" s="1476"/>
    </row>
    <row r="365" spans="2:8" ht="103.5" customHeight="1">
      <c r="B365" s="1206">
        <v>1</v>
      </c>
      <c r="C365" s="2343" t="s">
        <v>2740</v>
      </c>
      <c r="D365" s="2342" t="s">
        <v>80</v>
      </c>
      <c r="E365" s="2336">
        <f>AVERAGE(7590000,8448000)</f>
        <v>8019000</v>
      </c>
      <c r="F365" s="2337" t="s">
        <v>2789</v>
      </c>
      <c r="G365" s="2338"/>
      <c r="H365" s="5" t="s">
        <v>2640</v>
      </c>
    </row>
    <row r="366" spans="2:8" ht="103.5" customHeight="1">
      <c r="B366" s="1206">
        <v>2</v>
      </c>
      <c r="C366" s="1207" t="s">
        <v>1236</v>
      </c>
      <c r="D366" s="1206" t="s">
        <v>80</v>
      </c>
      <c r="E366" s="1208">
        <v>12000000</v>
      </c>
      <c r="F366" s="1209" t="s">
        <v>2790</v>
      </c>
      <c r="G366" s="1210"/>
    </row>
    <row r="367" spans="2:8" ht="103.5" customHeight="1">
      <c r="B367" s="1206">
        <v>3</v>
      </c>
      <c r="C367" s="1207" t="s">
        <v>1237</v>
      </c>
      <c r="D367" s="1206" t="s">
        <v>80</v>
      </c>
      <c r="E367" s="1208">
        <v>510000</v>
      </c>
      <c r="F367" s="1209" t="s">
        <v>1238</v>
      </c>
      <c r="G367" s="1210"/>
    </row>
    <row r="368" spans="2:8" ht="103.5" customHeight="1">
      <c r="B368" s="1206">
        <v>4</v>
      </c>
      <c r="C368" s="1207" t="s">
        <v>2602</v>
      </c>
      <c r="D368" s="1206" t="s">
        <v>80</v>
      </c>
      <c r="E368" s="1208">
        <v>460000</v>
      </c>
      <c r="F368" s="1209" t="s">
        <v>2791</v>
      </c>
      <c r="G368" s="1212"/>
      <c r="H368" s="5" t="s">
        <v>2579</v>
      </c>
    </row>
    <row r="369" spans="2:7" ht="103.5" customHeight="1">
      <c r="B369" s="1206">
        <v>4</v>
      </c>
      <c r="C369" s="1207" t="s">
        <v>2900</v>
      </c>
      <c r="D369" s="1206" t="s">
        <v>80</v>
      </c>
      <c r="E369" s="1208">
        <v>5470000</v>
      </c>
      <c r="F369" s="1209" t="s">
        <v>2901</v>
      </c>
      <c r="G369" s="1212"/>
    </row>
    <row r="370" spans="2:7" ht="103.5" customHeight="1">
      <c r="B370" s="1206">
        <v>4</v>
      </c>
      <c r="C370" s="1207" t="s">
        <v>2902</v>
      </c>
      <c r="D370" s="1206" t="s">
        <v>80</v>
      </c>
      <c r="E370" s="1208">
        <v>3100000</v>
      </c>
      <c r="F370" s="1209" t="s">
        <v>2903</v>
      </c>
      <c r="G370" s="1212"/>
    </row>
    <row r="371" spans="2:7" ht="103.5" customHeight="1">
      <c r="B371" s="2342">
        <v>5</v>
      </c>
      <c r="C371" s="2343" t="s">
        <v>2961</v>
      </c>
      <c r="D371" s="2342" t="s">
        <v>80</v>
      </c>
      <c r="E371" s="2336">
        <v>780000</v>
      </c>
      <c r="F371" s="2337" t="s">
        <v>2962</v>
      </c>
      <c r="G371" s="2338"/>
    </row>
    <row r="372" spans="2:7" ht="32.25" customHeight="1">
      <c r="B372" s="1471" t="s">
        <v>1239</v>
      </c>
      <c r="C372" s="1472" t="s">
        <v>1240</v>
      </c>
      <c r="D372" s="1473"/>
      <c r="E372" s="1474"/>
      <c r="F372" s="1475"/>
      <c r="G372" s="1476"/>
    </row>
    <row r="373" spans="2:7" ht="103.5" customHeight="1">
      <c r="B373" s="1206">
        <v>1</v>
      </c>
      <c r="C373" s="1207" t="s">
        <v>1241</v>
      </c>
      <c r="D373" s="1206" t="s">
        <v>88</v>
      </c>
      <c r="E373" s="1208">
        <f>AVERAGE(2000000,1200000)</f>
        <v>1600000</v>
      </c>
      <c r="F373" s="1209" t="s">
        <v>2792</v>
      </c>
      <c r="G373" s="1212"/>
    </row>
    <row r="374" spans="2:7" ht="103.5" customHeight="1">
      <c r="B374" s="1206">
        <v>2</v>
      </c>
      <c r="C374" s="1207" t="s">
        <v>1242</v>
      </c>
      <c r="D374" s="1206" t="s">
        <v>88</v>
      </c>
      <c r="E374" s="1208">
        <f>AVERAGE(850000,520000)</f>
        <v>685000</v>
      </c>
      <c r="F374" s="1209"/>
      <c r="G374" s="1212"/>
    </row>
    <row r="375" spans="2:7" ht="103.5" customHeight="1">
      <c r="B375" s="2342">
        <v>3</v>
      </c>
      <c r="C375" s="2343" t="s">
        <v>2603</v>
      </c>
      <c r="D375" s="2342" t="s">
        <v>88</v>
      </c>
      <c r="E375" s="2336">
        <v>1350000</v>
      </c>
      <c r="F375" s="2337" t="s">
        <v>2793</v>
      </c>
      <c r="G375" s="2338"/>
    </row>
    <row r="376" spans="2:7" ht="32.25" customHeight="1">
      <c r="B376" s="1471" t="s">
        <v>1243</v>
      </c>
      <c r="C376" s="1472" t="s">
        <v>1244</v>
      </c>
      <c r="D376" s="1473"/>
      <c r="E376" s="1474"/>
      <c r="F376" s="1475"/>
      <c r="G376" s="1476"/>
    </row>
    <row r="377" spans="2:7" ht="103.5" customHeight="1">
      <c r="B377" s="1206">
        <v>1</v>
      </c>
      <c r="C377" s="1207" t="s">
        <v>1245</v>
      </c>
      <c r="D377" s="1206" t="s">
        <v>88</v>
      </c>
      <c r="E377" s="1208">
        <v>65000</v>
      </c>
      <c r="F377" s="1209"/>
      <c r="G377" s="1212"/>
    </row>
    <row r="378" spans="2:7" ht="103.5" customHeight="1">
      <c r="B378" s="1206">
        <v>2</v>
      </c>
      <c r="C378" s="1207" t="s">
        <v>1246</v>
      </c>
      <c r="D378" s="1206" t="s">
        <v>88</v>
      </c>
      <c r="E378" s="1208">
        <v>74000</v>
      </c>
      <c r="F378" s="1209"/>
      <c r="G378" s="1210"/>
    </row>
    <row r="379" spans="2:7" ht="103.5" customHeight="1">
      <c r="B379" s="1206">
        <v>3</v>
      </c>
      <c r="C379" s="1207" t="s">
        <v>1247</v>
      </c>
      <c r="D379" s="1206" t="s">
        <v>88</v>
      </c>
      <c r="E379" s="1208">
        <v>114000</v>
      </c>
      <c r="F379" s="1209" t="s">
        <v>1248</v>
      </c>
      <c r="G379" s="1210"/>
    </row>
    <row r="380" spans="2:7" ht="103.5" customHeight="1">
      <c r="B380" s="1206">
        <v>4</v>
      </c>
      <c r="C380" s="1207" t="s">
        <v>1249</v>
      </c>
      <c r="D380" s="1206" t="s">
        <v>88</v>
      </c>
      <c r="E380" s="1208">
        <v>35000</v>
      </c>
      <c r="F380" s="1208"/>
      <c r="G380" s="1212"/>
    </row>
    <row r="381" spans="2:7" ht="103.5" customHeight="1">
      <c r="B381" s="1206">
        <v>5</v>
      </c>
      <c r="C381" s="1207" t="s">
        <v>1250</v>
      </c>
      <c r="D381" s="1206" t="s">
        <v>88</v>
      </c>
      <c r="E381" s="1208">
        <v>12000</v>
      </c>
      <c r="F381" s="1209"/>
      <c r="G381" s="1212"/>
    </row>
    <row r="382" spans="2:7" ht="103.5" customHeight="1">
      <c r="B382" s="1206">
        <v>6</v>
      </c>
      <c r="C382" s="1207" t="s">
        <v>1251</v>
      </c>
      <c r="D382" s="1206" t="s">
        <v>88</v>
      </c>
      <c r="E382" s="1208">
        <v>44000</v>
      </c>
      <c r="F382" s="1209"/>
      <c r="G382" s="1210"/>
    </row>
    <row r="383" spans="2:7" ht="103.5" customHeight="1">
      <c r="B383" s="1206">
        <v>7</v>
      </c>
      <c r="C383" s="1207" t="s">
        <v>1252</v>
      </c>
      <c r="D383" s="1206" t="s">
        <v>88</v>
      </c>
      <c r="E383" s="1208">
        <v>106000</v>
      </c>
      <c r="F383" s="1209"/>
      <c r="G383" s="1212"/>
    </row>
    <row r="384" spans="2:7" ht="103.5" customHeight="1">
      <c r="B384" s="1206">
        <v>8</v>
      </c>
      <c r="C384" s="1207" t="s">
        <v>1253</v>
      </c>
      <c r="D384" s="1206" t="s">
        <v>88</v>
      </c>
      <c r="E384" s="1208">
        <v>25000</v>
      </c>
      <c r="F384" s="1209"/>
      <c r="G384" s="1210"/>
    </row>
    <row r="385" spans="2:9" ht="103.5" customHeight="1">
      <c r="B385" s="1206">
        <v>9</v>
      </c>
      <c r="C385" s="1207" t="s">
        <v>1254</v>
      </c>
      <c r="D385" s="1206" t="s">
        <v>841</v>
      </c>
      <c r="E385" s="1208">
        <v>13500</v>
      </c>
      <c r="F385" s="1209"/>
      <c r="G385" s="1212"/>
    </row>
    <row r="386" spans="2:9" ht="103.5" customHeight="1">
      <c r="B386" s="1206">
        <v>10</v>
      </c>
      <c r="C386" s="1207" t="s">
        <v>1255</v>
      </c>
      <c r="D386" s="1206" t="s">
        <v>88</v>
      </c>
      <c r="E386" s="1208">
        <v>65000</v>
      </c>
      <c r="F386" s="1209"/>
      <c r="G386" s="1212"/>
    </row>
    <row r="387" spans="2:9" ht="32.25" customHeight="1">
      <c r="B387" s="1471" t="s">
        <v>1256</v>
      </c>
      <c r="C387" s="1472" t="s">
        <v>1257</v>
      </c>
      <c r="D387" s="1473"/>
      <c r="E387" s="1474"/>
      <c r="F387" s="1475"/>
      <c r="G387" s="1476"/>
    </row>
    <row r="388" spans="2:9" ht="103.5" customHeight="1">
      <c r="B388" s="1206">
        <v>1</v>
      </c>
      <c r="C388" s="1207" t="s">
        <v>1258</v>
      </c>
      <c r="D388" s="1206" t="s">
        <v>957</v>
      </c>
      <c r="E388" s="1208">
        <v>9600</v>
      </c>
      <c r="F388" s="1209"/>
      <c r="G388" s="1212"/>
    </row>
    <row r="389" spans="2:9" ht="103.5" customHeight="1">
      <c r="B389" s="1206">
        <v>2</v>
      </c>
      <c r="C389" s="1207" t="s">
        <v>1259</v>
      </c>
      <c r="D389" s="1206" t="s">
        <v>957</v>
      </c>
      <c r="E389" s="1208">
        <v>25000</v>
      </c>
      <c r="F389" s="1470" t="s">
        <v>1260</v>
      </c>
      <c r="G389" s="1212"/>
    </row>
    <row r="390" spans="2:9" ht="103.5" customHeight="1">
      <c r="B390" s="1206">
        <v>3</v>
      </c>
      <c r="C390" s="1207" t="s">
        <v>335</v>
      </c>
      <c r="D390" s="1206" t="s">
        <v>301</v>
      </c>
      <c r="E390" s="1208">
        <f>AVERAGE(50750,15000)</f>
        <v>32875</v>
      </c>
      <c r="F390" s="1209"/>
      <c r="G390" s="1212"/>
      <c r="I390" s="5">
        <f>1015000/20</f>
        <v>50750</v>
      </c>
    </row>
    <row r="391" spans="2:9" ht="103.5" customHeight="1">
      <c r="B391" s="1206">
        <v>4</v>
      </c>
      <c r="C391" s="1207" t="s">
        <v>1261</v>
      </c>
      <c r="D391" s="1206" t="s">
        <v>47</v>
      </c>
      <c r="E391" s="1208">
        <f>AVERAGE(25000,28000)</f>
        <v>26500</v>
      </c>
      <c r="F391" s="1209"/>
      <c r="G391" s="1212"/>
    </row>
    <row r="392" spans="2:9" ht="103.5" customHeight="1">
      <c r="B392" s="1206">
        <v>5</v>
      </c>
      <c r="C392" s="1207" t="s">
        <v>330</v>
      </c>
      <c r="D392" s="1206" t="s">
        <v>88</v>
      </c>
      <c r="E392" s="1208">
        <v>700</v>
      </c>
      <c r="F392" s="1209" t="s">
        <v>1262</v>
      </c>
      <c r="G392" s="1212"/>
    </row>
    <row r="393" spans="2:9" ht="103.5" customHeight="1">
      <c r="B393" s="1206">
        <v>6</v>
      </c>
      <c r="C393" s="1207" t="s">
        <v>330</v>
      </c>
      <c r="D393" s="1206" t="s">
        <v>47</v>
      </c>
      <c r="E393" s="1208">
        <f>AVERAGE(45000,27000)</f>
        <v>36000</v>
      </c>
      <c r="F393" s="1209" t="s">
        <v>1262</v>
      </c>
      <c r="G393" s="1212"/>
    </row>
    <row r="394" spans="2:9" ht="103.5" customHeight="1">
      <c r="B394" s="1206">
        <v>7</v>
      </c>
      <c r="C394" s="1207" t="s">
        <v>1263</v>
      </c>
      <c r="D394" s="1206" t="s">
        <v>309</v>
      </c>
      <c r="E394" s="1208">
        <v>56250</v>
      </c>
      <c r="F394" s="1209"/>
      <c r="G394" s="1212"/>
    </row>
    <row r="395" spans="2:9" ht="103.5" customHeight="1">
      <c r="B395" s="1206">
        <v>8</v>
      </c>
      <c r="C395" s="1207" t="s">
        <v>1409</v>
      </c>
      <c r="D395" s="1206" t="s">
        <v>301</v>
      </c>
      <c r="E395" s="1208">
        <v>45000</v>
      </c>
      <c r="F395" s="1209"/>
      <c r="G395" s="1480"/>
    </row>
    <row r="396" spans="2:9" ht="32.25" customHeight="1">
      <c r="B396" s="1471" t="s">
        <v>75</v>
      </c>
      <c r="C396" s="1472" t="s">
        <v>1264</v>
      </c>
      <c r="D396" s="1473"/>
      <c r="E396" s="1474"/>
      <c r="F396" s="1475"/>
      <c r="G396" s="1476"/>
    </row>
    <row r="397" spans="2:9" ht="103.5" customHeight="1">
      <c r="B397" s="1206">
        <v>1</v>
      </c>
      <c r="C397" s="1207" t="s">
        <v>1265</v>
      </c>
      <c r="D397" s="1206" t="s">
        <v>971</v>
      </c>
      <c r="E397" s="1208">
        <v>156250</v>
      </c>
      <c r="F397" s="1209" t="s">
        <v>2794</v>
      </c>
      <c r="G397" s="1212"/>
    </row>
    <row r="398" spans="2:9" ht="103.5" customHeight="1">
      <c r="B398" s="1206">
        <v>2</v>
      </c>
      <c r="C398" s="1207" t="s">
        <v>1266</v>
      </c>
      <c r="D398" s="1206" t="s">
        <v>1074</v>
      </c>
      <c r="E398" s="1208">
        <v>281250</v>
      </c>
      <c r="F398" s="1209" t="s">
        <v>2795</v>
      </c>
      <c r="G398" s="1212"/>
    </row>
    <row r="399" spans="2:9" ht="32.25" customHeight="1">
      <c r="B399" s="1471" t="s">
        <v>1267</v>
      </c>
      <c r="C399" s="1481" t="s">
        <v>1268</v>
      </c>
      <c r="D399" s="1479"/>
      <c r="E399" s="1482"/>
      <c r="F399" s="1475"/>
      <c r="G399" s="1476"/>
    </row>
    <row r="400" spans="2:9" ht="103.5" customHeight="1">
      <c r="B400" s="1483">
        <v>1</v>
      </c>
      <c r="C400" s="1484" t="s">
        <v>830</v>
      </c>
      <c r="D400" s="1483" t="s">
        <v>1269</v>
      </c>
      <c r="E400" s="1215">
        <v>6250</v>
      </c>
      <c r="F400" s="1209"/>
      <c r="G400" s="1212"/>
    </row>
    <row r="401" spans="2:7" ht="103.5" customHeight="1">
      <c r="B401" s="1483">
        <v>2</v>
      </c>
      <c r="C401" s="1484" t="s">
        <v>826</v>
      </c>
      <c r="D401" s="1483" t="s">
        <v>47</v>
      </c>
      <c r="E401" s="1215">
        <v>35000</v>
      </c>
      <c r="F401" s="1209"/>
      <c r="G401" s="1212"/>
    </row>
    <row r="402" spans="2:7" ht="103.5" customHeight="1">
      <c r="B402" s="1483">
        <v>3</v>
      </c>
      <c r="C402" s="1484" t="s">
        <v>1270</v>
      </c>
      <c r="D402" s="1483" t="s">
        <v>1271</v>
      </c>
      <c r="E402" s="1215">
        <v>30000</v>
      </c>
      <c r="F402" s="1209"/>
      <c r="G402" s="1210"/>
    </row>
    <row r="403" spans="2:7" ht="103.5" customHeight="1">
      <c r="B403" s="1483">
        <v>4</v>
      </c>
      <c r="C403" s="1484" t="s">
        <v>1272</v>
      </c>
      <c r="D403" s="1483" t="s">
        <v>1269</v>
      </c>
      <c r="E403" s="1215">
        <v>100000</v>
      </c>
      <c r="F403" s="1209"/>
      <c r="G403" s="1210"/>
    </row>
    <row r="404" spans="2:7" ht="103.5" customHeight="1">
      <c r="B404" s="1483">
        <v>5</v>
      </c>
      <c r="C404" s="1484" t="s">
        <v>1273</v>
      </c>
      <c r="D404" s="1483" t="s">
        <v>1269</v>
      </c>
      <c r="E404" s="1215">
        <v>65000</v>
      </c>
      <c r="F404" s="1209"/>
      <c r="G404" s="1212"/>
    </row>
    <row r="405" spans="2:7" ht="103.5" customHeight="1">
      <c r="B405" s="1483">
        <v>6</v>
      </c>
      <c r="C405" s="1484" t="s">
        <v>836</v>
      </c>
      <c r="D405" s="1483" t="s">
        <v>147</v>
      </c>
      <c r="E405" s="1215">
        <v>20000</v>
      </c>
      <c r="F405" s="1209"/>
      <c r="G405" s="1212"/>
    </row>
    <row r="406" spans="2:7">
      <c r="E406" s="831"/>
    </row>
    <row r="407" spans="2:7">
      <c r="B407" s="833" t="s">
        <v>1274</v>
      </c>
      <c r="E407" s="831"/>
    </row>
    <row r="408" spans="2:7">
      <c r="E408" s="831"/>
    </row>
    <row r="409" spans="2:7">
      <c r="E409" s="831"/>
    </row>
    <row r="410" spans="2:7">
      <c r="E410" s="831"/>
    </row>
    <row r="411" spans="2:7">
      <c r="E411" s="831"/>
    </row>
    <row r="412" spans="2:7">
      <c r="E412" s="831"/>
    </row>
    <row r="413" spans="2:7">
      <c r="E413" s="831"/>
    </row>
    <row r="414" spans="2:7">
      <c r="E414" s="831"/>
    </row>
    <row r="415" spans="2:7">
      <c r="E415" s="831"/>
    </row>
    <row r="416" spans="2:7">
      <c r="E416" s="831"/>
    </row>
    <row r="417" spans="2:7">
      <c r="E417" s="831"/>
    </row>
    <row r="418" spans="2:7">
      <c r="E418" s="831"/>
    </row>
    <row r="419" spans="2:7">
      <c r="E419" s="831"/>
    </row>
    <row r="420" spans="2:7">
      <c r="B420" s="5"/>
      <c r="C420" s="5"/>
      <c r="D420" s="5"/>
      <c r="E420" s="831"/>
      <c r="F420" s="5"/>
      <c r="G420" s="5"/>
    </row>
    <row r="421" spans="2:7">
      <c r="B421" s="5"/>
      <c r="C421" s="5"/>
      <c r="D421" s="5"/>
      <c r="E421" s="831"/>
      <c r="F421" s="5"/>
      <c r="G421" s="5"/>
    </row>
    <row r="422" spans="2:7">
      <c r="B422" s="5"/>
      <c r="C422" s="5"/>
      <c r="D422" s="5"/>
      <c r="E422" s="831"/>
      <c r="F422" s="5"/>
      <c r="G422" s="5"/>
    </row>
    <row r="423" spans="2:7">
      <c r="B423" s="5"/>
      <c r="C423" s="5"/>
      <c r="D423" s="5"/>
      <c r="E423" s="831"/>
      <c r="F423" s="5"/>
      <c r="G423" s="5"/>
    </row>
    <row r="424" spans="2:7">
      <c r="B424" s="5"/>
      <c r="C424" s="5"/>
      <c r="D424" s="5"/>
      <c r="E424" s="831"/>
      <c r="F424" s="5"/>
      <c r="G424" s="5"/>
    </row>
    <row r="425" spans="2:7">
      <c r="B425" s="5"/>
      <c r="C425" s="5"/>
      <c r="D425" s="5"/>
      <c r="E425" s="831"/>
      <c r="F425" s="5"/>
      <c r="G425" s="5"/>
    </row>
    <row r="426" spans="2:7">
      <c r="B426" s="5"/>
      <c r="C426" s="5"/>
      <c r="D426" s="5"/>
      <c r="E426" s="831"/>
      <c r="F426" s="5"/>
      <c r="G426" s="5"/>
    </row>
    <row r="427" spans="2:7">
      <c r="B427" s="5"/>
      <c r="C427" s="5"/>
      <c r="D427" s="5"/>
      <c r="E427" s="831"/>
      <c r="F427" s="5"/>
      <c r="G427" s="5"/>
    </row>
    <row r="428" spans="2:7">
      <c r="B428" s="5"/>
      <c r="C428" s="5"/>
      <c r="D428" s="5"/>
      <c r="E428" s="831"/>
      <c r="F428" s="5"/>
      <c r="G428" s="5"/>
    </row>
    <row r="429" spans="2:7">
      <c r="B429" s="5"/>
      <c r="C429" s="5"/>
      <c r="D429" s="5"/>
      <c r="E429" s="831"/>
      <c r="F429" s="5"/>
      <c r="G429" s="5"/>
    </row>
    <row r="430" spans="2:7">
      <c r="B430" s="5"/>
      <c r="C430" s="5"/>
      <c r="D430" s="5"/>
      <c r="E430" s="831"/>
      <c r="F430" s="5"/>
      <c r="G430" s="5"/>
    </row>
    <row r="431" spans="2:7">
      <c r="B431" s="5"/>
      <c r="C431" s="5"/>
      <c r="D431" s="5"/>
      <c r="E431" s="831"/>
      <c r="F431" s="5"/>
      <c r="G431" s="5"/>
    </row>
    <row r="432" spans="2:7">
      <c r="B432" s="5"/>
      <c r="C432" s="5"/>
      <c r="D432" s="5"/>
      <c r="E432" s="831"/>
      <c r="F432" s="5"/>
      <c r="G432" s="5"/>
    </row>
    <row r="433" spans="5:5" s="5" customFormat="1">
      <c r="E433" s="831"/>
    </row>
    <row r="434" spans="5:5" s="5" customFormat="1">
      <c r="E434" s="831"/>
    </row>
    <row r="435" spans="5:5" s="5" customFormat="1">
      <c r="E435" s="831"/>
    </row>
    <row r="436" spans="5:5" s="5" customFormat="1">
      <c r="E436" s="831"/>
    </row>
    <row r="437" spans="5:5" s="5" customFormat="1">
      <c r="E437" s="831"/>
    </row>
    <row r="438" spans="5:5" s="5" customFormat="1">
      <c r="E438" s="831"/>
    </row>
    <row r="439" spans="5:5" s="5" customFormat="1">
      <c r="E439" s="831"/>
    </row>
    <row r="440" spans="5:5" s="5" customFormat="1">
      <c r="E440" s="831"/>
    </row>
    <row r="441" spans="5:5" s="5" customFormat="1">
      <c r="E441" s="831"/>
    </row>
    <row r="442" spans="5:5" s="5" customFormat="1">
      <c r="E442" s="831"/>
    </row>
    <row r="443" spans="5:5" s="5" customFormat="1">
      <c r="E443" s="831"/>
    </row>
    <row r="444" spans="5:5" s="5" customFormat="1">
      <c r="E444" s="831"/>
    </row>
    <row r="445" spans="5:5" s="5" customFormat="1">
      <c r="E445" s="831"/>
    </row>
    <row r="446" spans="5:5" s="5" customFormat="1">
      <c r="E446" s="831"/>
    </row>
    <row r="447" spans="5:5" s="5" customFormat="1">
      <c r="E447" s="831"/>
    </row>
    <row r="448" spans="5:5" s="5" customFormat="1">
      <c r="E448" s="831"/>
    </row>
    <row r="449" spans="5:5" s="5" customFormat="1">
      <c r="E449" s="831"/>
    </row>
    <row r="450" spans="5:5" s="5" customFormat="1">
      <c r="E450" s="831"/>
    </row>
    <row r="451" spans="5:5" s="5" customFormat="1">
      <c r="E451" s="831"/>
    </row>
    <row r="452" spans="5:5" s="5" customFormat="1">
      <c r="E452" s="831"/>
    </row>
    <row r="453" spans="5:5" s="5" customFormat="1">
      <c r="E453" s="831"/>
    </row>
    <row r="454" spans="5:5" s="5" customFormat="1">
      <c r="E454" s="831"/>
    </row>
    <row r="455" spans="5:5" s="5" customFormat="1">
      <c r="E455" s="831"/>
    </row>
    <row r="456" spans="5:5" s="5" customFormat="1">
      <c r="E456" s="831"/>
    </row>
    <row r="457" spans="5:5" s="5" customFormat="1">
      <c r="E457" s="831"/>
    </row>
    <row r="458" spans="5:5" s="5" customFormat="1">
      <c r="E458" s="831"/>
    </row>
    <row r="459" spans="5:5" s="5" customFormat="1">
      <c r="E459" s="831"/>
    </row>
    <row r="460" spans="5:5" s="5" customFormat="1">
      <c r="E460" s="831"/>
    </row>
    <row r="461" spans="5:5" s="5" customFormat="1">
      <c r="E461" s="831"/>
    </row>
    <row r="462" spans="5:5" s="5" customFormat="1">
      <c r="E462" s="831"/>
    </row>
    <row r="463" spans="5:5" s="5" customFormat="1">
      <c r="E463" s="831"/>
    </row>
    <row r="464" spans="5:5" s="5" customFormat="1">
      <c r="E464" s="831"/>
    </row>
    <row r="465" spans="5:5" s="5" customFormat="1">
      <c r="E465" s="831"/>
    </row>
    <row r="466" spans="5:5" s="5" customFormat="1">
      <c r="E466" s="831"/>
    </row>
    <row r="467" spans="5:5" s="5" customFormat="1">
      <c r="E467" s="831"/>
    </row>
    <row r="468" spans="5:5" s="5" customFormat="1">
      <c r="E468" s="831"/>
    </row>
    <row r="469" spans="5:5" s="5" customFormat="1">
      <c r="E469" s="831"/>
    </row>
    <row r="470" spans="5:5" s="5" customFormat="1">
      <c r="E470" s="831"/>
    </row>
    <row r="471" spans="5:5" s="5" customFormat="1">
      <c r="E471" s="831"/>
    </row>
    <row r="472" spans="5:5" s="5" customFormat="1">
      <c r="E472" s="831"/>
    </row>
    <row r="473" spans="5:5" s="5" customFormat="1">
      <c r="E473" s="831"/>
    </row>
    <row r="474" spans="5:5" s="5" customFormat="1">
      <c r="E474" s="831"/>
    </row>
    <row r="475" spans="5:5" s="5" customFormat="1">
      <c r="E475" s="831"/>
    </row>
    <row r="476" spans="5:5" s="5" customFormat="1">
      <c r="E476" s="831"/>
    </row>
    <row r="477" spans="5:5" s="5" customFormat="1">
      <c r="E477" s="831"/>
    </row>
    <row r="478" spans="5:5" s="5" customFormat="1">
      <c r="E478" s="831"/>
    </row>
    <row r="479" spans="5:5" s="5" customFormat="1">
      <c r="E479" s="831"/>
    </row>
    <row r="480" spans="5:5" s="5" customFormat="1">
      <c r="E480" s="831"/>
    </row>
    <row r="481" spans="5:5" s="5" customFormat="1">
      <c r="E481" s="831"/>
    </row>
    <row r="482" spans="5:5" s="5" customFormat="1">
      <c r="E482" s="831"/>
    </row>
    <row r="483" spans="5:5" s="5" customFormat="1">
      <c r="E483" s="831"/>
    </row>
    <row r="484" spans="5:5" s="5" customFormat="1">
      <c r="E484" s="831"/>
    </row>
    <row r="485" spans="5:5" s="5" customFormat="1">
      <c r="E485" s="831"/>
    </row>
    <row r="486" spans="5:5" s="5" customFormat="1">
      <c r="E486" s="831"/>
    </row>
    <row r="487" spans="5:5" s="5" customFormat="1">
      <c r="E487" s="831"/>
    </row>
  </sheetData>
  <mergeCells count="1">
    <mergeCell ref="B2:G2"/>
  </mergeCells>
  <hyperlinks>
    <hyperlink ref="F84" r:id="rId1" display="https://www.tokopedia.com/harry-wallpaper/vertical-blind-gorden-kantor-transparan-m2" xr:uid="{00000000-0004-0000-0700-000000000000}"/>
    <hyperlink ref="H244" r:id="rId2" xr:uid="{00000000-0004-0000-0700-000001000000}"/>
    <hyperlink ref="H245" r:id="rId3" xr:uid="{00000000-0004-0000-0700-000002000000}"/>
    <hyperlink ref="F346" r:id="rId4" display="https://www.google.com/aclk?sa=l&amp;ai=DChcSEwjdwrbc4b7bAhVOE48KHQx1DkIYABARGgJzYg&amp;sig=AOD64_2dIvDuEWRRVVFYnvkz8HnEeaHKiQ&amp;ctype=5&amp;q=&amp;ved=0ahUKEwizjLPc4b7bAhUJb30KHUgCAP0Q2CkImwI&amp;adurl=" xr:uid="{00000000-0004-0000-0700-000003000000}"/>
    <hyperlink ref="F243" r:id="rId5" display="https://www.tokopedia.com/jakartapiranti/stainless-kitchen-sink-modena-ks-3101-tempat-cuci-piring" xr:uid="{00000000-0004-0000-0700-000004000000}"/>
  </hyperlinks>
  <printOptions horizontalCentered="1"/>
  <pageMargins left="0.23622047244094491" right="0.23622047244094491" top="0.43307086614173229" bottom="0.23622047244094491" header="0.23622047244094491" footer="0.23622047244094491"/>
  <pageSetup paperSize="9" fitToHeight="0" orientation="portrait" r:id="rId6"/>
  <rowBreaks count="2" manualBreakCount="2">
    <brk id="135" max="16383" man="1"/>
    <brk id="252" max="16383" man="1"/>
  </rowBreaks>
  <drawing r:id="rId7"/>
  <legacyDrawing r:id="rId8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/>
  <dimension ref="B2:G38"/>
  <sheetViews>
    <sheetView view="pageBreakPreview" topLeftCell="A4" zoomScale="115" zoomScaleNormal="100" zoomScaleSheetLayoutView="115" workbookViewId="0">
      <selection activeCell="J21" sqref="J21"/>
    </sheetView>
  </sheetViews>
  <sheetFormatPr defaultRowHeight="15"/>
  <cols>
    <col min="1" max="1" width="1.85546875" style="5" customWidth="1"/>
    <col min="2" max="2" width="9.140625" style="5"/>
    <col min="3" max="3" width="26.42578125" style="5" customWidth="1"/>
    <col min="4" max="4" width="9.85546875" style="5" bestFit="1" customWidth="1"/>
    <col min="5" max="5" width="15.85546875" style="5" customWidth="1"/>
    <col min="6" max="6" width="16.42578125" style="5" customWidth="1"/>
    <col min="7" max="7" width="9.140625" style="834"/>
    <col min="8" max="256" width="9.140625" style="5"/>
    <col min="257" max="257" width="1.85546875" style="5" customWidth="1"/>
    <col min="258" max="258" width="9.140625" style="5"/>
    <col min="259" max="259" width="26.42578125" style="5" customWidth="1"/>
    <col min="260" max="260" width="9.85546875" style="5" bestFit="1" customWidth="1"/>
    <col min="261" max="261" width="15.85546875" style="5" customWidth="1"/>
    <col min="262" max="262" width="16.42578125" style="5" customWidth="1"/>
    <col min="263" max="512" width="9.140625" style="5"/>
    <col min="513" max="513" width="1.85546875" style="5" customWidth="1"/>
    <col min="514" max="514" width="9.140625" style="5"/>
    <col min="515" max="515" width="26.42578125" style="5" customWidth="1"/>
    <col min="516" max="516" width="9.85546875" style="5" bestFit="1" customWidth="1"/>
    <col min="517" max="517" width="15.85546875" style="5" customWidth="1"/>
    <col min="518" max="518" width="16.42578125" style="5" customWidth="1"/>
    <col min="519" max="768" width="9.140625" style="5"/>
    <col min="769" max="769" width="1.85546875" style="5" customWidth="1"/>
    <col min="770" max="770" width="9.140625" style="5"/>
    <col min="771" max="771" width="26.42578125" style="5" customWidth="1"/>
    <col min="772" max="772" width="9.85546875" style="5" bestFit="1" customWidth="1"/>
    <col min="773" max="773" width="15.85546875" style="5" customWidth="1"/>
    <col min="774" max="774" width="16.42578125" style="5" customWidth="1"/>
    <col min="775" max="1024" width="9.140625" style="5"/>
    <col min="1025" max="1025" width="1.85546875" style="5" customWidth="1"/>
    <col min="1026" max="1026" width="9.140625" style="5"/>
    <col min="1027" max="1027" width="26.42578125" style="5" customWidth="1"/>
    <col min="1028" max="1028" width="9.85546875" style="5" bestFit="1" customWidth="1"/>
    <col min="1029" max="1029" width="15.85546875" style="5" customWidth="1"/>
    <col min="1030" max="1030" width="16.42578125" style="5" customWidth="1"/>
    <col min="1031" max="1280" width="9.140625" style="5"/>
    <col min="1281" max="1281" width="1.85546875" style="5" customWidth="1"/>
    <col min="1282" max="1282" width="9.140625" style="5"/>
    <col min="1283" max="1283" width="26.42578125" style="5" customWidth="1"/>
    <col min="1284" max="1284" width="9.85546875" style="5" bestFit="1" customWidth="1"/>
    <col min="1285" max="1285" width="15.85546875" style="5" customWidth="1"/>
    <col min="1286" max="1286" width="16.42578125" style="5" customWidth="1"/>
    <col min="1287" max="1536" width="9.140625" style="5"/>
    <col min="1537" max="1537" width="1.85546875" style="5" customWidth="1"/>
    <col min="1538" max="1538" width="9.140625" style="5"/>
    <col min="1539" max="1539" width="26.42578125" style="5" customWidth="1"/>
    <col min="1540" max="1540" width="9.85546875" style="5" bestFit="1" customWidth="1"/>
    <col min="1541" max="1541" width="15.85546875" style="5" customWidth="1"/>
    <col min="1542" max="1542" width="16.42578125" style="5" customWidth="1"/>
    <col min="1543" max="1792" width="9.140625" style="5"/>
    <col min="1793" max="1793" width="1.85546875" style="5" customWidth="1"/>
    <col min="1794" max="1794" width="9.140625" style="5"/>
    <col min="1795" max="1795" width="26.42578125" style="5" customWidth="1"/>
    <col min="1796" max="1796" width="9.85546875" style="5" bestFit="1" customWidth="1"/>
    <col min="1797" max="1797" width="15.85546875" style="5" customWidth="1"/>
    <col min="1798" max="1798" width="16.42578125" style="5" customWidth="1"/>
    <col min="1799" max="2048" width="9.140625" style="5"/>
    <col min="2049" max="2049" width="1.85546875" style="5" customWidth="1"/>
    <col min="2050" max="2050" width="9.140625" style="5"/>
    <col min="2051" max="2051" width="26.42578125" style="5" customWidth="1"/>
    <col min="2052" max="2052" width="9.85546875" style="5" bestFit="1" customWidth="1"/>
    <col min="2053" max="2053" width="15.85546875" style="5" customWidth="1"/>
    <col min="2054" max="2054" width="16.42578125" style="5" customWidth="1"/>
    <col min="2055" max="2304" width="9.140625" style="5"/>
    <col min="2305" max="2305" width="1.85546875" style="5" customWidth="1"/>
    <col min="2306" max="2306" width="9.140625" style="5"/>
    <col min="2307" max="2307" width="26.42578125" style="5" customWidth="1"/>
    <col min="2308" max="2308" width="9.85546875" style="5" bestFit="1" customWidth="1"/>
    <col min="2309" max="2309" width="15.85546875" style="5" customWidth="1"/>
    <col min="2310" max="2310" width="16.42578125" style="5" customWidth="1"/>
    <col min="2311" max="2560" width="9.140625" style="5"/>
    <col min="2561" max="2561" width="1.85546875" style="5" customWidth="1"/>
    <col min="2562" max="2562" width="9.140625" style="5"/>
    <col min="2563" max="2563" width="26.42578125" style="5" customWidth="1"/>
    <col min="2564" max="2564" width="9.85546875" style="5" bestFit="1" customWidth="1"/>
    <col min="2565" max="2565" width="15.85546875" style="5" customWidth="1"/>
    <col min="2566" max="2566" width="16.42578125" style="5" customWidth="1"/>
    <col min="2567" max="2816" width="9.140625" style="5"/>
    <col min="2817" max="2817" width="1.85546875" style="5" customWidth="1"/>
    <col min="2818" max="2818" width="9.140625" style="5"/>
    <col min="2819" max="2819" width="26.42578125" style="5" customWidth="1"/>
    <col min="2820" max="2820" width="9.85546875" style="5" bestFit="1" customWidth="1"/>
    <col min="2821" max="2821" width="15.85546875" style="5" customWidth="1"/>
    <col min="2822" max="2822" width="16.42578125" style="5" customWidth="1"/>
    <col min="2823" max="3072" width="9.140625" style="5"/>
    <col min="3073" max="3073" width="1.85546875" style="5" customWidth="1"/>
    <col min="3074" max="3074" width="9.140625" style="5"/>
    <col min="3075" max="3075" width="26.42578125" style="5" customWidth="1"/>
    <col min="3076" max="3076" width="9.85546875" style="5" bestFit="1" customWidth="1"/>
    <col min="3077" max="3077" width="15.85546875" style="5" customWidth="1"/>
    <col min="3078" max="3078" width="16.42578125" style="5" customWidth="1"/>
    <col min="3079" max="3328" width="9.140625" style="5"/>
    <col min="3329" max="3329" width="1.85546875" style="5" customWidth="1"/>
    <col min="3330" max="3330" width="9.140625" style="5"/>
    <col min="3331" max="3331" width="26.42578125" style="5" customWidth="1"/>
    <col min="3332" max="3332" width="9.85546875" style="5" bestFit="1" customWidth="1"/>
    <col min="3333" max="3333" width="15.85546875" style="5" customWidth="1"/>
    <col min="3334" max="3334" width="16.42578125" style="5" customWidth="1"/>
    <col min="3335" max="3584" width="9.140625" style="5"/>
    <col min="3585" max="3585" width="1.85546875" style="5" customWidth="1"/>
    <col min="3586" max="3586" width="9.140625" style="5"/>
    <col min="3587" max="3587" width="26.42578125" style="5" customWidth="1"/>
    <col min="3588" max="3588" width="9.85546875" style="5" bestFit="1" customWidth="1"/>
    <col min="3589" max="3589" width="15.85546875" style="5" customWidth="1"/>
    <col min="3590" max="3590" width="16.42578125" style="5" customWidth="1"/>
    <col min="3591" max="3840" width="9.140625" style="5"/>
    <col min="3841" max="3841" width="1.85546875" style="5" customWidth="1"/>
    <col min="3842" max="3842" width="9.140625" style="5"/>
    <col min="3843" max="3843" width="26.42578125" style="5" customWidth="1"/>
    <col min="3844" max="3844" width="9.85546875" style="5" bestFit="1" customWidth="1"/>
    <col min="3845" max="3845" width="15.85546875" style="5" customWidth="1"/>
    <col min="3846" max="3846" width="16.42578125" style="5" customWidth="1"/>
    <col min="3847" max="4096" width="9.140625" style="5"/>
    <col min="4097" max="4097" width="1.85546875" style="5" customWidth="1"/>
    <col min="4098" max="4098" width="9.140625" style="5"/>
    <col min="4099" max="4099" width="26.42578125" style="5" customWidth="1"/>
    <col min="4100" max="4100" width="9.85546875" style="5" bestFit="1" customWidth="1"/>
    <col min="4101" max="4101" width="15.85546875" style="5" customWidth="1"/>
    <col min="4102" max="4102" width="16.42578125" style="5" customWidth="1"/>
    <col min="4103" max="4352" width="9.140625" style="5"/>
    <col min="4353" max="4353" width="1.85546875" style="5" customWidth="1"/>
    <col min="4354" max="4354" width="9.140625" style="5"/>
    <col min="4355" max="4355" width="26.42578125" style="5" customWidth="1"/>
    <col min="4356" max="4356" width="9.85546875" style="5" bestFit="1" customWidth="1"/>
    <col min="4357" max="4357" width="15.85546875" style="5" customWidth="1"/>
    <col min="4358" max="4358" width="16.42578125" style="5" customWidth="1"/>
    <col min="4359" max="4608" width="9.140625" style="5"/>
    <col min="4609" max="4609" width="1.85546875" style="5" customWidth="1"/>
    <col min="4610" max="4610" width="9.140625" style="5"/>
    <col min="4611" max="4611" width="26.42578125" style="5" customWidth="1"/>
    <col min="4612" max="4612" width="9.85546875" style="5" bestFit="1" customWidth="1"/>
    <col min="4613" max="4613" width="15.85546875" style="5" customWidth="1"/>
    <col min="4614" max="4614" width="16.42578125" style="5" customWidth="1"/>
    <col min="4615" max="4864" width="9.140625" style="5"/>
    <col min="4865" max="4865" width="1.85546875" style="5" customWidth="1"/>
    <col min="4866" max="4866" width="9.140625" style="5"/>
    <col min="4867" max="4867" width="26.42578125" style="5" customWidth="1"/>
    <col min="4868" max="4868" width="9.85546875" style="5" bestFit="1" customWidth="1"/>
    <col min="4869" max="4869" width="15.85546875" style="5" customWidth="1"/>
    <col min="4870" max="4870" width="16.42578125" style="5" customWidth="1"/>
    <col min="4871" max="5120" width="9.140625" style="5"/>
    <col min="5121" max="5121" width="1.85546875" style="5" customWidth="1"/>
    <col min="5122" max="5122" width="9.140625" style="5"/>
    <col min="5123" max="5123" width="26.42578125" style="5" customWidth="1"/>
    <col min="5124" max="5124" width="9.85546875" style="5" bestFit="1" customWidth="1"/>
    <col min="5125" max="5125" width="15.85546875" style="5" customWidth="1"/>
    <col min="5126" max="5126" width="16.42578125" style="5" customWidth="1"/>
    <col min="5127" max="5376" width="9.140625" style="5"/>
    <col min="5377" max="5377" width="1.85546875" style="5" customWidth="1"/>
    <col min="5378" max="5378" width="9.140625" style="5"/>
    <col min="5379" max="5379" width="26.42578125" style="5" customWidth="1"/>
    <col min="5380" max="5380" width="9.85546875" style="5" bestFit="1" customWidth="1"/>
    <col min="5381" max="5381" width="15.85546875" style="5" customWidth="1"/>
    <col min="5382" max="5382" width="16.42578125" style="5" customWidth="1"/>
    <col min="5383" max="5632" width="9.140625" style="5"/>
    <col min="5633" max="5633" width="1.85546875" style="5" customWidth="1"/>
    <col min="5634" max="5634" width="9.140625" style="5"/>
    <col min="5635" max="5635" width="26.42578125" style="5" customWidth="1"/>
    <col min="5636" max="5636" width="9.85546875" style="5" bestFit="1" customWidth="1"/>
    <col min="5637" max="5637" width="15.85546875" style="5" customWidth="1"/>
    <col min="5638" max="5638" width="16.42578125" style="5" customWidth="1"/>
    <col min="5639" max="5888" width="9.140625" style="5"/>
    <col min="5889" max="5889" width="1.85546875" style="5" customWidth="1"/>
    <col min="5890" max="5890" width="9.140625" style="5"/>
    <col min="5891" max="5891" width="26.42578125" style="5" customWidth="1"/>
    <col min="5892" max="5892" width="9.85546875" style="5" bestFit="1" customWidth="1"/>
    <col min="5893" max="5893" width="15.85546875" style="5" customWidth="1"/>
    <col min="5894" max="5894" width="16.42578125" style="5" customWidth="1"/>
    <col min="5895" max="6144" width="9.140625" style="5"/>
    <col min="6145" max="6145" width="1.85546875" style="5" customWidth="1"/>
    <col min="6146" max="6146" width="9.140625" style="5"/>
    <col min="6147" max="6147" width="26.42578125" style="5" customWidth="1"/>
    <col min="6148" max="6148" width="9.85546875" style="5" bestFit="1" customWidth="1"/>
    <col min="6149" max="6149" width="15.85546875" style="5" customWidth="1"/>
    <col min="6150" max="6150" width="16.42578125" style="5" customWidth="1"/>
    <col min="6151" max="6400" width="9.140625" style="5"/>
    <col min="6401" max="6401" width="1.85546875" style="5" customWidth="1"/>
    <col min="6402" max="6402" width="9.140625" style="5"/>
    <col min="6403" max="6403" width="26.42578125" style="5" customWidth="1"/>
    <col min="6404" max="6404" width="9.85546875" style="5" bestFit="1" customWidth="1"/>
    <col min="6405" max="6405" width="15.85546875" style="5" customWidth="1"/>
    <col min="6406" max="6406" width="16.42578125" style="5" customWidth="1"/>
    <col min="6407" max="6656" width="9.140625" style="5"/>
    <col min="6657" max="6657" width="1.85546875" style="5" customWidth="1"/>
    <col min="6658" max="6658" width="9.140625" style="5"/>
    <col min="6659" max="6659" width="26.42578125" style="5" customWidth="1"/>
    <col min="6660" max="6660" width="9.85546875" style="5" bestFit="1" customWidth="1"/>
    <col min="6661" max="6661" width="15.85546875" style="5" customWidth="1"/>
    <col min="6662" max="6662" width="16.42578125" style="5" customWidth="1"/>
    <col min="6663" max="6912" width="9.140625" style="5"/>
    <col min="6913" max="6913" width="1.85546875" style="5" customWidth="1"/>
    <col min="6914" max="6914" width="9.140625" style="5"/>
    <col min="6915" max="6915" width="26.42578125" style="5" customWidth="1"/>
    <col min="6916" max="6916" width="9.85546875" style="5" bestFit="1" customWidth="1"/>
    <col min="6917" max="6917" width="15.85546875" style="5" customWidth="1"/>
    <col min="6918" max="6918" width="16.42578125" style="5" customWidth="1"/>
    <col min="6919" max="7168" width="9.140625" style="5"/>
    <col min="7169" max="7169" width="1.85546875" style="5" customWidth="1"/>
    <col min="7170" max="7170" width="9.140625" style="5"/>
    <col min="7171" max="7171" width="26.42578125" style="5" customWidth="1"/>
    <col min="7172" max="7172" width="9.85546875" style="5" bestFit="1" customWidth="1"/>
    <col min="7173" max="7173" width="15.85546875" style="5" customWidth="1"/>
    <col min="7174" max="7174" width="16.42578125" style="5" customWidth="1"/>
    <col min="7175" max="7424" width="9.140625" style="5"/>
    <col min="7425" max="7425" width="1.85546875" style="5" customWidth="1"/>
    <col min="7426" max="7426" width="9.140625" style="5"/>
    <col min="7427" max="7427" width="26.42578125" style="5" customWidth="1"/>
    <col min="7428" max="7428" width="9.85546875" style="5" bestFit="1" customWidth="1"/>
    <col min="7429" max="7429" width="15.85546875" style="5" customWidth="1"/>
    <col min="7430" max="7430" width="16.42578125" style="5" customWidth="1"/>
    <col min="7431" max="7680" width="9.140625" style="5"/>
    <col min="7681" max="7681" width="1.85546875" style="5" customWidth="1"/>
    <col min="7682" max="7682" width="9.140625" style="5"/>
    <col min="7683" max="7683" width="26.42578125" style="5" customWidth="1"/>
    <col min="7684" max="7684" width="9.85546875" style="5" bestFit="1" customWidth="1"/>
    <col min="7685" max="7685" width="15.85546875" style="5" customWidth="1"/>
    <col min="7686" max="7686" width="16.42578125" style="5" customWidth="1"/>
    <col min="7687" max="7936" width="9.140625" style="5"/>
    <col min="7937" max="7937" width="1.85546875" style="5" customWidth="1"/>
    <col min="7938" max="7938" width="9.140625" style="5"/>
    <col min="7939" max="7939" width="26.42578125" style="5" customWidth="1"/>
    <col min="7940" max="7940" width="9.85546875" style="5" bestFit="1" customWidth="1"/>
    <col min="7941" max="7941" width="15.85546875" style="5" customWidth="1"/>
    <col min="7942" max="7942" width="16.42578125" style="5" customWidth="1"/>
    <col min="7943" max="8192" width="9.140625" style="5"/>
    <col min="8193" max="8193" width="1.85546875" style="5" customWidth="1"/>
    <col min="8194" max="8194" width="9.140625" style="5"/>
    <col min="8195" max="8195" width="26.42578125" style="5" customWidth="1"/>
    <col min="8196" max="8196" width="9.85546875" style="5" bestFit="1" customWidth="1"/>
    <col min="8197" max="8197" width="15.85546875" style="5" customWidth="1"/>
    <col min="8198" max="8198" width="16.42578125" style="5" customWidth="1"/>
    <col min="8199" max="8448" width="9.140625" style="5"/>
    <col min="8449" max="8449" width="1.85546875" style="5" customWidth="1"/>
    <col min="8450" max="8450" width="9.140625" style="5"/>
    <col min="8451" max="8451" width="26.42578125" style="5" customWidth="1"/>
    <col min="8452" max="8452" width="9.85546875" style="5" bestFit="1" customWidth="1"/>
    <col min="8453" max="8453" width="15.85546875" style="5" customWidth="1"/>
    <col min="8454" max="8454" width="16.42578125" style="5" customWidth="1"/>
    <col min="8455" max="8704" width="9.140625" style="5"/>
    <col min="8705" max="8705" width="1.85546875" style="5" customWidth="1"/>
    <col min="8706" max="8706" width="9.140625" style="5"/>
    <col min="8707" max="8707" width="26.42578125" style="5" customWidth="1"/>
    <col min="8708" max="8708" width="9.85546875" style="5" bestFit="1" customWidth="1"/>
    <col min="8709" max="8709" width="15.85546875" style="5" customWidth="1"/>
    <col min="8710" max="8710" width="16.42578125" style="5" customWidth="1"/>
    <col min="8711" max="8960" width="9.140625" style="5"/>
    <col min="8961" max="8961" width="1.85546875" style="5" customWidth="1"/>
    <col min="8962" max="8962" width="9.140625" style="5"/>
    <col min="8963" max="8963" width="26.42578125" style="5" customWidth="1"/>
    <col min="8964" max="8964" width="9.85546875" style="5" bestFit="1" customWidth="1"/>
    <col min="8965" max="8965" width="15.85546875" style="5" customWidth="1"/>
    <col min="8966" max="8966" width="16.42578125" style="5" customWidth="1"/>
    <col min="8967" max="9216" width="9.140625" style="5"/>
    <col min="9217" max="9217" width="1.85546875" style="5" customWidth="1"/>
    <col min="9218" max="9218" width="9.140625" style="5"/>
    <col min="9219" max="9219" width="26.42578125" style="5" customWidth="1"/>
    <col min="9220" max="9220" width="9.85546875" style="5" bestFit="1" customWidth="1"/>
    <col min="9221" max="9221" width="15.85546875" style="5" customWidth="1"/>
    <col min="9222" max="9222" width="16.42578125" style="5" customWidth="1"/>
    <col min="9223" max="9472" width="9.140625" style="5"/>
    <col min="9473" max="9473" width="1.85546875" style="5" customWidth="1"/>
    <col min="9474" max="9474" width="9.140625" style="5"/>
    <col min="9475" max="9475" width="26.42578125" style="5" customWidth="1"/>
    <col min="9476" max="9476" width="9.85546875" style="5" bestFit="1" customWidth="1"/>
    <col min="9477" max="9477" width="15.85546875" style="5" customWidth="1"/>
    <col min="9478" max="9478" width="16.42578125" style="5" customWidth="1"/>
    <col min="9479" max="9728" width="9.140625" style="5"/>
    <col min="9729" max="9729" width="1.85546875" style="5" customWidth="1"/>
    <col min="9730" max="9730" width="9.140625" style="5"/>
    <col min="9731" max="9731" width="26.42578125" style="5" customWidth="1"/>
    <col min="9732" max="9732" width="9.85546875" style="5" bestFit="1" customWidth="1"/>
    <col min="9733" max="9733" width="15.85546875" style="5" customWidth="1"/>
    <col min="9734" max="9734" width="16.42578125" style="5" customWidth="1"/>
    <col min="9735" max="9984" width="9.140625" style="5"/>
    <col min="9985" max="9985" width="1.85546875" style="5" customWidth="1"/>
    <col min="9986" max="9986" width="9.140625" style="5"/>
    <col min="9987" max="9987" width="26.42578125" style="5" customWidth="1"/>
    <col min="9988" max="9988" width="9.85546875" style="5" bestFit="1" customWidth="1"/>
    <col min="9989" max="9989" width="15.85546875" style="5" customWidth="1"/>
    <col min="9990" max="9990" width="16.42578125" style="5" customWidth="1"/>
    <col min="9991" max="10240" width="9.140625" style="5"/>
    <col min="10241" max="10241" width="1.85546875" style="5" customWidth="1"/>
    <col min="10242" max="10242" width="9.140625" style="5"/>
    <col min="10243" max="10243" width="26.42578125" style="5" customWidth="1"/>
    <col min="10244" max="10244" width="9.85546875" style="5" bestFit="1" customWidth="1"/>
    <col min="10245" max="10245" width="15.85546875" style="5" customWidth="1"/>
    <col min="10246" max="10246" width="16.42578125" style="5" customWidth="1"/>
    <col min="10247" max="10496" width="9.140625" style="5"/>
    <col min="10497" max="10497" width="1.85546875" style="5" customWidth="1"/>
    <col min="10498" max="10498" width="9.140625" style="5"/>
    <col min="10499" max="10499" width="26.42578125" style="5" customWidth="1"/>
    <col min="10500" max="10500" width="9.85546875" style="5" bestFit="1" customWidth="1"/>
    <col min="10501" max="10501" width="15.85546875" style="5" customWidth="1"/>
    <col min="10502" max="10502" width="16.42578125" style="5" customWidth="1"/>
    <col min="10503" max="10752" width="9.140625" style="5"/>
    <col min="10753" max="10753" width="1.85546875" style="5" customWidth="1"/>
    <col min="10754" max="10754" width="9.140625" style="5"/>
    <col min="10755" max="10755" width="26.42578125" style="5" customWidth="1"/>
    <col min="10756" max="10756" width="9.85546875" style="5" bestFit="1" customWidth="1"/>
    <col min="10757" max="10757" width="15.85546875" style="5" customWidth="1"/>
    <col min="10758" max="10758" width="16.42578125" style="5" customWidth="1"/>
    <col min="10759" max="11008" width="9.140625" style="5"/>
    <col min="11009" max="11009" width="1.85546875" style="5" customWidth="1"/>
    <col min="11010" max="11010" width="9.140625" style="5"/>
    <col min="11011" max="11011" width="26.42578125" style="5" customWidth="1"/>
    <col min="11012" max="11012" width="9.85546875" style="5" bestFit="1" customWidth="1"/>
    <col min="11013" max="11013" width="15.85546875" style="5" customWidth="1"/>
    <col min="11014" max="11014" width="16.42578125" style="5" customWidth="1"/>
    <col min="11015" max="11264" width="9.140625" style="5"/>
    <col min="11265" max="11265" width="1.85546875" style="5" customWidth="1"/>
    <col min="11266" max="11266" width="9.140625" style="5"/>
    <col min="11267" max="11267" width="26.42578125" style="5" customWidth="1"/>
    <col min="11268" max="11268" width="9.85546875" style="5" bestFit="1" customWidth="1"/>
    <col min="11269" max="11269" width="15.85546875" style="5" customWidth="1"/>
    <col min="11270" max="11270" width="16.42578125" style="5" customWidth="1"/>
    <col min="11271" max="11520" width="9.140625" style="5"/>
    <col min="11521" max="11521" width="1.85546875" style="5" customWidth="1"/>
    <col min="11522" max="11522" width="9.140625" style="5"/>
    <col min="11523" max="11523" width="26.42578125" style="5" customWidth="1"/>
    <col min="11524" max="11524" width="9.85546875" style="5" bestFit="1" customWidth="1"/>
    <col min="11525" max="11525" width="15.85546875" style="5" customWidth="1"/>
    <col min="11526" max="11526" width="16.42578125" style="5" customWidth="1"/>
    <col min="11527" max="11776" width="9.140625" style="5"/>
    <col min="11777" max="11777" width="1.85546875" style="5" customWidth="1"/>
    <col min="11778" max="11778" width="9.140625" style="5"/>
    <col min="11779" max="11779" width="26.42578125" style="5" customWidth="1"/>
    <col min="11780" max="11780" width="9.85546875" style="5" bestFit="1" customWidth="1"/>
    <col min="11781" max="11781" width="15.85546875" style="5" customWidth="1"/>
    <col min="11782" max="11782" width="16.42578125" style="5" customWidth="1"/>
    <col min="11783" max="12032" width="9.140625" style="5"/>
    <col min="12033" max="12033" width="1.85546875" style="5" customWidth="1"/>
    <col min="12034" max="12034" width="9.140625" style="5"/>
    <col min="12035" max="12035" width="26.42578125" style="5" customWidth="1"/>
    <col min="12036" max="12036" width="9.85546875" style="5" bestFit="1" customWidth="1"/>
    <col min="12037" max="12037" width="15.85546875" style="5" customWidth="1"/>
    <col min="12038" max="12038" width="16.42578125" style="5" customWidth="1"/>
    <col min="12039" max="12288" width="9.140625" style="5"/>
    <col min="12289" max="12289" width="1.85546875" style="5" customWidth="1"/>
    <col min="12290" max="12290" width="9.140625" style="5"/>
    <col min="12291" max="12291" width="26.42578125" style="5" customWidth="1"/>
    <col min="12292" max="12292" width="9.85546875" style="5" bestFit="1" customWidth="1"/>
    <col min="12293" max="12293" width="15.85546875" style="5" customWidth="1"/>
    <col min="12294" max="12294" width="16.42578125" style="5" customWidth="1"/>
    <col min="12295" max="12544" width="9.140625" style="5"/>
    <col min="12545" max="12545" width="1.85546875" style="5" customWidth="1"/>
    <col min="12546" max="12546" width="9.140625" style="5"/>
    <col min="12547" max="12547" width="26.42578125" style="5" customWidth="1"/>
    <col min="12548" max="12548" width="9.85546875" style="5" bestFit="1" customWidth="1"/>
    <col min="12549" max="12549" width="15.85546875" style="5" customWidth="1"/>
    <col min="12550" max="12550" width="16.42578125" style="5" customWidth="1"/>
    <col min="12551" max="12800" width="9.140625" style="5"/>
    <col min="12801" max="12801" width="1.85546875" style="5" customWidth="1"/>
    <col min="12802" max="12802" width="9.140625" style="5"/>
    <col min="12803" max="12803" width="26.42578125" style="5" customWidth="1"/>
    <col min="12804" max="12804" width="9.85546875" style="5" bestFit="1" customWidth="1"/>
    <col min="12805" max="12805" width="15.85546875" style="5" customWidth="1"/>
    <col min="12806" max="12806" width="16.42578125" style="5" customWidth="1"/>
    <col min="12807" max="13056" width="9.140625" style="5"/>
    <col min="13057" max="13057" width="1.85546875" style="5" customWidth="1"/>
    <col min="13058" max="13058" width="9.140625" style="5"/>
    <col min="13059" max="13059" width="26.42578125" style="5" customWidth="1"/>
    <col min="13060" max="13060" width="9.85546875" style="5" bestFit="1" customWidth="1"/>
    <col min="13061" max="13061" width="15.85546875" style="5" customWidth="1"/>
    <col min="13062" max="13062" width="16.42578125" style="5" customWidth="1"/>
    <col min="13063" max="13312" width="9.140625" style="5"/>
    <col min="13313" max="13313" width="1.85546875" style="5" customWidth="1"/>
    <col min="13314" max="13314" width="9.140625" style="5"/>
    <col min="13315" max="13315" width="26.42578125" style="5" customWidth="1"/>
    <col min="13316" max="13316" width="9.85546875" style="5" bestFit="1" customWidth="1"/>
    <col min="13317" max="13317" width="15.85546875" style="5" customWidth="1"/>
    <col min="13318" max="13318" width="16.42578125" style="5" customWidth="1"/>
    <col min="13319" max="13568" width="9.140625" style="5"/>
    <col min="13569" max="13569" width="1.85546875" style="5" customWidth="1"/>
    <col min="13570" max="13570" width="9.140625" style="5"/>
    <col min="13571" max="13571" width="26.42578125" style="5" customWidth="1"/>
    <col min="13572" max="13572" width="9.85546875" style="5" bestFit="1" customWidth="1"/>
    <col min="13573" max="13573" width="15.85546875" style="5" customWidth="1"/>
    <col min="13574" max="13574" width="16.42578125" style="5" customWidth="1"/>
    <col min="13575" max="13824" width="9.140625" style="5"/>
    <col min="13825" max="13825" width="1.85546875" style="5" customWidth="1"/>
    <col min="13826" max="13826" width="9.140625" style="5"/>
    <col min="13827" max="13827" width="26.42578125" style="5" customWidth="1"/>
    <col min="13828" max="13828" width="9.85546875" style="5" bestFit="1" customWidth="1"/>
    <col min="13829" max="13829" width="15.85546875" style="5" customWidth="1"/>
    <col min="13830" max="13830" width="16.42578125" style="5" customWidth="1"/>
    <col min="13831" max="14080" width="9.140625" style="5"/>
    <col min="14081" max="14081" width="1.85546875" style="5" customWidth="1"/>
    <col min="14082" max="14082" width="9.140625" style="5"/>
    <col min="14083" max="14083" width="26.42578125" style="5" customWidth="1"/>
    <col min="14084" max="14084" width="9.85546875" style="5" bestFit="1" customWidth="1"/>
    <col min="14085" max="14085" width="15.85546875" style="5" customWidth="1"/>
    <col min="14086" max="14086" width="16.42578125" style="5" customWidth="1"/>
    <col min="14087" max="14336" width="9.140625" style="5"/>
    <col min="14337" max="14337" width="1.85546875" style="5" customWidth="1"/>
    <col min="14338" max="14338" width="9.140625" style="5"/>
    <col min="14339" max="14339" width="26.42578125" style="5" customWidth="1"/>
    <col min="14340" max="14340" width="9.85546875" style="5" bestFit="1" customWidth="1"/>
    <col min="14341" max="14341" width="15.85546875" style="5" customWidth="1"/>
    <col min="14342" max="14342" width="16.42578125" style="5" customWidth="1"/>
    <col min="14343" max="14592" width="9.140625" style="5"/>
    <col min="14593" max="14593" width="1.85546875" style="5" customWidth="1"/>
    <col min="14594" max="14594" width="9.140625" style="5"/>
    <col min="14595" max="14595" width="26.42578125" style="5" customWidth="1"/>
    <col min="14596" max="14596" width="9.85546875" style="5" bestFit="1" customWidth="1"/>
    <col min="14597" max="14597" width="15.85546875" style="5" customWidth="1"/>
    <col min="14598" max="14598" width="16.42578125" style="5" customWidth="1"/>
    <col min="14599" max="14848" width="9.140625" style="5"/>
    <col min="14849" max="14849" width="1.85546875" style="5" customWidth="1"/>
    <col min="14850" max="14850" width="9.140625" style="5"/>
    <col min="14851" max="14851" width="26.42578125" style="5" customWidth="1"/>
    <col min="14852" max="14852" width="9.85546875" style="5" bestFit="1" customWidth="1"/>
    <col min="14853" max="14853" width="15.85546875" style="5" customWidth="1"/>
    <col min="14854" max="14854" width="16.42578125" style="5" customWidth="1"/>
    <col min="14855" max="15104" width="9.140625" style="5"/>
    <col min="15105" max="15105" width="1.85546875" style="5" customWidth="1"/>
    <col min="15106" max="15106" width="9.140625" style="5"/>
    <col min="15107" max="15107" width="26.42578125" style="5" customWidth="1"/>
    <col min="15108" max="15108" width="9.85546875" style="5" bestFit="1" customWidth="1"/>
    <col min="15109" max="15109" width="15.85546875" style="5" customWidth="1"/>
    <col min="15110" max="15110" width="16.42578125" style="5" customWidth="1"/>
    <col min="15111" max="15360" width="9.140625" style="5"/>
    <col min="15361" max="15361" width="1.85546875" style="5" customWidth="1"/>
    <col min="15362" max="15362" width="9.140625" style="5"/>
    <col min="15363" max="15363" width="26.42578125" style="5" customWidth="1"/>
    <col min="15364" max="15364" width="9.85546875" style="5" bestFit="1" customWidth="1"/>
    <col min="15365" max="15365" width="15.85546875" style="5" customWidth="1"/>
    <col min="15366" max="15366" width="16.42578125" style="5" customWidth="1"/>
    <col min="15367" max="15616" width="9.140625" style="5"/>
    <col min="15617" max="15617" width="1.85546875" style="5" customWidth="1"/>
    <col min="15618" max="15618" width="9.140625" style="5"/>
    <col min="15619" max="15619" width="26.42578125" style="5" customWidth="1"/>
    <col min="15620" max="15620" width="9.85546875" style="5" bestFit="1" customWidth="1"/>
    <col min="15621" max="15621" width="15.85546875" style="5" customWidth="1"/>
    <col min="15622" max="15622" width="16.42578125" style="5" customWidth="1"/>
    <col min="15623" max="15872" width="9.140625" style="5"/>
    <col min="15873" max="15873" width="1.85546875" style="5" customWidth="1"/>
    <col min="15874" max="15874" width="9.140625" style="5"/>
    <col min="15875" max="15875" width="26.42578125" style="5" customWidth="1"/>
    <col min="15876" max="15876" width="9.85546875" style="5" bestFit="1" customWidth="1"/>
    <col min="15877" max="15877" width="15.85546875" style="5" customWidth="1"/>
    <col min="15878" max="15878" width="16.42578125" style="5" customWidth="1"/>
    <col min="15879" max="16128" width="9.140625" style="5"/>
    <col min="16129" max="16129" width="1.85546875" style="5" customWidth="1"/>
    <col min="16130" max="16130" width="9.140625" style="5"/>
    <col min="16131" max="16131" width="26.42578125" style="5" customWidth="1"/>
    <col min="16132" max="16132" width="9.85546875" style="5" bestFit="1" customWidth="1"/>
    <col min="16133" max="16133" width="15.85546875" style="5" customWidth="1"/>
    <col min="16134" max="16134" width="16.42578125" style="5" customWidth="1"/>
    <col min="16135" max="16384" width="9.140625" style="5"/>
  </cols>
  <sheetData>
    <row r="2" spans="2:6" ht="18.75">
      <c r="B2" s="2704" t="s">
        <v>1275</v>
      </c>
      <c r="C2" s="2704"/>
      <c r="D2" s="2704"/>
      <c r="E2" s="2704"/>
      <c r="F2" s="2704"/>
    </row>
    <row r="3" spans="2:6" ht="18.75">
      <c r="B3" s="2704"/>
      <c r="C3" s="2704"/>
      <c r="D3" s="2704"/>
      <c r="E3" s="2704"/>
      <c r="F3" s="2704"/>
    </row>
    <row r="4" spans="2:6" ht="21.75" customHeight="1" thickBot="1">
      <c r="B4" s="835"/>
      <c r="C4" s="835"/>
      <c r="D4" s="835"/>
      <c r="E4" s="835"/>
      <c r="F4" s="835"/>
    </row>
    <row r="5" spans="2:6" ht="10.5" customHeight="1">
      <c r="B5" s="836"/>
      <c r="C5" s="837"/>
      <c r="D5" s="838"/>
      <c r="E5" s="838"/>
      <c r="F5" s="839"/>
    </row>
    <row r="6" spans="2:6">
      <c r="B6" s="840" t="s">
        <v>908</v>
      </c>
      <c r="C6" s="841" t="s">
        <v>211</v>
      </c>
      <c r="D6" s="842" t="s">
        <v>212</v>
      </c>
      <c r="E6" s="842" t="s">
        <v>1276</v>
      </c>
      <c r="F6" s="843" t="s">
        <v>1277</v>
      </c>
    </row>
    <row r="7" spans="2:6" ht="9.75" customHeight="1" thickBot="1">
      <c r="B7" s="844"/>
      <c r="C7" s="845"/>
      <c r="D7" s="846"/>
      <c r="E7" s="846"/>
      <c r="F7" s="847"/>
    </row>
    <row r="8" spans="2:6" ht="9" customHeight="1" thickTop="1">
      <c r="B8" s="848"/>
      <c r="C8" s="849"/>
      <c r="D8" s="849"/>
      <c r="E8" s="849"/>
      <c r="F8" s="850"/>
    </row>
    <row r="9" spans="2:6">
      <c r="B9" s="851">
        <v>1</v>
      </c>
      <c r="C9" s="852" t="s">
        <v>136</v>
      </c>
      <c r="D9" s="853" t="s">
        <v>1278</v>
      </c>
      <c r="E9" s="1297">
        <v>180000</v>
      </c>
      <c r="F9" s="854"/>
    </row>
    <row r="10" spans="2:6">
      <c r="B10" s="851">
        <f>B9+1</f>
        <v>2</v>
      </c>
      <c r="C10" s="852" t="s">
        <v>1279</v>
      </c>
      <c r="D10" s="853" t="s">
        <v>1278</v>
      </c>
      <c r="E10" s="1297">
        <v>170000</v>
      </c>
      <c r="F10" s="854"/>
    </row>
    <row r="11" spans="2:6">
      <c r="B11" s="851">
        <f t="shared" ref="B11:B33" si="0">B10+1</f>
        <v>3</v>
      </c>
      <c r="C11" s="852" t="s">
        <v>1280</v>
      </c>
      <c r="D11" s="853" t="s">
        <v>1278</v>
      </c>
      <c r="E11" s="1297">
        <v>150000</v>
      </c>
      <c r="F11" s="854"/>
    </row>
    <row r="12" spans="2:6">
      <c r="B12" s="851">
        <f t="shared" si="0"/>
        <v>4</v>
      </c>
      <c r="C12" s="852" t="s">
        <v>303</v>
      </c>
      <c r="D12" s="853" t="s">
        <v>1278</v>
      </c>
      <c r="E12" s="1297">
        <v>170000</v>
      </c>
      <c r="F12" s="854"/>
    </row>
    <row r="13" spans="2:6">
      <c r="B13" s="851">
        <f t="shared" si="0"/>
        <v>5</v>
      </c>
      <c r="C13" s="852" t="s">
        <v>1281</v>
      </c>
      <c r="D13" s="853" t="s">
        <v>1278</v>
      </c>
      <c r="E13" s="1297">
        <v>170000</v>
      </c>
      <c r="F13" s="854"/>
    </row>
    <row r="14" spans="2:6">
      <c r="B14" s="851">
        <f t="shared" si="0"/>
        <v>6</v>
      </c>
      <c r="C14" s="852" t="s">
        <v>1282</v>
      </c>
      <c r="D14" s="853" t="s">
        <v>1278</v>
      </c>
      <c r="E14" s="1297">
        <v>170000</v>
      </c>
      <c r="F14" s="854"/>
    </row>
    <row r="15" spans="2:6">
      <c r="B15" s="851">
        <f t="shared" si="0"/>
        <v>7</v>
      </c>
      <c r="C15" s="852" t="s">
        <v>1283</v>
      </c>
      <c r="D15" s="853" t="s">
        <v>1278</v>
      </c>
      <c r="E15" s="1297">
        <v>160000</v>
      </c>
      <c r="F15" s="854"/>
    </row>
    <row r="16" spans="2:6">
      <c r="B16" s="851">
        <f t="shared" si="0"/>
        <v>8</v>
      </c>
      <c r="C16" s="852" t="s">
        <v>245</v>
      </c>
      <c r="D16" s="853" t="s">
        <v>1278</v>
      </c>
      <c r="E16" s="1297">
        <v>160000</v>
      </c>
      <c r="F16" s="854"/>
    </row>
    <row r="17" spans="2:6">
      <c r="B17" s="851">
        <f t="shared" si="0"/>
        <v>9</v>
      </c>
      <c r="C17" s="852" t="s">
        <v>139</v>
      </c>
      <c r="D17" s="853" t="s">
        <v>1278</v>
      </c>
      <c r="E17" s="1297">
        <v>160000</v>
      </c>
      <c r="F17" s="854"/>
    </row>
    <row r="18" spans="2:6">
      <c r="B18" s="851">
        <f t="shared" si="0"/>
        <v>10</v>
      </c>
      <c r="C18" s="852" t="s">
        <v>1284</v>
      </c>
      <c r="D18" s="853" t="s">
        <v>1278</v>
      </c>
      <c r="E18" s="1297">
        <v>160000</v>
      </c>
      <c r="F18" s="854"/>
    </row>
    <row r="19" spans="2:6">
      <c r="B19" s="851">
        <f t="shared" si="0"/>
        <v>11</v>
      </c>
      <c r="C19" s="852" t="s">
        <v>1285</v>
      </c>
      <c r="D19" s="853" t="s">
        <v>1278</v>
      </c>
      <c r="E19" s="1297">
        <v>160000</v>
      </c>
      <c r="F19" s="854"/>
    </row>
    <row r="20" spans="2:6">
      <c r="B20" s="851">
        <f t="shared" si="0"/>
        <v>12</v>
      </c>
      <c r="C20" s="852" t="s">
        <v>1286</v>
      </c>
      <c r="D20" s="853" t="s">
        <v>1278</v>
      </c>
      <c r="E20" s="1297">
        <v>170000</v>
      </c>
      <c r="F20" s="854"/>
    </row>
    <row r="21" spans="2:6">
      <c r="B21" s="851">
        <f t="shared" si="0"/>
        <v>13</v>
      </c>
      <c r="C21" s="852" t="s">
        <v>1287</v>
      </c>
      <c r="D21" s="853" t="s">
        <v>1278</v>
      </c>
      <c r="E21" s="1297">
        <v>150000</v>
      </c>
      <c r="F21" s="854"/>
    </row>
    <row r="22" spans="2:6">
      <c r="B22" s="851">
        <f t="shared" si="0"/>
        <v>14</v>
      </c>
      <c r="C22" s="852" t="s">
        <v>1288</v>
      </c>
      <c r="D22" s="853" t="s">
        <v>1278</v>
      </c>
      <c r="E22" s="1297">
        <v>160000</v>
      </c>
      <c r="F22" s="854"/>
    </row>
    <row r="23" spans="2:6">
      <c r="B23" s="851">
        <f t="shared" si="0"/>
        <v>15</v>
      </c>
      <c r="C23" s="852" t="s">
        <v>1289</v>
      </c>
      <c r="D23" s="853" t="s">
        <v>1278</v>
      </c>
      <c r="E23" s="1297">
        <v>150000</v>
      </c>
      <c r="F23" s="854"/>
    </row>
    <row r="24" spans="2:6">
      <c r="B24" s="851">
        <f t="shared" si="0"/>
        <v>16</v>
      </c>
      <c r="C24" s="852" t="s">
        <v>1290</v>
      </c>
      <c r="D24" s="853" t="s">
        <v>1278</v>
      </c>
      <c r="E24" s="1297">
        <v>150000</v>
      </c>
      <c r="F24" s="854"/>
    </row>
    <row r="25" spans="2:6">
      <c r="B25" s="851">
        <f t="shared" si="0"/>
        <v>17</v>
      </c>
      <c r="C25" s="852" t="s">
        <v>1291</v>
      </c>
      <c r="D25" s="853" t="s">
        <v>1278</v>
      </c>
      <c r="E25" s="1297">
        <v>140000</v>
      </c>
      <c r="F25" s="854"/>
    </row>
    <row r="26" spans="2:6">
      <c r="B26" s="851">
        <f t="shared" si="0"/>
        <v>18</v>
      </c>
      <c r="C26" s="852" t="s">
        <v>1292</v>
      </c>
      <c r="D26" s="853" t="s">
        <v>1278</v>
      </c>
      <c r="E26" s="1297">
        <v>136000</v>
      </c>
      <c r="F26" s="854"/>
    </row>
    <row r="27" spans="2:6">
      <c r="B27" s="851">
        <f t="shared" si="0"/>
        <v>19</v>
      </c>
      <c r="C27" s="852" t="s">
        <v>1293</v>
      </c>
      <c r="D27" s="853" t="s">
        <v>1278</v>
      </c>
      <c r="E27" s="1297">
        <v>140000</v>
      </c>
      <c r="F27" s="854"/>
    </row>
    <row r="28" spans="2:6">
      <c r="B28" s="851">
        <f t="shared" si="0"/>
        <v>20</v>
      </c>
      <c r="C28" s="852" t="s">
        <v>1294</v>
      </c>
      <c r="D28" s="853" t="s">
        <v>1278</v>
      </c>
      <c r="E28" s="1297">
        <v>170000</v>
      </c>
      <c r="F28" s="854"/>
    </row>
    <row r="29" spans="2:6">
      <c r="B29" s="851">
        <f t="shared" si="0"/>
        <v>21</v>
      </c>
      <c r="C29" s="852" t="s">
        <v>1295</v>
      </c>
      <c r="D29" s="853" t="s">
        <v>1278</v>
      </c>
      <c r="E29" s="1297">
        <v>190000</v>
      </c>
      <c r="F29" s="854"/>
    </row>
    <row r="30" spans="2:6">
      <c r="B30" s="851">
        <f t="shared" si="0"/>
        <v>22</v>
      </c>
      <c r="C30" s="852" t="s">
        <v>1296</v>
      </c>
      <c r="D30" s="853" t="s">
        <v>1278</v>
      </c>
      <c r="E30" s="1297">
        <v>190000</v>
      </c>
      <c r="F30" s="854"/>
    </row>
    <row r="31" spans="2:6">
      <c r="B31" s="851">
        <f t="shared" si="0"/>
        <v>23</v>
      </c>
      <c r="C31" s="852" t="s">
        <v>1297</v>
      </c>
      <c r="D31" s="853" t="s">
        <v>1278</v>
      </c>
      <c r="E31" s="1297">
        <v>150000</v>
      </c>
      <c r="F31" s="854"/>
    </row>
    <row r="32" spans="2:6">
      <c r="B32" s="851">
        <f t="shared" si="0"/>
        <v>24</v>
      </c>
      <c r="C32" s="852" t="s">
        <v>1298</v>
      </c>
      <c r="D32" s="853" t="s">
        <v>1278</v>
      </c>
      <c r="E32" s="1297">
        <v>160000</v>
      </c>
      <c r="F32" s="854"/>
    </row>
    <row r="33" spans="2:6">
      <c r="B33" s="851">
        <f t="shared" si="0"/>
        <v>25</v>
      </c>
      <c r="C33" s="852" t="s">
        <v>1299</v>
      </c>
      <c r="D33" s="853" t="s">
        <v>1278</v>
      </c>
      <c r="E33" s="1297">
        <v>160000</v>
      </c>
      <c r="F33" s="854"/>
    </row>
    <row r="34" spans="2:6" ht="15.75" thickBot="1">
      <c r="B34" s="855"/>
      <c r="C34" s="856"/>
      <c r="D34" s="856"/>
      <c r="E34" s="856"/>
      <c r="F34" s="857"/>
    </row>
    <row r="36" spans="2:6">
      <c r="B36" s="858" t="s">
        <v>1274</v>
      </c>
    </row>
    <row r="38" spans="2:6">
      <c r="E38" s="5" t="s">
        <v>163</v>
      </c>
    </row>
  </sheetData>
  <mergeCells count="2">
    <mergeCell ref="B2:F2"/>
    <mergeCell ref="B3:F3"/>
  </mergeCells>
  <printOptions horizontalCentered="1"/>
  <pageMargins left="0.23622047244094491" right="0.23622047244094491" top="0.43307086614173229" bottom="0.43307086614173229" header="0.23622047244094491" footer="0.23622047244094491"/>
  <pageSetup paperSize="9" scale="12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2">
    <tabColor theme="8"/>
  </sheetPr>
  <dimension ref="A1:W82"/>
  <sheetViews>
    <sheetView showGridLines="0" topLeftCell="A43" workbookViewId="0">
      <selection activeCell="U22" sqref="U22"/>
    </sheetView>
  </sheetViews>
  <sheetFormatPr defaultRowHeight="15"/>
  <cols>
    <col min="2" max="2" width="45.5703125" bestFit="1" customWidth="1"/>
  </cols>
  <sheetData>
    <row r="1" spans="2:23" s="1221" customFormat="1" ht="20.100000000000001" customHeight="1">
      <c r="B1" s="2710" t="s">
        <v>1944</v>
      </c>
      <c r="C1" s="2710"/>
      <c r="D1" s="2710"/>
      <c r="E1" s="2710"/>
      <c r="F1" s="2710"/>
      <c r="G1" s="2710"/>
      <c r="H1" s="2710"/>
      <c r="I1" s="2710"/>
      <c r="J1" s="2710"/>
      <c r="K1" s="2710"/>
      <c r="L1" s="2710"/>
      <c r="M1" s="2710"/>
      <c r="N1" s="2710"/>
      <c r="O1" s="2710"/>
      <c r="P1" s="2710"/>
      <c r="Q1" s="2710"/>
    </row>
    <row r="2" spans="2:23" s="1221" customFormat="1" ht="20.100000000000001" customHeight="1">
      <c r="B2" s="1593"/>
      <c r="C2" s="1593"/>
      <c r="D2" s="1593"/>
      <c r="E2" s="1593"/>
      <c r="F2" s="1593"/>
      <c r="G2" s="1593"/>
      <c r="H2" s="1593"/>
      <c r="I2" s="1593"/>
      <c r="J2" s="1593"/>
      <c r="K2" s="1593"/>
      <c r="L2" s="1593"/>
      <c r="M2" s="1593"/>
      <c r="N2" s="1593"/>
      <c r="O2" s="1593"/>
      <c r="P2" s="1593"/>
      <c r="Q2" s="1593"/>
    </row>
    <row r="3" spans="2:23">
      <c r="B3" s="2709" t="s">
        <v>1925</v>
      </c>
      <c r="C3" s="2709"/>
      <c r="D3" s="2709"/>
      <c r="E3" s="2709"/>
      <c r="F3" s="2709"/>
      <c r="G3" s="2709"/>
      <c r="H3" s="2709"/>
      <c r="I3" s="2709"/>
      <c r="J3" s="2709"/>
      <c r="K3" s="2709"/>
      <c r="L3" s="2709"/>
      <c r="M3" s="2709"/>
      <c r="N3" s="2709"/>
      <c r="O3" s="2709"/>
      <c r="P3" s="2709"/>
      <c r="Q3" s="2709"/>
    </row>
    <row r="4" spans="2:23" s="1221" customFormat="1">
      <c r="B4" s="2709"/>
      <c r="C4" s="2709"/>
      <c r="D4" s="2709"/>
      <c r="E4" s="2709"/>
      <c r="F4" s="2709"/>
      <c r="G4" s="2709"/>
      <c r="H4" s="2709"/>
      <c r="I4" s="2709"/>
      <c r="J4" s="2709"/>
      <c r="K4" s="2709"/>
      <c r="L4" s="2709"/>
      <c r="M4" s="2709"/>
      <c r="N4" s="2709"/>
      <c r="O4" s="2709"/>
      <c r="P4" s="2709"/>
      <c r="Q4" s="2709"/>
    </row>
    <row r="5" spans="2:23">
      <c r="B5" s="1582"/>
      <c r="C5" s="2711" t="s">
        <v>153</v>
      </c>
      <c r="D5" s="2711"/>
      <c r="E5" s="2711"/>
      <c r="F5" s="2711" t="s">
        <v>155</v>
      </c>
      <c r="G5" s="2711"/>
      <c r="H5" s="2711"/>
      <c r="I5" s="2711" t="s">
        <v>178</v>
      </c>
      <c r="J5" s="2711"/>
      <c r="K5" s="2711"/>
      <c r="L5" s="2711" t="s">
        <v>1912</v>
      </c>
      <c r="M5" s="2711"/>
      <c r="N5" s="2711"/>
      <c r="O5" s="2711" t="s">
        <v>2660</v>
      </c>
      <c r="P5" s="2711"/>
      <c r="Q5" s="2711"/>
      <c r="R5" s="2711" t="s">
        <v>2866</v>
      </c>
      <c r="S5" s="2711"/>
      <c r="T5" s="2711"/>
      <c r="U5" s="2711" t="s">
        <v>1913</v>
      </c>
      <c r="V5" s="2711"/>
      <c r="W5" s="2711"/>
    </row>
    <row r="6" spans="2:23">
      <c r="B6" s="1589" t="s">
        <v>1929</v>
      </c>
      <c r="C6" s="1587">
        <v>0.8</v>
      </c>
      <c r="D6" s="2332"/>
      <c r="E6" s="1587"/>
      <c r="F6" s="1587">
        <v>0.6</v>
      </c>
      <c r="G6" s="2332"/>
      <c r="H6" s="1587"/>
      <c r="I6" s="1587"/>
      <c r="J6" s="2332"/>
      <c r="K6" s="1587"/>
      <c r="L6" s="1587"/>
      <c r="M6" s="2332"/>
      <c r="N6" s="1587"/>
      <c r="O6" s="1587"/>
      <c r="P6" s="2332"/>
      <c r="Q6" s="1587"/>
      <c r="R6" s="1587"/>
      <c r="S6" s="2332" t="s">
        <v>1791</v>
      </c>
      <c r="T6" s="1587"/>
      <c r="U6" s="1587">
        <v>0.77500000000000002</v>
      </c>
      <c r="V6" s="2708" t="s">
        <v>1791</v>
      </c>
      <c r="W6" s="1587"/>
    </row>
    <row r="7" spans="2:23">
      <c r="B7" s="1589" t="s">
        <v>1937</v>
      </c>
      <c r="C7" s="1587">
        <v>0.8</v>
      </c>
      <c r="D7" s="2333"/>
      <c r="E7" s="1587"/>
      <c r="F7" s="1587">
        <v>0.6</v>
      </c>
      <c r="G7" s="2333"/>
      <c r="H7" s="1587"/>
      <c r="I7" s="1587"/>
      <c r="J7" s="2333"/>
      <c r="K7" s="1587"/>
      <c r="L7" s="1587"/>
      <c r="M7" s="2333"/>
      <c r="N7" s="1587"/>
      <c r="O7" s="1587"/>
      <c r="P7" s="2333"/>
      <c r="Q7" s="1587"/>
      <c r="R7" s="1587"/>
      <c r="S7" s="2333"/>
      <c r="T7" s="1587"/>
      <c r="U7" s="2335">
        <v>190</v>
      </c>
      <c r="V7" s="2708"/>
      <c r="W7" s="1587"/>
    </row>
    <row r="8" spans="2:23" s="1221" customFormat="1">
      <c r="B8" s="1589" t="s">
        <v>1980</v>
      </c>
      <c r="C8" s="1587">
        <v>0.3</v>
      </c>
      <c r="D8" s="2333"/>
      <c r="E8" s="1587"/>
      <c r="F8" s="1587">
        <v>0.3</v>
      </c>
      <c r="G8" s="2333"/>
      <c r="H8" s="1587"/>
      <c r="I8" s="1587"/>
      <c r="J8" s="2333"/>
      <c r="K8" s="1587"/>
      <c r="L8" s="1587"/>
      <c r="M8" s="2333"/>
      <c r="N8" s="1587"/>
      <c r="O8" s="1587"/>
      <c r="P8" s="2333"/>
      <c r="Q8" s="1587"/>
      <c r="R8" s="1587"/>
      <c r="S8" s="2333"/>
      <c r="T8" s="1587"/>
      <c r="U8" s="1587"/>
      <c r="V8" s="2708"/>
      <c r="W8" s="1587"/>
    </row>
    <row r="9" spans="2:23">
      <c r="B9" s="1589" t="s">
        <v>1930</v>
      </c>
      <c r="C9" s="1587">
        <v>46</v>
      </c>
      <c r="D9" s="2333"/>
      <c r="E9" s="1587"/>
      <c r="F9" s="1587">
        <v>15</v>
      </c>
      <c r="G9" s="2333"/>
      <c r="H9" s="1587"/>
      <c r="I9" s="1587"/>
      <c r="J9" s="2333"/>
      <c r="K9" s="1587"/>
      <c r="L9" s="1587"/>
      <c r="M9" s="2333"/>
      <c r="N9" s="1587"/>
      <c r="O9" s="1587"/>
      <c r="P9" s="2333"/>
      <c r="Q9" s="1587"/>
      <c r="R9" s="1587"/>
      <c r="S9" s="2333"/>
      <c r="T9" s="1587"/>
      <c r="U9" s="1587"/>
      <c r="V9" s="2708"/>
      <c r="W9" s="1587"/>
    </row>
    <row r="10" spans="2:23">
      <c r="B10" s="1589" t="s">
        <v>1938</v>
      </c>
      <c r="C10" s="1587">
        <v>3.5</v>
      </c>
      <c r="D10" s="2333"/>
      <c r="E10" s="1585">
        <f>C6*C7*C9*C10</f>
        <v>103.04000000000002</v>
      </c>
      <c r="F10" s="1587">
        <v>3.5</v>
      </c>
      <c r="G10" s="2333"/>
      <c r="H10" s="1585">
        <f>F6*F7*F9*F10</f>
        <v>18.899999999999999</v>
      </c>
      <c r="I10" s="1587"/>
      <c r="J10" s="2333"/>
      <c r="K10" s="1585">
        <f>I6*I7*I9*I10</f>
        <v>0</v>
      </c>
      <c r="L10" s="1587"/>
      <c r="M10" s="2333"/>
      <c r="N10" s="1585">
        <f>L6*L7*L9*L10</f>
        <v>0</v>
      </c>
      <c r="O10" s="1587"/>
      <c r="P10" s="2333"/>
      <c r="Q10" s="1585">
        <f>O6*O7*O9*O10</f>
        <v>0</v>
      </c>
      <c r="R10" s="1587"/>
      <c r="S10" s="2333"/>
      <c r="T10" s="1585">
        <f>R6*R7*R9*R10</f>
        <v>0</v>
      </c>
      <c r="U10" s="1587">
        <v>2</v>
      </c>
      <c r="V10" s="2708"/>
      <c r="W10" s="1585">
        <f>U6*U7*U10</f>
        <v>294.5</v>
      </c>
    </row>
    <row r="11" spans="2:23" s="1221" customFormat="1">
      <c r="B11" s="1589" t="s">
        <v>2188</v>
      </c>
      <c r="C11" s="1587"/>
      <c r="D11" s="2333"/>
      <c r="E11" s="1587"/>
      <c r="F11" s="1587"/>
      <c r="G11" s="2333"/>
      <c r="H11" s="1587"/>
      <c r="I11" s="1587"/>
      <c r="J11" s="2333"/>
      <c r="K11" s="1587"/>
      <c r="L11" s="1587"/>
      <c r="M11" s="2333"/>
      <c r="N11" s="1587"/>
      <c r="O11" s="1587"/>
      <c r="P11" s="2333"/>
      <c r="Q11" s="1587"/>
      <c r="R11" s="1587"/>
      <c r="S11" s="2333"/>
      <c r="T11" s="1587"/>
      <c r="U11" s="1587">
        <v>0</v>
      </c>
      <c r="V11" s="2708"/>
      <c r="W11" s="1587"/>
    </row>
    <row r="12" spans="2:23" s="1221" customFormat="1">
      <c r="B12" s="1589" t="s">
        <v>1931</v>
      </c>
      <c r="C12" s="1587"/>
      <c r="D12" s="2333"/>
      <c r="E12" s="1586">
        <f>$C$9*$C$11*$C$12</f>
        <v>0</v>
      </c>
      <c r="F12" s="1587"/>
      <c r="G12" s="2333"/>
      <c r="H12" s="1586">
        <f>$F$9*$F$11*$F$12</f>
        <v>0</v>
      </c>
      <c r="I12" s="1587"/>
      <c r="J12" s="2333"/>
      <c r="K12" s="1586">
        <f>$I$9*$I$11*$I$12</f>
        <v>0</v>
      </c>
      <c r="L12" s="1587"/>
      <c r="M12" s="2333"/>
      <c r="N12" s="1586">
        <f>$L$9*$L$11*$L$12</f>
        <v>0</v>
      </c>
      <c r="O12" s="1587"/>
      <c r="P12" s="2333"/>
      <c r="Q12" s="1586">
        <f>$L$9*$L$11*$L$12</f>
        <v>0</v>
      </c>
      <c r="R12" s="1587"/>
      <c r="S12" s="2333"/>
      <c r="T12" s="1586">
        <f>$L$9*$L$11*$L$12</f>
        <v>0</v>
      </c>
      <c r="U12" s="1587">
        <v>0</v>
      </c>
      <c r="V12" s="2708"/>
      <c r="W12" s="1586">
        <f>$U$9*$U$11*$U$12</f>
        <v>0</v>
      </c>
    </row>
    <row r="13" spans="2:23" s="1221" customFormat="1">
      <c r="B13" s="1589" t="s">
        <v>1932</v>
      </c>
      <c r="C13" s="1587"/>
      <c r="D13" s="2334"/>
      <c r="E13" s="1588">
        <f>C9*C11*C13</f>
        <v>0</v>
      </c>
      <c r="F13" s="1587"/>
      <c r="G13" s="2334"/>
      <c r="H13" s="1588">
        <f>F9*F11*F13</f>
        <v>0</v>
      </c>
      <c r="I13" s="1587"/>
      <c r="J13" s="2334"/>
      <c r="K13" s="1588">
        <f>I9*I11*I13</f>
        <v>0</v>
      </c>
      <c r="L13" s="1587"/>
      <c r="M13" s="2334"/>
      <c r="N13" s="1588">
        <f>L9*L11*L13</f>
        <v>0</v>
      </c>
      <c r="O13" s="1587"/>
      <c r="P13" s="2334"/>
      <c r="Q13" s="1588">
        <f>O9*O11*O13</f>
        <v>0</v>
      </c>
      <c r="R13" s="1587"/>
      <c r="S13" s="2334"/>
      <c r="T13" s="1588">
        <f>R9*R11*R13</f>
        <v>0</v>
      </c>
      <c r="U13" s="1587">
        <v>0</v>
      </c>
      <c r="V13" s="2708"/>
      <c r="W13" s="1588">
        <f>U9*U11*U13</f>
        <v>0</v>
      </c>
    </row>
    <row r="14" spans="2:23" s="1583" customFormat="1">
      <c r="C14" s="1579"/>
      <c r="D14" s="1580"/>
      <c r="E14" s="1579"/>
      <c r="F14" s="1579"/>
      <c r="G14" s="1580"/>
      <c r="H14" s="1579"/>
      <c r="I14" s="1579"/>
      <c r="J14" s="1580"/>
      <c r="K14" s="1579"/>
      <c r="L14" s="1579"/>
      <c r="M14" s="1580"/>
      <c r="N14" s="1579"/>
      <c r="O14" s="1579"/>
      <c r="P14" s="1580"/>
      <c r="Q14" s="1579"/>
    </row>
    <row r="15" spans="2:23">
      <c r="B15" s="2715" t="s">
        <v>1936</v>
      </c>
      <c r="C15" s="2715"/>
      <c r="D15" s="2715"/>
      <c r="E15" s="2715"/>
      <c r="F15" s="2715"/>
      <c r="G15" s="2715"/>
      <c r="H15" s="2715"/>
      <c r="I15" s="2715"/>
    </row>
    <row r="16" spans="2:23" s="1221" customFormat="1">
      <c r="B16" s="1579"/>
      <c r="C16" s="1577"/>
      <c r="D16" s="1577"/>
      <c r="E16" s="1577"/>
    </row>
    <row r="17" spans="1:17" ht="26.25">
      <c r="B17" s="2709" t="s">
        <v>1926</v>
      </c>
      <c r="C17" s="2709"/>
      <c r="D17" s="2709"/>
      <c r="E17" s="2709"/>
      <c r="F17" s="2709"/>
      <c r="G17" s="2709"/>
      <c r="H17" s="2709"/>
      <c r="I17" s="2709"/>
      <c r="J17" s="2709"/>
      <c r="K17" s="2709"/>
    </row>
    <row r="18" spans="1:17">
      <c r="B18" s="1622"/>
      <c r="C18" s="2712" t="s">
        <v>1701</v>
      </c>
      <c r="D18" s="2713"/>
      <c r="E18" s="2714"/>
      <c r="F18" s="2707" t="s">
        <v>1702</v>
      </c>
      <c r="G18" s="2707"/>
      <c r="H18" s="2707"/>
      <c r="I18" s="2707" t="s">
        <v>1703</v>
      </c>
      <c r="J18" s="2707"/>
      <c r="K18" s="2707"/>
      <c r="L18" s="1581"/>
      <c r="M18" s="1581"/>
      <c r="N18" s="1581"/>
      <c r="O18" s="1581"/>
      <c r="P18" s="1581"/>
      <c r="Q18" s="1581"/>
    </row>
    <row r="19" spans="1:17" s="1221" customFormat="1">
      <c r="B19" s="1591" t="s">
        <v>1939</v>
      </c>
      <c r="C19" s="1650">
        <v>405</v>
      </c>
      <c r="D19" s="2332"/>
      <c r="E19" s="1587"/>
      <c r="F19" s="1587">
        <v>136</v>
      </c>
      <c r="G19" s="2332"/>
      <c r="H19" s="1587"/>
      <c r="I19" s="1587"/>
      <c r="J19" s="2332"/>
      <c r="K19" s="1587"/>
      <c r="L19" s="1579"/>
      <c r="M19" s="1581"/>
      <c r="N19" s="1991" t="s">
        <v>2336</v>
      </c>
      <c r="O19" s="1579">
        <f>C9*C11+F9*F11+I9*I11</f>
        <v>0</v>
      </c>
      <c r="P19" s="1581" t="s">
        <v>88</v>
      </c>
      <c r="Q19" s="1579"/>
    </row>
    <row r="20" spans="1:17">
      <c r="B20" s="1591" t="s">
        <v>1940</v>
      </c>
      <c r="C20" s="1587">
        <v>0.2</v>
      </c>
      <c r="D20" s="2333"/>
      <c r="E20" s="1587"/>
      <c r="F20" s="1587">
        <v>0.15</v>
      </c>
      <c r="G20" s="2333"/>
      <c r="H20" s="1587"/>
      <c r="I20" s="1587"/>
      <c r="J20" s="2333"/>
      <c r="K20" s="1587"/>
      <c r="L20" s="1579"/>
      <c r="M20" s="1581"/>
      <c r="N20" s="1579"/>
      <c r="O20" s="1579"/>
      <c r="P20" s="1581"/>
      <c r="Q20" s="1579"/>
    </row>
    <row r="21" spans="1:17">
      <c r="A21" s="1576"/>
      <c r="B21" s="1591" t="s">
        <v>1941</v>
      </c>
      <c r="C21" s="1587">
        <v>0.4</v>
      </c>
      <c r="D21" s="2333"/>
      <c r="E21" s="1587"/>
      <c r="F21" s="1587">
        <v>0.3</v>
      </c>
      <c r="G21" s="2333"/>
      <c r="H21" s="1587"/>
      <c r="I21" s="1587"/>
      <c r="J21" s="2333"/>
      <c r="K21" s="1587"/>
      <c r="L21" s="1579"/>
      <c r="M21" s="1581"/>
      <c r="N21" s="1579"/>
      <c r="O21" s="1579"/>
      <c r="P21" s="1581"/>
      <c r="Q21" s="1579"/>
    </row>
    <row r="22" spans="1:17">
      <c r="A22" s="1576"/>
      <c r="B22" s="1591" t="s">
        <v>1942</v>
      </c>
      <c r="C22" s="1587">
        <v>0.1</v>
      </c>
      <c r="D22" s="2333"/>
      <c r="E22" s="1587"/>
      <c r="F22" s="1587">
        <v>0.1</v>
      </c>
      <c r="G22" s="2333"/>
      <c r="H22" s="1587"/>
      <c r="I22" s="1587">
        <v>0.1</v>
      </c>
      <c r="J22" s="2333"/>
      <c r="K22" s="1587"/>
      <c r="L22" s="1579"/>
      <c r="M22" s="1581"/>
      <c r="N22" s="1579"/>
      <c r="O22" s="1579"/>
      <c r="P22" s="1581"/>
      <c r="Q22" s="1579"/>
    </row>
    <row r="23" spans="1:17">
      <c r="A23" s="1576"/>
      <c r="B23" s="1591" t="s">
        <v>1943</v>
      </c>
      <c r="C23" s="1590">
        <v>0.05</v>
      </c>
      <c r="D23" s="2334"/>
      <c r="E23" s="1585">
        <f>($C$19+D19)*$C$20*($C$21+$C$22+$C$23)</f>
        <v>44.550000000000004</v>
      </c>
      <c r="F23" s="1590">
        <v>0.05</v>
      </c>
      <c r="G23" s="2334"/>
      <c r="H23" s="1585">
        <f>(G19+$F$19)*$F$20*($F$21+$F$22+$F$23)</f>
        <v>9.18</v>
      </c>
      <c r="I23" s="1590">
        <v>0.05</v>
      </c>
      <c r="J23" s="2334"/>
      <c r="K23" s="1585">
        <f>(J19+$I$19)*$I$20*($I$21+$I$22+$I$23)</f>
        <v>0</v>
      </c>
      <c r="L23" s="1578"/>
      <c r="M23" s="1581"/>
      <c r="N23" s="1579"/>
      <c r="O23" s="1578"/>
      <c r="P23" s="1581"/>
      <c r="Q23" s="1579"/>
    </row>
    <row r="24" spans="1:17">
      <c r="A24" s="1576"/>
      <c r="B24" s="1576"/>
      <c r="C24" s="1576"/>
      <c r="D24" s="1576"/>
      <c r="E24" s="1576"/>
    </row>
    <row r="25" spans="1:17">
      <c r="A25" s="1576"/>
      <c r="B25" s="2705" t="s">
        <v>1928</v>
      </c>
      <c r="C25" s="2706"/>
      <c r="D25" s="1576"/>
      <c r="E25" s="1576"/>
    </row>
    <row r="26" spans="1:17">
      <c r="A26" s="1576"/>
      <c r="B26" s="1592" t="s">
        <v>1933</v>
      </c>
      <c r="C26" s="1882">
        <f>$E$10+$H$10+$K$10+$N$10+$W$10+$E$23+$H$23+$K$23+Q10+T10</f>
        <v>470.17000000000007</v>
      </c>
      <c r="D26" s="1576"/>
      <c r="E26" s="1576"/>
    </row>
    <row r="27" spans="1:17">
      <c r="A27" s="1576"/>
      <c r="B27" s="1592" t="s">
        <v>1934</v>
      </c>
      <c r="C27" s="1725">
        <f>$E$12+$H$12+$K$12+$N$12+$W$12</f>
        <v>0</v>
      </c>
      <c r="D27" s="1576"/>
      <c r="E27" s="1576"/>
      <c r="J27">
        <f>-Q24600</f>
        <v>0</v>
      </c>
    </row>
    <row r="28" spans="1:17" s="1221" customFormat="1">
      <c r="A28" s="1576"/>
      <c r="B28" s="1592" t="s">
        <v>1935</v>
      </c>
      <c r="C28" s="1588">
        <f>$E$13+$H$13+$K$13+$N$13+$W$13</f>
        <v>0</v>
      </c>
      <c r="D28" s="1576"/>
      <c r="E28" s="1576"/>
    </row>
    <row r="29" spans="1:17">
      <c r="A29" s="1576"/>
      <c r="B29" s="1577"/>
      <c r="C29" s="1577"/>
      <c r="D29" s="1577"/>
      <c r="E29" s="1577"/>
    </row>
    <row r="30" spans="1:17">
      <c r="A30" s="1576"/>
      <c r="B30" s="1576"/>
      <c r="C30" s="1576"/>
      <c r="D30" s="1576"/>
      <c r="E30" s="1576"/>
    </row>
    <row r="31" spans="1:17" s="1221" customFormat="1" ht="20.100000000000001" customHeight="1">
      <c r="B31" s="2710" t="s">
        <v>1945</v>
      </c>
      <c r="C31" s="2710"/>
      <c r="D31" s="2710"/>
      <c r="E31" s="2710"/>
      <c r="F31" s="2710"/>
      <c r="G31" s="2710"/>
      <c r="H31" s="2710"/>
      <c r="I31" s="2710"/>
      <c r="J31" s="2710"/>
      <c r="K31" s="2710"/>
      <c r="L31" s="2710"/>
      <c r="M31" s="2710"/>
      <c r="N31" s="2710"/>
      <c r="O31" s="2710"/>
      <c r="P31" s="2710"/>
      <c r="Q31" s="2710"/>
    </row>
    <row r="32" spans="1:17" s="1221" customFormat="1" ht="20.100000000000001" customHeight="1">
      <c r="B32" s="1593"/>
      <c r="C32" s="1593"/>
      <c r="D32" s="1593"/>
      <c r="E32" s="1593"/>
      <c r="F32" s="1593"/>
      <c r="G32" s="1593"/>
      <c r="H32" s="1593"/>
      <c r="I32" s="1593"/>
      <c r="J32" s="1593"/>
      <c r="K32" s="1593"/>
      <c r="L32" s="1593"/>
      <c r="M32" s="1593"/>
      <c r="N32" s="1593"/>
      <c r="O32" s="1593"/>
      <c r="P32" s="1593"/>
      <c r="Q32" s="1593"/>
    </row>
    <row r="33" spans="1:23" s="1221" customFormat="1">
      <c r="B33" s="2709" t="s">
        <v>2250</v>
      </c>
      <c r="C33" s="2709"/>
      <c r="D33" s="2709"/>
      <c r="E33" s="2709"/>
      <c r="F33" s="2709"/>
      <c r="G33" s="2709"/>
      <c r="H33" s="2709"/>
      <c r="I33" s="2709"/>
      <c r="J33" s="2709"/>
      <c r="K33" s="2709"/>
      <c r="L33" s="2709"/>
      <c r="M33" s="2709"/>
      <c r="N33" s="2709"/>
      <c r="O33" s="2709"/>
      <c r="P33" s="2709"/>
      <c r="Q33" s="2709"/>
    </row>
    <row r="34" spans="1:23" s="1221" customFormat="1">
      <c r="B34" s="2709"/>
      <c r="C34" s="2709"/>
      <c r="D34" s="2709"/>
      <c r="E34" s="2709"/>
      <c r="F34" s="2709"/>
      <c r="G34" s="2709"/>
      <c r="H34" s="2709"/>
      <c r="I34" s="2709"/>
      <c r="J34" s="2709"/>
      <c r="K34" s="2709"/>
      <c r="L34" s="2709"/>
      <c r="M34" s="2709"/>
      <c r="N34" s="2709"/>
      <c r="O34" s="2709"/>
      <c r="P34" s="2709"/>
      <c r="Q34" s="2709"/>
    </row>
    <row r="35" spans="1:23" s="1221" customFormat="1">
      <c r="B35" s="1582"/>
      <c r="C35" s="2711" t="s">
        <v>153</v>
      </c>
      <c r="D35" s="2711"/>
      <c r="E35" s="2711"/>
      <c r="F35" s="2711" t="s">
        <v>155</v>
      </c>
      <c r="G35" s="2711"/>
      <c r="H35" s="2711"/>
      <c r="I35" s="2711" t="s">
        <v>178</v>
      </c>
      <c r="J35" s="2711"/>
      <c r="K35" s="2711"/>
      <c r="L35" s="2711" t="s">
        <v>1912</v>
      </c>
      <c r="M35" s="2711"/>
      <c r="N35" s="2711"/>
      <c r="O35" s="2711" t="s">
        <v>2660</v>
      </c>
      <c r="P35" s="2711"/>
      <c r="Q35" s="2711"/>
      <c r="R35" s="2711" t="s">
        <v>2866</v>
      </c>
      <c r="S35" s="2711"/>
      <c r="T35" s="2711"/>
      <c r="U35" s="2711" t="s">
        <v>1913</v>
      </c>
      <c r="V35" s="2711"/>
      <c r="W35" s="2711"/>
    </row>
    <row r="36" spans="1:23" s="1221" customFormat="1">
      <c r="B36" s="1589" t="s">
        <v>1929</v>
      </c>
      <c r="C36" s="1587">
        <f>$C$6</f>
        <v>0.8</v>
      </c>
      <c r="D36" s="2708" t="s">
        <v>1791</v>
      </c>
      <c r="E36" s="1587"/>
      <c r="F36" s="1587">
        <f>$F$6</f>
        <v>0.6</v>
      </c>
      <c r="G36" s="2708" t="s">
        <v>1791</v>
      </c>
      <c r="H36" s="1587"/>
      <c r="I36" s="1587">
        <f>$I$6</f>
        <v>0</v>
      </c>
      <c r="J36" s="2708" t="s">
        <v>1791</v>
      </c>
      <c r="K36" s="1587"/>
      <c r="L36" s="1587">
        <f>$L$6</f>
        <v>0</v>
      </c>
      <c r="M36" s="2708" t="s">
        <v>1791</v>
      </c>
      <c r="N36" s="1587"/>
      <c r="O36" s="1587">
        <f>O6</f>
        <v>0</v>
      </c>
      <c r="P36" s="2708" t="s">
        <v>1791</v>
      </c>
      <c r="Q36" s="1587"/>
      <c r="R36" s="1587">
        <f>R6</f>
        <v>0</v>
      </c>
      <c r="S36" s="2708" t="s">
        <v>1791</v>
      </c>
      <c r="T36" s="1587"/>
      <c r="U36" s="1587">
        <f>U6</f>
        <v>0.77500000000000002</v>
      </c>
      <c r="V36" s="2708" t="s">
        <v>1791</v>
      </c>
      <c r="W36" s="1587"/>
    </row>
    <row r="37" spans="1:23" s="1221" customFormat="1">
      <c r="B37" s="1589" t="s">
        <v>1937</v>
      </c>
      <c r="C37" s="1587">
        <f>$C$7</f>
        <v>0.8</v>
      </c>
      <c r="D37" s="2708"/>
      <c r="E37" s="1587"/>
      <c r="F37" s="1587">
        <f>$F$7</f>
        <v>0.6</v>
      </c>
      <c r="G37" s="2708"/>
      <c r="H37" s="1587"/>
      <c r="I37" s="1587">
        <f>$I$7</f>
        <v>0</v>
      </c>
      <c r="J37" s="2708"/>
      <c r="K37" s="1587"/>
      <c r="L37" s="1587">
        <f>$L$7</f>
        <v>0</v>
      </c>
      <c r="M37" s="2708"/>
      <c r="N37" s="1587"/>
      <c r="O37" s="1587">
        <f>O7</f>
        <v>0</v>
      </c>
      <c r="P37" s="2708"/>
      <c r="Q37" s="1587"/>
      <c r="R37" s="1587">
        <f>R7</f>
        <v>0</v>
      </c>
      <c r="S37" s="2708"/>
      <c r="T37" s="1587"/>
      <c r="U37" s="1587">
        <f>U7</f>
        <v>190</v>
      </c>
      <c r="V37" s="2708"/>
      <c r="W37" s="1587"/>
    </row>
    <row r="38" spans="1:23" s="1221" customFormat="1">
      <c r="B38" s="1589" t="s">
        <v>1930</v>
      </c>
      <c r="C38" s="1587">
        <f>$C$9</f>
        <v>46</v>
      </c>
      <c r="D38" s="2708"/>
      <c r="E38" s="1587"/>
      <c r="F38" s="1587">
        <f>$F$9</f>
        <v>15</v>
      </c>
      <c r="G38" s="2708"/>
      <c r="H38" s="1587"/>
      <c r="I38" s="1587">
        <f>$I$9</f>
        <v>0</v>
      </c>
      <c r="J38" s="2708"/>
      <c r="K38" s="1587"/>
      <c r="L38" s="1587">
        <f>$L$9</f>
        <v>0</v>
      </c>
      <c r="M38" s="2708"/>
      <c r="N38" s="1587"/>
      <c r="O38" s="1587">
        <f>$L$9</f>
        <v>0</v>
      </c>
      <c r="P38" s="2708"/>
      <c r="Q38" s="1587"/>
      <c r="R38" s="1587">
        <f>$L$9</f>
        <v>0</v>
      </c>
      <c r="S38" s="2708"/>
      <c r="T38" s="1587"/>
      <c r="U38" s="1587">
        <f>U8</f>
        <v>0</v>
      </c>
      <c r="V38" s="2708"/>
      <c r="W38" s="1587"/>
    </row>
    <row r="39" spans="1:23" s="1221" customFormat="1">
      <c r="B39" s="1591" t="s">
        <v>1946</v>
      </c>
      <c r="C39" s="1587">
        <f>$C$22</f>
        <v>0.1</v>
      </c>
      <c r="D39" s="2708"/>
      <c r="E39" s="1585">
        <f>$C$36*$C$37*$C$38*$C$39</f>
        <v>2.9440000000000008</v>
      </c>
      <c r="F39" s="1587">
        <f>$C$22</f>
        <v>0.1</v>
      </c>
      <c r="G39" s="2708"/>
      <c r="H39" s="1585">
        <f>$F$36*$F$37*$F$38*$F$39</f>
        <v>0.53999999999999992</v>
      </c>
      <c r="I39" s="1587">
        <f>$C$22</f>
        <v>0.1</v>
      </c>
      <c r="J39" s="2708"/>
      <c r="K39" s="1585">
        <f>$I$36*$I$37*$I$38*$I$39</f>
        <v>0</v>
      </c>
      <c r="L39" s="1587">
        <f>$C$22</f>
        <v>0.1</v>
      </c>
      <c r="M39" s="2708"/>
      <c r="N39" s="1585">
        <f>$L$36*$L$37*$L$38*$L$39</f>
        <v>0</v>
      </c>
      <c r="O39" s="1587">
        <f>$C$22</f>
        <v>0.1</v>
      </c>
      <c r="P39" s="2708"/>
      <c r="Q39" s="1585">
        <f>$L$36*$L$37*$L$38*$L$39</f>
        <v>0</v>
      </c>
      <c r="R39" s="1587">
        <f>$C$22</f>
        <v>0.1</v>
      </c>
      <c r="S39" s="2708"/>
      <c r="T39" s="1585">
        <f>$L$36*$L$37*$L$38*$L$39</f>
        <v>0</v>
      </c>
      <c r="U39" s="1587">
        <f>$C$22</f>
        <v>0.1</v>
      </c>
      <c r="V39" s="2708"/>
      <c r="W39" s="1585">
        <f>$U$36*$U$37*$U$38*$U$39</f>
        <v>0</v>
      </c>
    </row>
    <row r="40" spans="1:23" s="1583" customFormat="1">
      <c r="C40" s="1579"/>
      <c r="D40" s="1580"/>
      <c r="E40" s="1579"/>
      <c r="F40" s="1579"/>
      <c r="G40" s="1580"/>
      <c r="H40" s="1579"/>
      <c r="I40" s="1579"/>
      <c r="J40" s="1580"/>
      <c r="K40" s="1579"/>
      <c r="L40" s="1579"/>
      <c r="M40" s="1580"/>
      <c r="N40" s="1579"/>
      <c r="O40" s="1579"/>
      <c r="P40" s="1580"/>
      <c r="Q40" s="1579"/>
    </row>
    <row r="41" spans="1:23" s="1221" customFormat="1">
      <c r="B41" s="1579"/>
      <c r="C41" s="1577"/>
      <c r="D41" s="1577"/>
      <c r="E41" s="1577"/>
    </row>
    <row r="42" spans="1:23" s="1221" customFormat="1" ht="26.25">
      <c r="B42" s="2709" t="s">
        <v>1947</v>
      </c>
      <c r="C42" s="2709"/>
      <c r="D42" s="2709"/>
      <c r="E42" s="2709"/>
      <c r="F42" s="2709"/>
      <c r="G42" s="2709"/>
      <c r="H42" s="2709"/>
      <c r="I42" s="2709"/>
      <c r="J42" s="2709"/>
      <c r="K42" s="2709"/>
    </row>
    <row r="43" spans="1:23" s="1221" customFormat="1">
      <c r="B43" s="2707" t="s">
        <v>1701</v>
      </c>
      <c r="C43" s="2707"/>
      <c r="D43" s="2707"/>
      <c r="E43" s="2707"/>
      <c r="F43" s="2707" t="s">
        <v>1702</v>
      </c>
      <c r="G43" s="2707"/>
      <c r="H43" s="2707"/>
      <c r="I43" s="2707" t="s">
        <v>1703</v>
      </c>
      <c r="J43" s="2707"/>
      <c r="K43" s="2707"/>
      <c r="L43" s="1581"/>
      <c r="M43" s="1581"/>
      <c r="N43" s="1581"/>
      <c r="O43" s="1581"/>
      <c r="P43" s="1581"/>
      <c r="Q43" s="1581"/>
    </row>
    <row r="44" spans="1:23" s="1221" customFormat="1">
      <c r="B44" s="1591" t="s">
        <v>1939</v>
      </c>
      <c r="C44" s="1650">
        <f>SUM(C19:D19)</f>
        <v>405</v>
      </c>
      <c r="D44" s="2708" t="s">
        <v>1791</v>
      </c>
      <c r="E44" s="1587"/>
      <c r="F44" s="1587">
        <f>SUM(F19:G19)</f>
        <v>136</v>
      </c>
      <c r="G44" s="2708" t="s">
        <v>1791</v>
      </c>
      <c r="H44" s="1587"/>
      <c r="I44" s="1587">
        <f>SUM(I19:J19)</f>
        <v>0</v>
      </c>
      <c r="J44" s="2708" t="s">
        <v>1791</v>
      </c>
      <c r="K44" s="1587"/>
      <c r="L44" s="1579"/>
      <c r="M44" s="1581"/>
      <c r="N44" s="1579"/>
      <c r="O44" s="1579"/>
      <c r="P44" s="1581"/>
      <c r="Q44" s="1579"/>
    </row>
    <row r="45" spans="1:23" s="1221" customFormat="1">
      <c r="B45" s="1591" t="s">
        <v>1940</v>
      </c>
      <c r="C45" s="1587">
        <f>$C$20</f>
        <v>0.2</v>
      </c>
      <c r="D45" s="2708"/>
      <c r="E45" s="1587"/>
      <c r="F45" s="1587">
        <f>$F$20</f>
        <v>0.15</v>
      </c>
      <c r="G45" s="2708"/>
      <c r="H45" s="1587"/>
      <c r="I45" s="1587">
        <f>$I$20</f>
        <v>0</v>
      </c>
      <c r="J45" s="2708"/>
      <c r="K45" s="1587"/>
      <c r="L45" s="1579"/>
      <c r="M45" s="1581"/>
      <c r="N45" s="1579"/>
      <c r="O45" s="1579"/>
      <c r="P45" s="1581"/>
      <c r="Q45" s="1579"/>
    </row>
    <row r="46" spans="1:23" s="1221" customFormat="1">
      <c r="A46" s="1576"/>
      <c r="B46" s="1591" t="s">
        <v>1941</v>
      </c>
      <c r="C46" s="1587">
        <f>$C$21</f>
        <v>0.4</v>
      </c>
      <c r="D46" s="2708"/>
      <c r="E46" s="1587"/>
      <c r="F46" s="1587">
        <f>$F$21</f>
        <v>0.3</v>
      </c>
      <c r="G46" s="2708"/>
      <c r="H46" s="1587"/>
      <c r="I46" s="1587">
        <f>$I$21</f>
        <v>0</v>
      </c>
      <c r="J46" s="2708"/>
      <c r="K46" s="1587"/>
      <c r="L46" s="1579"/>
      <c r="M46" s="1581"/>
      <c r="N46" s="1579"/>
      <c r="O46" s="1579"/>
      <c r="P46" s="1581"/>
      <c r="Q46" s="1579"/>
    </row>
    <row r="47" spans="1:23" s="1221" customFormat="1">
      <c r="A47" s="1576"/>
      <c r="B47" s="1591" t="s">
        <v>1946</v>
      </c>
      <c r="C47" s="1587">
        <f>$C$22</f>
        <v>0.1</v>
      </c>
      <c r="D47" s="2708"/>
      <c r="E47" s="1584">
        <f>$C$44*$C$45*$C$46*$C$47</f>
        <v>3.24</v>
      </c>
      <c r="F47" s="1587">
        <f>$C$22</f>
        <v>0.1</v>
      </c>
      <c r="G47" s="2708"/>
      <c r="H47" s="1584">
        <f>$F$44*$F$45*$F$46*$F$47</f>
        <v>0.61199999999999999</v>
      </c>
      <c r="I47" s="1587">
        <f>$C$22</f>
        <v>0.1</v>
      </c>
      <c r="J47" s="2708"/>
      <c r="K47" s="1584">
        <f>$I$44*$I$45*$I$46*$I$47</f>
        <v>0</v>
      </c>
      <c r="L47" s="1579"/>
      <c r="M47" s="1581"/>
      <c r="N47" s="1579"/>
      <c r="O47" s="1579"/>
      <c r="P47" s="1581"/>
      <c r="Q47" s="1579"/>
    </row>
    <row r="48" spans="1:23" s="1221" customFormat="1">
      <c r="A48" s="1576"/>
      <c r="B48" s="1576"/>
      <c r="C48" s="1576"/>
      <c r="D48" s="1576"/>
      <c r="E48" s="1576"/>
    </row>
    <row r="49" spans="1:23" s="1221" customFormat="1">
      <c r="A49" s="1576"/>
      <c r="B49" s="2705" t="s">
        <v>1953</v>
      </c>
      <c r="C49" s="2706"/>
      <c r="D49" s="1576"/>
      <c r="E49" s="1576"/>
    </row>
    <row r="50" spans="1:23" s="1221" customFormat="1">
      <c r="A50" s="1576"/>
      <c r="B50" s="1592" t="s">
        <v>1948</v>
      </c>
      <c r="C50" s="1882">
        <f>$E$39+$H$39+$K$39+$N$39+$W$39+$E$47+$H$47+$K$47+Q39+T39</f>
        <v>7.3360000000000012</v>
      </c>
      <c r="D50" s="1576"/>
      <c r="E50" s="1576"/>
    </row>
    <row r="51" spans="1:23">
      <c r="A51" s="1576"/>
      <c r="B51" s="1576"/>
      <c r="C51" s="1576"/>
      <c r="D51" s="1576"/>
      <c r="E51" s="1576"/>
    </row>
    <row r="52" spans="1:23">
      <c r="A52" s="1576"/>
      <c r="B52" s="1576"/>
      <c r="C52" s="1576"/>
      <c r="D52" s="1576"/>
      <c r="E52" s="1576"/>
    </row>
    <row r="53" spans="1:23" s="1221" customFormat="1" ht="20.100000000000001" customHeight="1">
      <c r="B53" s="2710" t="s">
        <v>1927</v>
      </c>
      <c r="C53" s="2710"/>
      <c r="D53" s="2710"/>
      <c r="E53" s="2710"/>
      <c r="F53" s="2710"/>
      <c r="G53" s="2710"/>
      <c r="H53" s="2710"/>
      <c r="I53" s="2710"/>
      <c r="J53" s="2710"/>
      <c r="K53" s="2710"/>
      <c r="L53" s="2710"/>
      <c r="M53" s="2710"/>
      <c r="N53" s="2710"/>
      <c r="O53" s="2710"/>
      <c r="P53" s="2710"/>
      <c r="Q53" s="2710"/>
    </row>
    <row r="54" spans="1:23" s="1221" customFormat="1" ht="20.100000000000001" customHeight="1">
      <c r="B54" s="1593"/>
      <c r="C54" s="1593"/>
      <c r="D54" s="1593"/>
      <c r="E54" s="1593"/>
      <c r="F54" s="1593"/>
      <c r="G54" s="1593"/>
      <c r="H54" s="1593"/>
      <c r="I54" s="1593"/>
      <c r="J54" s="1593"/>
      <c r="K54" s="1593"/>
      <c r="L54" s="1593"/>
      <c r="M54" s="1593"/>
      <c r="N54" s="1593"/>
      <c r="O54" s="1593"/>
      <c r="P54" s="1593"/>
      <c r="Q54" s="1593"/>
    </row>
    <row r="55" spans="1:23" s="1221" customFormat="1">
      <c r="B55" s="2709" t="s">
        <v>1949</v>
      </c>
      <c r="C55" s="2709"/>
      <c r="D55" s="2709"/>
      <c r="E55" s="2709"/>
      <c r="F55" s="2709"/>
      <c r="G55" s="2709"/>
      <c r="H55" s="2709"/>
      <c r="I55" s="2709"/>
      <c r="J55" s="2709"/>
      <c r="K55" s="2709"/>
      <c r="L55" s="2709"/>
      <c r="M55" s="2709"/>
      <c r="N55" s="2709"/>
      <c r="O55" s="2709"/>
      <c r="P55" s="2709"/>
      <c r="Q55" s="2709"/>
    </row>
    <row r="56" spans="1:23" s="1221" customFormat="1">
      <c r="B56" s="2709"/>
      <c r="C56" s="2709"/>
      <c r="D56" s="2709"/>
      <c r="E56" s="2709"/>
      <c r="F56" s="2709"/>
      <c r="G56" s="2709"/>
      <c r="H56" s="2709"/>
      <c r="I56" s="2709"/>
      <c r="J56" s="2709"/>
      <c r="K56" s="2709"/>
      <c r="L56" s="2709"/>
      <c r="M56" s="2709"/>
      <c r="N56" s="2709"/>
      <c r="O56" s="2709"/>
      <c r="P56" s="2709"/>
      <c r="Q56" s="2709"/>
    </row>
    <row r="57" spans="1:23" s="1221" customFormat="1">
      <c r="B57" s="1582"/>
      <c r="C57" s="2711" t="s">
        <v>153</v>
      </c>
      <c r="D57" s="2711"/>
      <c r="E57" s="2711"/>
      <c r="F57" s="2711" t="s">
        <v>155</v>
      </c>
      <c r="G57" s="2711"/>
      <c r="H57" s="2711"/>
      <c r="I57" s="2711" t="s">
        <v>178</v>
      </c>
      <c r="J57" s="2711"/>
      <c r="K57" s="2711"/>
      <c r="L57" s="2711" t="s">
        <v>1912</v>
      </c>
      <c r="M57" s="2711"/>
      <c r="N57" s="2711"/>
      <c r="O57" s="2711" t="s">
        <v>2660</v>
      </c>
      <c r="P57" s="2711"/>
      <c r="Q57" s="2711"/>
      <c r="R57" s="2711" t="s">
        <v>2866</v>
      </c>
      <c r="S57" s="2711"/>
      <c r="T57" s="2711"/>
      <c r="U57" s="2711" t="s">
        <v>1913</v>
      </c>
      <c r="V57" s="2711"/>
      <c r="W57" s="2711"/>
    </row>
    <row r="58" spans="1:23" s="1221" customFormat="1">
      <c r="B58" s="1589" t="s">
        <v>1929</v>
      </c>
      <c r="C58" s="1587">
        <f>C6</f>
        <v>0.8</v>
      </c>
      <c r="D58" s="2708" t="s">
        <v>1791</v>
      </c>
      <c r="E58" s="1587"/>
      <c r="F58" s="1587">
        <f>F6</f>
        <v>0.6</v>
      </c>
      <c r="G58" s="2708" t="s">
        <v>1791</v>
      </c>
      <c r="H58" s="1587"/>
      <c r="I58" s="1587">
        <f>I6</f>
        <v>0</v>
      </c>
      <c r="J58" s="2708" t="s">
        <v>1791</v>
      </c>
      <c r="K58" s="1587"/>
      <c r="L58" s="1587">
        <f>L6</f>
        <v>0</v>
      </c>
      <c r="M58" s="2708" t="s">
        <v>1791</v>
      </c>
      <c r="N58" s="1587"/>
      <c r="O58" s="1587">
        <f>O6</f>
        <v>0</v>
      </c>
      <c r="P58" s="2708" t="s">
        <v>1791</v>
      </c>
      <c r="Q58" s="1587"/>
      <c r="R58" s="1587">
        <f>R6</f>
        <v>0</v>
      </c>
      <c r="S58" s="2708" t="s">
        <v>1791</v>
      </c>
      <c r="T58" s="1587"/>
      <c r="U58" s="1587">
        <f>U6</f>
        <v>0.77500000000000002</v>
      </c>
      <c r="V58" s="2708" t="s">
        <v>1791</v>
      </c>
      <c r="W58" s="1587"/>
    </row>
    <row r="59" spans="1:23" s="1221" customFormat="1">
      <c r="B59" s="1589" t="s">
        <v>1937</v>
      </c>
      <c r="C59" s="1587">
        <f>C7</f>
        <v>0.8</v>
      </c>
      <c r="D59" s="2708"/>
      <c r="E59" s="1587"/>
      <c r="F59" s="1587">
        <f>F7</f>
        <v>0.6</v>
      </c>
      <c r="G59" s="2708"/>
      <c r="H59" s="1587"/>
      <c r="I59" s="1587">
        <f>I7</f>
        <v>0</v>
      </c>
      <c r="J59" s="2708"/>
      <c r="K59" s="1587"/>
      <c r="L59" s="1587">
        <f>L7</f>
        <v>0</v>
      </c>
      <c r="M59" s="2708"/>
      <c r="N59" s="1587"/>
      <c r="O59" s="1587">
        <f>O7</f>
        <v>0</v>
      </c>
      <c r="P59" s="2708"/>
      <c r="Q59" s="1587"/>
      <c r="R59" s="1587">
        <f>R7</f>
        <v>0</v>
      </c>
      <c r="S59" s="2708"/>
      <c r="T59" s="1587"/>
      <c r="U59" s="1587">
        <f>U7</f>
        <v>190</v>
      </c>
      <c r="V59" s="2708"/>
      <c r="W59" s="1587"/>
    </row>
    <row r="60" spans="1:23" s="1221" customFormat="1">
      <c r="B60" s="1589" t="s">
        <v>1930</v>
      </c>
      <c r="C60" s="1587">
        <f>C9</f>
        <v>46</v>
      </c>
      <c r="D60" s="2708"/>
      <c r="E60" s="1587"/>
      <c r="F60" s="1587">
        <f>F9</f>
        <v>15</v>
      </c>
      <c r="G60" s="2708"/>
      <c r="H60" s="1587"/>
      <c r="I60" s="1587">
        <f>I9</f>
        <v>0</v>
      </c>
      <c r="J60" s="2708"/>
      <c r="K60" s="1587"/>
      <c r="L60" s="1587">
        <v>0</v>
      </c>
      <c r="M60" s="2708"/>
      <c r="N60" s="1587"/>
      <c r="O60" s="1587">
        <v>0</v>
      </c>
      <c r="P60" s="2708"/>
      <c r="Q60" s="1587"/>
      <c r="R60" s="1587">
        <v>0</v>
      </c>
      <c r="S60" s="2708"/>
      <c r="T60" s="1587"/>
      <c r="U60" s="1587">
        <v>0</v>
      </c>
      <c r="V60" s="2708"/>
      <c r="W60" s="1587"/>
    </row>
    <row r="61" spans="1:23" s="1221" customFormat="1">
      <c r="B61" s="1591" t="s">
        <v>1951</v>
      </c>
      <c r="C61" s="1587">
        <f>$C$23</f>
        <v>0.05</v>
      </c>
      <c r="D61" s="2708"/>
      <c r="E61" s="1585">
        <f>$C$58*$C$59*$C$60*$C$61</f>
        <v>1.4720000000000004</v>
      </c>
      <c r="F61" s="1587">
        <f>$C$23</f>
        <v>0.05</v>
      </c>
      <c r="G61" s="2708"/>
      <c r="H61" s="1585">
        <f>$F$58*$F$59*$F$60*$F$61</f>
        <v>0.26999999999999996</v>
      </c>
      <c r="I61" s="1587">
        <f>$C$23</f>
        <v>0.05</v>
      </c>
      <c r="J61" s="2708"/>
      <c r="K61" s="1585">
        <f>$I$58*$I$59*$I$60*$I$61</f>
        <v>0</v>
      </c>
      <c r="L61" s="1587">
        <f>$C$23</f>
        <v>0.05</v>
      </c>
      <c r="M61" s="2708"/>
      <c r="N61" s="1585">
        <f>$L$58*$L$59*$L$60*$L$61</f>
        <v>0</v>
      </c>
      <c r="O61" s="1587">
        <f>$C$23</f>
        <v>0.05</v>
      </c>
      <c r="P61" s="2708"/>
      <c r="Q61" s="1585">
        <f>$L$58*$L$59*$L$60*$L$61</f>
        <v>0</v>
      </c>
      <c r="R61" s="1587">
        <f>$C$23</f>
        <v>0.05</v>
      </c>
      <c r="S61" s="2708"/>
      <c r="T61" s="1585">
        <f>$L$58*$L$59*$L$60*$L$61</f>
        <v>0</v>
      </c>
      <c r="U61" s="1587">
        <f>$C$23</f>
        <v>0.05</v>
      </c>
      <c r="V61" s="2708"/>
      <c r="W61" s="1585">
        <f>$U$58*$U$59*$U$60*$U$61</f>
        <v>0</v>
      </c>
    </row>
    <row r="62" spans="1:23" s="1583" customFormat="1">
      <c r="C62" s="1579"/>
      <c r="D62" s="1580"/>
      <c r="E62" s="1579"/>
      <c r="F62" s="1579"/>
      <c r="G62" s="1580"/>
      <c r="H62" s="1579"/>
      <c r="I62" s="1579"/>
      <c r="J62" s="1580"/>
      <c r="K62" s="1579"/>
      <c r="L62" s="1579"/>
      <c r="M62" s="1580"/>
      <c r="N62" s="1579"/>
      <c r="O62" s="1579"/>
      <c r="P62" s="1580"/>
      <c r="Q62" s="1579"/>
    </row>
    <row r="63" spans="1:23" s="1221" customFormat="1">
      <c r="B63" s="1579"/>
      <c r="C63" s="1577"/>
      <c r="D63" s="1577"/>
      <c r="E63" s="1577"/>
    </row>
    <row r="64" spans="1:23" s="1221" customFormat="1" ht="26.25">
      <c r="B64" s="2709" t="s">
        <v>1950</v>
      </c>
      <c r="C64" s="2709"/>
      <c r="D64" s="2709"/>
      <c r="E64" s="2709"/>
      <c r="F64" s="2709"/>
      <c r="G64" s="2709"/>
      <c r="H64" s="2709"/>
      <c r="I64" s="2709"/>
      <c r="J64" s="2709"/>
      <c r="K64" s="2709"/>
    </row>
    <row r="65" spans="1:17" s="1221" customFormat="1">
      <c r="B65" s="2707" t="s">
        <v>1701</v>
      </c>
      <c r="C65" s="2707"/>
      <c r="D65" s="2707"/>
      <c r="E65" s="2707"/>
      <c r="F65" s="2707" t="s">
        <v>1702</v>
      </c>
      <c r="G65" s="2707"/>
      <c r="H65" s="2707"/>
      <c r="I65" s="2707" t="s">
        <v>1703</v>
      </c>
      <c r="J65" s="2707"/>
      <c r="K65" s="2707"/>
      <c r="L65" s="1581"/>
      <c r="M65" s="1581"/>
      <c r="N65" s="1581"/>
      <c r="O65" s="1581"/>
      <c r="P65" s="1581"/>
      <c r="Q65" s="1581"/>
    </row>
    <row r="66" spans="1:17" s="1221" customFormat="1">
      <c r="B66" s="1591" t="s">
        <v>1939</v>
      </c>
      <c r="C66" s="1650">
        <f>C44</f>
        <v>405</v>
      </c>
      <c r="D66" s="2708" t="s">
        <v>1791</v>
      </c>
      <c r="E66" s="1587"/>
      <c r="F66" s="1650">
        <f>F44</f>
        <v>136</v>
      </c>
      <c r="G66" s="2708" t="s">
        <v>1791</v>
      </c>
      <c r="H66" s="1587"/>
      <c r="I66" s="1650">
        <f>I44</f>
        <v>0</v>
      </c>
      <c r="J66" s="2708" t="s">
        <v>1791</v>
      </c>
      <c r="K66" s="1587"/>
      <c r="L66" s="1579"/>
      <c r="M66" s="1581"/>
      <c r="N66" s="1579"/>
      <c r="O66" s="1579"/>
      <c r="P66" s="1581"/>
      <c r="Q66" s="1579"/>
    </row>
    <row r="67" spans="1:17" s="1221" customFormat="1">
      <c r="B67" s="1591" t="s">
        <v>1940</v>
      </c>
      <c r="C67" s="1587">
        <f>$C$20</f>
        <v>0.2</v>
      </c>
      <c r="D67" s="2708"/>
      <c r="E67" s="1587"/>
      <c r="F67" s="1587">
        <f>$F$20</f>
        <v>0.15</v>
      </c>
      <c r="G67" s="2708"/>
      <c r="H67" s="1587"/>
      <c r="I67" s="1587">
        <f>$I$20</f>
        <v>0</v>
      </c>
      <c r="J67" s="2708"/>
      <c r="K67" s="1587"/>
      <c r="L67" s="1579"/>
      <c r="M67" s="1581"/>
      <c r="N67" s="1579"/>
      <c r="O67" s="1579"/>
      <c r="P67" s="1581"/>
      <c r="Q67" s="1579"/>
    </row>
    <row r="68" spans="1:17" s="1221" customFormat="1">
      <c r="A68" s="1576"/>
      <c r="B68" s="1591" t="s">
        <v>1941</v>
      </c>
      <c r="C68" s="1587">
        <f>$C$21</f>
        <v>0.4</v>
      </c>
      <c r="D68" s="2708"/>
      <c r="E68" s="1587"/>
      <c r="F68" s="1587">
        <f>$F$21</f>
        <v>0.3</v>
      </c>
      <c r="G68" s="2708"/>
      <c r="H68" s="1587"/>
      <c r="I68" s="1587">
        <f>$I$21</f>
        <v>0</v>
      </c>
      <c r="J68" s="2708"/>
      <c r="K68" s="1587"/>
      <c r="L68" s="1579"/>
      <c r="M68" s="1581"/>
      <c r="N68" s="1579"/>
      <c r="O68" s="1579"/>
      <c r="P68" s="1581"/>
      <c r="Q68" s="1579"/>
    </row>
    <row r="69" spans="1:17" s="1221" customFormat="1">
      <c r="A69" s="1576"/>
      <c r="B69" s="1591" t="s">
        <v>1951</v>
      </c>
      <c r="C69" s="1587">
        <f>$C$23</f>
        <v>0.05</v>
      </c>
      <c r="D69" s="2708"/>
      <c r="E69" s="1584">
        <f>$C$66*$C$67*$C$68*$C$69</f>
        <v>1.62</v>
      </c>
      <c r="F69" s="1587">
        <f>$C$23</f>
        <v>0.05</v>
      </c>
      <c r="G69" s="2708"/>
      <c r="H69" s="1584">
        <f>$F$66*$F$67*$F$68*$F$69</f>
        <v>0.30599999999999999</v>
      </c>
      <c r="I69" s="1587">
        <f>$C$23</f>
        <v>0.05</v>
      </c>
      <c r="J69" s="2708"/>
      <c r="K69" s="1584">
        <f>$I$66*$I$67*$I$68*$I$69</f>
        <v>0</v>
      </c>
      <c r="L69" s="1579"/>
      <c r="M69" s="1581"/>
      <c r="N69" s="1579"/>
      <c r="O69" s="1579"/>
      <c r="P69" s="1581"/>
      <c r="Q69" s="1579"/>
    </row>
    <row r="70" spans="1:17" s="1221" customFormat="1">
      <c r="A70" s="1576"/>
      <c r="B70" s="1576"/>
      <c r="C70" s="1576"/>
      <c r="D70" s="1576"/>
      <c r="E70" s="1576"/>
    </row>
    <row r="71" spans="1:17" s="1221" customFormat="1">
      <c r="A71" s="1576"/>
      <c r="B71" s="2705" t="s">
        <v>1952</v>
      </c>
      <c r="C71" s="2706"/>
      <c r="D71" s="1576"/>
      <c r="E71" s="1576"/>
    </row>
    <row r="72" spans="1:17" s="1221" customFormat="1">
      <c r="A72" s="1576"/>
      <c r="B72" s="1592" t="s">
        <v>1948</v>
      </c>
      <c r="C72" s="1584">
        <f>$E$61+$H$61+$K$61+$N$61+$W$61+$E$69+$H$69+$K$69+Q61+T61</f>
        <v>3.6680000000000006</v>
      </c>
      <c r="D72" s="1576"/>
      <c r="E72" s="1576"/>
    </row>
    <row r="73" spans="1:17">
      <c r="A73" s="1576"/>
      <c r="B73" s="1576"/>
      <c r="C73" s="1576"/>
      <c r="D73" s="1576"/>
      <c r="E73" s="1576"/>
    </row>
    <row r="74" spans="1:17">
      <c r="A74" s="1576"/>
      <c r="B74" s="1576"/>
      <c r="C74" s="1576"/>
      <c r="D74" s="1576"/>
      <c r="E74" s="1576"/>
    </row>
    <row r="75" spans="1:17">
      <c r="A75" s="1576"/>
      <c r="B75" s="1577"/>
      <c r="C75" s="1577"/>
      <c r="D75" s="1577"/>
      <c r="E75" s="1577"/>
    </row>
    <row r="76" spans="1:17">
      <c r="A76" s="1576"/>
      <c r="B76" s="1576"/>
      <c r="C76" s="1576"/>
      <c r="D76" s="1576"/>
      <c r="E76" s="1576"/>
    </row>
    <row r="77" spans="1:17">
      <c r="A77" s="1576"/>
      <c r="B77" s="1576"/>
      <c r="C77" s="1576"/>
      <c r="D77" s="1576"/>
      <c r="E77" s="1576"/>
    </row>
    <row r="78" spans="1:17">
      <c r="A78" s="1576"/>
      <c r="B78" s="1576"/>
      <c r="C78" s="1576"/>
      <c r="D78" s="1576"/>
      <c r="E78" s="1576"/>
    </row>
    <row r="79" spans="1:17">
      <c r="A79" s="1576"/>
      <c r="B79" s="1576"/>
      <c r="C79" s="1576"/>
      <c r="D79" s="1576"/>
      <c r="E79" s="1576"/>
    </row>
    <row r="80" spans="1:17">
      <c r="A80" s="1576"/>
      <c r="B80" s="1576"/>
      <c r="C80" s="1576"/>
      <c r="D80" s="1576"/>
      <c r="E80" s="1576"/>
    </row>
    <row r="81" spans="1:5">
      <c r="A81" s="1577"/>
      <c r="B81" s="1577"/>
      <c r="C81" s="1577"/>
      <c r="D81" s="1577"/>
      <c r="E81" s="1577"/>
    </row>
    <row r="82" spans="1:5">
      <c r="A82" s="1577"/>
      <c r="B82" s="1578"/>
      <c r="C82" s="1578"/>
      <c r="D82" s="1578"/>
      <c r="E82" s="1579"/>
    </row>
  </sheetData>
  <mergeCells count="64">
    <mergeCell ref="C35:E35"/>
    <mergeCell ref="F35:H35"/>
    <mergeCell ref="I35:K35"/>
    <mergeCell ref="L35:N35"/>
    <mergeCell ref="U35:W35"/>
    <mergeCell ref="O35:Q35"/>
    <mergeCell ref="R35:T35"/>
    <mergeCell ref="U5:W5"/>
    <mergeCell ref="L5:N5"/>
    <mergeCell ref="I5:K5"/>
    <mergeCell ref="F5:H5"/>
    <mergeCell ref="V6:V13"/>
    <mergeCell ref="R5:T5"/>
    <mergeCell ref="B1:Q1"/>
    <mergeCell ref="B31:Q31"/>
    <mergeCell ref="B33:Q34"/>
    <mergeCell ref="B17:K17"/>
    <mergeCell ref="B25:C25"/>
    <mergeCell ref="C5:E5"/>
    <mergeCell ref="B3:Q4"/>
    <mergeCell ref="F18:H18"/>
    <mergeCell ref="C18:E18"/>
    <mergeCell ref="I18:K18"/>
    <mergeCell ref="B15:I15"/>
    <mergeCell ref="O5:Q5"/>
    <mergeCell ref="D36:D39"/>
    <mergeCell ref="G36:G39"/>
    <mergeCell ref="J36:J39"/>
    <mergeCell ref="M36:M39"/>
    <mergeCell ref="V36:V39"/>
    <mergeCell ref="P36:P39"/>
    <mergeCell ref="S36:S39"/>
    <mergeCell ref="B42:K42"/>
    <mergeCell ref="B43:E43"/>
    <mergeCell ref="F43:H43"/>
    <mergeCell ref="I43:K43"/>
    <mergeCell ref="D44:D47"/>
    <mergeCell ref="G44:G47"/>
    <mergeCell ref="J44:J47"/>
    <mergeCell ref="U57:W57"/>
    <mergeCell ref="D58:D61"/>
    <mergeCell ref="G58:G61"/>
    <mergeCell ref="J58:J61"/>
    <mergeCell ref="M58:M61"/>
    <mergeCell ref="V58:V61"/>
    <mergeCell ref="R57:T57"/>
    <mergeCell ref="S58:S61"/>
    <mergeCell ref="B64:K64"/>
    <mergeCell ref="B49:C49"/>
    <mergeCell ref="B53:Q53"/>
    <mergeCell ref="B55:Q56"/>
    <mergeCell ref="C57:E57"/>
    <mergeCell ref="F57:H57"/>
    <mergeCell ref="I57:K57"/>
    <mergeCell ref="L57:N57"/>
    <mergeCell ref="O57:Q57"/>
    <mergeCell ref="P58:P61"/>
    <mergeCell ref="B71:C71"/>
    <mergeCell ref="B65:E65"/>
    <mergeCell ref="F65:H65"/>
    <mergeCell ref="I65:K65"/>
    <mergeCell ref="D66:D69"/>
    <mergeCell ref="G66:G69"/>
    <mergeCell ref="J66:J69"/>
  </mergeCells>
  <hyperlinks>
    <hyperlink ref="C26" location="BOQ!H33" display="BOQ!H33" xr:uid="{00000000-0004-0000-0900-000000000000}"/>
    <hyperlink ref="C27" location="BOQ!H34" display="BOQ!H34" xr:uid="{00000000-0004-0000-0900-000001000000}"/>
    <hyperlink ref="C50" location="BOQ!H39" display="BOQ!H39" xr:uid="{00000000-0004-0000-0900-000002000000}"/>
    <hyperlink ref="C72" location="BOQ!H39" display="BOQ!H39" xr:uid="{00000000-0004-0000-0900-000003000000}"/>
  </hyperlinks>
  <pageMargins left="0.7" right="0.7" top="0.75" bottom="0.75" header="0.3" footer="0.3"/>
  <pageSetup paperSize="9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3">
    <tabColor rgb="FFFF0000"/>
  </sheetPr>
  <dimension ref="A3:AQ1004"/>
  <sheetViews>
    <sheetView topLeftCell="A31" zoomScaleNormal="100" workbookViewId="0">
      <pane xSplit="1" topLeftCell="B1" activePane="topRight" state="frozen"/>
      <selection activeCell="A292" sqref="A292"/>
      <selection pane="topRight" activeCell="C51" sqref="C51:C53"/>
    </sheetView>
  </sheetViews>
  <sheetFormatPr defaultColWidth="9.140625" defaultRowHeight="14.25"/>
  <cols>
    <col min="1" max="1" width="19.28515625" style="1298" bestFit="1" customWidth="1"/>
    <col min="2" max="2" width="19.85546875" style="1298" bestFit="1" customWidth="1"/>
    <col min="3" max="3" width="26.42578125" style="1298" bestFit="1" customWidth="1"/>
    <col min="4" max="4" width="30.5703125" style="1298" bestFit="1" customWidth="1"/>
    <col min="5" max="5" width="22.42578125" style="1298" bestFit="1" customWidth="1"/>
    <col min="6" max="6" width="26.28515625" style="1298" bestFit="1" customWidth="1"/>
    <col min="7" max="7" width="26.28515625" style="1298" customWidth="1"/>
    <col min="8" max="8" width="33.5703125" style="1298" customWidth="1"/>
    <col min="9" max="9" width="18" style="1298" bestFit="1" customWidth="1"/>
    <col min="10" max="10" width="21.42578125" style="1571" bestFit="1" customWidth="1"/>
    <col min="11" max="11" width="22.5703125" style="1571" bestFit="1" customWidth="1"/>
    <col min="12" max="12" width="13.7109375" style="1298" bestFit="1" customWidth="1"/>
    <col min="13" max="13" width="11.42578125" style="1298" customWidth="1"/>
    <col min="14" max="16" width="9.140625" style="1298"/>
    <col min="17" max="18" width="10.28515625" style="1298" bestFit="1" customWidth="1"/>
    <col min="19" max="22" width="9.140625" style="1298"/>
    <col min="23" max="23" width="17.140625" style="1298" customWidth="1"/>
    <col min="24" max="16384" width="9.140625" style="1298"/>
  </cols>
  <sheetData>
    <row r="3" spans="1:19" ht="20.25">
      <c r="A3" s="2786" t="s">
        <v>1975</v>
      </c>
      <c r="B3" s="2787"/>
      <c r="C3" s="2787"/>
      <c r="D3" s="2787"/>
      <c r="E3" s="2787"/>
      <c r="F3" s="2787"/>
      <c r="G3" s="2787"/>
      <c r="H3" s="2787"/>
      <c r="I3" s="2787"/>
      <c r="J3" s="2788"/>
      <c r="K3" s="1605"/>
      <c r="O3" s="1298" t="s">
        <v>47</v>
      </c>
    </row>
    <row r="4" spans="1:19" ht="15">
      <c r="A4" s="1719"/>
      <c r="B4" s="1719" t="s">
        <v>1597</v>
      </c>
      <c r="C4" s="1719"/>
      <c r="D4" s="1719" t="s">
        <v>1957</v>
      </c>
      <c r="E4" s="1719" t="s">
        <v>1955</v>
      </c>
      <c r="F4" s="1719" t="s">
        <v>1959</v>
      </c>
      <c r="G4" s="1719" t="s">
        <v>1562</v>
      </c>
      <c r="H4" s="1719" t="s">
        <v>1609</v>
      </c>
      <c r="I4" s="1733" t="s">
        <v>1855</v>
      </c>
      <c r="J4" s="1733" t="s">
        <v>1679</v>
      </c>
      <c r="K4" s="1606"/>
      <c r="N4" s="1298" t="s">
        <v>1609</v>
      </c>
      <c r="O4" s="1298">
        <v>1.58</v>
      </c>
    </row>
    <row r="5" spans="1:19">
      <c r="A5" s="1595" t="s">
        <v>153</v>
      </c>
      <c r="B5" s="1595">
        <f>('PONDASI DAN SLOOF'!$C$6-0.1)*100</f>
        <v>70</v>
      </c>
      <c r="C5" s="1600">
        <f>B5/15</f>
        <v>4.666666666666667</v>
      </c>
      <c r="D5" s="1595">
        <f>ROUNDUP(C5,0)</f>
        <v>5</v>
      </c>
      <c r="E5" s="1595">
        <f>(B7/100)+0.45+0.45</f>
        <v>1.5999999999999999</v>
      </c>
      <c r="F5" s="1595">
        <f>D5*E5</f>
        <v>7.9999999999999991</v>
      </c>
      <c r="G5" s="1601">
        <f>F5*'PONDASI DAN SLOOF'!$C$9</f>
        <v>367.99999999999994</v>
      </c>
      <c r="H5" s="1595"/>
      <c r="I5" s="1595"/>
      <c r="J5" s="1595"/>
      <c r="K5" s="1303"/>
      <c r="N5" s="1298" t="s">
        <v>1679</v>
      </c>
      <c r="O5" s="1298">
        <v>1.04</v>
      </c>
    </row>
    <row r="6" spans="1:19">
      <c r="A6" s="1595"/>
      <c r="B6" s="1595" t="s">
        <v>1600</v>
      </c>
      <c r="C6" s="1595"/>
      <c r="D6" s="1595" t="s">
        <v>1958</v>
      </c>
      <c r="E6" s="1595" t="s">
        <v>1956</v>
      </c>
      <c r="F6" s="1595" t="s">
        <v>1960</v>
      </c>
      <c r="G6" s="1595"/>
      <c r="H6" s="1595"/>
      <c r="I6" s="1595"/>
      <c r="J6" s="1595"/>
      <c r="K6" s="1303"/>
      <c r="M6" s="1125"/>
      <c r="N6" s="1298" t="s">
        <v>1807</v>
      </c>
      <c r="O6" s="1298">
        <v>0.61699999999999999</v>
      </c>
      <c r="S6" s="1124"/>
    </row>
    <row r="7" spans="1:19">
      <c r="A7" s="1595"/>
      <c r="B7" s="1595">
        <f>('PONDASI DAN SLOOF'!$C$7-0.1)*100</f>
        <v>70</v>
      </c>
      <c r="C7" s="1600">
        <f>B7/15</f>
        <v>4.666666666666667</v>
      </c>
      <c r="D7" s="1595">
        <f>ROUNDUP(C7,0)</f>
        <v>5</v>
      </c>
      <c r="E7" s="1595">
        <f>(B5/100)+0.45+0.45</f>
        <v>1.5999999999999999</v>
      </c>
      <c r="F7" s="1595">
        <f>D7*E7</f>
        <v>7.9999999999999991</v>
      </c>
      <c r="G7" s="1601">
        <f>F7*'PONDASI DAN SLOOF'!$C$9</f>
        <v>367.99999999999994</v>
      </c>
      <c r="H7" s="1595"/>
      <c r="I7" s="1595"/>
      <c r="J7" s="1595"/>
      <c r="K7" s="1303"/>
      <c r="N7" s="1298" t="s">
        <v>2388</v>
      </c>
      <c r="O7" s="1298">
        <v>0.88800000000000001</v>
      </c>
    </row>
    <row r="8" spans="1:19">
      <c r="A8" s="1595"/>
      <c r="B8" s="1595"/>
      <c r="C8" s="1595"/>
      <c r="D8" s="1595"/>
      <c r="E8" s="1595"/>
      <c r="F8" s="1595"/>
      <c r="G8" s="1602">
        <f>SUM(G5:G7)</f>
        <v>735.99999999999989</v>
      </c>
      <c r="H8" s="1603">
        <f>G8*1.58</f>
        <v>1162.8799999999999</v>
      </c>
      <c r="I8" s="1603">
        <f>G8*0.89*0</f>
        <v>0</v>
      </c>
      <c r="J8" s="1603">
        <f>G8*1.04*0</f>
        <v>0</v>
      </c>
      <c r="K8" s="1607"/>
      <c r="N8" s="1298" t="s">
        <v>2277</v>
      </c>
      <c r="O8" s="1298">
        <v>0.61699999999999999</v>
      </c>
    </row>
    <row r="9" spans="1:19">
      <c r="A9" s="1595"/>
      <c r="B9" s="1595" t="str">
        <f>B4</f>
        <v>PANJANG X</v>
      </c>
      <c r="C9" s="1595"/>
      <c r="D9" s="1595" t="s">
        <v>1598</v>
      </c>
      <c r="E9" s="1595" t="s">
        <v>1599</v>
      </c>
      <c r="F9" s="1595" t="s">
        <v>1168</v>
      </c>
      <c r="G9" s="1595"/>
      <c r="H9" s="1595"/>
      <c r="I9" s="1595"/>
      <c r="J9" s="1595"/>
      <c r="K9" s="1303"/>
      <c r="M9" s="1124"/>
      <c r="N9" s="1298" t="s">
        <v>2389</v>
      </c>
      <c r="O9" s="1298">
        <v>0.39500000000000002</v>
      </c>
      <c r="S9" s="1125"/>
    </row>
    <row r="10" spans="1:19">
      <c r="A10" s="1595" t="s">
        <v>155</v>
      </c>
      <c r="B10" s="1595">
        <f>('PONDASI DAN SLOOF'!$F$6-0.1)*100</f>
        <v>50</v>
      </c>
      <c r="C10" s="1600">
        <f>B10/15</f>
        <v>3.3333333333333335</v>
      </c>
      <c r="D10" s="1595">
        <f>ROUNDUP(C10,0)</f>
        <v>4</v>
      </c>
      <c r="E10" s="1595">
        <f>(B12/100)+0.45+0.45</f>
        <v>1.4</v>
      </c>
      <c r="F10" s="1595">
        <f>D10*E10</f>
        <v>5.6</v>
      </c>
      <c r="G10" s="1601">
        <f>F10*'PONDASI DAN SLOOF'!$F$9</f>
        <v>84</v>
      </c>
      <c r="H10" s="1595"/>
      <c r="I10" s="1595"/>
      <c r="J10" s="1595"/>
      <c r="K10" s="1303"/>
    </row>
    <row r="11" spans="1:19">
      <c r="A11" s="1595"/>
      <c r="B11" s="1595" t="str">
        <f>B6</f>
        <v>PANJANG Y</v>
      </c>
      <c r="C11" s="1595"/>
      <c r="D11" s="1595" t="s">
        <v>1601</v>
      </c>
      <c r="E11" s="1595" t="s">
        <v>1602</v>
      </c>
      <c r="F11" s="1595" t="s">
        <v>1168</v>
      </c>
      <c r="G11" s="1595"/>
      <c r="H11" s="1595"/>
      <c r="I11" s="1595"/>
      <c r="J11" s="1595"/>
      <c r="K11" s="1303"/>
    </row>
    <row r="12" spans="1:19">
      <c r="A12" s="1595"/>
      <c r="B12" s="1595">
        <f>('PONDASI DAN SLOOF'!$F$7-0.1)*100</f>
        <v>50</v>
      </c>
      <c r="C12" s="1600">
        <f>B12/15</f>
        <v>3.3333333333333335</v>
      </c>
      <c r="D12" s="1595">
        <f>ROUNDUP(C12,0)</f>
        <v>4</v>
      </c>
      <c r="E12" s="1595">
        <f>(B10/100)+0.45+0.45</f>
        <v>1.4</v>
      </c>
      <c r="F12" s="1595">
        <f>D12*E12</f>
        <v>5.6</v>
      </c>
      <c r="G12" s="1601">
        <f>F12*'PONDASI DAN SLOOF'!$F$9</f>
        <v>84</v>
      </c>
      <c r="H12" s="1595"/>
      <c r="I12" s="1595"/>
      <c r="J12" s="1595"/>
      <c r="K12" s="1303"/>
      <c r="M12" s="1124"/>
      <c r="S12" s="1125"/>
    </row>
    <row r="13" spans="1:19">
      <c r="A13" s="1595"/>
      <c r="B13" s="1595"/>
      <c r="C13" s="1595"/>
      <c r="D13" s="1595"/>
      <c r="E13" s="1595"/>
      <c r="F13" s="1595"/>
      <c r="G13" s="1602">
        <f>SUM(G10:G12)</f>
        <v>168</v>
      </c>
      <c r="H13" s="1603">
        <f>G13*1.58</f>
        <v>265.44</v>
      </c>
      <c r="I13" s="1603">
        <f>G13*0.89*0</f>
        <v>0</v>
      </c>
      <c r="J13" s="1603">
        <f>G13*1.04*0</f>
        <v>0</v>
      </c>
      <c r="K13" s="1607"/>
    </row>
    <row r="14" spans="1:19">
      <c r="A14" s="1595"/>
      <c r="B14" s="1595" t="str">
        <f>B9</f>
        <v>PANJANG X</v>
      </c>
      <c r="C14" s="1595"/>
      <c r="D14" s="1595" t="s">
        <v>1598</v>
      </c>
      <c r="E14" s="1595" t="s">
        <v>1599</v>
      </c>
      <c r="F14" s="1595" t="s">
        <v>1168</v>
      </c>
      <c r="G14" s="1595"/>
      <c r="H14" s="1595"/>
      <c r="I14" s="1595"/>
      <c r="J14" s="1595"/>
      <c r="K14" s="1303"/>
      <c r="M14" s="1124"/>
      <c r="S14" s="1125"/>
    </row>
    <row r="15" spans="1:19">
      <c r="A15" s="1595" t="s">
        <v>178</v>
      </c>
      <c r="B15" s="1595">
        <f>('PONDASI DAN SLOOF'!$I$6-0.1)*100</f>
        <v>-10</v>
      </c>
      <c r="C15" s="1600">
        <f>B15/12</f>
        <v>-0.83333333333333337</v>
      </c>
      <c r="D15" s="1595">
        <f>ROUNDUP(C15,0)</f>
        <v>-1</v>
      </c>
      <c r="E15" s="1595">
        <f>(B17/100)+0.2+0.2</f>
        <v>0.30000000000000004</v>
      </c>
      <c r="F15" s="1595">
        <f>D15*E15</f>
        <v>-0.30000000000000004</v>
      </c>
      <c r="G15" s="1601">
        <f>F15*'PONDASI DAN SLOOF'!$I$9</f>
        <v>0</v>
      </c>
      <c r="H15" s="1595"/>
      <c r="I15" s="1595"/>
      <c r="J15" s="1595"/>
      <c r="K15" s="1303"/>
    </row>
    <row r="16" spans="1:19">
      <c r="A16" s="1595"/>
      <c r="B16" s="1595" t="str">
        <f>B11</f>
        <v>PANJANG Y</v>
      </c>
      <c r="C16" s="1595"/>
      <c r="D16" s="1595" t="s">
        <v>1601</v>
      </c>
      <c r="E16" s="1595" t="s">
        <v>1602</v>
      </c>
      <c r="F16" s="1595" t="s">
        <v>1168</v>
      </c>
      <c r="G16" s="1601"/>
      <c r="H16" s="1595"/>
      <c r="I16" s="1595"/>
      <c r="J16" s="1595"/>
      <c r="K16" s="1303"/>
    </row>
    <row r="17" spans="1:15">
      <c r="A17" s="1595"/>
      <c r="B17" s="1595">
        <f>('PONDASI DAN SLOOF'!$I$7-0.1)*100</f>
        <v>-10</v>
      </c>
      <c r="C17" s="1600">
        <f>B17/12</f>
        <v>-0.83333333333333337</v>
      </c>
      <c r="D17" s="1595">
        <f>ROUNDUP(C17,0)</f>
        <v>-1</v>
      </c>
      <c r="E17" s="1595">
        <f>(B15/100)+0.2+0.2</f>
        <v>0.30000000000000004</v>
      </c>
      <c r="F17" s="1595">
        <f>D17*E17</f>
        <v>-0.30000000000000004</v>
      </c>
      <c r="G17" s="1601">
        <f>F17*'PONDASI DAN SLOOF'!$I$9</f>
        <v>0</v>
      </c>
      <c r="H17" s="1595"/>
      <c r="I17" s="1595"/>
      <c r="J17" s="1595"/>
      <c r="K17" s="1303"/>
    </row>
    <row r="18" spans="1:15">
      <c r="A18" s="1595"/>
      <c r="B18" s="1595"/>
      <c r="C18" s="1595"/>
      <c r="D18" s="1595"/>
      <c r="E18" s="1595"/>
      <c r="F18" s="1595"/>
      <c r="G18" s="1602">
        <f>SUM(G15:G17)</f>
        <v>0</v>
      </c>
      <c r="H18" s="1603">
        <f>G18*1.58</f>
        <v>0</v>
      </c>
      <c r="I18" s="1603">
        <f>G18*0.89*0</f>
        <v>0</v>
      </c>
      <c r="J18" s="1603">
        <f>G18*1.04*0</f>
        <v>0</v>
      </c>
      <c r="K18" s="1607"/>
    </row>
    <row r="19" spans="1:15">
      <c r="A19" s="1595"/>
      <c r="B19" s="1595" t="str">
        <f>B4</f>
        <v>PANJANG X</v>
      </c>
      <c r="C19" s="1595"/>
      <c r="D19" s="1595" t="s">
        <v>1598</v>
      </c>
      <c r="E19" s="1595" t="s">
        <v>1599</v>
      </c>
      <c r="F19" s="1595" t="s">
        <v>1168</v>
      </c>
      <c r="G19" s="1595"/>
      <c r="H19" s="1595"/>
      <c r="I19" s="1595"/>
      <c r="J19" s="1595"/>
      <c r="K19" s="1303"/>
    </row>
    <row r="20" spans="1:15">
      <c r="A20" s="1595" t="s">
        <v>1912</v>
      </c>
      <c r="B20" s="1595">
        <f>('PONDASI DAN SLOOF'!$L$6-0.1)*100</f>
        <v>-10</v>
      </c>
      <c r="C20" s="1600">
        <f>B20/12</f>
        <v>-0.83333333333333337</v>
      </c>
      <c r="D20" s="1595">
        <f>ROUNDUP(C20,0)</f>
        <v>-1</v>
      </c>
      <c r="E20" s="1595">
        <f>(B22/100)+0.2+0.2</f>
        <v>0.30000000000000004</v>
      </c>
      <c r="F20" s="1595">
        <f>D20*E20</f>
        <v>-0.30000000000000004</v>
      </c>
      <c r="G20" s="1601">
        <f>F20*'PONDASI DAN SLOOF'!$L$9</f>
        <v>0</v>
      </c>
      <c r="H20" s="1595"/>
      <c r="I20" s="1595"/>
      <c r="J20" s="1595"/>
      <c r="K20" s="1303"/>
    </row>
    <row r="21" spans="1:15">
      <c r="A21" s="1595"/>
      <c r="B21" s="1595" t="str">
        <f>B6</f>
        <v>PANJANG Y</v>
      </c>
      <c r="C21" s="1595"/>
      <c r="D21" s="1595" t="s">
        <v>1601</v>
      </c>
      <c r="E21" s="1595" t="s">
        <v>1602</v>
      </c>
      <c r="F21" s="1595" t="s">
        <v>1168</v>
      </c>
      <c r="G21" s="1601"/>
      <c r="H21" s="1595"/>
      <c r="I21" s="1595"/>
      <c r="J21" s="1595"/>
      <c r="K21" s="1303"/>
    </row>
    <row r="22" spans="1:15">
      <c r="A22" s="1595"/>
      <c r="B22" s="1595">
        <f>('PONDASI DAN SLOOF'!$L$7-0.1)*100</f>
        <v>-10</v>
      </c>
      <c r="C22" s="1600">
        <f>B22/12</f>
        <v>-0.83333333333333337</v>
      </c>
      <c r="D22" s="1595">
        <f>ROUNDUP(C22,0)</f>
        <v>-1</v>
      </c>
      <c r="E22" s="1595">
        <f>(B20/100)+0.2+0.2</f>
        <v>0.30000000000000004</v>
      </c>
      <c r="F22" s="1595">
        <f>D22*E22</f>
        <v>-0.30000000000000004</v>
      </c>
      <c r="G22" s="1601">
        <f>F22*'PONDASI DAN SLOOF'!$L$9</f>
        <v>0</v>
      </c>
      <c r="H22" s="1595"/>
      <c r="I22" s="1595"/>
      <c r="J22" s="1595"/>
      <c r="K22" s="1303"/>
    </row>
    <row r="23" spans="1:15">
      <c r="A23" s="1595"/>
      <c r="B23" s="1595"/>
      <c r="C23" s="1595"/>
      <c r="D23" s="1595"/>
      <c r="E23" s="1595"/>
      <c r="F23" s="1595"/>
      <c r="G23" s="1602">
        <f>SUM(G20:G22)</f>
        <v>0</v>
      </c>
      <c r="H23" s="1603">
        <f>G23*1.58*0</f>
        <v>0</v>
      </c>
      <c r="I23" s="1603">
        <f>G23*0.89*0</f>
        <v>0</v>
      </c>
      <c r="J23" s="1603">
        <f>G23*1.04*0</f>
        <v>0</v>
      </c>
      <c r="K23" s="1607"/>
    </row>
    <row r="24" spans="1:15">
      <c r="A24" s="1595"/>
      <c r="B24" s="1595" t="str">
        <f>B9</f>
        <v>PANJANG X</v>
      </c>
      <c r="C24" s="1595"/>
      <c r="D24" s="1595" t="s">
        <v>1598</v>
      </c>
      <c r="E24" s="1595" t="s">
        <v>1599</v>
      </c>
      <c r="F24" s="1595" t="s">
        <v>1168</v>
      </c>
      <c r="G24" s="1595"/>
      <c r="H24" s="1595"/>
      <c r="I24" s="1595"/>
      <c r="J24" s="1595"/>
      <c r="K24" s="1303"/>
    </row>
    <row r="25" spans="1:15">
      <c r="A25" s="1595" t="s">
        <v>1913</v>
      </c>
      <c r="B25" s="1595">
        <v>0</v>
      </c>
      <c r="C25" s="1600">
        <f>B25/12</f>
        <v>0</v>
      </c>
      <c r="D25" s="1595">
        <f>ROUNDUP(C25,0)</f>
        <v>0</v>
      </c>
      <c r="E25" s="1595">
        <f>(B27/100)+0.2+0.2</f>
        <v>0.4</v>
      </c>
      <c r="F25" s="1595">
        <f>D25*E25</f>
        <v>0</v>
      </c>
      <c r="G25" s="1601">
        <f>F25*'PONDASI DAN SLOOF'!$U$9</f>
        <v>0</v>
      </c>
      <c r="H25" s="1595"/>
      <c r="I25" s="1595"/>
      <c r="J25" s="1595"/>
      <c r="K25" s="1303"/>
    </row>
    <row r="26" spans="1:15">
      <c r="A26" s="1595"/>
      <c r="B26" s="1595" t="str">
        <f>B11</f>
        <v>PANJANG Y</v>
      </c>
      <c r="C26" s="1595"/>
      <c r="D26" s="1595" t="s">
        <v>1601</v>
      </c>
      <c r="E26" s="1595" t="s">
        <v>1602</v>
      </c>
      <c r="F26" s="1595" t="s">
        <v>1168</v>
      </c>
      <c r="G26" s="1601"/>
      <c r="H26" s="1595"/>
      <c r="I26" s="1595"/>
      <c r="J26" s="1595"/>
      <c r="K26" s="1303"/>
    </row>
    <row r="27" spans="1:15">
      <c r="A27" s="1595"/>
      <c r="B27" s="1968">
        <v>0</v>
      </c>
      <c r="C27" s="1600">
        <f>B27/12</f>
        <v>0</v>
      </c>
      <c r="D27" s="1595">
        <f>ROUNDUP(C27,0)</f>
        <v>0</v>
      </c>
      <c r="E27" s="1595">
        <f>(B25/100)+0.2+0.2</f>
        <v>0.4</v>
      </c>
      <c r="F27" s="1595">
        <f>D27*E27</f>
        <v>0</v>
      </c>
      <c r="G27" s="1601">
        <f>F27*'PONDASI DAN SLOOF'!$U$9</f>
        <v>0</v>
      </c>
      <c r="H27" s="1601"/>
      <c r="I27" s="1601"/>
      <c r="J27" s="1601"/>
      <c r="K27" s="1607"/>
    </row>
    <row r="28" spans="1:15">
      <c r="A28" s="1718"/>
      <c r="B28" s="1718"/>
      <c r="C28" s="1718"/>
      <c r="D28" s="1718"/>
      <c r="E28" s="1718"/>
      <c r="F28" s="1718"/>
      <c r="G28" s="1737">
        <f>SUM(G25:G27)</f>
        <v>0</v>
      </c>
      <c r="H28" s="1603">
        <f>G28*1.58</f>
        <v>0</v>
      </c>
      <c r="I28" s="1603">
        <f>G28*0.89*0</f>
        <v>0</v>
      </c>
      <c r="J28" s="1603">
        <f>G28*1.04*0</f>
        <v>0</v>
      </c>
      <c r="K28" s="1607"/>
    </row>
    <row r="29" spans="1:15" ht="15">
      <c r="A29" s="2725" t="s">
        <v>1976</v>
      </c>
      <c r="B29" s="2726"/>
      <c r="C29" s="2726"/>
      <c r="D29" s="2726"/>
      <c r="E29" s="2726"/>
      <c r="F29" s="2726"/>
      <c r="G29" s="2727"/>
      <c r="H29" s="1736">
        <f>H8+H13+H18+H23+H28</f>
        <v>1428.32</v>
      </c>
      <c r="I29" s="1604">
        <f>I8+I13+I18+I23+I28</f>
        <v>0</v>
      </c>
      <c r="J29" s="1604">
        <f>J8+J13+J18+J23+J28</f>
        <v>0</v>
      </c>
      <c r="K29" s="1607"/>
    </row>
    <row r="30" spans="1:15">
      <c r="M30" s="1963" t="s">
        <v>2337</v>
      </c>
    </row>
    <row r="31" spans="1:15" s="1575" customFormat="1" ht="20.25">
      <c r="A31" s="2786" t="s">
        <v>1981</v>
      </c>
      <c r="B31" s="2787"/>
      <c r="C31" s="2787"/>
      <c r="D31" s="2787"/>
      <c r="E31" s="2787"/>
      <c r="F31" s="2787"/>
      <c r="G31" s="2787"/>
      <c r="H31" s="2787"/>
      <c r="I31" s="2787"/>
      <c r="J31" s="2788"/>
      <c r="N31" s="1992" t="s">
        <v>2341</v>
      </c>
      <c r="O31" s="1963" t="s">
        <v>2340</v>
      </c>
    </row>
    <row r="32" spans="1:15" s="1575" customFormat="1">
      <c r="A32" s="1719"/>
      <c r="B32" s="1719" t="s">
        <v>153</v>
      </c>
      <c r="C32" s="1719" t="s">
        <v>1986</v>
      </c>
      <c r="D32" s="1719" t="s">
        <v>155</v>
      </c>
      <c r="E32" s="1719" t="s">
        <v>1986</v>
      </c>
      <c r="F32" s="1719" t="s">
        <v>178</v>
      </c>
      <c r="G32" s="1719" t="s">
        <v>1986</v>
      </c>
      <c r="H32" s="1974" t="s">
        <v>1912</v>
      </c>
      <c r="I32" s="1974" t="s">
        <v>1986</v>
      </c>
      <c r="J32" s="1974" t="s">
        <v>1913</v>
      </c>
      <c r="K32" s="1974" t="s">
        <v>1986</v>
      </c>
      <c r="M32" s="1992" t="s">
        <v>2338</v>
      </c>
      <c r="N32" s="1989">
        <v>0.3</v>
      </c>
      <c r="O32" s="1989">
        <v>0.78500000000000003</v>
      </c>
    </row>
    <row r="33" spans="1:15" s="1575" customFormat="1">
      <c r="A33" s="1595" t="s">
        <v>1982</v>
      </c>
      <c r="B33" s="1595">
        <f>'PONDASI DAN SLOOF'!C6</f>
        <v>0.8</v>
      </c>
      <c r="C33" s="2789">
        <f>B33*B34*B35*B36</f>
        <v>8.8320000000000007</v>
      </c>
      <c r="D33" s="1595">
        <f>'PONDASI DAN SLOOF'!F6</f>
        <v>0.6</v>
      </c>
      <c r="E33" s="2789">
        <f>D33*D34*D35*D36</f>
        <v>1.6199999999999999</v>
      </c>
      <c r="F33" s="1595">
        <f>'PONDASI DAN SLOOF'!I6</f>
        <v>0</v>
      </c>
      <c r="G33" s="2789">
        <f>F33*F34*F35*F36</f>
        <v>0</v>
      </c>
      <c r="H33" s="1968">
        <f>'PONDASI DAN SLOOF'!L6</f>
        <v>0</v>
      </c>
      <c r="I33" s="2789">
        <f>H33*H34*H35*H36</f>
        <v>0</v>
      </c>
      <c r="J33" s="1968"/>
      <c r="K33" s="2789">
        <f>J33*J34*J35*J36</f>
        <v>0</v>
      </c>
      <c r="M33" s="1992" t="s">
        <v>2339</v>
      </c>
      <c r="N33" s="1989">
        <v>0.7</v>
      </c>
      <c r="O33" s="1989">
        <v>0.76200000000000001</v>
      </c>
    </row>
    <row r="34" spans="1:15" s="1575" customFormat="1">
      <c r="A34" s="1595" t="s">
        <v>1983</v>
      </c>
      <c r="B34" s="1595">
        <f>'PONDASI DAN SLOOF'!C7</f>
        <v>0.8</v>
      </c>
      <c r="C34" s="2789"/>
      <c r="D34" s="1595">
        <f>'PONDASI DAN SLOOF'!F7</f>
        <v>0.6</v>
      </c>
      <c r="E34" s="2789"/>
      <c r="F34" s="1595">
        <f>'PONDASI DAN SLOOF'!I7</f>
        <v>0</v>
      </c>
      <c r="G34" s="2789"/>
      <c r="H34" s="1989">
        <f>'PONDASI DAN SLOOF'!L7</f>
        <v>0</v>
      </c>
      <c r="I34" s="2789"/>
      <c r="J34" s="1989"/>
      <c r="K34" s="2789"/>
      <c r="M34" s="1992" t="s">
        <v>1608</v>
      </c>
      <c r="N34" s="1989">
        <v>1.65</v>
      </c>
      <c r="O34" s="1989">
        <v>0.1</v>
      </c>
    </row>
    <row r="35" spans="1:15" s="1575" customFormat="1">
      <c r="A35" s="1595" t="s">
        <v>1984</v>
      </c>
      <c r="B35" s="1595">
        <f>'PONDASI DAN SLOOF'!C8</f>
        <v>0.3</v>
      </c>
      <c r="C35" s="2789"/>
      <c r="D35" s="1595">
        <f>'PONDASI DAN SLOOF'!F8</f>
        <v>0.3</v>
      </c>
      <c r="E35" s="2789"/>
      <c r="F35" s="1595">
        <f>'PONDASI DAN SLOOF'!I8</f>
        <v>0</v>
      </c>
      <c r="G35" s="2789"/>
      <c r="H35" s="1989">
        <f>'PONDASI DAN SLOOF'!L8</f>
        <v>0</v>
      </c>
      <c r="I35" s="2789"/>
      <c r="J35" s="1989"/>
      <c r="K35" s="2789"/>
      <c r="M35" s="1992" t="s">
        <v>2009</v>
      </c>
      <c r="N35" s="1989">
        <f>'PONDASI DAN SLOOF'!$U$7</f>
        <v>190</v>
      </c>
      <c r="O35" s="2054">
        <f>'PONDASI DAN SLOOF'!$U$7</f>
        <v>190</v>
      </c>
    </row>
    <row r="36" spans="1:15" s="1575" customFormat="1">
      <c r="A36" s="1718" t="s">
        <v>1985</v>
      </c>
      <c r="B36" s="1718">
        <f>'PONDASI DAN SLOOF'!C9</f>
        <v>46</v>
      </c>
      <c r="C36" s="2737"/>
      <c r="D36" s="1718">
        <f>'PONDASI DAN SLOOF'!F9</f>
        <v>15</v>
      </c>
      <c r="E36" s="2737"/>
      <c r="F36" s="1718">
        <f>'PONDASI DAN SLOOF'!I9</f>
        <v>0</v>
      </c>
      <c r="G36" s="2737"/>
      <c r="H36" s="1989">
        <f>'PONDASI DAN SLOOF'!L9</f>
        <v>0</v>
      </c>
      <c r="I36" s="2737"/>
      <c r="J36" s="1989"/>
      <c r="K36" s="2737"/>
      <c r="M36" s="1992" t="s">
        <v>2041</v>
      </c>
      <c r="N36" s="1596">
        <f>(N32+N33)/2*N34*N35</f>
        <v>156.75</v>
      </c>
      <c r="O36" s="1596">
        <f>(O32+O33)/2*O34*O35</f>
        <v>14.696500000000004</v>
      </c>
    </row>
    <row r="37" spans="1:15" s="1575" customFormat="1" ht="15">
      <c r="A37" s="2725" t="s">
        <v>2072</v>
      </c>
      <c r="B37" s="2726"/>
      <c r="C37" s="2726"/>
      <c r="D37" s="2726"/>
      <c r="E37" s="2726"/>
      <c r="F37" s="2726"/>
      <c r="G37" s="2726"/>
      <c r="H37" s="2726"/>
      <c r="I37" s="2727"/>
      <c r="J37" s="1801">
        <f>C33+E33+G33+I33+K33</f>
        <v>10.452</v>
      </c>
    </row>
    <row r="38" spans="1:15" s="1575" customFormat="1"/>
    <row r="39" spans="1:15" s="1575" customFormat="1"/>
    <row r="40" spans="1:15" s="1575" customFormat="1"/>
    <row r="41" spans="1:15">
      <c r="A41" s="2767" t="s">
        <v>1954</v>
      </c>
      <c r="B41" s="2768"/>
      <c r="C41" s="2768"/>
      <c r="D41" s="2769"/>
      <c r="F41" s="1303"/>
      <c r="G41" s="1303"/>
      <c r="H41" s="1303"/>
      <c r="I41" s="1303"/>
      <c r="J41" s="1303"/>
      <c r="K41" s="1303"/>
      <c r="L41" s="1303"/>
      <c r="M41" s="1303"/>
    </row>
    <row r="42" spans="1:15" ht="15">
      <c r="A42" s="1719" t="s">
        <v>1961</v>
      </c>
      <c r="B42" s="1735" t="s">
        <v>1939</v>
      </c>
      <c r="C42" s="1735" t="s">
        <v>1962</v>
      </c>
      <c r="D42" s="1735" t="s">
        <v>1568</v>
      </c>
      <c r="F42" s="1303"/>
      <c r="G42" s="1303"/>
      <c r="H42" s="1303"/>
      <c r="I42" s="1303"/>
      <c r="J42" s="1303"/>
      <c r="K42" s="1303"/>
      <c r="L42" s="1303"/>
      <c r="M42" s="1303"/>
    </row>
    <row r="43" spans="1:15">
      <c r="A43" s="1595" t="s">
        <v>1603</v>
      </c>
      <c r="B43" s="1595">
        <f>'PONDASI DAN SLOOF'!$C$19</f>
        <v>405</v>
      </c>
      <c r="C43" s="1629">
        <f>'PONDASI DAN SLOOF'!$C$20*'PONDASI DAN SLOOF'!$C$21</f>
        <v>8.0000000000000016E-2</v>
      </c>
      <c r="D43" s="1595">
        <f>B43*C43</f>
        <v>32.400000000000006</v>
      </c>
      <c r="F43" s="1303"/>
      <c r="G43" s="1594"/>
      <c r="H43" s="1594"/>
      <c r="I43" s="1594"/>
      <c r="J43" s="1594"/>
      <c r="K43" s="1594"/>
      <c r="L43" s="1303"/>
      <c r="M43" s="1594"/>
    </row>
    <row r="44" spans="1:15">
      <c r="A44" s="1595" t="s">
        <v>1604</v>
      </c>
      <c r="B44" s="1595">
        <f>'PONDASI DAN SLOOF'!$F$19</f>
        <v>136</v>
      </c>
      <c r="C44" s="1629">
        <f>'PONDASI DAN SLOOF'!$F$20*'PONDASI DAN SLOOF'!$F$21</f>
        <v>4.4999999999999998E-2</v>
      </c>
      <c r="D44" s="1595">
        <f>B44*C44</f>
        <v>6.12</v>
      </c>
      <c r="F44" s="1303"/>
      <c r="G44" s="1303"/>
      <c r="H44" s="1303"/>
      <c r="I44" s="1303"/>
      <c r="J44" s="1303"/>
      <c r="K44" s="1303"/>
      <c r="L44" s="1303"/>
      <c r="M44" s="1303"/>
    </row>
    <row r="45" spans="1:15">
      <c r="A45" s="1718" t="s">
        <v>1605</v>
      </c>
      <c r="B45" s="1718">
        <f>'PONDASI DAN SLOOF'!$I$19</f>
        <v>0</v>
      </c>
      <c r="C45" s="1718">
        <f>'PONDASI DAN SLOOF'!$I$20*'PONDASI DAN SLOOF'!$I$21</f>
        <v>0</v>
      </c>
      <c r="D45" s="1595">
        <f>B45*C45</f>
        <v>0</v>
      </c>
    </row>
    <row r="46" spans="1:15" ht="15">
      <c r="A46" s="2790" t="s">
        <v>2073</v>
      </c>
      <c r="B46" s="2791"/>
      <c r="C46" s="2792"/>
      <c r="D46" s="1801">
        <f>SUM(D43:D45)</f>
        <v>38.520000000000003</v>
      </c>
      <c r="K46" s="1298"/>
    </row>
    <row r="47" spans="1:15">
      <c r="D47" s="1127"/>
      <c r="K47" s="1298"/>
    </row>
    <row r="48" spans="1:15">
      <c r="E48" s="1598"/>
      <c r="K48" s="1298"/>
    </row>
    <row r="49" spans="1:18" ht="15">
      <c r="A49" s="2796" t="s">
        <v>2382</v>
      </c>
      <c r="B49" s="2797"/>
      <c r="C49" s="2797"/>
      <c r="D49" s="2798"/>
      <c r="E49" s="1598"/>
      <c r="F49" s="2796" t="s">
        <v>2271</v>
      </c>
      <c r="G49" s="2797"/>
      <c r="H49" s="2797"/>
      <c r="I49" s="2798"/>
      <c r="K49" s="1947" t="s">
        <v>2077</v>
      </c>
      <c r="L49" s="1948"/>
      <c r="M49" s="1948"/>
      <c r="N49" s="1948"/>
      <c r="O49" s="1948"/>
      <c r="P49" s="1948"/>
      <c r="Q49" s="1948"/>
      <c r="R49" s="1949"/>
    </row>
    <row r="50" spans="1:18" ht="15">
      <c r="A50" s="1719" t="s">
        <v>1961</v>
      </c>
      <c r="B50" s="1735" t="s">
        <v>1939</v>
      </c>
      <c r="C50" s="1719" t="s">
        <v>1963</v>
      </c>
      <c r="D50" s="1719" t="s">
        <v>1967</v>
      </c>
      <c r="E50" s="1598"/>
      <c r="F50" s="1942" t="s">
        <v>1961</v>
      </c>
      <c r="G50" s="1735" t="s">
        <v>1939</v>
      </c>
      <c r="H50" s="1942" t="s">
        <v>1963</v>
      </c>
      <c r="I50" s="1942" t="s">
        <v>1967</v>
      </c>
      <c r="K50" s="1719" t="s">
        <v>1964</v>
      </c>
      <c r="L50" s="1719" t="s">
        <v>1965</v>
      </c>
      <c r="M50" s="1719" t="s">
        <v>1966</v>
      </c>
      <c r="N50" s="1719" t="s">
        <v>1968</v>
      </c>
      <c r="O50" s="1719" t="s">
        <v>1974</v>
      </c>
      <c r="P50" s="1719" t="s">
        <v>1973</v>
      </c>
      <c r="Q50" s="2719" t="s">
        <v>1970</v>
      </c>
      <c r="R50" s="2719" t="s">
        <v>1971</v>
      </c>
    </row>
    <row r="51" spans="1:18">
      <c r="A51" s="1595" t="s">
        <v>1701</v>
      </c>
      <c r="B51" s="1595">
        <f>'PONDASI DAN SLOOF'!$C$19</f>
        <v>405</v>
      </c>
      <c r="C51" s="1595">
        <v>7</v>
      </c>
      <c r="D51" s="1595">
        <f>B51*C51</f>
        <v>2835</v>
      </c>
      <c r="E51" s="1598"/>
      <c r="F51" s="1945" t="s">
        <v>1701</v>
      </c>
      <c r="G51" s="1945">
        <f>'PONDASI DAN SLOOF'!$C$19</f>
        <v>405</v>
      </c>
      <c r="H51" s="1945">
        <v>0</v>
      </c>
      <c r="I51" s="1945">
        <f>G51*H51</f>
        <v>0</v>
      </c>
      <c r="K51" s="1717">
        <f>(B51*0.5)/0.2</f>
        <v>1012.5</v>
      </c>
      <c r="L51" s="1717">
        <f>((B51*0.25)*2)*0.1</f>
        <v>20.25</v>
      </c>
      <c r="M51" s="1717">
        <f>SUM(K51:L51)</f>
        <v>1032.75</v>
      </c>
      <c r="N51" s="1717">
        <f>2*(('PONDASI DAN SLOOF'!$C$20-0.05)+('PONDASI DAN SLOOF'!$C$21-0.05))</f>
        <v>1</v>
      </c>
      <c r="O51" s="1717">
        <f>M51*N51</f>
        <v>1032.75</v>
      </c>
      <c r="P51" s="1717">
        <f>M51*N51</f>
        <v>1032.75</v>
      </c>
      <c r="Q51" s="2720"/>
      <c r="R51" s="2720"/>
    </row>
    <row r="52" spans="1:18">
      <c r="A52" s="1595" t="s">
        <v>1702</v>
      </c>
      <c r="B52" s="1595">
        <f>'PONDASI DAN SLOOF'!$F$19</f>
        <v>136</v>
      </c>
      <c r="C52" s="1595">
        <v>7</v>
      </c>
      <c r="D52" s="1595">
        <f>B52*C52</f>
        <v>952</v>
      </c>
      <c r="E52" s="1598"/>
      <c r="F52" s="1945" t="s">
        <v>1702</v>
      </c>
      <c r="G52" s="1945">
        <f>'PONDASI DAN SLOOF'!$F$19</f>
        <v>136</v>
      </c>
      <c r="H52" s="1945">
        <v>0</v>
      </c>
      <c r="I52" s="1945">
        <f>G52*H52</f>
        <v>0</v>
      </c>
      <c r="K52" s="1717">
        <f>(B52*0.5)/0.2</f>
        <v>340</v>
      </c>
      <c r="L52" s="1717">
        <f>((B52*0.25)*2)*0.1</f>
        <v>6.8000000000000007</v>
      </c>
      <c r="M52" s="1717">
        <f>SUM(K52:L52)</f>
        <v>346.8</v>
      </c>
      <c r="N52" s="1717">
        <f>2*(('PONDASI DAN SLOOF'!$F$20-0.05)+('PONDASI DAN SLOOF'!$F$21-0.05))</f>
        <v>0.7</v>
      </c>
      <c r="O52" s="1717">
        <f>M52*N52</f>
        <v>242.76</v>
      </c>
      <c r="P52" s="1717">
        <f>M52*N52</f>
        <v>242.76</v>
      </c>
      <c r="Q52" s="2720"/>
      <c r="R52" s="2720"/>
    </row>
    <row r="53" spans="1:18">
      <c r="A53" s="1718" t="s">
        <v>1703</v>
      </c>
      <c r="B53" s="1718">
        <f>'PONDASI DAN SLOOF'!$I$19</f>
        <v>0</v>
      </c>
      <c r="C53" s="1718">
        <v>4</v>
      </c>
      <c r="D53" s="1595">
        <f>B53*C53</f>
        <v>0</v>
      </c>
      <c r="E53" s="1598"/>
      <c r="F53" s="1943" t="s">
        <v>1703</v>
      </c>
      <c r="G53" s="1943">
        <f>'PONDASI DAN SLOOF'!$I$19</f>
        <v>0</v>
      </c>
      <c r="H53" s="1943">
        <v>0</v>
      </c>
      <c r="I53" s="1945">
        <f>G53*H53</f>
        <v>0</v>
      </c>
      <c r="K53" s="1717">
        <f>(B53*0.5)/0.2</f>
        <v>0</v>
      </c>
      <c r="L53" s="1717">
        <f>((B53*0.25)*2)*0.1</f>
        <v>0</v>
      </c>
      <c r="M53" s="1717">
        <f>SUM(K53:L53)</f>
        <v>0</v>
      </c>
      <c r="N53" s="1717">
        <f>2*(('PONDASI DAN SLOOF'!$I$20-0.05)+('PONDASI DAN SLOOF'!$I$21-0.05))</f>
        <v>-0.2</v>
      </c>
      <c r="O53" s="1717">
        <f>M53*N53</f>
        <v>0</v>
      </c>
      <c r="P53" s="1717">
        <f>M53*N53</f>
        <v>0</v>
      </c>
      <c r="Q53" s="2721"/>
      <c r="R53" s="2721"/>
    </row>
    <row r="54" spans="1:18" ht="15">
      <c r="A54" s="2793" t="s">
        <v>2074</v>
      </c>
      <c r="B54" s="2794"/>
      <c r="C54" s="2795"/>
      <c r="D54" s="1734">
        <f>SUM(D51:D53)</f>
        <v>3787</v>
      </c>
      <c r="E54" s="1598"/>
      <c r="F54" s="2793" t="s">
        <v>2074</v>
      </c>
      <c r="G54" s="2794"/>
      <c r="H54" s="2795"/>
      <c r="I54" s="1734">
        <f>SUM(I51:I53)</f>
        <v>0</v>
      </c>
      <c r="K54" s="1727"/>
      <c r="L54" s="1727"/>
      <c r="M54" s="1727"/>
      <c r="N54" s="1727"/>
      <c r="O54" s="2084" t="s">
        <v>1972</v>
      </c>
      <c r="P54" s="1950"/>
      <c r="Q54" s="1596">
        <f>SUM(P53)</f>
        <v>0</v>
      </c>
      <c r="R54" s="1801">
        <f>Q54*0.4</f>
        <v>0</v>
      </c>
    </row>
    <row r="55" spans="1:18" ht="15">
      <c r="A55" s="2793" t="s">
        <v>2075</v>
      </c>
      <c r="B55" s="2794"/>
      <c r="C55" s="2795"/>
      <c r="D55" s="1801">
        <f>D54*1.58</f>
        <v>5983.46</v>
      </c>
      <c r="E55" s="1598"/>
      <c r="F55" s="2793" t="s">
        <v>2075</v>
      </c>
      <c r="G55" s="2794"/>
      <c r="H55" s="2795"/>
      <c r="I55" s="1801">
        <f>I54*0.62</f>
        <v>0</v>
      </c>
      <c r="K55" s="1727"/>
      <c r="L55" s="1727"/>
      <c r="M55" s="1727"/>
      <c r="N55" s="1727"/>
      <c r="O55" s="2084" t="s">
        <v>2387</v>
      </c>
      <c r="P55" s="1950"/>
      <c r="Q55" s="1596">
        <f>SUM(P51:P52)</f>
        <v>1275.51</v>
      </c>
      <c r="R55" s="1801">
        <f>Q55*0.617</f>
        <v>786.98966999999993</v>
      </c>
    </row>
    <row r="56" spans="1:18" s="1303" customFormat="1" ht="15">
      <c r="A56" s="1608"/>
      <c r="B56" s="1608"/>
      <c r="C56" s="1608"/>
      <c r="D56" s="1609"/>
      <c r="E56" s="1609"/>
      <c r="F56" s="1610"/>
      <c r="G56" s="1610"/>
      <c r="H56" s="1610"/>
      <c r="I56" s="1610"/>
      <c r="J56" s="1610"/>
      <c r="K56" s="1609"/>
      <c r="L56" s="1609"/>
    </row>
    <row r="57" spans="1:18" s="1303" customFormat="1" ht="15">
      <c r="A57" s="2767" t="s">
        <v>1977</v>
      </c>
      <c r="B57" s="2768"/>
      <c r="C57" s="2768"/>
      <c r="D57" s="2769"/>
      <c r="E57" s="1609"/>
      <c r="F57" s="1610"/>
      <c r="G57" s="1610"/>
      <c r="H57" s="1610"/>
      <c r="I57" s="1610"/>
      <c r="J57" s="1610"/>
      <c r="K57" s="1609"/>
      <c r="L57" s="1609"/>
    </row>
    <row r="58" spans="1:18" ht="15">
      <c r="A58" s="1719" t="s">
        <v>1961</v>
      </c>
      <c r="B58" s="1735" t="s">
        <v>1939</v>
      </c>
      <c r="C58" s="1719" t="s">
        <v>1978</v>
      </c>
      <c r="D58" s="1719" t="s">
        <v>1969</v>
      </c>
    </row>
    <row r="59" spans="1:18">
      <c r="A59" s="1595" t="s">
        <v>1701</v>
      </c>
      <c r="B59" s="1595">
        <f>'PONDASI DAN SLOOF'!$C$19</f>
        <v>405</v>
      </c>
      <c r="C59" s="1629">
        <f>'PONDASI DAN SLOOF'!$C$21*2</f>
        <v>0.8</v>
      </c>
      <c r="D59" s="1595">
        <f>B59*C59</f>
        <v>324</v>
      </c>
    </row>
    <row r="60" spans="1:18">
      <c r="A60" s="1595" t="s">
        <v>1702</v>
      </c>
      <c r="B60" s="1595">
        <f>'PONDASI DAN SLOOF'!$F$19</f>
        <v>136</v>
      </c>
      <c r="C60" s="1629">
        <f>'PONDASI DAN SLOOF'!$F$21*2</f>
        <v>0.6</v>
      </c>
      <c r="D60" s="1595">
        <f>B60*C60</f>
        <v>81.599999999999994</v>
      </c>
    </row>
    <row r="61" spans="1:18">
      <c r="A61" s="1718" t="s">
        <v>1703</v>
      </c>
      <c r="B61" s="1718">
        <f>'PONDASI DAN SLOOF'!$I$19</f>
        <v>0</v>
      </c>
      <c r="C61" s="1718">
        <f>'PONDASI DAN SLOOF'!$I$21*2</f>
        <v>0</v>
      </c>
      <c r="D61" s="1595">
        <f>B61*C61</f>
        <v>0</v>
      </c>
    </row>
    <row r="62" spans="1:18" ht="15">
      <c r="A62" s="2725" t="s">
        <v>1979</v>
      </c>
      <c r="B62" s="2726"/>
      <c r="C62" s="2727"/>
      <c r="D62" s="1801">
        <f>SUM(D59:D61)</f>
        <v>405.6</v>
      </c>
    </row>
    <row r="63" spans="1:18" s="1716" customFormat="1" ht="15" thickBot="1"/>
    <row r="64" spans="1:18" s="1933" customFormat="1" ht="15" customHeight="1">
      <c r="A64" s="2722" t="s">
        <v>2020</v>
      </c>
      <c r="B64" s="2723"/>
      <c r="C64" s="2723"/>
      <c r="D64" s="2723"/>
      <c r="E64" s="2799"/>
      <c r="G64" s="2800" t="s">
        <v>2352</v>
      </c>
      <c r="H64" s="2801"/>
    </row>
    <row r="65" spans="1:9">
      <c r="A65" s="1731" t="s">
        <v>1987</v>
      </c>
      <c r="B65" s="1731" t="s">
        <v>1608</v>
      </c>
      <c r="C65" s="1731" t="s">
        <v>2062</v>
      </c>
      <c r="D65" s="1731" t="s">
        <v>2088</v>
      </c>
      <c r="E65" s="1731" t="s">
        <v>1568</v>
      </c>
      <c r="G65" s="2008" t="s">
        <v>2009</v>
      </c>
      <c r="H65" s="2009" t="s">
        <v>2045</v>
      </c>
    </row>
    <row r="66" spans="1:9">
      <c r="A66" s="1719" t="s">
        <v>1704</v>
      </c>
      <c r="B66" s="1719">
        <v>6.6</v>
      </c>
      <c r="C66" s="1719"/>
      <c r="D66" s="1719">
        <f>G66*H66</f>
        <v>0</v>
      </c>
      <c r="E66" s="1719">
        <f t="shared" ref="E66:E75" si="0">B66*C66*D66</f>
        <v>0</v>
      </c>
      <c r="G66" s="2010"/>
      <c r="H66" s="2011"/>
    </row>
    <row r="67" spans="1:9">
      <c r="A67" s="1611" t="s">
        <v>1705</v>
      </c>
      <c r="B67" s="1595">
        <f>$B$66</f>
        <v>6.6</v>
      </c>
      <c r="C67" s="1595"/>
      <c r="D67" s="2055">
        <f t="shared" ref="D67:D75" si="1">G67*H67</f>
        <v>0</v>
      </c>
      <c r="E67" s="1595">
        <f t="shared" si="0"/>
        <v>0</v>
      </c>
      <c r="G67" s="2010"/>
      <c r="H67" s="2011"/>
    </row>
    <row r="68" spans="1:9">
      <c r="A68" s="1611" t="s">
        <v>1917</v>
      </c>
      <c r="B68" s="1968">
        <f t="shared" ref="B68:B74" si="2">$B$66</f>
        <v>6.6</v>
      </c>
      <c r="C68" s="1595"/>
      <c r="D68" s="2055">
        <f t="shared" si="1"/>
        <v>0</v>
      </c>
      <c r="E68" s="1595">
        <f>B68*C68*D68</f>
        <v>0</v>
      </c>
      <c r="G68" s="2010"/>
      <c r="H68" s="2011"/>
    </row>
    <row r="69" spans="1:9">
      <c r="A69" s="1611" t="s">
        <v>1918</v>
      </c>
      <c r="B69" s="1968">
        <f t="shared" si="2"/>
        <v>6.6</v>
      </c>
      <c r="C69" s="1595"/>
      <c r="D69" s="2055">
        <f t="shared" si="1"/>
        <v>0</v>
      </c>
      <c r="E69" s="1595">
        <f>B69*C69*D69</f>
        <v>0</v>
      </c>
      <c r="G69" s="2010"/>
      <c r="H69" s="2011"/>
    </row>
    <row r="70" spans="1:9">
      <c r="A70" s="1611" t="s">
        <v>1919</v>
      </c>
      <c r="B70" s="1968">
        <f t="shared" si="2"/>
        <v>6.6</v>
      </c>
      <c r="C70" s="1595"/>
      <c r="D70" s="2055">
        <f t="shared" si="1"/>
        <v>0</v>
      </c>
      <c r="E70" s="1595">
        <f t="shared" si="0"/>
        <v>0</v>
      </c>
      <c r="G70" s="2010"/>
      <c r="H70" s="2011"/>
    </row>
    <row r="71" spans="1:9">
      <c r="A71" s="1611" t="s">
        <v>2390</v>
      </c>
      <c r="B71" s="2054">
        <f t="shared" si="2"/>
        <v>6.6</v>
      </c>
      <c r="C71" s="1595"/>
      <c r="D71" s="2055">
        <f t="shared" si="1"/>
        <v>0</v>
      </c>
      <c r="E71" s="1595">
        <f t="shared" si="0"/>
        <v>0</v>
      </c>
      <c r="G71" s="2010"/>
      <c r="H71" s="2011"/>
    </row>
    <row r="72" spans="1:9">
      <c r="A72" s="1611" t="s">
        <v>1993</v>
      </c>
      <c r="B72" s="1968">
        <f t="shared" si="2"/>
        <v>6.6</v>
      </c>
      <c r="C72" s="1595"/>
      <c r="D72" s="2055">
        <f>1/4*3.14*I72^2</f>
        <v>0.15896250000000001</v>
      </c>
      <c r="E72" s="1595">
        <f t="shared" si="0"/>
        <v>0</v>
      </c>
      <c r="G72" s="2010"/>
      <c r="H72" s="2011"/>
      <c r="I72" s="1298">
        <f>0.45</f>
        <v>0.45</v>
      </c>
    </row>
    <row r="73" spans="1:9">
      <c r="A73" s="1611" t="s">
        <v>1994</v>
      </c>
      <c r="B73" s="1968">
        <f t="shared" si="2"/>
        <v>6.6</v>
      </c>
      <c r="C73" s="1595"/>
      <c r="D73" s="2055">
        <f>1/4*3.14*I73^2</f>
        <v>9.6162499999999998E-2</v>
      </c>
      <c r="E73" s="1595">
        <f t="shared" si="0"/>
        <v>0</v>
      </c>
      <c r="G73" s="2010"/>
      <c r="H73" s="2011"/>
      <c r="I73" s="1298">
        <f>0.35</f>
        <v>0.35</v>
      </c>
    </row>
    <row r="74" spans="1:9">
      <c r="A74" s="1611" t="s">
        <v>1995</v>
      </c>
      <c r="B74" s="1968">
        <f t="shared" si="2"/>
        <v>6.6</v>
      </c>
      <c r="C74" s="1595"/>
      <c r="D74" s="2055">
        <f>1/4*3.14*I74^2</f>
        <v>3.1400000000000004E-2</v>
      </c>
      <c r="E74" s="1595">
        <f t="shared" si="0"/>
        <v>0</v>
      </c>
      <c r="G74" s="2010"/>
      <c r="H74" s="2011"/>
      <c r="I74" s="1298">
        <f>0.2</f>
        <v>0.2</v>
      </c>
    </row>
    <row r="75" spans="1:9">
      <c r="A75" s="1595" t="s">
        <v>1706</v>
      </c>
      <c r="B75" s="1968">
        <f>$B$66</f>
        <v>6.6</v>
      </c>
      <c r="C75" s="1595"/>
      <c r="D75" s="2055">
        <f t="shared" si="1"/>
        <v>0</v>
      </c>
      <c r="E75" s="1595">
        <f t="shared" si="0"/>
        <v>0</v>
      </c>
      <c r="G75" s="2010"/>
      <c r="H75" s="2011"/>
    </row>
    <row r="76" spans="1:9" ht="14.25" customHeight="1">
      <c r="D76" s="1959" t="s">
        <v>2070</v>
      </c>
      <c r="E76" s="1931">
        <f>SUM(E66:E75)</f>
        <v>0</v>
      </c>
      <c r="G76" s="2006"/>
      <c r="H76" s="2007"/>
    </row>
    <row r="77" spans="1:9" ht="14.25" customHeight="1">
      <c r="D77" s="1960"/>
      <c r="E77" s="1932"/>
      <c r="G77" s="2006"/>
      <c r="H77" s="2007"/>
    </row>
    <row r="78" spans="1:9">
      <c r="E78" s="1303"/>
      <c r="G78" s="2006"/>
      <c r="H78" s="2007"/>
    </row>
    <row r="79" spans="1:9">
      <c r="A79" s="1611" t="s">
        <v>1707</v>
      </c>
      <c r="B79" s="1968">
        <v>4.5999999999999996</v>
      </c>
      <c r="C79" s="1611"/>
      <c r="D79" s="2001">
        <f>G79*H79</f>
        <v>1.44E-2</v>
      </c>
      <c r="E79" s="1611">
        <f>B79*C79*D79</f>
        <v>0</v>
      </c>
      <c r="G79" s="2010">
        <v>0.12</v>
      </c>
      <c r="H79" s="2011">
        <v>0.12</v>
      </c>
    </row>
    <row r="80" spans="1:9" ht="15" thickBot="1">
      <c r="A80" s="1611" t="s">
        <v>1708</v>
      </c>
      <c r="B80" s="1968">
        <f>B79</f>
        <v>4.5999999999999996</v>
      </c>
      <c r="C80" s="1611"/>
      <c r="D80" s="2001">
        <f>G80*H80</f>
        <v>7.1999999999999995E-2</v>
      </c>
      <c r="E80" s="1611">
        <f>B80*C80*D80</f>
        <v>0</v>
      </c>
      <c r="G80" s="2012">
        <v>0.12</v>
      </c>
      <c r="H80" s="2013">
        <v>0.6</v>
      </c>
    </row>
    <row r="81" spans="1:19" ht="30">
      <c r="D81" s="1738" t="s">
        <v>2071</v>
      </c>
      <c r="E81" s="1801">
        <f>SUM(E79:E80)</f>
        <v>0</v>
      </c>
    </row>
    <row r="83" spans="1:19">
      <c r="A83" s="2771" t="s">
        <v>1996</v>
      </c>
      <c r="B83" s="2771"/>
      <c r="C83" s="2771"/>
      <c r="D83" s="2717" t="s">
        <v>2069</v>
      </c>
      <c r="E83" s="2718"/>
      <c r="F83" s="2718"/>
      <c r="G83" s="2736"/>
      <c r="H83" s="2717" t="s">
        <v>2068</v>
      </c>
      <c r="I83" s="2718"/>
      <c r="J83" s="2718"/>
      <c r="K83" s="2736"/>
      <c r="M83" s="2767" t="s">
        <v>1610</v>
      </c>
      <c r="N83" s="2768"/>
      <c r="O83" s="2768"/>
      <c r="P83" s="2768"/>
      <c r="Q83" s="2769"/>
    </row>
    <row r="84" spans="1:19" ht="15">
      <c r="A84" s="1719" t="s">
        <v>1796</v>
      </c>
      <c r="B84" s="1719" t="s">
        <v>1608</v>
      </c>
      <c r="C84" s="1719" t="s">
        <v>1606</v>
      </c>
      <c r="D84" s="1719" t="s">
        <v>1609</v>
      </c>
      <c r="E84" s="1719" t="s">
        <v>1679</v>
      </c>
      <c r="F84" s="1733" t="s">
        <v>1840</v>
      </c>
      <c r="G84" s="1732" t="s">
        <v>1807</v>
      </c>
      <c r="H84" s="1719" t="s">
        <v>2100</v>
      </c>
      <c r="I84" s="1719" t="s">
        <v>2101</v>
      </c>
      <c r="J84" s="1719" t="s">
        <v>2102</v>
      </c>
      <c r="K84" s="1719" t="s">
        <v>2104</v>
      </c>
      <c r="M84" s="1719" t="s">
        <v>1607</v>
      </c>
      <c r="N84" s="1719" t="s">
        <v>1611</v>
      </c>
      <c r="O84" s="1719" t="s">
        <v>1168</v>
      </c>
      <c r="P84" s="1719" t="s">
        <v>1205</v>
      </c>
      <c r="Q84" s="1719" t="s">
        <v>1243</v>
      </c>
    </row>
    <row r="85" spans="1:19">
      <c r="A85" s="1717" t="str">
        <f t="shared" ref="A85:C94" si="3">A66</f>
        <v>K1</v>
      </c>
      <c r="B85" s="1717">
        <f t="shared" si="3"/>
        <v>6.6</v>
      </c>
      <c r="C85" s="1717">
        <f>C66</f>
        <v>0</v>
      </c>
      <c r="D85" s="1717">
        <v>12</v>
      </c>
      <c r="E85" s="1717"/>
      <c r="F85" s="1717"/>
      <c r="G85" s="1720"/>
      <c r="H85" s="1717">
        <f>B85*C85*D85</f>
        <v>0</v>
      </c>
      <c r="I85" s="1717">
        <f>B85*C85*E85</f>
        <v>0</v>
      </c>
      <c r="J85" s="1717">
        <f t="shared" ref="J85:J94" si="4">B85*C85*F85</f>
        <v>0</v>
      </c>
      <c r="K85" s="1717">
        <f t="shared" ref="K85:K94" si="5">B85*C85*G85</f>
        <v>0</v>
      </c>
      <c r="M85" s="1717">
        <f t="shared" ref="M85:M94" si="6">(B85/2)/0.2</f>
        <v>16.499999999999996</v>
      </c>
      <c r="N85" s="1717">
        <f t="shared" ref="N85:N94" si="7">(B85/2)/0.1</f>
        <v>32.999999999999993</v>
      </c>
      <c r="O85" s="1717">
        <f t="shared" ref="O85:O94" si="8">SUM(M85:N85)*C85</f>
        <v>0</v>
      </c>
      <c r="P85" s="1717">
        <f t="shared" ref="P85:P90" si="9">2*(G66-0.05+H66-0.05)</f>
        <v>-0.2</v>
      </c>
      <c r="Q85" s="1717">
        <f t="shared" ref="Q85:Q94" si="10">O85*P85</f>
        <v>0</v>
      </c>
    </row>
    <row r="86" spans="1:19">
      <c r="A86" s="1717" t="str">
        <f t="shared" si="3"/>
        <v>K2</v>
      </c>
      <c r="B86" s="1717">
        <f t="shared" si="3"/>
        <v>6.6</v>
      </c>
      <c r="C86" s="1918">
        <f t="shared" si="3"/>
        <v>0</v>
      </c>
      <c r="D86" s="1717">
        <v>10</v>
      </c>
      <c r="E86" s="1717"/>
      <c r="F86" s="1717"/>
      <c r="G86" s="1720"/>
      <c r="H86" s="1717">
        <f t="shared" ref="H86:H94" si="11">B86*C86*D86</f>
        <v>0</v>
      </c>
      <c r="I86" s="1717">
        <f t="shared" ref="I86:I94" si="12">B86*C86*E86</f>
        <v>0</v>
      </c>
      <c r="J86" s="1717">
        <f t="shared" si="4"/>
        <v>0</v>
      </c>
      <c r="K86" s="1717">
        <f t="shared" si="5"/>
        <v>0</v>
      </c>
      <c r="M86" s="1717">
        <f t="shared" si="6"/>
        <v>16.499999999999996</v>
      </c>
      <c r="N86" s="1717">
        <f t="shared" si="7"/>
        <v>32.999999999999993</v>
      </c>
      <c r="O86" s="1717">
        <f t="shared" si="8"/>
        <v>0</v>
      </c>
      <c r="P86" s="2054">
        <f t="shared" si="9"/>
        <v>-0.2</v>
      </c>
      <c r="Q86" s="1717">
        <f t="shared" si="10"/>
        <v>0</v>
      </c>
    </row>
    <row r="87" spans="1:19">
      <c r="A87" s="1717" t="str">
        <f t="shared" si="3"/>
        <v>K3</v>
      </c>
      <c r="B87" s="1717">
        <f t="shared" si="3"/>
        <v>6.6</v>
      </c>
      <c r="C87" s="1918">
        <f t="shared" si="3"/>
        <v>0</v>
      </c>
      <c r="D87" s="1717">
        <v>10</v>
      </c>
      <c r="E87" s="1717"/>
      <c r="F87" s="1717"/>
      <c r="G87" s="1720"/>
      <c r="H87" s="1717">
        <f t="shared" si="11"/>
        <v>0</v>
      </c>
      <c r="I87" s="1717">
        <f t="shared" si="12"/>
        <v>0</v>
      </c>
      <c r="J87" s="1717">
        <f t="shared" si="4"/>
        <v>0</v>
      </c>
      <c r="K87" s="1717">
        <f t="shared" si="5"/>
        <v>0</v>
      </c>
      <c r="M87" s="1717">
        <f t="shared" si="6"/>
        <v>16.499999999999996</v>
      </c>
      <c r="N87" s="1717">
        <f t="shared" si="7"/>
        <v>32.999999999999993</v>
      </c>
      <c r="O87" s="1717">
        <f t="shared" si="8"/>
        <v>0</v>
      </c>
      <c r="P87" s="2054">
        <f t="shared" si="9"/>
        <v>-0.2</v>
      </c>
      <c r="Q87" s="1717">
        <f t="shared" si="10"/>
        <v>0</v>
      </c>
    </row>
    <row r="88" spans="1:19">
      <c r="A88" s="1717" t="str">
        <f t="shared" si="3"/>
        <v>K4</v>
      </c>
      <c r="B88" s="1717">
        <f t="shared" si="3"/>
        <v>6.6</v>
      </c>
      <c r="C88" s="1918">
        <f t="shared" si="3"/>
        <v>0</v>
      </c>
      <c r="D88" s="1717">
        <v>12</v>
      </c>
      <c r="E88" s="1717"/>
      <c r="F88" s="1717"/>
      <c r="G88" s="1720"/>
      <c r="H88" s="1717">
        <f t="shared" si="11"/>
        <v>0</v>
      </c>
      <c r="I88" s="1717">
        <f t="shared" si="12"/>
        <v>0</v>
      </c>
      <c r="J88" s="1717">
        <f t="shared" si="4"/>
        <v>0</v>
      </c>
      <c r="K88" s="1717">
        <f t="shared" si="5"/>
        <v>0</v>
      </c>
      <c r="M88" s="1717">
        <f t="shared" si="6"/>
        <v>16.499999999999996</v>
      </c>
      <c r="N88" s="1717">
        <f t="shared" si="7"/>
        <v>32.999999999999993</v>
      </c>
      <c r="O88" s="1717">
        <f t="shared" si="8"/>
        <v>0</v>
      </c>
      <c r="P88" s="2054">
        <f t="shared" si="9"/>
        <v>-0.2</v>
      </c>
      <c r="Q88" s="1717">
        <f t="shared" si="10"/>
        <v>0</v>
      </c>
    </row>
    <row r="89" spans="1:19">
      <c r="A89" s="1717" t="str">
        <f t="shared" si="3"/>
        <v>K5</v>
      </c>
      <c r="B89" s="1717">
        <f t="shared" si="3"/>
        <v>6.6</v>
      </c>
      <c r="C89" s="1918">
        <f t="shared" si="3"/>
        <v>0</v>
      </c>
      <c r="D89" s="1717">
        <v>8</v>
      </c>
      <c r="E89" s="1717"/>
      <c r="F89" s="1717"/>
      <c r="G89" s="1720"/>
      <c r="H89" s="1717">
        <f t="shared" si="11"/>
        <v>0</v>
      </c>
      <c r="I89" s="1717">
        <f t="shared" si="12"/>
        <v>0</v>
      </c>
      <c r="J89" s="1717">
        <f t="shared" si="4"/>
        <v>0</v>
      </c>
      <c r="K89" s="1717">
        <f t="shared" si="5"/>
        <v>0</v>
      </c>
      <c r="M89" s="1717">
        <f t="shared" si="6"/>
        <v>16.499999999999996</v>
      </c>
      <c r="N89" s="1717">
        <f t="shared" si="7"/>
        <v>32.999999999999993</v>
      </c>
      <c r="O89" s="1717">
        <f t="shared" si="8"/>
        <v>0</v>
      </c>
      <c r="P89" s="2054">
        <f t="shared" si="9"/>
        <v>-0.2</v>
      </c>
      <c r="Q89" s="1717">
        <f t="shared" si="10"/>
        <v>0</v>
      </c>
    </row>
    <row r="90" spans="1:19">
      <c r="A90" s="1717" t="str">
        <f t="shared" si="3"/>
        <v>k6</v>
      </c>
      <c r="B90" s="1717">
        <f t="shared" si="3"/>
        <v>6.6</v>
      </c>
      <c r="C90" s="1918">
        <f t="shared" si="3"/>
        <v>0</v>
      </c>
      <c r="D90" s="1717"/>
      <c r="E90" s="1717"/>
      <c r="F90" s="1717">
        <v>6</v>
      </c>
      <c r="G90" s="1720"/>
      <c r="H90" s="1717">
        <f t="shared" si="11"/>
        <v>0</v>
      </c>
      <c r="I90" s="1717">
        <f t="shared" si="12"/>
        <v>0</v>
      </c>
      <c r="J90" s="1717">
        <f t="shared" si="4"/>
        <v>0</v>
      </c>
      <c r="K90" s="1717">
        <f t="shared" si="5"/>
        <v>0</v>
      </c>
      <c r="M90" s="1717">
        <f t="shared" si="6"/>
        <v>16.499999999999996</v>
      </c>
      <c r="N90" s="1717">
        <f t="shared" si="7"/>
        <v>32.999999999999993</v>
      </c>
      <c r="O90" s="1717">
        <f t="shared" si="8"/>
        <v>0</v>
      </c>
      <c r="P90" s="2054">
        <f t="shared" si="9"/>
        <v>-0.2</v>
      </c>
      <c r="Q90" s="1717">
        <f t="shared" si="10"/>
        <v>0</v>
      </c>
    </row>
    <row r="91" spans="1:19">
      <c r="A91" s="1717" t="str">
        <f t="shared" si="3"/>
        <v>K7</v>
      </c>
      <c r="B91" s="1717">
        <f t="shared" si="3"/>
        <v>6.6</v>
      </c>
      <c r="C91" s="1918">
        <f t="shared" si="3"/>
        <v>0</v>
      </c>
      <c r="D91" s="1717">
        <v>10</v>
      </c>
      <c r="E91" s="1717"/>
      <c r="F91" s="1717"/>
      <c r="G91" s="1720"/>
      <c r="H91" s="1717">
        <f t="shared" si="11"/>
        <v>0</v>
      </c>
      <c r="I91" s="1717">
        <f t="shared" si="12"/>
        <v>0</v>
      </c>
      <c r="J91" s="1717">
        <f t="shared" si="4"/>
        <v>0</v>
      </c>
      <c r="K91" s="1717">
        <f t="shared" si="5"/>
        <v>0</v>
      </c>
      <c r="M91" s="1717">
        <f t="shared" si="6"/>
        <v>16.499999999999996</v>
      </c>
      <c r="N91" s="1717">
        <f t="shared" si="7"/>
        <v>32.999999999999993</v>
      </c>
      <c r="O91" s="1717">
        <f t="shared" si="8"/>
        <v>0</v>
      </c>
      <c r="P91" s="2054">
        <f>(I72-0.05)*3.14</f>
        <v>1.2560000000000002</v>
      </c>
      <c r="Q91" s="1717">
        <f t="shared" si="10"/>
        <v>0</v>
      </c>
    </row>
    <row r="92" spans="1:19">
      <c r="A92" s="1717" t="str">
        <f t="shared" si="3"/>
        <v>K8</v>
      </c>
      <c r="B92" s="1717">
        <f t="shared" si="3"/>
        <v>6.6</v>
      </c>
      <c r="C92" s="1918">
        <f t="shared" si="3"/>
        <v>0</v>
      </c>
      <c r="D92" s="1717">
        <v>8</v>
      </c>
      <c r="E92" s="1717"/>
      <c r="F92" s="1717"/>
      <c r="G92" s="1720"/>
      <c r="H92" s="1717">
        <f t="shared" si="11"/>
        <v>0</v>
      </c>
      <c r="I92" s="1717">
        <f t="shared" si="12"/>
        <v>0</v>
      </c>
      <c r="J92" s="1717">
        <f t="shared" si="4"/>
        <v>0</v>
      </c>
      <c r="K92" s="1717">
        <f t="shared" si="5"/>
        <v>0</v>
      </c>
      <c r="M92" s="1717">
        <f t="shared" si="6"/>
        <v>16.499999999999996</v>
      </c>
      <c r="N92" s="1717">
        <f t="shared" si="7"/>
        <v>32.999999999999993</v>
      </c>
      <c r="O92" s="1717">
        <f t="shared" si="8"/>
        <v>0</v>
      </c>
      <c r="P92" s="2054">
        <f>(I73-0.05)*3.14</f>
        <v>0.94199999999999995</v>
      </c>
      <c r="Q92" s="1717">
        <f t="shared" si="10"/>
        <v>0</v>
      </c>
    </row>
    <row r="93" spans="1:19">
      <c r="A93" s="1717" t="str">
        <f t="shared" si="3"/>
        <v>K9</v>
      </c>
      <c r="B93" s="1717">
        <f t="shared" si="3"/>
        <v>6.6</v>
      </c>
      <c r="C93" s="1918">
        <f t="shared" si="3"/>
        <v>0</v>
      </c>
      <c r="D93" s="1717"/>
      <c r="E93" s="1717"/>
      <c r="F93" s="1717">
        <v>5</v>
      </c>
      <c r="G93" s="1720"/>
      <c r="H93" s="1717">
        <f t="shared" si="11"/>
        <v>0</v>
      </c>
      <c r="I93" s="1717">
        <f t="shared" si="12"/>
        <v>0</v>
      </c>
      <c r="J93" s="1717">
        <f t="shared" si="4"/>
        <v>0</v>
      </c>
      <c r="K93" s="1717">
        <f t="shared" si="5"/>
        <v>0</v>
      </c>
      <c r="M93" s="1717">
        <f t="shared" si="6"/>
        <v>16.499999999999996</v>
      </c>
      <c r="N93" s="1717">
        <f t="shared" si="7"/>
        <v>32.999999999999993</v>
      </c>
      <c r="O93" s="1717">
        <f t="shared" si="8"/>
        <v>0</v>
      </c>
      <c r="P93" s="2054">
        <f>(I74-0.05)*3.14</f>
        <v>0.47100000000000009</v>
      </c>
      <c r="Q93" s="1717">
        <f t="shared" si="10"/>
        <v>0</v>
      </c>
    </row>
    <row r="94" spans="1:19">
      <c r="A94" s="1717" t="str">
        <f t="shared" si="3"/>
        <v>K10</v>
      </c>
      <c r="B94" s="1717">
        <f t="shared" si="3"/>
        <v>6.6</v>
      </c>
      <c r="C94" s="1918">
        <f t="shared" si="3"/>
        <v>0</v>
      </c>
      <c r="D94" s="1717"/>
      <c r="E94" s="1717"/>
      <c r="F94" s="1717"/>
      <c r="G94" s="1720"/>
      <c r="H94" s="1717">
        <f t="shared" si="11"/>
        <v>0</v>
      </c>
      <c r="I94" s="1717">
        <f t="shared" si="12"/>
        <v>0</v>
      </c>
      <c r="J94" s="1717">
        <f t="shared" si="4"/>
        <v>0</v>
      </c>
      <c r="K94" s="1717">
        <f t="shared" si="5"/>
        <v>0</v>
      </c>
      <c r="M94" s="1718">
        <f t="shared" si="6"/>
        <v>16.499999999999996</v>
      </c>
      <c r="N94" s="1718">
        <f t="shared" si="7"/>
        <v>32.999999999999993</v>
      </c>
      <c r="O94" s="1718">
        <f t="shared" si="8"/>
        <v>0</v>
      </c>
      <c r="P94" s="2000">
        <f>2*(G75-0.05+H75-0.05)</f>
        <v>-0.2</v>
      </c>
      <c r="Q94" s="1718">
        <f t="shared" si="10"/>
        <v>0</v>
      </c>
    </row>
    <row r="95" spans="1:19" ht="15" customHeight="1">
      <c r="C95" s="1553"/>
      <c r="D95" s="1553"/>
      <c r="E95" s="1553"/>
      <c r="F95" s="2725" t="s">
        <v>2074</v>
      </c>
      <c r="G95" s="2726"/>
      <c r="H95" s="1596">
        <f>SUM(H85:H94)</f>
        <v>0</v>
      </c>
      <c r="I95" s="1596">
        <f>SUM(I85:I94)</f>
        <v>0</v>
      </c>
      <c r="J95" s="1596">
        <f>SUM(J85:J94)</f>
        <v>0</v>
      </c>
      <c r="K95" s="1596">
        <f>SUM(K85:K94)</f>
        <v>0</v>
      </c>
      <c r="M95" s="2725" t="s">
        <v>1972</v>
      </c>
      <c r="N95" s="2726"/>
      <c r="O95" s="2726"/>
      <c r="P95" s="2727"/>
      <c r="Q95" s="1734">
        <f>SUM(Q88:Q94)</f>
        <v>0</v>
      </c>
      <c r="R95" s="1801">
        <f>Q95*0.4</f>
        <v>0</v>
      </c>
      <c r="S95" s="1298" t="s">
        <v>47</v>
      </c>
    </row>
    <row r="96" spans="1:19" ht="15" customHeight="1">
      <c r="F96" s="2725" t="s">
        <v>2075</v>
      </c>
      <c r="G96" s="2726"/>
      <c r="H96" s="1801">
        <f>H95*1.58</f>
        <v>0</v>
      </c>
      <c r="I96" s="1801">
        <f>I95*1.04</f>
        <v>0</v>
      </c>
      <c r="J96" s="1801">
        <f>J95*0.89</f>
        <v>0</v>
      </c>
      <c r="K96" s="1801">
        <f>K95*0.62</f>
        <v>0</v>
      </c>
      <c r="M96" s="2725" t="s">
        <v>2387</v>
      </c>
      <c r="N96" s="2726"/>
      <c r="O96" s="2726"/>
      <c r="P96" s="2727"/>
      <c r="Q96" s="1734">
        <f>SUM(Q85:Q87)</f>
        <v>0</v>
      </c>
      <c r="R96" s="1801">
        <f>Q96*0.62</f>
        <v>0</v>
      </c>
      <c r="S96" s="1298" t="s">
        <v>47</v>
      </c>
    </row>
    <row r="97" spans="1:18">
      <c r="Q97" s="1303"/>
      <c r="R97" s="1303"/>
    </row>
    <row r="98" spans="1:18">
      <c r="A98" s="1731" t="s">
        <v>1796</v>
      </c>
      <c r="B98" s="1731" t="s">
        <v>1608</v>
      </c>
      <c r="C98" s="1731" t="s">
        <v>2062</v>
      </c>
      <c r="D98" s="1731" t="s">
        <v>1807</v>
      </c>
      <c r="E98" s="1731" t="s">
        <v>2383</v>
      </c>
      <c r="F98" s="1731" t="s">
        <v>1568</v>
      </c>
      <c r="M98" s="1717" t="s">
        <v>1607</v>
      </c>
      <c r="N98" s="1717" t="s">
        <v>1611</v>
      </c>
      <c r="O98" s="1717" t="s">
        <v>1168</v>
      </c>
      <c r="P98" s="1717" t="s">
        <v>1205</v>
      </c>
      <c r="Q98" s="1717" t="s">
        <v>1243</v>
      </c>
    </row>
    <row r="99" spans="1:18">
      <c r="A99" s="1611" t="str">
        <f t="shared" ref="A99:C100" si="13">A79</f>
        <v>KP1</v>
      </c>
      <c r="B99" s="1611">
        <f t="shared" si="13"/>
        <v>4.5999999999999996</v>
      </c>
      <c r="C99" s="1611">
        <f t="shared" si="13"/>
        <v>0</v>
      </c>
      <c r="D99" s="1611">
        <v>4</v>
      </c>
      <c r="E99" s="1611"/>
      <c r="F99" s="1611">
        <f>B99*C99*D99</f>
        <v>0</v>
      </c>
      <c r="M99" s="1717">
        <f>(B99/2)/0.2</f>
        <v>11.499999999999998</v>
      </c>
      <c r="N99" s="1717">
        <f>(B99/2)/0.1</f>
        <v>22.999999999999996</v>
      </c>
      <c r="O99" s="1717">
        <f>SUM(M99:N99)*C99</f>
        <v>0</v>
      </c>
      <c r="P99" s="1717">
        <f>4*0.1</f>
        <v>0.4</v>
      </c>
      <c r="Q99" s="1717">
        <f>O99*P99</f>
        <v>0</v>
      </c>
    </row>
    <row r="100" spans="1:18">
      <c r="A100" s="1611" t="str">
        <f t="shared" si="13"/>
        <v>KP2</v>
      </c>
      <c r="B100" s="1611">
        <f t="shared" si="13"/>
        <v>4.5999999999999996</v>
      </c>
      <c r="C100" s="1611">
        <f t="shared" si="13"/>
        <v>0</v>
      </c>
      <c r="D100" s="1611"/>
      <c r="E100" s="1611">
        <v>3</v>
      </c>
      <c r="F100" s="1611">
        <f>B100*C100*D100</f>
        <v>0</v>
      </c>
      <c r="M100" s="1718">
        <f>(B100/2)/0.2</f>
        <v>11.499999999999998</v>
      </c>
      <c r="N100" s="1718">
        <f>(B100/2)/0.1</f>
        <v>22.999999999999996</v>
      </c>
      <c r="O100" s="1718">
        <f>SUM(M100:N100)*C100</f>
        <v>0</v>
      </c>
      <c r="P100" s="1718">
        <v>0</v>
      </c>
      <c r="Q100" s="1718">
        <f>O100*P100</f>
        <v>0</v>
      </c>
    </row>
    <row r="101" spans="1:18" ht="15" customHeight="1">
      <c r="D101" s="2725" t="s">
        <v>2074</v>
      </c>
      <c r="E101" s="2726"/>
      <c r="F101" s="1596">
        <f>SUM(F99:F100)</f>
        <v>0</v>
      </c>
      <c r="M101" s="2725" t="s">
        <v>2109</v>
      </c>
      <c r="N101" s="2726"/>
      <c r="O101" s="2726"/>
      <c r="P101" s="2727"/>
      <c r="Q101" s="1734">
        <f>SUM(Q99:Q100)</f>
        <v>0</v>
      </c>
    </row>
    <row r="102" spans="1:18" ht="15" customHeight="1">
      <c r="A102" s="1716"/>
      <c r="B102" s="1716"/>
      <c r="C102" s="1716"/>
      <c r="D102" s="2725" t="s">
        <v>2075</v>
      </c>
      <c r="E102" s="2726"/>
      <c r="F102" s="1801">
        <f>F101*0.62</f>
        <v>0</v>
      </c>
      <c r="G102" s="1716"/>
      <c r="M102" s="2725" t="s">
        <v>2108</v>
      </c>
      <c r="N102" s="2726"/>
      <c r="O102" s="2726"/>
      <c r="P102" s="2727"/>
      <c r="Q102" s="1801">
        <f>Q101*0.4</f>
        <v>0</v>
      </c>
    </row>
    <row r="104" spans="1:18">
      <c r="A104" s="1731" t="s">
        <v>1612</v>
      </c>
      <c r="B104" s="1731" t="s">
        <v>1608</v>
      </c>
      <c r="C104" s="1731" t="s">
        <v>2062</v>
      </c>
      <c r="D104" s="1731" t="s">
        <v>2089</v>
      </c>
      <c r="E104" s="1731" t="s">
        <v>1568</v>
      </c>
    </row>
    <row r="105" spans="1:18">
      <c r="A105" s="1719" t="str">
        <f t="shared" ref="A105:A114" si="14">A66</f>
        <v>K1</v>
      </c>
      <c r="B105" s="1719">
        <f t="shared" ref="B105:C114" si="15">B85</f>
        <v>6.6</v>
      </c>
      <c r="C105" s="1719">
        <f t="shared" si="15"/>
        <v>0</v>
      </c>
      <c r="D105" s="1974">
        <f>2*(G66+H66)</f>
        <v>0</v>
      </c>
      <c r="E105" s="1719">
        <f t="shared" ref="E105:E114" si="16">B105*C105*D105</f>
        <v>0</v>
      </c>
    </row>
    <row r="106" spans="1:18">
      <c r="A106" s="1611" t="str">
        <f t="shared" si="14"/>
        <v>K2</v>
      </c>
      <c r="B106" s="1611">
        <f t="shared" si="15"/>
        <v>6.6</v>
      </c>
      <c r="C106" s="1611">
        <f t="shared" si="15"/>
        <v>0</v>
      </c>
      <c r="D106" s="2001">
        <f t="shared" ref="D106:D114" si="17">2*(G67+H67)</f>
        <v>0</v>
      </c>
      <c r="E106" s="1611">
        <f t="shared" si="16"/>
        <v>0</v>
      </c>
    </row>
    <row r="107" spans="1:18">
      <c r="A107" s="1611" t="str">
        <f t="shared" si="14"/>
        <v>K3</v>
      </c>
      <c r="B107" s="1611">
        <f t="shared" si="15"/>
        <v>6.6</v>
      </c>
      <c r="C107" s="1611">
        <f t="shared" si="15"/>
        <v>0</v>
      </c>
      <c r="D107" s="2001">
        <f t="shared" si="17"/>
        <v>0</v>
      </c>
      <c r="E107" s="1611">
        <f>B107*C107*D107</f>
        <v>0</v>
      </c>
    </row>
    <row r="108" spans="1:18">
      <c r="A108" s="1611" t="str">
        <f t="shared" si="14"/>
        <v>K4</v>
      </c>
      <c r="B108" s="1611">
        <f t="shared" si="15"/>
        <v>6.6</v>
      </c>
      <c r="C108" s="1611">
        <f t="shared" si="15"/>
        <v>0</v>
      </c>
      <c r="D108" s="2001">
        <f t="shared" si="17"/>
        <v>0</v>
      </c>
      <c r="E108" s="1611">
        <f>B108*C108*D108</f>
        <v>0</v>
      </c>
    </row>
    <row r="109" spans="1:18">
      <c r="A109" s="1611" t="str">
        <f t="shared" si="14"/>
        <v>K5</v>
      </c>
      <c r="B109" s="1611">
        <f t="shared" si="15"/>
        <v>6.6</v>
      </c>
      <c r="C109" s="1611">
        <f t="shared" si="15"/>
        <v>0</v>
      </c>
      <c r="D109" s="2001">
        <f t="shared" si="17"/>
        <v>0</v>
      </c>
      <c r="E109" s="1611">
        <f t="shared" si="16"/>
        <v>0</v>
      </c>
    </row>
    <row r="110" spans="1:18">
      <c r="A110" s="1611" t="str">
        <f t="shared" si="14"/>
        <v>k6</v>
      </c>
      <c r="B110" s="1611">
        <f t="shared" si="15"/>
        <v>6.6</v>
      </c>
      <c r="C110" s="1611">
        <f t="shared" si="15"/>
        <v>0</v>
      </c>
      <c r="D110" s="2001">
        <f t="shared" si="17"/>
        <v>0</v>
      </c>
      <c r="E110" s="1611">
        <f t="shared" si="16"/>
        <v>0</v>
      </c>
    </row>
    <row r="111" spans="1:18">
      <c r="A111" s="1611" t="str">
        <f t="shared" si="14"/>
        <v>K7</v>
      </c>
      <c r="B111" s="1611">
        <f t="shared" si="15"/>
        <v>6.6</v>
      </c>
      <c r="C111" s="1611">
        <f t="shared" si="15"/>
        <v>0</v>
      </c>
      <c r="D111" s="2001">
        <f>3.14*I72</f>
        <v>1.413</v>
      </c>
      <c r="E111" s="1611">
        <f t="shared" si="16"/>
        <v>0</v>
      </c>
    </row>
    <row r="112" spans="1:18">
      <c r="A112" s="1611" t="str">
        <f t="shared" si="14"/>
        <v>K8</v>
      </c>
      <c r="B112" s="1611">
        <f t="shared" si="15"/>
        <v>6.6</v>
      </c>
      <c r="C112" s="1611">
        <f t="shared" si="15"/>
        <v>0</v>
      </c>
      <c r="D112" s="2055">
        <f>3.14*I73</f>
        <v>1.099</v>
      </c>
      <c r="E112" s="1611">
        <f t="shared" si="16"/>
        <v>0</v>
      </c>
    </row>
    <row r="113" spans="1:7">
      <c r="A113" s="1611" t="str">
        <f t="shared" si="14"/>
        <v>K9</v>
      </c>
      <c r="B113" s="1611">
        <f t="shared" si="15"/>
        <v>6.6</v>
      </c>
      <c r="C113" s="1611">
        <f t="shared" si="15"/>
        <v>0</v>
      </c>
      <c r="D113" s="2055">
        <f>3.14*I74</f>
        <v>0.62800000000000011</v>
      </c>
      <c r="E113" s="1611">
        <f t="shared" si="16"/>
        <v>0</v>
      </c>
    </row>
    <row r="114" spans="1:7" ht="15" customHeight="1">
      <c r="A114" s="1611" t="str">
        <f t="shared" si="14"/>
        <v>K10</v>
      </c>
      <c r="B114" s="1611">
        <f t="shared" si="15"/>
        <v>6.6</v>
      </c>
      <c r="C114" s="1611">
        <f t="shared" si="15"/>
        <v>0</v>
      </c>
      <c r="D114" s="2001">
        <f t="shared" si="17"/>
        <v>0</v>
      </c>
      <c r="E114" s="1611">
        <f t="shared" si="16"/>
        <v>0</v>
      </c>
    </row>
    <row r="115" spans="1:7" ht="15" customHeight="1">
      <c r="C115" s="1553"/>
      <c r="D115" s="1976" t="s">
        <v>2076</v>
      </c>
      <c r="E115" s="1977">
        <f>SUM(E105:E114)</f>
        <v>0</v>
      </c>
    </row>
    <row r="116" spans="1:7" ht="14.25" customHeight="1">
      <c r="C116" s="1553"/>
      <c r="D116" s="1978"/>
      <c r="E116" s="1979"/>
    </row>
    <row r="117" spans="1:7" s="1303" customFormat="1">
      <c r="A117" s="1298"/>
      <c r="B117" s="1298"/>
      <c r="C117" s="1298"/>
      <c r="D117" s="1298"/>
      <c r="F117" s="1298"/>
      <c r="G117" s="1298"/>
    </row>
    <row r="118" spans="1:7">
      <c r="A118" s="1303"/>
      <c r="B118" s="1303"/>
      <c r="C118" s="1303"/>
      <c r="D118" s="1303"/>
      <c r="E118" s="1303"/>
      <c r="F118" s="1303"/>
      <c r="G118" s="1303"/>
    </row>
    <row r="119" spans="1:7">
      <c r="A119" s="1731" t="s">
        <v>1612</v>
      </c>
      <c r="B119" s="1731" t="s">
        <v>1608</v>
      </c>
      <c r="C119" s="1731" t="s">
        <v>2062</v>
      </c>
      <c r="D119" s="1731" t="s">
        <v>2088</v>
      </c>
      <c r="E119" s="1731" t="s">
        <v>1568</v>
      </c>
    </row>
    <row r="120" spans="1:7">
      <c r="A120" s="1719" t="str">
        <f t="shared" ref="A120:C121" si="18">A99</f>
        <v>KP1</v>
      </c>
      <c r="B120" s="1719">
        <f t="shared" si="18"/>
        <v>4.5999999999999996</v>
      </c>
      <c r="C120" s="1719">
        <f t="shared" si="18"/>
        <v>0</v>
      </c>
      <c r="D120" s="2001">
        <f>2*(G79+H79)</f>
        <v>0.48</v>
      </c>
      <c r="E120" s="1719">
        <f>B120*C120*D120</f>
        <v>0</v>
      </c>
    </row>
    <row r="121" spans="1:7">
      <c r="A121" s="1611" t="str">
        <f t="shared" si="18"/>
        <v>KP2</v>
      </c>
      <c r="B121" s="1611">
        <f t="shared" si="18"/>
        <v>4.5999999999999996</v>
      </c>
      <c r="C121" s="1611">
        <f t="shared" si="18"/>
        <v>0</v>
      </c>
      <c r="D121" s="2001">
        <f>2*(G80+H80)</f>
        <v>1.44</v>
      </c>
      <c r="E121" s="1611">
        <f>B121*C121*D121</f>
        <v>0</v>
      </c>
    </row>
    <row r="122" spans="1:7" s="1716" customFormat="1" ht="15">
      <c r="A122" s="1298"/>
      <c r="B122" s="1298"/>
      <c r="C122" s="1298"/>
      <c r="D122" s="1738" t="s">
        <v>2076</v>
      </c>
      <c r="E122" s="1749">
        <f>SUM(E120:E121)</f>
        <v>0</v>
      </c>
      <c r="F122" s="1298"/>
      <c r="G122" s="1298"/>
    </row>
    <row r="123" spans="1:7" s="1303" customFormat="1"/>
    <row r="124" spans="1:7" s="1933" customFormat="1" ht="15" customHeight="1">
      <c r="A124" s="2733" t="s">
        <v>2016</v>
      </c>
      <c r="B124" s="2734"/>
      <c r="C124" s="2734"/>
      <c r="D124" s="2734"/>
      <c r="E124" s="2735"/>
    </row>
    <row r="125" spans="1:7" ht="15" customHeight="1">
      <c r="A125" s="1731" t="s">
        <v>1987</v>
      </c>
      <c r="B125" s="1730" t="s">
        <v>1205</v>
      </c>
      <c r="C125" s="1731" t="s">
        <v>1111</v>
      </c>
      <c r="D125" s="1731" t="s">
        <v>1243</v>
      </c>
      <c r="E125" s="1730" t="s">
        <v>1568</v>
      </c>
    </row>
    <row r="126" spans="1:7" ht="15" customHeight="1">
      <c r="A126" s="1729" t="s">
        <v>1709</v>
      </c>
      <c r="B126" s="1719">
        <v>8.08</v>
      </c>
      <c r="C126" s="1719">
        <v>1.3</v>
      </c>
      <c r="D126" s="1719">
        <v>0.15</v>
      </c>
      <c r="E126" s="1719">
        <f>B126*C126*D126</f>
        <v>1.5756000000000001</v>
      </c>
    </row>
    <row r="127" spans="1:7" ht="15" customHeight="1">
      <c r="A127" s="1611"/>
      <c r="B127" s="1611"/>
      <c r="C127" s="1629"/>
      <c r="D127" s="1629">
        <v>0.15</v>
      </c>
      <c r="E127" s="1611">
        <f>B127*C127*D127</f>
        <v>0</v>
      </c>
    </row>
    <row r="128" spans="1:7" ht="15" customHeight="1">
      <c r="A128" s="1611" t="s">
        <v>1710</v>
      </c>
      <c r="B128" s="2001"/>
      <c r="C128" s="2001"/>
      <c r="D128" s="1629">
        <v>0.15</v>
      </c>
      <c r="E128" s="1611">
        <f>B128*C128*D128</f>
        <v>0</v>
      </c>
    </row>
    <row r="129" spans="1:19">
      <c r="A129" s="1611"/>
      <c r="B129" s="2000"/>
      <c r="C129" s="2000"/>
      <c r="D129" s="1629">
        <v>0.15</v>
      </c>
      <c r="E129" s="1611">
        <f>B129*C129*D129</f>
        <v>0</v>
      </c>
    </row>
    <row r="130" spans="1:19" s="1716" customFormat="1" ht="15">
      <c r="A130" s="1298"/>
      <c r="B130" s="1298"/>
      <c r="C130" s="1298"/>
      <c r="D130" s="1738" t="s">
        <v>2078</v>
      </c>
      <c r="E130" s="1749">
        <f>SUM(E126:E129)</f>
        <v>1.5756000000000001</v>
      </c>
      <c r="F130" s="1298"/>
      <c r="G130" s="1298"/>
    </row>
    <row r="131" spans="1:19">
      <c r="A131" s="1716"/>
      <c r="B131" s="1716"/>
      <c r="C131" s="1716"/>
      <c r="D131" s="1716"/>
      <c r="E131" s="1716"/>
      <c r="F131" s="1716"/>
      <c r="G131" s="1716"/>
    </row>
    <row r="132" spans="1:19">
      <c r="A132" s="2717" t="s">
        <v>2018</v>
      </c>
      <c r="B132" s="2718"/>
      <c r="C132" s="2718"/>
      <c r="D132" s="2718"/>
      <c r="E132" s="2718"/>
      <c r="F132" s="2718"/>
      <c r="G132" s="2736"/>
    </row>
    <row r="133" spans="1:19">
      <c r="A133" s="1729" t="s">
        <v>1996</v>
      </c>
      <c r="B133" s="1719" t="s">
        <v>1205</v>
      </c>
      <c r="C133" s="1719" t="s">
        <v>1607</v>
      </c>
      <c r="D133" s="1719" t="s">
        <v>1168</v>
      </c>
      <c r="E133" s="1719" t="s">
        <v>1205</v>
      </c>
      <c r="F133" s="1719" t="s">
        <v>1243</v>
      </c>
      <c r="G133" s="1719"/>
    </row>
    <row r="134" spans="1:19">
      <c r="A134" s="2737" t="s">
        <v>2079</v>
      </c>
      <c r="B134" s="1717">
        <f>B126</f>
        <v>8.08</v>
      </c>
      <c r="C134" s="1717">
        <f>B134/0.2</f>
        <v>40.4</v>
      </c>
      <c r="D134" s="1717">
        <f>ROUNDUP(C134,0)</f>
        <v>41</v>
      </c>
      <c r="E134" s="1717">
        <f>(2*(B136-0.05))+0.2</f>
        <v>0.1</v>
      </c>
      <c r="F134" s="1717">
        <f>D134*E134</f>
        <v>4.1000000000000005</v>
      </c>
      <c r="G134" s="1596">
        <f>F134*0.89</f>
        <v>3.6490000000000005</v>
      </c>
      <c r="I134" s="1533"/>
      <c r="J134" s="1533"/>
      <c r="K134" s="1533"/>
      <c r="L134" s="1533"/>
    </row>
    <row r="135" spans="1:19">
      <c r="A135" s="2720"/>
      <c r="B135" s="1717"/>
      <c r="C135" s="1717"/>
      <c r="D135" s="1717"/>
      <c r="E135" s="1717"/>
      <c r="F135" s="1717"/>
      <c r="G135" s="1717"/>
      <c r="I135" s="1533"/>
      <c r="J135" s="1533"/>
      <c r="K135" s="1533"/>
      <c r="L135" s="1533"/>
    </row>
    <row r="136" spans="1:19">
      <c r="A136" s="2738"/>
      <c r="B136" s="1717">
        <v>0</v>
      </c>
      <c r="C136" s="1717">
        <f>B136/0.2</f>
        <v>0</v>
      </c>
      <c r="D136" s="1717">
        <f>ROUNDUP(C136,0)</f>
        <v>0</v>
      </c>
      <c r="E136" s="1717">
        <f>(2*(B134-0.05))+0.2</f>
        <v>16.259999999999998</v>
      </c>
      <c r="F136" s="1717">
        <f>D136*E136</f>
        <v>0</v>
      </c>
      <c r="G136" s="1596">
        <f>F136*0.4</f>
        <v>0</v>
      </c>
      <c r="L136" s="1533"/>
      <c r="S136" s="1128"/>
    </row>
    <row r="137" spans="1:19">
      <c r="F137" s="1128"/>
    </row>
    <row r="138" spans="1:19">
      <c r="A138" s="2717" t="s">
        <v>2017</v>
      </c>
      <c r="B138" s="2718"/>
      <c r="C138" s="2718"/>
      <c r="D138" s="2718"/>
      <c r="E138" s="2718"/>
      <c r="F138" s="2718"/>
      <c r="G138" s="2736"/>
    </row>
    <row r="139" spans="1:19">
      <c r="A139" s="2737" t="s">
        <v>2079</v>
      </c>
      <c r="B139" s="1719">
        <f>B127</f>
        <v>0</v>
      </c>
      <c r="C139" s="1719">
        <f>B139/0.2</f>
        <v>0</v>
      </c>
      <c r="D139" s="1719">
        <f>ROUNDUP(C139,0)</f>
        <v>0</v>
      </c>
      <c r="E139" s="1719">
        <f>(2*(B140-0.05))+0.2</f>
        <v>0.1</v>
      </c>
      <c r="F139" s="1719">
        <f>D139*E139</f>
        <v>0</v>
      </c>
      <c r="G139" s="1728">
        <f>F139*0.89</f>
        <v>0</v>
      </c>
    </row>
    <row r="140" spans="1:19" s="1716" customFormat="1">
      <c r="A140" s="2738"/>
      <c r="B140" s="1717">
        <f>C127</f>
        <v>0</v>
      </c>
      <c r="C140" s="1717">
        <f>B140/0.2</f>
        <v>0</v>
      </c>
      <c r="D140" s="1717">
        <f>ROUNDUP(C140,0)</f>
        <v>0</v>
      </c>
      <c r="E140" s="1717">
        <f>(2*(B139-0.05))+0.2</f>
        <v>0.1</v>
      </c>
      <c r="F140" s="1717">
        <f>D140*E140</f>
        <v>0</v>
      </c>
      <c r="G140" s="1596">
        <f>F140*0.4</f>
        <v>0</v>
      </c>
    </row>
    <row r="141" spans="1:19">
      <c r="A141" s="1716"/>
      <c r="B141" s="1716"/>
      <c r="C141" s="1716"/>
      <c r="D141" s="1716"/>
      <c r="E141" s="1716"/>
      <c r="F141" s="1716"/>
      <c r="G141" s="1716"/>
    </row>
    <row r="142" spans="1:19">
      <c r="A142" s="2767" t="s">
        <v>2019</v>
      </c>
      <c r="B142" s="2768"/>
      <c r="C142" s="2768"/>
      <c r="D142" s="2768"/>
      <c r="E142" s="2768"/>
      <c r="F142" s="2768"/>
      <c r="G142" s="2769"/>
    </row>
    <row r="143" spans="1:19">
      <c r="A143" s="1719" t="s">
        <v>1996</v>
      </c>
      <c r="B143" s="1719" t="s">
        <v>1205</v>
      </c>
      <c r="C143" s="1719" t="s">
        <v>1607</v>
      </c>
      <c r="D143" s="1719" t="s">
        <v>1168</v>
      </c>
      <c r="E143" s="1719" t="s">
        <v>1205</v>
      </c>
      <c r="F143" s="1719" t="s">
        <v>1243</v>
      </c>
      <c r="G143" s="1719"/>
    </row>
    <row r="144" spans="1:19">
      <c r="A144" s="2737" t="s">
        <v>2080</v>
      </c>
      <c r="B144" s="1717">
        <f>B128</f>
        <v>0</v>
      </c>
      <c r="C144" s="1717">
        <f>B144/0.2</f>
        <v>0</v>
      </c>
      <c r="D144" s="1717">
        <f>ROUNDUP(C144,0)</f>
        <v>0</v>
      </c>
      <c r="E144" s="1717">
        <f>(2*(B146-0.05))+0.2</f>
        <v>0.1</v>
      </c>
      <c r="F144" s="1717">
        <f>D144*E144</f>
        <v>0</v>
      </c>
      <c r="G144" s="1596">
        <f>F144*0.89</f>
        <v>0</v>
      </c>
    </row>
    <row r="145" spans="1:19">
      <c r="A145" s="2720"/>
      <c r="B145" s="1717"/>
      <c r="C145" s="1717"/>
      <c r="D145" s="1717"/>
      <c r="E145" s="1717"/>
      <c r="F145" s="1717"/>
      <c r="G145" s="1717"/>
    </row>
    <row r="146" spans="1:19">
      <c r="A146" s="2738"/>
      <c r="B146" s="1717">
        <v>0</v>
      </c>
      <c r="C146" s="1717">
        <f>B146/0.2</f>
        <v>0</v>
      </c>
      <c r="D146" s="1717">
        <f>ROUNDUP(C146,0)</f>
        <v>0</v>
      </c>
      <c r="E146" s="1717">
        <f>(2*(B144-0.05))+0.2</f>
        <v>0.1</v>
      </c>
      <c r="F146" s="1717">
        <f>D146*E146</f>
        <v>0</v>
      </c>
      <c r="G146" s="1596">
        <f>F146*0.4</f>
        <v>0</v>
      </c>
      <c r="S146" s="1128"/>
    </row>
    <row r="147" spans="1:19">
      <c r="F147" s="1128"/>
    </row>
    <row r="148" spans="1:19">
      <c r="A148" s="2767" t="s">
        <v>2017</v>
      </c>
      <c r="B148" s="2768"/>
      <c r="C148" s="2768"/>
      <c r="D148" s="2768"/>
      <c r="E148" s="2768"/>
      <c r="F148" s="2768"/>
      <c r="G148" s="2769"/>
    </row>
    <row r="149" spans="1:19">
      <c r="A149" s="2719" t="s">
        <v>2080</v>
      </c>
      <c r="B149" s="1719">
        <f>B129</f>
        <v>0</v>
      </c>
      <c r="C149" s="1719">
        <f>B149/0.2</f>
        <v>0</v>
      </c>
      <c r="D149" s="1719">
        <f>ROUNDUP(C149,0)</f>
        <v>0</v>
      </c>
      <c r="E149" s="1719">
        <f>(2*(B150-0.05))+0.2</f>
        <v>0.1</v>
      </c>
      <c r="F149" s="1719">
        <f>D149*E149</f>
        <v>0</v>
      </c>
      <c r="G149" s="1728">
        <f>F149*0.89</f>
        <v>0</v>
      </c>
    </row>
    <row r="150" spans="1:19">
      <c r="A150" s="2738"/>
      <c r="B150" s="1717">
        <v>0</v>
      </c>
      <c r="C150" s="1717">
        <f>B150/0.2</f>
        <v>0</v>
      </c>
      <c r="D150" s="1717">
        <f>ROUNDUP(C150,0)</f>
        <v>0</v>
      </c>
      <c r="E150" s="1717">
        <f>(2*(B149-0.05))+0.2</f>
        <v>0.1</v>
      </c>
      <c r="F150" s="1717">
        <f>D150*E150</f>
        <v>0</v>
      </c>
      <c r="G150" s="1596">
        <f>F150*0.4</f>
        <v>0</v>
      </c>
    </row>
    <row r="151" spans="1:19" s="1716" customFormat="1" ht="15">
      <c r="A151" s="1298"/>
      <c r="B151" s="1298"/>
      <c r="C151" s="1298"/>
      <c r="D151" s="1298"/>
      <c r="E151" s="2725" t="s">
        <v>2097</v>
      </c>
      <c r="F151" s="2726"/>
      <c r="G151" s="1749">
        <f>G134+G139+G144+G149</f>
        <v>3.6490000000000005</v>
      </c>
    </row>
    <row r="152" spans="1:19" ht="15">
      <c r="A152" s="1716"/>
      <c r="B152" s="1716"/>
      <c r="C152" s="1716"/>
      <c r="D152" s="1716"/>
      <c r="E152" s="2725" t="s">
        <v>2096</v>
      </c>
      <c r="F152" s="2726"/>
      <c r="G152" s="1749">
        <f>G136+G140+G146+G150</f>
        <v>0</v>
      </c>
    </row>
    <row r="154" spans="1:19">
      <c r="A154" s="1731" t="s">
        <v>2047</v>
      </c>
      <c r="B154" s="1731" t="s">
        <v>2009</v>
      </c>
      <c r="C154" s="1731" t="s">
        <v>2045</v>
      </c>
      <c r="D154" s="1731" t="s">
        <v>1568</v>
      </c>
    </row>
    <row r="155" spans="1:19">
      <c r="A155" s="2719" t="s">
        <v>2079</v>
      </c>
      <c r="B155" s="1719">
        <f>B126</f>
        <v>8.08</v>
      </c>
      <c r="C155" s="1719">
        <f>C126</f>
        <v>1.3</v>
      </c>
      <c r="D155" s="1719">
        <f>B155*C155</f>
        <v>10.504000000000001</v>
      </c>
    </row>
    <row r="156" spans="1:19">
      <c r="A156" s="2738"/>
      <c r="B156" s="1611"/>
      <c r="C156" s="2047"/>
      <c r="D156" s="1611">
        <f>B156*C156</f>
        <v>0</v>
      </c>
    </row>
    <row r="157" spans="1:19">
      <c r="A157" s="2737" t="s">
        <v>2081</v>
      </c>
      <c r="B157" s="2046">
        <f>B128</f>
        <v>0</v>
      </c>
      <c r="C157" s="2046">
        <f>C128</f>
        <v>0</v>
      </c>
      <c r="D157" s="1611">
        <f>B157*C157</f>
        <v>0</v>
      </c>
    </row>
    <row r="158" spans="1:19">
      <c r="A158" s="2738"/>
      <c r="B158" s="2046">
        <f>B129</f>
        <v>0</v>
      </c>
      <c r="C158" s="2046">
        <f>C129</f>
        <v>0</v>
      </c>
      <c r="D158" s="1611">
        <f>B158*C158</f>
        <v>0</v>
      </c>
    </row>
    <row r="159" spans="1:19" ht="15">
      <c r="C159" s="1740" t="s">
        <v>2076</v>
      </c>
      <c r="D159" s="1748">
        <f>SUM(D155:D158)</f>
        <v>10.504000000000001</v>
      </c>
    </row>
    <row r="160" spans="1:19" ht="14.25" customHeight="1"/>
    <row r="161" spans="1:18" s="1933" customFormat="1">
      <c r="A161" s="2756" t="s">
        <v>2085</v>
      </c>
      <c r="B161" s="1934" t="s">
        <v>2009</v>
      </c>
      <c r="C161" s="1934" t="s">
        <v>2045</v>
      </c>
      <c r="D161" s="1934" t="s">
        <v>1568</v>
      </c>
    </row>
    <row r="162" spans="1:18">
      <c r="A162" s="2757"/>
      <c r="B162" s="1717">
        <v>7.3</v>
      </c>
      <c r="C162" s="1720">
        <v>0.6</v>
      </c>
      <c r="D162" s="1717">
        <f>0.1</f>
        <v>0.1</v>
      </c>
      <c r="E162" s="1716"/>
      <c r="F162" s="1716"/>
    </row>
    <row r="163" spans="1:18" ht="15" customHeight="1">
      <c r="A163" s="2758"/>
      <c r="B163" s="2760" t="s">
        <v>2078</v>
      </c>
      <c r="C163" s="2761"/>
      <c r="D163" s="1596">
        <f>B162*C162*D162</f>
        <v>0.438</v>
      </c>
    </row>
    <row r="164" spans="1:18" ht="15">
      <c r="A164" s="2759"/>
      <c r="B164" s="2760" t="s">
        <v>2082</v>
      </c>
      <c r="C164" s="2761"/>
      <c r="D164" s="1748">
        <f>D163-(0.4*0.1)*0</f>
        <v>0.438</v>
      </c>
    </row>
    <row r="165" spans="1:18" ht="14.25" customHeight="1"/>
    <row r="166" spans="1:18">
      <c r="A166" s="2752" t="s">
        <v>2084</v>
      </c>
      <c r="B166" s="1731" t="s">
        <v>1205</v>
      </c>
      <c r="C166" s="1731" t="s">
        <v>1607</v>
      </c>
      <c r="D166" s="1731" t="s">
        <v>2093</v>
      </c>
      <c r="E166" s="1731" t="s">
        <v>1205</v>
      </c>
      <c r="F166" s="1731" t="s">
        <v>1568</v>
      </c>
    </row>
    <row r="167" spans="1:18">
      <c r="A167" s="2765"/>
      <c r="B167" s="1721">
        <f>B162</f>
        <v>7.3</v>
      </c>
      <c r="C167" s="1611">
        <f>B167/0.15</f>
        <v>48.666666666666664</v>
      </c>
      <c r="D167" s="1611">
        <f>ROUNDUP(C167,0)</f>
        <v>49</v>
      </c>
      <c r="E167" s="1611">
        <f>B168-0.05</f>
        <v>0.54999999999999993</v>
      </c>
      <c r="F167" s="1611">
        <f>D167*E167</f>
        <v>26.949999999999996</v>
      </c>
    </row>
    <row r="168" spans="1:18" s="1716" customFormat="1">
      <c r="A168" s="2766"/>
      <c r="B168" s="1721">
        <f>C162</f>
        <v>0.6</v>
      </c>
      <c r="C168" s="1611">
        <f>B168/0.15</f>
        <v>4</v>
      </c>
      <c r="D168" s="1718">
        <f>ROUNDUP(C168,0)</f>
        <v>4</v>
      </c>
      <c r="E168" s="1718">
        <f>B167-0.05</f>
        <v>7.25</v>
      </c>
      <c r="F168" s="1718">
        <f>D168*E168</f>
        <v>29</v>
      </c>
      <c r="G168" s="1298"/>
    </row>
    <row r="169" spans="1:18" s="1716" customFormat="1" ht="15">
      <c r="A169" s="1598"/>
      <c r="B169" s="1598"/>
      <c r="C169" s="1598"/>
      <c r="D169" s="2751" t="s">
        <v>2086</v>
      </c>
      <c r="E169" s="2751"/>
      <c r="F169" s="1750">
        <f>$F$167*0.62</f>
        <v>16.708999999999996</v>
      </c>
    </row>
    <row r="170" spans="1:18" ht="15">
      <c r="A170" s="1598"/>
      <c r="B170" s="1598"/>
      <c r="C170" s="1598"/>
      <c r="D170" s="2751" t="s">
        <v>2087</v>
      </c>
      <c r="E170" s="2751"/>
      <c r="F170" s="1748">
        <f>$F$168*0.62</f>
        <v>17.98</v>
      </c>
      <c r="G170" s="1716"/>
    </row>
    <row r="171" spans="1:18">
      <c r="G171" s="1716"/>
    </row>
    <row r="172" spans="1:18">
      <c r="A172" s="2752" t="s">
        <v>2083</v>
      </c>
      <c r="B172" s="1731" t="s">
        <v>1205</v>
      </c>
      <c r="C172" s="1731" t="s">
        <v>1111</v>
      </c>
      <c r="D172" s="1731" t="s">
        <v>1568</v>
      </c>
    </row>
    <row r="173" spans="1:18">
      <c r="A173" s="2753"/>
      <c r="B173" s="1721">
        <f>B162</f>
        <v>7.3</v>
      </c>
      <c r="C173" s="1611">
        <f>C162</f>
        <v>0.6</v>
      </c>
      <c r="D173" s="1611">
        <f>B173*C173</f>
        <v>4.38</v>
      </c>
    </row>
    <row r="174" spans="1:18">
      <c r="A174" s="2754"/>
      <c r="B174" s="1721">
        <f>B162</f>
        <v>7.3</v>
      </c>
      <c r="C174" s="1611">
        <f>D162</f>
        <v>0.1</v>
      </c>
      <c r="D174" s="1611">
        <f>B174*C174</f>
        <v>0.73</v>
      </c>
    </row>
    <row r="175" spans="1:18" ht="15">
      <c r="C175" s="1740" t="s">
        <v>2076</v>
      </c>
      <c r="D175" s="1750">
        <f>SUM(D173:D174)</f>
        <v>5.1099999999999994</v>
      </c>
      <c r="H175" s="1716"/>
      <c r="I175" s="1716"/>
      <c r="J175" s="1716"/>
      <c r="K175" s="1716"/>
      <c r="L175" s="1716"/>
      <c r="M175" s="1716"/>
      <c r="N175" s="1716"/>
      <c r="O175" s="1716"/>
      <c r="P175" s="1716"/>
      <c r="Q175" s="1716"/>
      <c r="R175" s="1716"/>
    </row>
    <row r="177" spans="1:18" s="1933" customFormat="1">
      <c r="A177" s="2762" t="s">
        <v>2056</v>
      </c>
      <c r="B177" s="2763"/>
      <c r="C177" s="2763"/>
      <c r="D177" s="2763"/>
      <c r="E177" s="2763"/>
      <c r="F177" s="2764"/>
      <c r="G177" s="1935" t="s">
        <v>1568</v>
      </c>
      <c r="H177" s="1936"/>
      <c r="I177" s="1936"/>
      <c r="J177" s="1937"/>
      <c r="L177" s="2762" t="s">
        <v>2094</v>
      </c>
      <c r="M177" s="2763"/>
      <c r="N177" s="2763"/>
      <c r="O177" s="2763"/>
      <c r="P177" s="2763"/>
    </row>
    <row r="178" spans="1:18" ht="15">
      <c r="A178" s="1611" t="s">
        <v>2090</v>
      </c>
      <c r="B178" s="1611" t="s">
        <v>2009</v>
      </c>
      <c r="C178" s="1611" t="s">
        <v>1609</v>
      </c>
      <c r="D178" s="1611" t="s">
        <v>1679</v>
      </c>
      <c r="E178" s="1599" t="s">
        <v>1840</v>
      </c>
      <c r="F178" s="1741" t="s">
        <v>1841</v>
      </c>
      <c r="G178" s="1717" t="s">
        <v>2050</v>
      </c>
      <c r="H178" s="1717" t="s">
        <v>2051</v>
      </c>
      <c r="I178" s="1717" t="s">
        <v>2091</v>
      </c>
      <c r="J178" s="1717" t="s">
        <v>2092</v>
      </c>
      <c r="L178" s="1717" t="s">
        <v>1607</v>
      </c>
      <c r="M178" s="1717" t="s">
        <v>1611</v>
      </c>
      <c r="N178" s="1717" t="s">
        <v>1168</v>
      </c>
      <c r="O178" s="1717" t="s">
        <v>1205</v>
      </c>
      <c r="P178" s="1717" t="s">
        <v>1243</v>
      </c>
    </row>
    <row r="179" spans="1:18">
      <c r="A179" s="1611" t="s">
        <v>187</v>
      </c>
      <c r="B179" s="1611">
        <v>45.5</v>
      </c>
      <c r="C179" s="1611">
        <v>0</v>
      </c>
      <c r="D179" s="1611">
        <v>0</v>
      </c>
      <c r="E179" s="1611">
        <v>0</v>
      </c>
      <c r="F179" s="1720">
        <v>4</v>
      </c>
      <c r="G179" s="1717">
        <f>B179*C179</f>
        <v>0</v>
      </c>
      <c r="H179" s="1717">
        <f>B179*D179</f>
        <v>0</v>
      </c>
      <c r="I179" s="1717">
        <f>B179*E179</f>
        <v>0</v>
      </c>
      <c r="J179" s="1717">
        <f>B179*F179</f>
        <v>182</v>
      </c>
      <c r="L179" s="1717">
        <f>(B179/2)/0.2</f>
        <v>113.75</v>
      </c>
      <c r="M179" s="1717">
        <f>(B179/2)/0.1</f>
        <v>227.5</v>
      </c>
      <c r="N179" s="1717">
        <f>SUM(L179:M179)</f>
        <v>341.25</v>
      </c>
      <c r="O179" s="2000">
        <f>2*(0.07+0.07)</f>
        <v>0.28000000000000003</v>
      </c>
      <c r="P179" s="1717">
        <f>N179*O179</f>
        <v>95.550000000000011</v>
      </c>
    </row>
    <row r="180" spans="1:18" s="1716" customFormat="1" ht="15" customHeight="1">
      <c r="A180" s="1611" t="s">
        <v>173</v>
      </c>
      <c r="B180" s="1703">
        <v>0</v>
      </c>
      <c r="C180" s="1611">
        <v>0</v>
      </c>
      <c r="D180" s="1611">
        <v>0</v>
      </c>
      <c r="E180" s="1611">
        <v>0</v>
      </c>
      <c r="F180" s="1720">
        <v>4</v>
      </c>
      <c r="G180" s="1717">
        <f>B180*C180</f>
        <v>0</v>
      </c>
      <c r="H180" s="1717">
        <f>B180*D180</f>
        <v>0</v>
      </c>
      <c r="I180" s="1717">
        <f>B180*E180</f>
        <v>0</v>
      </c>
      <c r="J180" s="1717">
        <f>B180*F180</f>
        <v>0</v>
      </c>
      <c r="K180" s="1571"/>
      <c r="L180" s="1717">
        <f>(B180/2)/0.2</f>
        <v>0</v>
      </c>
      <c r="M180" s="1717">
        <f>(B180/2)/0.1</f>
        <v>0</v>
      </c>
      <c r="N180" s="1717">
        <f>SUM(L180:M180)</f>
        <v>0</v>
      </c>
      <c r="O180" s="1717">
        <v>0</v>
      </c>
      <c r="P180" s="1717">
        <f>N180*O180</f>
        <v>0</v>
      </c>
      <c r="Q180" s="1298"/>
      <c r="R180" s="1298"/>
    </row>
    <row r="181" spans="1:18" s="1716" customFormat="1" ht="15" customHeight="1">
      <c r="A181" s="1598"/>
      <c r="B181" s="1598"/>
      <c r="C181" s="1598"/>
      <c r="D181" s="1598"/>
      <c r="E181" s="2725" t="s">
        <v>2074</v>
      </c>
      <c r="F181" s="2726"/>
      <c r="G181" s="1596">
        <f>SUM(G179:G180)</f>
        <v>0</v>
      </c>
      <c r="H181" s="1596">
        <f>SUM(H179:H180)</f>
        <v>0</v>
      </c>
      <c r="I181" s="1596">
        <f>SUM(I179:I180)</f>
        <v>0</v>
      </c>
      <c r="J181" s="1596">
        <f>SUM(J179:J180)</f>
        <v>182</v>
      </c>
      <c r="M181" s="2741" t="s">
        <v>2074</v>
      </c>
      <c r="N181" s="2741"/>
      <c r="O181" s="2741"/>
      <c r="P181" s="1596">
        <f>SUM(P179:P180)</f>
        <v>95.550000000000011</v>
      </c>
    </row>
    <row r="182" spans="1:18" s="1716" customFormat="1" ht="15">
      <c r="A182" s="1598"/>
      <c r="B182" s="1598"/>
      <c r="C182" s="1598"/>
      <c r="D182" s="1598"/>
      <c r="E182" s="2725" t="s">
        <v>2075</v>
      </c>
      <c r="F182" s="2726"/>
      <c r="G182" s="1597">
        <f>$G$181*1.58</f>
        <v>0</v>
      </c>
      <c r="H182" s="1597">
        <f>$H$181*1.04</f>
        <v>0</v>
      </c>
      <c r="I182" s="1597">
        <f>$I$181*0.89</f>
        <v>0</v>
      </c>
      <c r="J182" s="1748">
        <f>J181*0.62</f>
        <v>112.84</v>
      </c>
      <c r="M182" s="2741" t="s">
        <v>2075</v>
      </c>
      <c r="N182" s="2741"/>
      <c r="O182" s="2741"/>
      <c r="P182" s="1748">
        <f>P181*0.4</f>
        <v>38.220000000000006</v>
      </c>
    </row>
    <row r="183" spans="1:18">
      <c r="A183" s="1598"/>
      <c r="B183" s="1598"/>
      <c r="C183" s="1598"/>
      <c r="D183" s="1598"/>
      <c r="E183" s="1598"/>
      <c r="F183" s="1598"/>
      <c r="G183" s="1598"/>
      <c r="H183" s="1598"/>
      <c r="I183" s="1598"/>
      <c r="J183" s="1598"/>
      <c r="K183" s="1716"/>
      <c r="L183" s="1716"/>
      <c r="M183" s="1716"/>
      <c r="N183" s="1716"/>
      <c r="O183" s="1716"/>
      <c r="P183" s="1716"/>
      <c r="Q183" s="1716"/>
      <c r="R183" s="1716"/>
    </row>
    <row r="184" spans="1:18">
      <c r="A184" s="2731" t="s">
        <v>2052</v>
      </c>
      <c r="B184" s="2732"/>
      <c r="C184" s="2732"/>
      <c r="D184" s="2732"/>
      <c r="J184" s="1298"/>
      <c r="K184" s="1716"/>
    </row>
    <row r="185" spans="1:18">
      <c r="A185" s="1611" t="s">
        <v>1711</v>
      </c>
      <c r="B185" s="1611" t="s">
        <v>1614</v>
      </c>
      <c r="C185" s="1611" t="s">
        <v>1615</v>
      </c>
      <c r="D185" s="1611"/>
    </row>
    <row r="186" spans="1:18">
      <c r="A186" s="1611" t="str">
        <f>A179</f>
        <v>B1</v>
      </c>
      <c r="B186" s="1611">
        <f>B179</f>
        <v>45.5</v>
      </c>
      <c r="C186" s="2000">
        <f>0.12*0.12</f>
        <v>1.44E-2</v>
      </c>
      <c r="D186" s="1611">
        <f>B186*C186</f>
        <v>0.6552</v>
      </c>
    </row>
    <row r="187" spans="1:18" ht="15" customHeight="1">
      <c r="A187" s="1611" t="str">
        <f>A180</f>
        <v>B2</v>
      </c>
      <c r="B187" s="1611">
        <f>B180</f>
        <v>0</v>
      </c>
      <c r="C187" s="1611"/>
      <c r="D187" s="1611">
        <f>B187*C187</f>
        <v>0</v>
      </c>
    </row>
    <row r="188" spans="1:18" ht="15">
      <c r="C188" s="1740" t="s">
        <v>2078</v>
      </c>
      <c r="D188" s="1597">
        <f>SUM(D186:D187)</f>
        <v>0.6552</v>
      </c>
    </row>
    <row r="190" spans="1:18">
      <c r="A190" s="2731" t="s">
        <v>2053</v>
      </c>
      <c r="B190" s="2732"/>
      <c r="C190" s="2732"/>
      <c r="D190" s="2732"/>
    </row>
    <row r="191" spans="1:18">
      <c r="A191" s="1611" t="s">
        <v>1711</v>
      </c>
      <c r="B191" s="1611" t="s">
        <v>1614</v>
      </c>
      <c r="C191" s="1611" t="s">
        <v>1615</v>
      </c>
      <c r="D191" s="1611"/>
    </row>
    <row r="192" spans="1:18">
      <c r="A192" s="1611" t="str">
        <f>A186</f>
        <v>B1</v>
      </c>
      <c r="B192" s="1611">
        <f>B186</f>
        <v>45.5</v>
      </c>
      <c r="C192" s="2000">
        <f>2*(0.12+0.12)</f>
        <v>0.48</v>
      </c>
      <c r="D192" s="1611">
        <f>B192*C192</f>
        <v>21.84</v>
      </c>
    </row>
    <row r="193" spans="1:18">
      <c r="A193" s="1611" t="str">
        <f>A187</f>
        <v>B2</v>
      </c>
      <c r="B193" s="1611">
        <f>B187</f>
        <v>0</v>
      </c>
      <c r="C193" s="1611"/>
      <c r="D193" s="1611">
        <f>B193*C193</f>
        <v>0</v>
      </c>
    </row>
    <row r="194" spans="1:18" s="1716" customFormat="1" ht="15">
      <c r="A194" s="1298"/>
      <c r="B194" s="1298"/>
      <c r="C194" s="1740" t="s">
        <v>2076</v>
      </c>
      <c r="D194" s="1748">
        <f>SUM(D192:D193)</f>
        <v>21.84</v>
      </c>
      <c r="E194" s="1298"/>
      <c r="F194" s="1298"/>
      <c r="G194" s="1298"/>
      <c r="H194" s="1298"/>
      <c r="I194" s="1298"/>
      <c r="J194" s="1571"/>
      <c r="K194" s="1571"/>
      <c r="L194" s="1298"/>
      <c r="M194" s="1298"/>
      <c r="N194" s="1298"/>
      <c r="O194" s="1298"/>
      <c r="P194" s="1298"/>
      <c r="Q194" s="1298"/>
      <c r="R194" s="1298"/>
    </row>
    <row r="195" spans="1:18" s="1716" customFormat="1"/>
    <row r="196" spans="1:18" s="1933" customFormat="1">
      <c r="A196" s="2762" t="s">
        <v>2054</v>
      </c>
      <c r="B196" s="2763"/>
      <c r="C196" s="2763"/>
      <c r="D196" s="2763"/>
      <c r="E196" s="2763"/>
      <c r="F196" s="2764"/>
      <c r="G196" s="1935" t="s">
        <v>1568</v>
      </c>
      <c r="H196" s="1936"/>
      <c r="I196" s="1936"/>
      <c r="J196" s="1937"/>
      <c r="L196" s="2762" t="s">
        <v>2094</v>
      </c>
      <c r="M196" s="2763"/>
      <c r="N196" s="2763"/>
      <c r="O196" s="2763"/>
      <c r="P196" s="2763"/>
    </row>
    <row r="197" spans="1:18" s="1716" customFormat="1" ht="15">
      <c r="A197" s="1717" t="s">
        <v>2130</v>
      </c>
      <c r="B197" s="1717" t="s">
        <v>2009</v>
      </c>
      <c r="C197" s="1717" t="s">
        <v>1609</v>
      </c>
      <c r="D197" s="1717" t="s">
        <v>1679</v>
      </c>
      <c r="E197" s="1599" t="s">
        <v>1840</v>
      </c>
      <c r="F197" s="1741" t="s">
        <v>1841</v>
      </c>
      <c r="G197" s="1717" t="s">
        <v>2050</v>
      </c>
      <c r="H197" s="1717" t="s">
        <v>2051</v>
      </c>
      <c r="I197" s="1717" t="s">
        <v>2091</v>
      </c>
      <c r="J197" s="1717" t="s">
        <v>2092</v>
      </c>
      <c r="L197" s="1717" t="s">
        <v>1607</v>
      </c>
      <c r="M197" s="1717" t="s">
        <v>1611</v>
      </c>
      <c r="N197" s="1717" t="s">
        <v>1168</v>
      </c>
      <c r="O197" s="1717" t="s">
        <v>1205</v>
      </c>
      <c r="P197" s="1717" t="s">
        <v>1243</v>
      </c>
    </row>
    <row r="198" spans="1:18" s="1716" customFormat="1">
      <c r="A198" s="1717" t="s">
        <v>187</v>
      </c>
      <c r="B198" s="1717">
        <v>26.36</v>
      </c>
      <c r="C198" s="1717">
        <v>0</v>
      </c>
      <c r="D198" s="1717">
        <v>0</v>
      </c>
      <c r="E198" s="1717">
        <v>0</v>
      </c>
      <c r="F198" s="1720">
        <v>4</v>
      </c>
      <c r="G198" s="1717">
        <f>B198*C198</f>
        <v>0</v>
      </c>
      <c r="H198" s="1717">
        <f>B198*D198</f>
        <v>0</v>
      </c>
      <c r="I198" s="1717">
        <f>B198*E198</f>
        <v>0</v>
      </c>
      <c r="J198" s="1717">
        <f>B198*F198</f>
        <v>105.44</v>
      </c>
      <c r="L198" s="1717">
        <f>(B198/2)/0.2</f>
        <v>65.899999999999991</v>
      </c>
      <c r="M198" s="1717">
        <f>(B198/2)/0.1</f>
        <v>131.79999999999998</v>
      </c>
      <c r="N198" s="1717">
        <f>SUM(L198:M198)</f>
        <v>197.7</v>
      </c>
      <c r="O198" s="1717">
        <f>2*(0.12+0.12)</f>
        <v>0.48</v>
      </c>
      <c r="P198" s="1717">
        <f>N198*O198</f>
        <v>94.895999999999987</v>
      </c>
    </row>
    <row r="199" spans="1:18" s="1716" customFormat="1" ht="15" customHeight="1">
      <c r="A199" s="1717" t="s">
        <v>173</v>
      </c>
      <c r="B199" s="1717">
        <v>21.11</v>
      </c>
      <c r="C199" s="1717">
        <v>0</v>
      </c>
      <c r="D199" s="1717">
        <v>0</v>
      </c>
      <c r="E199" s="1717">
        <v>0</v>
      </c>
      <c r="F199" s="1720">
        <v>4</v>
      </c>
      <c r="G199" s="1717">
        <f>B199*C199</f>
        <v>0</v>
      </c>
      <c r="H199" s="1717">
        <f>B199*D199</f>
        <v>0</v>
      </c>
      <c r="I199" s="1717">
        <f>B199*E199</f>
        <v>0</v>
      </c>
      <c r="J199" s="1717">
        <f>B199*F199</f>
        <v>84.44</v>
      </c>
      <c r="L199" s="1717">
        <f>(B199/2)/0.2</f>
        <v>52.774999999999999</v>
      </c>
      <c r="M199" s="1717">
        <f>(B199/2)/0.1</f>
        <v>105.55</v>
      </c>
      <c r="N199" s="1717">
        <f>SUM(L199:M199)</f>
        <v>158.32499999999999</v>
      </c>
      <c r="O199" s="1717"/>
      <c r="P199" s="1717">
        <f>N199*O199</f>
        <v>0</v>
      </c>
    </row>
    <row r="200" spans="1:18" s="1716" customFormat="1" ht="15" customHeight="1">
      <c r="A200" s="1598"/>
      <c r="B200" s="1598"/>
      <c r="C200" s="1598"/>
      <c r="D200" s="1598"/>
      <c r="E200" s="2725" t="s">
        <v>2074</v>
      </c>
      <c r="F200" s="2726"/>
      <c r="G200" s="1596">
        <f>SUM(G198:G199)</f>
        <v>0</v>
      </c>
      <c r="H200" s="1596">
        <f>SUM(H198:H199)</f>
        <v>0</v>
      </c>
      <c r="I200" s="1596">
        <f>SUM(I198:I199)</f>
        <v>0</v>
      </c>
      <c r="J200" s="1596">
        <f>SUM(J198:J199)</f>
        <v>189.88</v>
      </c>
      <c r="M200" s="2741" t="s">
        <v>2074</v>
      </c>
      <c r="N200" s="2741"/>
      <c r="O200" s="2741"/>
      <c r="P200" s="1596">
        <f>SUM(P198:P199)</f>
        <v>94.895999999999987</v>
      </c>
    </row>
    <row r="201" spans="1:18" s="1716" customFormat="1" ht="15">
      <c r="A201" s="1598"/>
      <c r="B201" s="1598"/>
      <c r="C201" s="1598"/>
      <c r="D201" s="1598"/>
      <c r="E201" s="2725" t="s">
        <v>2075</v>
      </c>
      <c r="F201" s="2726"/>
      <c r="G201" s="1597">
        <f>$G$181*1.58</f>
        <v>0</v>
      </c>
      <c r="H201" s="1597">
        <f>$H$181*1.04</f>
        <v>0</v>
      </c>
      <c r="I201" s="1597">
        <f>$I$181*0.89</f>
        <v>0</v>
      </c>
      <c r="J201" s="1748">
        <f>J200*0.62</f>
        <v>117.7256</v>
      </c>
      <c r="M201" s="2741" t="s">
        <v>2075</v>
      </c>
      <c r="N201" s="2741"/>
      <c r="O201" s="2741"/>
      <c r="P201" s="1748">
        <f>P200*0.4</f>
        <v>37.958399999999997</v>
      </c>
    </row>
    <row r="202" spans="1:18" s="1716" customFormat="1">
      <c r="A202" s="1598"/>
      <c r="B202" s="1598"/>
      <c r="C202" s="1598"/>
      <c r="D202" s="1598"/>
      <c r="E202" s="1598"/>
      <c r="F202" s="1598"/>
      <c r="G202" s="1598"/>
      <c r="H202" s="1598"/>
      <c r="I202" s="1598"/>
      <c r="J202" s="1598"/>
    </row>
    <row r="203" spans="1:18" s="1716" customFormat="1">
      <c r="A203" s="2731" t="s">
        <v>2055</v>
      </c>
      <c r="B203" s="2732"/>
      <c r="C203" s="2732"/>
      <c r="D203" s="2732"/>
    </row>
    <row r="204" spans="1:18" s="1716" customFormat="1">
      <c r="A204" s="1717" t="s">
        <v>2130</v>
      </c>
      <c r="B204" s="1717" t="s">
        <v>1614</v>
      </c>
      <c r="C204" s="1717" t="s">
        <v>1615</v>
      </c>
      <c r="D204" s="1717"/>
    </row>
    <row r="205" spans="1:18" s="1716" customFormat="1">
      <c r="A205" s="1717" t="s">
        <v>187</v>
      </c>
      <c r="B205" s="1717">
        <f>B198</f>
        <v>26.36</v>
      </c>
      <c r="C205" s="1717">
        <f>0.1*0.25</f>
        <v>2.5000000000000001E-2</v>
      </c>
      <c r="D205" s="1717">
        <f>B205*C205</f>
        <v>0.65900000000000003</v>
      </c>
    </row>
    <row r="206" spans="1:18" s="1716" customFormat="1" ht="15" customHeight="1">
      <c r="A206" s="1717" t="s">
        <v>173</v>
      </c>
      <c r="B206" s="1717">
        <f>B199</f>
        <v>21.11</v>
      </c>
      <c r="C206" s="1717">
        <f>0.31*0.1</f>
        <v>3.1E-2</v>
      </c>
      <c r="D206" s="1717">
        <f>B206*C206</f>
        <v>0.65440999999999994</v>
      </c>
    </row>
    <row r="207" spans="1:18" s="1716" customFormat="1" ht="15">
      <c r="C207" s="1740" t="s">
        <v>2078</v>
      </c>
      <c r="D207" s="1597">
        <f>SUM(D205:D206)</f>
        <v>1.31341</v>
      </c>
    </row>
    <row r="208" spans="1:18" s="1716" customFormat="1"/>
    <row r="209" spans="1:18" s="1716" customFormat="1">
      <c r="A209" s="2731" t="s">
        <v>2095</v>
      </c>
      <c r="B209" s="2732"/>
      <c r="C209" s="2732"/>
      <c r="D209" s="2732"/>
    </row>
    <row r="210" spans="1:18" s="1716" customFormat="1">
      <c r="A210" s="1717" t="s">
        <v>2130</v>
      </c>
      <c r="B210" s="1717" t="s">
        <v>1614</v>
      </c>
      <c r="C210" s="1717" t="s">
        <v>1615</v>
      </c>
      <c r="D210" s="1717"/>
    </row>
    <row r="211" spans="1:18" s="1716" customFormat="1">
      <c r="A211" s="1717" t="str">
        <f>A205</f>
        <v>B1</v>
      </c>
      <c r="B211" s="1717">
        <f>B205</f>
        <v>26.36</v>
      </c>
      <c r="C211" s="1717">
        <f>0.1+0.25*2</f>
        <v>0.6</v>
      </c>
      <c r="D211" s="1717">
        <f>B211*C211</f>
        <v>15.815999999999999</v>
      </c>
    </row>
    <row r="212" spans="1:18" s="1716" customFormat="1">
      <c r="A212" s="1717" t="str">
        <f>A206</f>
        <v>B2</v>
      </c>
      <c r="B212" s="1717">
        <f>B206</f>
        <v>21.11</v>
      </c>
      <c r="C212" s="1717">
        <f>0.31</f>
        <v>0.31</v>
      </c>
      <c r="D212" s="1717">
        <f>B212*C212</f>
        <v>6.5440999999999994</v>
      </c>
    </row>
    <row r="213" spans="1:18" ht="15">
      <c r="A213" s="1716"/>
      <c r="B213" s="1716"/>
      <c r="C213" s="1740" t="s">
        <v>2076</v>
      </c>
      <c r="D213" s="1748">
        <f>SUM(D211:D212)</f>
        <v>22.360099999999999</v>
      </c>
      <c r="E213" s="1716"/>
      <c r="F213" s="1716"/>
      <c r="G213" s="1716"/>
      <c r="H213" s="1716"/>
      <c r="I213" s="1716"/>
      <c r="J213" s="1716"/>
      <c r="K213" s="1716"/>
      <c r="L213" s="1716"/>
      <c r="M213" s="1716"/>
      <c r="N213" s="1716"/>
      <c r="O213" s="1716"/>
      <c r="P213" s="1716"/>
      <c r="Q213" s="1716"/>
      <c r="R213" s="1716"/>
    </row>
    <row r="214" spans="1:18" ht="14.25" customHeight="1"/>
    <row r="215" spans="1:18" ht="14.25" customHeight="1">
      <c r="A215" s="2742" t="s">
        <v>1613</v>
      </c>
      <c r="B215" s="2743"/>
      <c r="C215" s="2743"/>
      <c r="D215" s="2743"/>
      <c r="E215" s="2743"/>
      <c r="F215" s="2743"/>
      <c r="G215" s="2743"/>
      <c r="H215" s="2743"/>
      <c r="I215" s="2743"/>
      <c r="J215" s="2743"/>
      <c r="K215" s="2743"/>
      <c r="L215" s="2743"/>
      <c r="M215" s="2743"/>
      <c r="N215" s="2743"/>
      <c r="O215" s="2744"/>
    </row>
    <row r="216" spans="1:18">
      <c r="A216" s="2745"/>
      <c r="B216" s="2746"/>
      <c r="C216" s="2746"/>
      <c r="D216" s="2746"/>
      <c r="E216" s="2746"/>
      <c r="F216" s="2746"/>
      <c r="G216" s="2746"/>
      <c r="H216" s="2746"/>
      <c r="I216" s="2746"/>
      <c r="J216" s="2746"/>
      <c r="K216" s="2746"/>
      <c r="L216" s="2746"/>
      <c r="M216" s="2746"/>
      <c r="N216" s="2746"/>
      <c r="O216" s="2747"/>
    </row>
    <row r="217" spans="1:18">
      <c r="A217" s="2748"/>
      <c r="B217" s="2749"/>
      <c r="C217" s="2749"/>
      <c r="D217" s="2749"/>
      <c r="E217" s="2749"/>
      <c r="F217" s="2749"/>
      <c r="G217" s="2749"/>
      <c r="H217" s="2749"/>
      <c r="I217" s="2749"/>
      <c r="J217" s="2749"/>
      <c r="K217" s="2749"/>
      <c r="L217" s="2749"/>
      <c r="M217" s="2749"/>
      <c r="N217" s="2749"/>
      <c r="O217" s="2750"/>
    </row>
    <row r="218" spans="1:18" s="1716" customFormat="1">
      <c r="A218" s="1298"/>
      <c r="B218" s="1298"/>
      <c r="C218" s="1298"/>
      <c r="D218" s="1298"/>
      <c r="E218" s="1298"/>
      <c r="F218" s="1298"/>
      <c r="G218" s="1298"/>
      <c r="H218" s="1298"/>
      <c r="I218" s="1298"/>
      <c r="J218" s="1571"/>
      <c r="K218" s="1571"/>
      <c r="L218" s="1298"/>
      <c r="M218" s="1298"/>
      <c r="N218" s="1298"/>
      <c r="O218" s="1298"/>
      <c r="P218" s="1298"/>
      <c r="Q218" s="1298"/>
      <c r="R218" s="1298"/>
    </row>
    <row r="219" spans="1:18" s="1716" customFormat="1">
      <c r="A219" s="2717" t="s">
        <v>2020</v>
      </c>
      <c r="B219" s="2718"/>
      <c r="C219" s="2718"/>
      <c r="D219" s="2718"/>
      <c r="E219" s="2770"/>
    </row>
    <row r="220" spans="1:18" s="1716" customFormat="1">
      <c r="A220" s="1731" t="s">
        <v>1987</v>
      </c>
      <c r="B220" s="1731" t="s">
        <v>1608</v>
      </c>
      <c r="C220" s="1731" t="s">
        <v>2062</v>
      </c>
      <c r="D220" s="1731" t="s">
        <v>2088</v>
      </c>
      <c r="E220" s="1731" t="s">
        <v>1568</v>
      </c>
    </row>
    <row r="221" spans="1:18" s="1716" customFormat="1">
      <c r="A221" s="1719" t="s">
        <v>1704</v>
      </c>
      <c r="B221" s="1719">
        <v>4.2</v>
      </c>
      <c r="C221" s="1719">
        <v>4</v>
      </c>
      <c r="D221" s="1719">
        <f>$D$66</f>
        <v>0</v>
      </c>
      <c r="E221" s="1719">
        <f t="shared" ref="E221:E230" si="19">B221*C221*D221</f>
        <v>0</v>
      </c>
    </row>
    <row r="222" spans="1:18" s="1716" customFormat="1">
      <c r="A222" s="1717" t="s">
        <v>1705</v>
      </c>
      <c r="B222" s="1719">
        <f>B221</f>
        <v>4.2</v>
      </c>
      <c r="C222" s="1717">
        <v>2</v>
      </c>
      <c r="D222" s="1952">
        <f>$D$67</f>
        <v>0</v>
      </c>
      <c r="E222" s="1717">
        <f t="shared" si="19"/>
        <v>0</v>
      </c>
    </row>
    <row r="223" spans="1:18" s="1716" customFormat="1">
      <c r="A223" s="1717" t="s">
        <v>1917</v>
      </c>
      <c r="B223" s="1917">
        <f t="shared" ref="B223:B230" si="20">B222</f>
        <v>4.2</v>
      </c>
      <c r="C223" s="1717">
        <v>17</v>
      </c>
      <c r="D223" s="1952">
        <f>$D$68</f>
        <v>0</v>
      </c>
      <c r="E223" s="1717">
        <f t="shared" si="19"/>
        <v>0</v>
      </c>
    </row>
    <row r="224" spans="1:18" s="1716" customFormat="1">
      <c r="A224" s="1717" t="s">
        <v>1918</v>
      </c>
      <c r="B224" s="1917">
        <f t="shared" si="20"/>
        <v>4.2</v>
      </c>
      <c r="C224" s="1717"/>
      <c r="D224" s="1952">
        <f>$D$69</f>
        <v>0</v>
      </c>
      <c r="E224" s="1717">
        <f t="shared" si="19"/>
        <v>0</v>
      </c>
    </row>
    <row r="225" spans="1:17" s="1716" customFormat="1">
      <c r="A225" s="1717" t="s">
        <v>1919</v>
      </c>
      <c r="B225" s="1917">
        <f t="shared" si="20"/>
        <v>4.2</v>
      </c>
      <c r="C225" s="1717"/>
      <c r="D225" s="1952">
        <f>$D$70</f>
        <v>0</v>
      </c>
      <c r="E225" s="1717">
        <f t="shared" si="19"/>
        <v>0</v>
      </c>
    </row>
    <row r="226" spans="1:17" s="1716" customFormat="1">
      <c r="A226" s="1717" t="s">
        <v>1992</v>
      </c>
      <c r="B226" s="1917">
        <f t="shared" si="20"/>
        <v>4.2</v>
      </c>
      <c r="C226" s="1717">
        <v>10</v>
      </c>
      <c r="D226" s="1952">
        <f>$D$71</f>
        <v>0</v>
      </c>
      <c r="E226" s="1717">
        <f t="shared" si="19"/>
        <v>0</v>
      </c>
    </row>
    <row r="227" spans="1:17" s="1716" customFormat="1">
      <c r="A227" s="1717" t="s">
        <v>1993</v>
      </c>
      <c r="B227" s="1917">
        <f t="shared" si="20"/>
        <v>4.2</v>
      </c>
      <c r="C227" s="1717">
        <v>8</v>
      </c>
      <c r="D227" s="1952">
        <f>$D$72</f>
        <v>0.15896250000000001</v>
      </c>
      <c r="E227" s="1717">
        <f t="shared" si="19"/>
        <v>5.3411400000000002</v>
      </c>
    </row>
    <row r="228" spans="1:17" s="1716" customFormat="1">
      <c r="A228" s="1717" t="s">
        <v>1994</v>
      </c>
      <c r="B228" s="1917">
        <f t="shared" si="20"/>
        <v>4.2</v>
      </c>
      <c r="C228" s="1717">
        <v>3</v>
      </c>
      <c r="D228" s="1952">
        <f>$D$73</f>
        <v>9.6162499999999998E-2</v>
      </c>
      <c r="E228" s="1717">
        <f t="shared" si="19"/>
        <v>1.2116475000000002</v>
      </c>
    </row>
    <row r="229" spans="1:17" s="1716" customFormat="1">
      <c r="A229" s="1717" t="s">
        <v>1995</v>
      </c>
      <c r="B229" s="1917">
        <f t="shared" si="20"/>
        <v>4.2</v>
      </c>
      <c r="C229" s="1717"/>
      <c r="D229" s="1952">
        <f>$D$74</f>
        <v>3.1400000000000004E-2</v>
      </c>
      <c r="E229" s="1717">
        <f t="shared" si="19"/>
        <v>0</v>
      </c>
    </row>
    <row r="230" spans="1:17" s="1716" customFormat="1">
      <c r="A230" s="1717" t="s">
        <v>1706</v>
      </c>
      <c r="B230" s="1917">
        <f t="shared" si="20"/>
        <v>4.2</v>
      </c>
      <c r="C230" s="1717"/>
      <c r="D230" s="1952">
        <f>$D$75</f>
        <v>0</v>
      </c>
      <c r="E230" s="1717">
        <f t="shared" si="19"/>
        <v>0</v>
      </c>
    </row>
    <row r="231" spans="1:17" s="1716" customFormat="1" ht="14.25" customHeight="1">
      <c r="C231" s="2784" t="s">
        <v>2070</v>
      </c>
      <c r="D231" s="2785"/>
      <c r="E231" s="1751">
        <f>SUM(E221:E230)</f>
        <v>6.5527875000000009</v>
      </c>
    </row>
    <row r="232" spans="1:17" s="1716" customFormat="1" ht="14.25" customHeight="1"/>
    <row r="233" spans="1:17" s="1716" customFormat="1">
      <c r="E233" s="1303"/>
    </row>
    <row r="234" spans="1:17" s="1716" customFormat="1">
      <c r="A234" s="1717" t="s">
        <v>1707</v>
      </c>
      <c r="B234" s="1717">
        <v>4.2</v>
      </c>
      <c r="C234" s="1717">
        <v>64</v>
      </c>
      <c r="D234" s="1717">
        <f>$D$79</f>
        <v>1.44E-2</v>
      </c>
      <c r="E234" s="1717">
        <f>B234*C234*D234</f>
        <v>3.8707199999999999</v>
      </c>
    </row>
    <row r="235" spans="1:17" s="1716" customFormat="1">
      <c r="A235" s="1717" t="s">
        <v>1708</v>
      </c>
      <c r="B235" s="1989">
        <f>B234</f>
        <v>4.2</v>
      </c>
      <c r="C235" s="1717"/>
      <c r="D235" s="1717">
        <f>$D$80</f>
        <v>7.1999999999999995E-2</v>
      </c>
      <c r="E235" s="1717">
        <f>B235*C235*D235</f>
        <v>0</v>
      </c>
    </row>
    <row r="236" spans="1:17" s="1716" customFormat="1" ht="30">
      <c r="D236" s="1739" t="s">
        <v>2071</v>
      </c>
      <c r="E236" s="1748">
        <f>SUM(E234:E235)</f>
        <v>3.8707199999999999</v>
      </c>
    </row>
    <row r="237" spans="1:17" s="1716" customFormat="1"/>
    <row r="238" spans="1:17" s="1716" customFormat="1">
      <c r="A238" s="2771" t="s">
        <v>2106</v>
      </c>
      <c r="B238" s="2771"/>
      <c r="C238" s="2771"/>
      <c r="D238" s="2717" t="s">
        <v>2069</v>
      </c>
      <c r="E238" s="2718"/>
      <c r="F238" s="2718"/>
      <c r="G238" s="2736"/>
      <c r="H238" s="2717" t="s">
        <v>2068</v>
      </c>
      <c r="I238" s="2718"/>
      <c r="J238" s="2718"/>
      <c r="K238" s="2736"/>
      <c r="M238" s="2767" t="s">
        <v>1610</v>
      </c>
      <c r="N238" s="2768"/>
      <c r="O238" s="2768"/>
      <c r="P238" s="2768"/>
      <c r="Q238" s="2769"/>
    </row>
    <row r="239" spans="1:17" s="1716" customFormat="1" ht="15">
      <c r="A239" s="1719" t="s">
        <v>1796</v>
      </c>
      <c r="B239" s="1719" t="s">
        <v>1608</v>
      </c>
      <c r="C239" s="1719" t="s">
        <v>1606</v>
      </c>
      <c r="D239" s="1719" t="s">
        <v>1609</v>
      </c>
      <c r="E239" s="1719" t="s">
        <v>1679</v>
      </c>
      <c r="F239" s="1733" t="s">
        <v>1840</v>
      </c>
      <c r="G239" s="1732" t="s">
        <v>1807</v>
      </c>
      <c r="H239" s="1719" t="s">
        <v>1568</v>
      </c>
      <c r="I239" s="1719" t="s">
        <v>1568</v>
      </c>
      <c r="J239" s="1719" t="s">
        <v>1568</v>
      </c>
      <c r="K239" s="1719" t="s">
        <v>1568</v>
      </c>
      <c r="M239" s="1719" t="s">
        <v>1607</v>
      </c>
      <c r="N239" s="1719" t="s">
        <v>1611</v>
      </c>
      <c r="O239" s="1719" t="s">
        <v>1168</v>
      </c>
      <c r="P239" s="1719" t="s">
        <v>1205</v>
      </c>
      <c r="Q239" s="1719" t="s">
        <v>1243</v>
      </c>
    </row>
    <row r="240" spans="1:17" s="1716" customFormat="1">
      <c r="A240" s="1717" t="str">
        <f t="shared" ref="A240:C249" si="21">A221</f>
        <v>K1</v>
      </c>
      <c r="B240" s="1717">
        <f t="shared" si="21"/>
        <v>4.2</v>
      </c>
      <c r="C240" s="1717">
        <f t="shared" si="21"/>
        <v>4</v>
      </c>
      <c r="D240" s="1717">
        <f t="shared" ref="D240:G249" si="22">D85</f>
        <v>12</v>
      </c>
      <c r="E240" s="1717">
        <f t="shared" si="22"/>
        <v>0</v>
      </c>
      <c r="F240" s="1717">
        <f t="shared" si="22"/>
        <v>0</v>
      </c>
      <c r="G240" s="1720">
        <f t="shared" si="22"/>
        <v>0</v>
      </c>
      <c r="H240" s="1717">
        <f t="shared" ref="H240:H249" si="23">B240*C240*D240</f>
        <v>201.60000000000002</v>
      </c>
      <c r="I240" s="1717">
        <f t="shared" ref="I240:I249" si="24">B240*C240*E240</f>
        <v>0</v>
      </c>
      <c r="J240" s="1717">
        <f t="shared" ref="J240:J249" si="25">B240*C240*F240</f>
        <v>0</v>
      </c>
      <c r="K240" s="1717">
        <f t="shared" ref="K240:K249" si="26">B240*C240*G240</f>
        <v>0</v>
      </c>
      <c r="M240" s="1717">
        <f t="shared" ref="M240:M249" si="27">(B240/2)/0.2</f>
        <v>10.5</v>
      </c>
      <c r="N240" s="1717">
        <f t="shared" ref="N240:N249" si="28">(B240/2)/0.1</f>
        <v>21</v>
      </c>
      <c r="O240" s="1717">
        <f t="shared" ref="O240:O249" si="29">SUM(M240:N240)*C240</f>
        <v>126</v>
      </c>
      <c r="P240" s="1717">
        <f t="shared" ref="P240:P249" si="30">P85</f>
        <v>-0.2</v>
      </c>
      <c r="Q240" s="1717">
        <f t="shared" ref="Q240:Q249" si="31">O240*P240</f>
        <v>-25.200000000000003</v>
      </c>
    </row>
    <row r="241" spans="1:19" s="1716" customFormat="1">
      <c r="A241" s="1717" t="str">
        <f t="shared" si="21"/>
        <v>K2</v>
      </c>
      <c r="B241" s="1717">
        <f t="shared" si="21"/>
        <v>4.2</v>
      </c>
      <c r="C241" s="1717">
        <f t="shared" si="21"/>
        <v>2</v>
      </c>
      <c r="D241" s="1717">
        <f t="shared" si="22"/>
        <v>10</v>
      </c>
      <c r="E241" s="1717">
        <f t="shared" si="22"/>
        <v>0</v>
      </c>
      <c r="F241" s="1717">
        <f t="shared" si="22"/>
        <v>0</v>
      </c>
      <c r="G241" s="1720">
        <f t="shared" si="22"/>
        <v>0</v>
      </c>
      <c r="H241" s="1717">
        <f t="shared" si="23"/>
        <v>84</v>
      </c>
      <c r="I241" s="1717">
        <f t="shared" si="24"/>
        <v>0</v>
      </c>
      <c r="J241" s="1717">
        <f t="shared" si="25"/>
        <v>0</v>
      </c>
      <c r="K241" s="1717">
        <f t="shared" si="26"/>
        <v>0</v>
      </c>
      <c r="M241" s="1717">
        <f t="shared" si="27"/>
        <v>10.5</v>
      </c>
      <c r="N241" s="1717">
        <f t="shared" si="28"/>
        <v>21</v>
      </c>
      <c r="O241" s="1717">
        <f t="shared" si="29"/>
        <v>63</v>
      </c>
      <c r="P241" s="1717">
        <f t="shared" si="30"/>
        <v>-0.2</v>
      </c>
      <c r="Q241" s="1717">
        <f t="shared" si="31"/>
        <v>-12.600000000000001</v>
      </c>
    </row>
    <row r="242" spans="1:19" s="1716" customFormat="1">
      <c r="A242" s="1717" t="str">
        <f t="shared" si="21"/>
        <v>K3</v>
      </c>
      <c r="B242" s="1717">
        <f t="shared" si="21"/>
        <v>4.2</v>
      </c>
      <c r="C242" s="1717">
        <f t="shared" si="21"/>
        <v>17</v>
      </c>
      <c r="D242" s="1717">
        <f t="shared" si="22"/>
        <v>10</v>
      </c>
      <c r="E242" s="1717">
        <f t="shared" si="22"/>
        <v>0</v>
      </c>
      <c r="F242" s="1717">
        <f t="shared" si="22"/>
        <v>0</v>
      </c>
      <c r="G242" s="1720">
        <f t="shared" si="22"/>
        <v>0</v>
      </c>
      <c r="H242" s="1717">
        <f t="shared" si="23"/>
        <v>714</v>
      </c>
      <c r="I242" s="1717">
        <f t="shared" si="24"/>
        <v>0</v>
      </c>
      <c r="J242" s="1717">
        <f t="shared" si="25"/>
        <v>0</v>
      </c>
      <c r="K242" s="1717">
        <f t="shared" si="26"/>
        <v>0</v>
      </c>
      <c r="M242" s="1717">
        <f t="shared" si="27"/>
        <v>10.5</v>
      </c>
      <c r="N242" s="1717">
        <f t="shared" si="28"/>
        <v>21</v>
      </c>
      <c r="O242" s="1717">
        <f t="shared" si="29"/>
        <v>535.5</v>
      </c>
      <c r="P242" s="1717">
        <f t="shared" si="30"/>
        <v>-0.2</v>
      </c>
      <c r="Q242" s="1717">
        <f t="shared" si="31"/>
        <v>-107.10000000000001</v>
      </c>
    </row>
    <row r="243" spans="1:19" s="1716" customFormat="1">
      <c r="A243" s="1717" t="str">
        <f t="shared" si="21"/>
        <v>K4</v>
      </c>
      <c r="B243" s="1717">
        <f t="shared" si="21"/>
        <v>4.2</v>
      </c>
      <c r="C243" s="1717">
        <f t="shared" si="21"/>
        <v>0</v>
      </c>
      <c r="D243" s="1717">
        <f t="shared" si="22"/>
        <v>12</v>
      </c>
      <c r="E243" s="1717">
        <f t="shared" si="22"/>
        <v>0</v>
      </c>
      <c r="F243" s="1717">
        <f t="shared" si="22"/>
        <v>0</v>
      </c>
      <c r="G243" s="1720">
        <f t="shared" si="22"/>
        <v>0</v>
      </c>
      <c r="H243" s="1717">
        <f t="shared" si="23"/>
        <v>0</v>
      </c>
      <c r="I243" s="1717">
        <f t="shared" si="24"/>
        <v>0</v>
      </c>
      <c r="J243" s="1717">
        <f t="shared" si="25"/>
        <v>0</v>
      </c>
      <c r="K243" s="1717">
        <f t="shared" si="26"/>
        <v>0</v>
      </c>
      <c r="M243" s="1717">
        <f t="shared" si="27"/>
        <v>10.5</v>
      </c>
      <c r="N243" s="1717">
        <f t="shared" si="28"/>
        <v>21</v>
      </c>
      <c r="O243" s="1717">
        <f t="shared" si="29"/>
        <v>0</v>
      </c>
      <c r="P243" s="1717">
        <f t="shared" si="30"/>
        <v>-0.2</v>
      </c>
      <c r="Q243" s="1717">
        <f t="shared" si="31"/>
        <v>0</v>
      </c>
    </row>
    <row r="244" spans="1:19" s="1716" customFormat="1">
      <c r="A244" s="1717" t="str">
        <f t="shared" si="21"/>
        <v>K5</v>
      </c>
      <c r="B244" s="1717">
        <f t="shared" si="21"/>
        <v>4.2</v>
      </c>
      <c r="C244" s="1717">
        <f t="shared" si="21"/>
        <v>0</v>
      </c>
      <c r="D244" s="1717">
        <f t="shared" si="22"/>
        <v>8</v>
      </c>
      <c r="E244" s="1717">
        <f t="shared" si="22"/>
        <v>0</v>
      </c>
      <c r="F244" s="1717">
        <f t="shared" si="22"/>
        <v>0</v>
      </c>
      <c r="G244" s="1720">
        <f t="shared" si="22"/>
        <v>0</v>
      </c>
      <c r="H244" s="1717">
        <f t="shared" si="23"/>
        <v>0</v>
      </c>
      <c r="I244" s="1717">
        <f t="shared" si="24"/>
        <v>0</v>
      </c>
      <c r="J244" s="1717">
        <f t="shared" si="25"/>
        <v>0</v>
      </c>
      <c r="K244" s="1717">
        <f t="shared" si="26"/>
        <v>0</v>
      </c>
      <c r="M244" s="1717">
        <f t="shared" si="27"/>
        <v>10.5</v>
      </c>
      <c r="N244" s="1717">
        <f t="shared" si="28"/>
        <v>21</v>
      </c>
      <c r="O244" s="1717">
        <f t="shared" si="29"/>
        <v>0</v>
      </c>
      <c r="P244" s="1717">
        <f t="shared" si="30"/>
        <v>-0.2</v>
      </c>
      <c r="Q244" s="1717">
        <f t="shared" si="31"/>
        <v>0</v>
      </c>
    </row>
    <row r="245" spans="1:19" s="1716" customFormat="1">
      <c r="A245" s="1717" t="str">
        <f t="shared" si="21"/>
        <v>K6</v>
      </c>
      <c r="B245" s="1717">
        <f t="shared" si="21"/>
        <v>4.2</v>
      </c>
      <c r="C245" s="1717">
        <f t="shared" si="21"/>
        <v>10</v>
      </c>
      <c r="D245" s="1717">
        <f t="shared" si="22"/>
        <v>0</v>
      </c>
      <c r="E245" s="1717">
        <f t="shared" si="22"/>
        <v>0</v>
      </c>
      <c r="F245" s="1717">
        <f t="shared" si="22"/>
        <v>6</v>
      </c>
      <c r="G245" s="1720">
        <f t="shared" si="22"/>
        <v>0</v>
      </c>
      <c r="H245" s="1717">
        <f t="shared" si="23"/>
        <v>0</v>
      </c>
      <c r="I245" s="1717">
        <f t="shared" si="24"/>
        <v>0</v>
      </c>
      <c r="J245" s="1717">
        <f t="shared" si="25"/>
        <v>252</v>
      </c>
      <c r="K245" s="1717">
        <f t="shared" si="26"/>
        <v>0</v>
      </c>
      <c r="M245" s="1717">
        <f t="shared" si="27"/>
        <v>10.5</v>
      </c>
      <c r="N245" s="1717">
        <f t="shared" si="28"/>
        <v>21</v>
      </c>
      <c r="O245" s="1717">
        <f t="shared" si="29"/>
        <v>315</v>
      </c>
      <c r="P245" s="1717">
        <f t="shared" si="30"/>
        <v>-0.2</v>
      </c>
      <c r="Q245" s="1717">
        <f t="shared" si="31"/>
        <v>-63</v>
      </c>
    </row>
    <row r="246" spans="1:19" s="1716" customFormat="1">
      <c r="A246" s="1717" t="str">
        <f t="shared" si="21"/>
        <v>K7</v>
      </c>
      <c r="B246" s="1717">
        <f t="shared" si="21"/>
        <v>4.2</v>
      </c>
      <c r="C246" s="1717">
        <f t="shared" si="21"/>
        <v>8</v>
      </c>
      <c r="D246" s="1717">
        <f t="shared" si="22"/>
        <v>10</v>
      </c>
      <c r="E246" s="1717">
        <f t="shared" si="22"/>
        <v>0</v>
      </c>
      <c r="F246" s="1717">
        <f t="shared" si="22"/>
        <v>0</v>
      </c>
      <c r="G246" s="1720">
        <f t="shared" si="22"/>
        <v>0</v>
      </c>
      <c r="H246" s="1717">
        <f t="shared" si="23"/>
        <v>336</v>
      </c>
      <c r="I246" s="1717">
        <f t="shared" si="24"/>
        <v>0</v>
      </c>
      <c r="J246" s="1717">
        <f t="shared" si="25"/>
        <v>0</v>
      </c>
      <c r="K246" s="1717">
        <f t="shared" si="26"/>
        <v>0</v>
      </c>
      <c r="M246" s="1717">
        <f t="shared" si="27"/>
        <v>10.5</v>
      </c>
      <c r="N246" s="1717">
        <f t="shared" si="28"/>
        <v>21</v>
      </c>
      <c r="O246" s="1717">
        <f t="shared" si="29"/>
        <v>252</v>
      </c>
      <c r="P246" s="1717">
        <f t="shared" si="30"/>
        <v>1.2560000000000002</v>
      </c>
      <c r="Q246" s="1717">
        <f t="shared" si="31"/>
        <v>316.51200000000006</v>
      </c>
    </row>
    <row r="247" spans="1:19" s="1716" customFormat="1">
      <c r="A247" s="1717" t="str">
        <f t="shared" si="21"/>
        <v>K8</v>
      </c>
      <c r="B247" s="1717">
        <f t="shared" si="21"/>
        <v>4.2</v>
      </c>
      <c r="C247" s="1717">
        <f t="shared" si="21"/>
        <v>3</v>
      </c>
      <c r="D247" s="1717">
        <f t="shared" si="22"/>
        <v>8</v>
      </c>
      <c r="E247" s="1717">
        <f t="shared" si="22"/>
        <v>0</v>
      </c>
      <c r="F247" s="1717">
        <f t="shared" si="22"/>
        <v>0</v>
      </c>
      <c r="G247" s="1720">
        <f t="shared" si="22"/>
        <v>0</v>
      </c>
      <c r="H247" s="1717">
        <f t="shared" si="23"/>
        <v>100.80000000000001</v>
      </c>
      <c r="I247" s="1717">
        <f t="shared" si="24"/>
        <v>0</v>
      </c>
      <c r="J247" s="1717">
        <f t="shared" si="25"/>
        <v>0</v>
      </c>
      <c r="K247" s="1717">
        <f t="shared" si="26"/>
        <v>0</v>
      </c>
      <c r="M247" s="1717">
        <f t="shared" si="27"/>
        <v>10.5</v>
      </c>
      <c r="N247" s="1717">
        <f t="shared" si="28"/>
        <v>21</v>
      </c>
      <c r="O247" s="1717">
        <f t="shared" si="29"/>
        <v>94.5</v>
      </c>
      <c r="P247" s="1717">
        <f t="shared" si="30"/>
        <v>0.94199999999999995</v>
      </c>
      <c r="Q247" s="1717">
        <f t="shared" si="31"/>
        <v>89.018999999999991</v>
      </c>
    </row>
    <row r="248" spans="1:19" s="1716" customFormat="1">
      <c r="A248" s="1717" t="str">
        <f t="shared" si="21"/>
        <v>K9</v>
      </c>
      <c r="B248" s="1717">
        <f t="shared" si="21"/>
        <v>4.2</v>
      </c>
      <c r="C248" s="1717">
        <f t="shared" si="21"/>
        <v>0</v>
      </c>
      <c r="D248" s="1717">
        <f t="shared" si="22"/>
        <v>0</v>
      </c>
      <c r="E248" s="1717">
        <f t="shared" si="22"/>
        <v>0</v>
      </c>
      <c r="F248" s="1717">
        <f t="shared" si="22"/>
        <v>5</v>
      </c>
      <c r="G248" s="1720">
        <f t="shared" si="22"/>
        <v>0</v>
      </c>
      <c r="H248" s="1717">
        <f t="shared" si="23"/>
        <v>0</v>
      </c>
      <c r="I248" s="1717">
        <f t="shared" si="24"/>
        <v>0</v>
      </c>
      <c r="J248" s="1717">
        <f t="shared" si="25"/>
        <v>0</v>
      </c>
      <c r="K248" s="1717">
        <f t="shared" si="26"/>
        <v>0</v>
      </c>
      <c r="M248" s="1717">
        <f t="shared" si="27"/>
        <v>10.5</v>
      </c>
      <c r="N248" s="1717">
        <f t="shared" si="28"/>
        <v>21</v>
      </c>
      <c r="O248" s="1717">
        <f t="shared" si="29"/>
        <v>0</v>
      </c>
      <c r="P248" s="1717">
        <f t="shared" si="30"/>
        <v>0.47100000000000009</v>
      </c>
      <c r="Q248" s="1717">
        <f t="shared" si="31"/>
        <v>0</v>
      </c>
    </row>
    <row r="249" spans="1:19" s="1716" customFormat="1" ht="15" customHeight="1">
      <c r="A249" s="1717" t="str">
        <f t="shared" si="21"/>
        <v>K10</v>
      </c>
      <c r="B249" s="1717">
        <f t="shared" si="21"/>
        <v>4.2</v>
      </c>
      <c r="C249" s="1717">
        <f t="shared" si="21"/>
        <v>0</v>
      </c>
      <c r="D249" s="1717">
        <f t="shared" si="22"/>
        <v>0</v>
      </c>
      <c r="E249" s="1717">
        <f t="shared" si="22"/>
        <v>0</v>
      </c>
      <c r="F249" s="1717">
        <f t="shared" si="22"/>
        <v>0</v>
      </c>
      <c r="G249" s="1720">
        <f t="shared" si="22"/>
        <v>0</v>
      </c>
      <c r="H249" s="1717">
        <f t="shared" si="23"/>
        <v>0</v>
      </c>
      <c r="I249" s="1717">
        <f t="shared" si="24"/>
        <v>0</v>
      </c>
      <c r="J249" s="1717">
        <f t="shared" si="25"/>
        <v>0</v>
      </c>
      <c r="K249" s="1717">
        <f t="shared" si="26"/>
        <v>0</v>
      </c>
      <c r="M249" s="1718">
        <f t="shared" si="27"/>
        <v>10.5</v>
      </c>
      <c r="N249" s="1718">
        <f t="shared" si="28"/>
        <v>21</v>
      </c>
      <c r="O249" s="1718">
        <f t="shared" si="29"/>
        <v>0</v>
      </c>
      <c r="P249" s="1717">
        <f t="shared" si="30"/>
        <v>-0.2</v>
      </c>
      <c r="Q249" s="1718">
        <f t="shared" si="31"/>
        <v>0</v>
      </c>
    </row>
    <row r="250" spans="1:19" s="1716" customFormat="1" ht="15" customHeight="1">
      <c r="F250" s="2725" t="s">
        <v>2074</v>
      </c>
      <c r="G250" s="2726"/>
      <c r="H250" s="1596">
        <f>SUM(H240:H249)</f>
        <v>1436.3999999999999</v>
      </c>
      <c r="I250" s="1596">
        <f>SUM(I240:I249)</f>
        <v>0</v>
      </c>
      <c r="J250" s="1596">
        <f>SUM(J240:J249)</f>
        <v>252</v>
      </c>
      <c r="K250" s="1596">
        <f>SUM(K240:K249)</f>
        <v>0</v>
      </c>
      <c r="M250" s="2725" t="s">
        <v>1972</v>
      </c>
      <c r="N250" s="2726"/>
      <c r="O250" s="2726"/>
      <c r="P250" s="2727"/>
      <c r="Q250" s="1734">
        <f>SUM(Q243:Q249)</f>
        <v>342.53100000000006</v>
      </c>
      <c r="R250" s="1801">
        <f>Q250*0.4</f>
        <v>137.01240000000004</v>
      </c>
      <c r="S250" s="1716" t="s">
        <v>2316</v>
      </c>
    </row>
    <row r="251" spans="1:19" s="1716" customFormat="1" ht="15">
      <c r="F251" s="2725" t="s">
        <v>2075</v>
      </c>
      <c r="G251" s="2726"/>
      <c r="H251" s="1752">
        <f>H250*1.58</f>
        <v>2269.5119999999997</v>
      </c>
      <c r="I251" s="1597">
        <f>I250*1.04</f>
        <v>0</v>
      </c>
      <c r="J251" s="1752">
        <f>J250*0.89</f>
        <v>224.28</v>
      </c>
      <c r="K251" s="1801">
        <f>K250*0.62</f>
        <v>0</v>
      </c>
      <c r="M251" s="2725" t="s">
        <v>2387</v>
      </c>
      <c r="N251" s="2726"/>
      <c r="O251" s="2726"/>
      <c r="P251" s="2727"/>
      <c r="Q251" s="1734">
        <f>SUM(Q240:Q242)</f>
        <v>-144.9</v>
      </c>
      <c r="R251" s="1801">
        <f>Q251*0.62</f>
        <v>-89.838000000000008</v>
      </c>
      <c r="S251" s="1716" t="s">
        <v>2316</v>
      </c>
    </row>
    <row r="252" spans="1:19" s="1716" customFormat="1">
      <c r="Q252" s="1303"/>
      <c r="R252" s="1303"/>
    </row>
    <row r="253" spans="1:19" s="1716" customFormat="1">
      <c r="A253" s="1731" t="s">
        <v>1796</v>
      </c>
      <c r="B253" s="1731" t="s">
        <v>1608</v>
      </c>
      <c r="C253" s="1731" t="s">
        <v>2062</v>
      </c>
      <c r="D253" s="1731" t="s">
        <v>1807</v>
      </c>
      <c r="E253" s="1731" t="s">
        <v>1997</v>
      </c>
      <c r="F253" s="1731" t="s">
        <v>1568</v>
      </c>
      <c r="M253" s="1717" t="s">
        <v>1607</v>
      </c>
      <c r="N253" s="1717" t="s">
        <v>1611</v>
      </c>
      <c r="O253" s="1717" t="s">
        <v>1168</v>
      </c>
      <c r="P253" s="1717" t="s">
        <v>1205</v>
      </c>
      <c r="Q253" s="1717" t="s">
        <v>1243</v>
      </c>
    </row>
    <row r="254" spans="1:19" s="1716" customFormat="1">
      <c r="A254" s="1717" t="str">
        <f t="shared" ref="A254:C255" si="32">A234</f>
        <v>KP1</v>
      </c>
      <c r="B254" s="1717">
        <f t="shared" si="32"/>
        <v>4.2</v>
      </c>
      <c r="C254" s="1717">
        <f t="shared" si="32"/>
        <v>64</v>
      </c>
      <c r="D254" s="1717">
        <v>4</v>
      </c>
      <c r="E254" s="1717"/>
      <c r="F254" s="1717">
        <f>B254*C254*D254</f>
        <v>1075.2</v>
      </c>
      <c r="M254" s="1717">
        <f>(B254/2)/0.2</f>
        <v>10.5</v>
      </c>
      <c r="N254" s="1717">
        <f>(B254/2)/0.1</f>
        <v>21</v>
      </c>
      <c r="O254" s="1717">
        <f>SUM(M254:N254)*C254</f>
        <v>2016</v>
      </c>
      <c r="P254" s="1717">
        <f>P99</f>
        <v>0.4</v>
      </c>
      <c r="Q254" s="1717">
        <f>O254*P254</f>
        <v>806.40000000000009</v>
      </c>
    </row>
    <row r="255" spans="1:19" s="1716" customFormat="1" ht="15" customHeight="1">
      <c r="A255" s="1717" t="str">
        <f t="shared" si="32"/>
        <v>KP2</v>
      </c>
      <c r="B255" s="1717">
        <f t="shared" si="32"/>
        <v>4.2</v>
      </c>
      <c r="C255" s="1717">
        <f t="shared" si="32"/>
        <v>0</v>
      </c>
      <c r="D255" s="1717">
        <v>3</v>
      </c>
      <c r="E255" s="1717">
        <v>0</v>
      </c>
      <c r="F255" s="1717">
        <f>B255*C255*D255</f>
        <v>0</v>
      </c>
      <c r="M255" s="1718">
        <f>(B255/2)/0.2</f>
        <v>10.5</v>
      </c>
      <c r="N255" s="1718">
        <f>(B255/2)/0.1</f>
        <v>21</v>
      </c>
      <c r="O255" s="1718">
        <f>SUM(M255:N255)*C255</f>
        <v>0</v>
      </c>
      <c r="P255" s="1717">
        <f>P100</f>
        <v>0</v>
      </c>
      <c r="Q255" s="1718">
        <f>O255*P255</f>
        <v>0</v>
      </c>
    </row>
    <row r="256" spans="1:19" s="1716" customFormat="1" ht="15" customHeight="1">
      <c r="D256" s="2725" t="s">
        <v>2074</v>
      </c>
      <c r="E256" s="2726"/>
      <c r="F256" s="1596">
        <f>SUM(F254:F255)</f>
        <v>1075.2</v>
      </c>
      <c r="M256" s="2725" t="s">
        <v>2109</v>
      </c>
      <c r="N256" s="2726"/>
      <c r="O256" s="2726"/>
      <c r="P256" s="2727"/>
      <c r="Q256" s="1734">
        <f>SUM(Q254:Q255)</f>
        <v>806.40000000000009</v>
      </c>
    </row>
    <row r="257" spans="1:18" s="1716" customFormat="1" ht="15">
      <c r="D257" s="2725" t="s">
        <v>2075</v>
      </c>
      <c r="E257" s="2726"/>
      <c r="F257" s="1748">
        <f>F256*0.62</f>
        <v>666.62400000000002</v>
      </c>
      <c r="M257" s="2725" t="s">
        <v>2108</v>
      </c>
      <c r="N257" s="2726"/>
      <c r="O257" s="2726"/>
      <c r="P257" s="2727"/>
      <c r="Q257" s="1748">
        <f>Q256*0.4</f>
        <v>322.56000000000006</v>
      </c>
    </row>
    <row r="258" spans="1:18" s="1716" customFormat="1"/>
    <row r="259" spans="1:18" s="1716" customFormat="1">
      <c r="A259" s="1731" t="s">
        <v>1612</v>
      </c>
      <c r="B259" s="1731" t="s">
        <v>1608</v>
      </c>
      <c r="C259" s="1731" t="s">
        <v>2062</v>
      </c>
      <c r="D259" s="1731" t="s">
        <v>2089</v>
      </c>
      <c r="E259" s="1731" t="s">
        <v>1568</v>
      </c>
    </row>
    <row r="260" spans="1:18" s="1716" customFormat="1">
      <c r="A260" s="1719" t="str">
        <f t="shared" ref="A260:C269" si="33">A221</f>
        <v>K1</v>
      </c>
      <c r="B260" s="1719">
        <f t="shared" si="33"/>
        <v>4.2</v>
      </c>
      <c r="C260" s="1719">
        <f t="shared" si="33"/>
        <v>4</v>
      </c>
      <c r="D260" s="1719">
        <f t="shared" ref="D260:D269" si="34">D105</f>
        <v>0</v>
      </c>
      <c r="E260" s="1719">
        <f t="shared" ref="E260:E269" si="35">B260*C260*D260</f>
        <v>0</v>
      </c>
    </row>
    <row r="261" spans="1:18" s="1716" customFormat="1">
      <c r="A261" s="1717" t="str">
        <f t="shared" si="33"/>
        <v>K2</v>
      </c>
      <c r="B261" s="1719">
        <f t="shared" si="33"/>
        <v>4.2</v>
      </c>
      <c r="C261" s="1719">
        <f t="shared" si="33"/>
        <v>2</v>
      </c>
      <c r="D261" s="1719">
        <f t="shared" si="34"/>
        <v>0</v>
      </c>
      <c r="E261" s="1717">
        <f t="shared" si="35"/>
        <v>0</v>
      </c>
    </row>
    <row r="262" spans="1:18" s="1716" customFormat="1">
      <c r="A262" s="1717" t="str">
        <f t="shared" si="33"/>
        <v>K3</v>
      </c>
      <c r="B262" s="1719">
        <f t="shared" si="33"/>
        <v>4.2</v>
      </c>
      <c r="C262" s="1719">
        <f t="shared" si="33"/>
        <v>17</v>
      </c>
      <c r="D262" s="1719">
        <f t="shared" si="34"/>
        <v>0</v>
      </c>
      <c r="E262" s="1717">
        <f t="shared" si="35"/>
        <v>0</v>
      </c>
    </row>
    <row r="263" spans="1:18" s="1716" customFormat="1">
      <c r="A263" s="1717" t="str">
        <f t="shared" si="33"/>
        <v>K4</v>
      </c>
      <c r="B263" s="1719">
        <f t="shared" si="33"/>
        <v>4.2</v>
      </c>
      <c r="C263" s="1719">
        <f t="shared" si="33"/>
        <v>0</v>
      </c>
      <c r="D263" s="1719">
        <f t="shared" si="34"/>
        <v>0</v>
      </c>
      <c r="E263" s="1717">
        <f t="shared" si="35"/>
        <v>0</v>
      </c>
    </row>
    <row r="264" spans="1:18" s="1716" customFormat="1">
      <c r="A264" s="1717" t="str">
        <f t="shared" si="33"/>
        <v>K5</v>
      </c>
      <c r="B264" s="1719">
        <f t="shared" si="33"/>
        <v>4.2</v>
      </c>
      <c r="C264" s="1719">
        <f t="shared" si="33"/>
        <v>0</v>
      </c>
      <c r="D264" s="1719">
        <f t="shared" si="34"/>
        <v>0</v>
      </c>
      <c r="E264" s="1717">
        <f t="shared" si="35"/>
        <v>0</v>
      </c>
    </row>
    <row r="265" spans="1:18" s="1716" customFormat="1">
      <c r="A265" s="1717" t="str">
        <f t="shared" si="33"/>
        <v>K6</v>
      </c>
      <c r="B265" s="1719">
        <f t="shared" si="33"/>
        <v>4.2</v>
      </c>
      <c r="C265" s="1719">
        <f t="shared" si="33"/>
        <v>10</v>
      </c>
      <c r="D265" s="1719">
        <f t="shared" si="34"/>
        <v>0</v>
      </c>
      <c r="E265" s="1717">
        <f t="shared" si="35"/>
        <v>0</v>
      </c>
    </row>
    <row r="266" spans="1:18" s="1716" customFormat="1">
      <c r="A266" s="1717" t="str">
        <f t="shared" si="33"/>
        <v>K7</v>
      </c>
      <c r="B266" s="1719">
        <f t="shared" si="33"/>
        <v>4.2</v>
      </c>
      <c r="C266" s="1719">
        <f t="shared" si="33"/>
        <v>8</v>
      </c>
      <c r="D266" s="1719">
        <f t="shared" si="34"/>
        <v>1.413</v>
      </c>
      <c r="E266" s="1717">
        <f t="shared" si="35"/>
        <v>47.476800000000004</v>
      </c>
    </row>
    <row r="267" spans="1:18" s="1716" customFormat="1">
      <c r="A267" s="1717" t="str">
        <f t="shared" si="33"/>
        <v>K8</v>
      </c>
      <c r="B267" s="1719">
        <f t="shared" si="33"/>
        <v>4.2</v>
      </c>
      <c r="C267" s="1719">
        <f t="shared" si="33"/>
        <v>3</v>
      </c>
      <c r="D267" s="1719">
        <f t="shared" si="34"/>
        <v>1.099</v>
      </c>
      <c r="E267" s="1717">
        <f t="shared" si="35"/>
        <v>13.847400000000002</v>
      </c>
    </row>
    <row r="268" spans="1:18" s="1716" customFormat="1" ht="15" customHeight="1">
      <c r="A268" s="1717" t="str">
        <f t="shared" si="33"/>
        <v>K9</v>
      </c>
      <c r="B268" s="1719">
        <f t="shared" si="33"/>
        <v>4.2</v>
      </c>
      <c r="C268" s="1719">
        <f t="shared" si="33"/>
        <v>0</v>
      </c>
      <c r="D268" s="1719">
        <f t="shared" si="34"/>
        <v>0.62800000000000011</v>
      </c>
      <c r="E268" s="1717">
        <f t="shared" si="35"/>
        <v>0</v>
      </c>
    </row>
    <row r="269" spans="1:18" s="1716" customFormat="1" ht="15" customHeight="1">
      <c r="A269" s="1717" t="str">
        <f t="shared" si="33"/>
        <v>K10</v>
      </c>
      <c r="B269" s="1719">
        <f t="shared" si="33"/>
        <v>4.2</v>
      </c>
      <c r="C269" s="1719">
        <f t="shared" si="33"/>
        <v>0</v>
      </c>
      <c r="D269" s="1719">
        <f t="shared" si="34"/>
        <v>0</v>
      </c>
      <c r="E269" s="1717">
        <f t="shared" si="35"/>
        <v>0</v>
      </c>
    </row>
    <row r="270" spans="1:18" s="1716" customFormat="1" ht="14.25" customHeight="1">
      <c r="D270" s="1976" t="s">
        <v>2076</v>
      </c>
      <c r="E270" s="1980">
        <f>SUM(E260:E269)</f>
        <v>61.324200000000005</v>
      </c>
    </row>
    <row r="271" spans="1:18" s="1303" customFormat="1" ht="14.25" customHeight="1">
      <c r="A271" s="1716"/>
      <c r="B271" s="1716"/>
      <c r="C271" s="1716"/>
      <c r="D271" s="1978"/>
      <c r="E271" s="1980"/>
      <c r="F271" s="1716"/>
      <c r="G271" s="1716"/>
      <c r="H271" s="1716"/>
      <c r="I271" s="1716"/>
      <c r="J271" s="1716"/>
      <c r="K271" s="1716"/>
      <c r="L271" s="1716"/>
      <c r="M271" s="1716"/>
      <c r="N271" s="1716"/>
      <c r="O271" s="1716"/>
      <c r="P271" s="1716"/>
      <c r="Q271" s="1716"/>
      <c r="R271" s="1716"/>
    </row>
    <row r="272" spans="1:18" s="1716" customFormat="1">
      <c r="E272" s="1303"/>
      <c r="H272" s="1303"/>
      <c r="I272" s="1303"/>
      <c r="J272" s="1303"/>
      <c r="K272" s="1303"/>
      <c r="L272" s="1303"/>
      <c r="M272" s="1303"/>
      <c r="N272" s="1303"/>
      <c r="O272" s="1303"/>
      <c r="P272" s="1303"/>
      <c r="Q272" s="1303"/>
      <c r="R272" s="1303"/>
    </row>
    <row r="273" spans="1:43" s="1716" customFormat="1">
      <c r="A273" s="1303"/>
      <c r="B273" s="1303"/>
      <c r="C273" s="1303"/>
      <c r="D273" s="1303"/>
      <c r="E273" s="1303"/>
      <c r="F273" s="1303"/>
      <c r="G273" s="1303"/>
    </row>
    <row r="274" spans="1:43" s="1716" customFormat="1">
      <c r="A274" s="1731" t="s">
        <v>1612</v>
      </c>
      <c r="B274" s="1731" t="s">
        <v>1608</v>
      </c>
      <c r="C274" s="1731" t="s">
        <v>2062</v>
      </c>
      <c r="D274" s="1731" t="s">
        <v>2088</v>
      </c>
      <c r="E274" s="1731" t="s">
        <v>1568</v>
      </c>
    </row>
    <row r="275" spans="1:43" s="1716" customFormat="1">
      <c r="A275" s="1719" t="str">
        <f t="shared" ref="A275:C276" si="36">A254</f>
        <v>KP1</v>
      </c>
      <c r="B275" s="1719">
        <f t="shared" si="36"/>
        <v>4.2</v>
      </c>
      <c r="C275" s="2046">
        <f t="shared" si="36"/>
        <v>64</v>
      </c>
      <c r="D275" s="1719">
        <f>D120</f>
        <v>0.48</v>
      </c>
      <c r="E275" s="1719">
        <f>B275*C275*D275</f>
        <v>129.024</v>
      </c>
    </row>
    <row r="276" spans="1:43">
      <c r="A276" s="1717" t="str">
        <f t="shared" si="36"/>
        <v>KP2</v>
      </c>
      <c r="B276" s="1717">
        <f t="shared" si="36"/>
        <v>4.2</v>
      </c>
      <c r="C276" s="1717">
        <f t="shared" si="36"/>
        <v>0</v>
      </c>
      <c r="D276" s="1719">
        <f>D121</f>
        <v>1.44</v>
      </c>
      <c r="E276" s="1717">
        <f>B276*C276*D276</f>
        <v>0</v>
      </c>
      <c r="F276" s="1716"/>
      <c r="G276" s="1716"/>
      <c r="H276" s="1716"/>
      <c r="I276" s="1716"/>
      <c r="J276" s="1716"/>
      <c r="K276" s="1716"/>
      <c r="L276" s="1716"/>
      <c r="M276" s="1716"/>
      <c r="N276" s="1716"/>
      <c r="O276" s="1716"/>
      <c r="P276" s="1716"/>
      <c r="Q276" s="1716"/>
      <c r="R276" s="1716"/>
      <c r="V276" s="1609"/>
      <c r="W276" s="1609"/>
      <c r="X276" s="1609"/>
      <c r="Y276" s="1609"/>
      <c r="Z276" s="1609"/>
      <c r="AA276" s="1609"/>
      <c r="AB276" s="1609"/>
      <c r="AC276" s="1609"/>
      <c r="AD276" s="1609"/>
      <c r="AE276" s="1609"/>
      <c r="AF276" s="1609"/>
      <c r="AG276" s="1609"/>
      <c r="AH276" s="1609"/>
      <c r="AI276" s="1609"/>
      <c r="AJ276" s="1609"/>
      <c r="AK276" s="1609"/>
      <c r="AL276" s="1609"/>
      <c r="AM276" s="1609"/>
      <c r="AN276" s="1609"/>
      <c r="AO276" s="1609"/>
      <c r="AP276" s="1609"/>
      <c r="AQ276" s="1609"/>
    </row>
    <row r="277" spans="1:43" ht="15">
      <c r="A277" s="1716"/>
      <c r="B277" s="1716"/>
      <c r="C277" s="1716"/>
      <c r="D277" s="1738" t="s">
        <v>2076</v>
      </c>
      <c r="E277" s="1748">
        <f>SUM(E275:E276)</f>
        <v>129.024</v>
      </c>
      <c r="F277" s="1716"/>
      <c r="G277" s="1716"/>
      <c r="H277" s="1716"/>
      <c r="I277" s="1716"/>
      <c r="J277" s="1716"/>
      <c r="K277" s="1716"/>
      <c r="L277" s="1716"/>
      <c r="M277" s="1716"/>
      <c r="N277" s="1716"/>
      <c r="O277" s="1716"/>
      <c r="P277" s="1716"/>
      <c r="Q277" s="1716"/>
      <c r="R277" s="1716"/>
      <c r="S277" s="1716"/>
      <c r="T277" s="1716"/>
      <c r="V277" s="1609"/>
      <c r="W277" s="2716"/>
      <c r="X277" s="2716"/>
      <c r="Y277" s="2716"/>
      <c r="Z277" s="2716"/>
      <c r="AA277" s="2716"/>
      <c r="AB277" s="2716"/>
      <c r="AC277" s="2716"/>
      <c r="AD277" s="2716"/>
      <c r="AE277" s="1609"/>
      <c r="AF277" s="1609"/>
      <c r="AG277" s="1609"/>
      <c r="AH277" s="1609"/>
      <c r="AI277" s="1609"/>
      <c r="AJ277" s="1609"/>
      <c r="AK277" s="1609"/>
      <c r="AL277" s="1609"/>
      <c r="AM277" s="1609"/>
      <c r="AN277" s="1609"/>
      <c r="AO277" s="1609"/>
      <c r="AP277" s="1609"/>
      <c r="AQ277" s="1609"/>
    </row>
    <row r="278" spans="1:43">
      <c r="U278" s="1609"/>
      <c r="V278" s="1609"/>
      <c r="W278" s="1609"/>
      <c r="X278" s="1609"/>
      <c r="Y278" s="1745"/>
      <c r="Z278" s="1609"/>
      <c r="AA278" s="1745"/>
      <c r="AB278" s="1609"/>
      <c r="AC278" s="1609"/>
      <c r="AD278" s="1609"/>
      <c r="AE278" s="1609"/>
      <c r="AF278" s="1609"/>
      <c r="AG278" s="1609"/>
      <c r="AH278" s="1609"/>
      <c r="AI278" s="1609"/>
      <c r="AJ278" s="1609"/>
      <c r="AK278" s="1609"/>
      <c r="AL278" s="1609"/>
      <c r="AM278" s="1609"/>
      <c r="AN278" s="1609"/>
      <c r="AO278" s="1609"/>
      <c r="AP278" s="1609"/>
    </row>
    <row r="279" spans="1:43" s="1933" customFormat="1">
      <c r="A279" s="2722" t="s">
        <v>2391</v>
      </c>
      <c r="B279" s="2723"/>
      <c r="C279" s="2723"/>
      <c r="D279" s="2723"/>
      <c r="E279" s="2723"/>
      <c r="F279" s="2723"/>
      <c r="G279" s="2724"/>
      <c r="H279" s="2722" t="s">
        <v>1568</v>
      </c>
      <c r="I279" s="2723"/>
      <c r="J279" s="2723"/>
      <c r="K279" s="2723"/>
      <c r="L279" s="2724"/>
      <c r="N279" s="2722" t="s">
        <v>1610</v>
      </c>
      <c r="O279" s="2723"/>
      <c r="P279" s="2723"/>
      <c r="Q279" s="2723"/>
      <c r="R279" s="2724"/>
      <c r="U279" s="1938"/>
      <c r="V279" s="1938"/>
      <c r="W279" s="1938"/>
      <c r="X279" s="1938"/>
      <c r="Y279" s="1938"/>
      <c r="Z279" s="1938"/>
      <c r="AA279" s="1938"/>
      <c r="AB279" s="1938"/>
      <c r="AC279" s="1938"/>
      <c r="AD279" s="1938"/>
      <c r="AE279" s="1938"/>
      <c r="AF279" s="1938"/>
      <c r="AG279" s="1938"/>
      <c r="AH279" s="1938"/>
      <c r="AI279" s="1938"/>
      <c r="AJ279" s="1938"/>
      <c r="AK279" s="1938"/>
      <c r="AL279" s="1938"/>
      <c r="AM279" s="1938"/>
      <c r="AN279" s="1938"/>
      <c r="AO279" s="1938"/>
      <c r="AP279" s="1938"/>
    </row>
    <row r="280" spans="1:43" ht="15">
      <c r="A280" s="1719" t="s">
        <v>1796</v>
      </c>
      <c r="B280" s="1719" t="s">
        <v>2004</v>
      </c>
      <c r="C280" s="1719" t="s">
        <v>1609</v>
      </c>
      <c r="D280" s="1733" t="s">
        <v>2098</v>
      </c>
      <c r="E280" s="1747" t="s">
        <v>2099</v>
      </c>
      <c r="F280" s="1733" t="s">
        <v>1841</v>
      </c>
      <c r="G280" s="1719" t="s">
        <v>2107</v>
      </c>
      <c r="H280" s="1719" t="s">
        <v>2100</v>
      </c>
      <c r="I280" s="1719" t="s">
        <v>2101</v>
      </c>
      <c r="J280" s="1719" t="s">
        <v>2102</v>
      </c>
      <c r="K280" s="1719" t="s">
        <v>2103</v>
      </c>
      <c r="L280" s="1719" t="s">
        <v>2104</v>
      </c>
      <c r="N280" s="1717" t="s">
        <v>1607</v>
      </c>
      <c r="O280" s="1717" t="s">
        <v>1611</v>
      </c>
      <c r="P280" s="1717" t="s">
        <v>1168</v>
      </c>
      <c r="Q280" s="1717" t="s">
        <v>1205</v>
      </c>
      <c r="R280" s="1717" t="s">
        <v>1243</v>
      </c>
      <c r="S280" s="1553"/>
      <c r="U280" s="1609"/>
      <c r="V280" s="1609"/>
      <c r="W280" s="1609"/>
      <c r="X280" s="1609"/>
      <c r="Y280" s="1609"/>
      <c r="Z280" s="1609"/>
      <c r="AA280" s="1609"/>
      <c r="AB280" s="1609"/>
      <c r="AC280" s="1609"/>
      <c r="AD280" s="1609"/>
      <c r="AE280" s="1609"/>
      <c r="AF280" s="1609"/>
      <c r="AG280" s="1609"/>
      <c r="AH280" s="1609"/>
      <c r="AI280" s="1609"/>
      <c r="AJ280" s="1609"/>
      <c r="AK280" s="1609"/>
      <c r="AL280" s="1609"/>
      <c r="AM280" s="1609"/>
      <c r="AN280" s="1609"/>
      <c r="AO280" s="1609"/>
      <c r="AP280" s="1609"/>
    </row>
    <row r="281" spans="1:43">
      <c r="A281" s="1717" t="s">
        <v>187</v>
      </c>
      <c r="B281" s="1875"/>
      <c r="C281" s="1875">
        <v>16</v>
      </c>
      <c r="D281" s="1717"/>
      <c r="E281" s="1717"/>
      <c r="F281" s="1717"/>
      <c r="G281" s="2041"/>
      <c r="H281" s="1717">
        <f t="shared" ref="H281:H296" si="37">B281*C281</f>
        <v>0</v>
      </c>
      <c r="I281" s="1717">
        <f>B281*D281</f>
        <v>0</v>
      </c>
      <c r="J281" s="1717">
        <f t="shared" ref="J281:J296" si="38">B281*E281</f>
        <v>0</v>
      </c>
      <c r="K281" s="1723">
        <f>B281*F281</f>
        <v>0</v>
      </c>
      <c r="L281" s="1717">
        <f t="shared" ref="L281:L296" si="39">B281*G281</f>
        <v>0</v>
      </c>
      <c r="N281" s="1717">
        <f t="shared" ref="N281:N296" si="40">(B281/2)/0.2</f>
        <v>0</v>
      </c>
      <c r="O281" s="1717">
        <f t="shared" ref="O281:O296" si="41">(B281/2)/0.1</f>
        <v>0</v>
      </c>
      <c r="P281" s="1717">
        <f t="shared" ref="P281:P296" si="42">SUM(N281:O281)</f>
        <v>0</v>
      </c>
      <c r="Q281" s="1717">
        <f>2*(F303-0.05+G303-0.05)</f>
        <v>1.5999999999999999</v>
      </c>
      <c r="R281" s="1717">
        <f t="shared" ref="R281:R296" si="43">P281*Q281</f>
        <v>0</v>
      </c>
      <c r="S281" s="1553"/>
      <c r="U281" s="1609"/>
      <c r="V281" s="1609"/>
      <c r="W281" s="1609"/>
      <c r="X281" s="1609"/>
      <c r="Y281" s="1609"/>
      <c r="Z281" s="1609"/>
      <c r="AA281" s="1609"/>
      <c r="AB281" s="1609"/>
      <c r="AC281" s="1609"/>
      <c r="AD281" s="1609"/>
      <c r="AE281" s="1609"/>
      <c r="AF281" s="1609"/>
      <c r="AG281" s="1609"/>
      <c r="AH281" s="1609"/>
      <c r="AI281" s="1609"/>
      <c r="AJ281" s="1609"/>
      <c r="AK281" s="1609"/>
      <c r="AL281" s="1609"/>
      <c r="AM281" s="1609"/>
      <c r="AN281" s="1609"/>
      <c r="AO281" s="1609"/>
      <c r="AP281" s="1609"/>
    </row>
    <row r="282" spans="1:43">
      <c r="A282" s="1717" t="s">
        <v>173</v>
      </c>
      <c r="B282" s="1875"/>
      <c r="C282" s="1875">
        <v>16</v>
      </c>
      <c r="D282" s="1717"/>
      <c r="E282" s="1717"/>
      <c r="F282" s="1717">
        <v>1</v>
      </c>
      <c r="G282" s="2041"/>
      <c r="H282" s="1717">
        <f t="shared" si="37"/>
        <v>0</v>
      </c>
      <c r="I282" s="1717">
        <f>B282*D282</f>
        <v>0</v>
      </c>
      <c r="J282" s="1717">
        <f t="shared" si="38"/>
        <v>0</v>
      </c>
      <c r="K282" s="2054">
        <f t="shared" ref="K282:K296" si="44">B282*F282</f>
        <v>0</v>
      </c>
      <c r="L282" s="1717">
        <f t="shared" si="39"/>
        <v>0</v>
      </c>
      <c r="N282" s="1717">
        <f t="shared" si="40"/>
        <v>0</v>
      </c>
      <c r="O282" s="1717">
        <f t="shared" si="41"/>
        <v>0</v>
      </c>
      <c r="P282" s="1717">
        <f t="shared" si="42"/>
        <v>0</v>
      </c>
      <c r="Q282" s="2054">
        <f>2*(F304-0.05)+J304-0.05+G304</f>
        <v>1.85</v>
      </c>
      <c r="R282" s="1717">
        <f t="shared" si="43"/>
        <v>0</v>
      </c>
      <c r="S282" s="1553"/>
      <c r="U282" s="1609"/>
      <c r="V282" s="1609"/>
      <c r="W282" s="1609"/>
      <c r="X282" s="1609"/>
      <c r="Y282" s="1609"/>
      <c r="Z282" s="1609"/>
      <c r="AA282" s="1609"/>
      <c r="AB282" s="1609"/>
      <c r="AC282" s="1609"/>
      <c r="AD282" s="1609"/>
      <c r="AE282" s="1609"/>
      <c r="AF282" s="1609"/>
      <c r="AG282" s="1609"/>
      <c r="AH282" s="1609"/>
      <c r="AI282" s="1609"/>
      <c r="AJ282" s="1609"/>
      <c r="AK282" s="1609"/>
      <c r="AL282" s="1609"/>
      <c r="AM282" s="1609"/>
      <c r="AN282" s="1609"/>
      <c r="AO282" s="1609"/>
      <c r="AP282" s="1609"/>
    </row>
    <row r="283" spans="1:43">
      <c r="A283" s="1717" t="s">
        <v>172</v>
      </c>
      <c r="B283" s="1875"/>
      <c r="C283" s="1875">
        <v>10</v>
      </c>
      <c r="D283" s="1717"/>
      <c r="E283" s="1717"/>
      <c r="F283" s="1717"/>
      <c r="G283" s="2041"/>
      <c r="H283" s="1717">
        <f t="shared" si="37"/>
        <v>0</v>
      </c>
      <c r="I283" s="1717">
        <f>B283*D283</f>
        <v>0</v>
      </c>
      <c r="J283" s="1717">
        <f t="shared" si="38"/>
        <v>0</v>
      </c>
      <c r="K283" s="2054">
        <f t="shared" si="44"/>
        <v>0</v>
      </c>
      <c r="L283" s="1717">
        <f t="shared" si="39"/>
        <v>0</v>
      </c>
      <c r="N283" s="1717">
        <f t="shared" si="40"/>
        <v>0</v>
      </c>
      <c r="O283" s="1717">
        <f t="shared" si="41"/>
        <v>0</v>
      </c>
      <c r="P283" s="1717">
        <f t="shared" si="42"/>
        <v>0</v>
      </c>
      <c r="Q283" s="2054">
        <f t="shared" ref="Q283:Q294" si="45">2*(F305-0.05+G305-0.05)</f>
        <v>1.2999999999999998</v>
      </c>
      <c r="R283" s="1717">
        <f t="shared" si="43"/>
        <v>0</v>
      </c>
      <c r="S283" s="1553"/>
      <c r="U283" s="1609"/>
      <c r="V283" s="1609"/>
      <c r="W283" s="1609"/>
      <c r="X283" s="1609"/>
      <c r="Y283" s="1609"/>
      <c r="Z283" s="1609"/>
      <c r="AA283" s="1609"/>
      <c r="AB283" s="1609"/>
      <c r="AC283" s="1609"/>
      <c r="AD283" s="1609"/>
      <c r="AE283" s="1609"/>
      <c r="AF283" s="1609"/>
      <c r="AG283" s="1609"/>
      <c r="AH283" s="1609"/>
      <c r="AI283" s="1609"/>
      <c r="AJ283" s="1609"/>
      <c r="AK283" s="1609"/>
      <c r="AL283" s="1609"/>
      <c r="AM283" s="1609"/>
      <c r="AN283" s="1609"/>
      <c r="AO283" s="1609"/>
      <c r="AP283" s="1609"/>
    </row>
    <row r="284" spans="1:43">
      <c r="A284" s="1717" t="s">
        <v>174</v>
      </c>
      <c r="B284" s="1875">
        <v>6</v>
      </c>
      <c r="C284" s="1875">
        <v>10</v>
      </c>
      <c r="D284" s="1717"/>
      <c r="E284" s="1717"/>
      <c r="F284" s="1717"/>
      <c r="G284" s="2041"/>
      <c r="H284" s="1717">
        <f t="shared" si="37"/>
        <v>60</v>
      </c>
      <c r="I284" s="1717">
        <f>B284*E284</f>
        <v>0</v>
      </c>
      <c r="J284" s="1717">
        <f t="shared" si="38"/>
        <v>0</v>
      </c>
      <c r="K284" s="2054">
        <f t="shared" si="44"/>
        <v>0</v>
      </c>
      <c r="L284" s="1717">
        <f t="shared" si="39"/>
        <v>0</v>
      </c>
      <c r="N284" s="1717">
        <f t="shared" si="40"/>
        <v>15</v>
      </c>
      <c r="O284" s="1717">
        <f t="shared" si="41"/>
        <v>30</v>
      </c>
      <c r="P284" s="1717">
        <f t="shared" si="42"/>
        <v>45</v>
      </c>
      <c r="Q284" s="2054">
        <f t="shared" si="45"/>
        <v>1</v>
      </c>
      <c r="R284" s="1717">
        <f t="shared" si="43"/>
        <v>45</v>
      </c>
      <c r="S284" s="1553"/>
      <c r="U284" s="1609"/>
      <c r="V284" s="1609"/>
      <c r="W284" s="1609"/>
      <c r="X284" s="1609"/>
      <c r="Y284" s="1609"/>
      <c r="Z284" s="1609"/>
      <c r="AA284" s="1609"/>
      <c r="AB284" s="1609"/>
      <c r="AC284" s="1609"/>
      <c r="AD284" s="1609"/>
      <c r="AE284" s="1609"/>
      <c r="AF284" s="1609"/>
      <c r="AG284" s="1609"/>
      <c r="AH284" s="1609"/>
      <c r="AI284" s="1609"/>
      <c r="AJ284" s="1609"/>
      <c r="AK284" s="1609"/>
      <c r="AL284" s="1609"/>
      <c r="AM284" s="1609"/>
      <c r="AN284" s="1609"/>
      <c r="AO284" s="1609"/>
      <c r="AP284" s="1609"/>
    </row>
    <row r="285" spans="1:43">
      <c r="A285" s="1717" t="s">
        <v>188</v>
      </c>
      <c r="B285" s="1875">
        <v>26</v>
      </c>
      <c r="C285" s="1875">
        <v>8</v>
      </c>
      <c r="D285" s="1717"/>
      <c r="E285" s="1875"/>
      <c r="F285" s="1875"/>
      <c r="G285" s="2041"/>
      <c r="H285" s="1717">
        <f t="shared" si="37"/>
        <v>208</v>
      </c>
      <c r="I285" s="1717">
        <f>B285*E285</f>
        <v>0</v>
      </c>
      <c r="J285" s="1717">
        <f t="shared" si="38"/>
        <v>0</v>
      </c>
      <c r="K285" s="2054">
        <f t="shared" si="44"/>
        <v>0</v>
      </c>
      <c r="L285" s="1717">
        <f t="shared" si="39"/>
        <v>0</v>
      </c>
      <c r="N285" s="1717">
        <f t="shared" si="40"/>
        <v>65</v>
      </c>
      <c r="O285" s="1717">
        <f t="shared" si="41"/>
        <v>130</v>
      </c>
      <c r="P285" s="1717">
        <f t="shared" si="42"/>
        <v>195</v>
      </c>
      <c r="Q285" s="2054">
        <f t="shared" si="45"/>
        <v>0.9</v>
      </c>
      <c r="R285" s="1717">
        <f t="shared" si="43"/>
        <v>175.5</v>
      </c>
      <c r="S285" s="1553"/>
      <c r="U285" s="1609"/>
      <c r="V285" s="1609"/>
      <c r="W285" s="1609"/>
      <c r="X285" s="1609"/>
      <c r="Y285" s="1609"/>
      <c r="Z285" s="1609"/>
      <c r="AA285" s="1609"/>
      <c r="AB285" s="1609"/>
      <c r="AC285" s="1609"/>
      <c r="AD285" s="1609"/>
      <c r="AE285" s="1609"/>
      <c r="AF285" s="1609"/>
      <c r="AG285" s="1609"/>
      <c r="AH285" s="1609"/>
      <c r="AI285" s="1609"/>
      <c r="AJ285" s="1609"/>
      <c r="AK285" s="1609"/>
      <c r="AL285" s="1609"/>
      <c r="AM285" s="1609"/>
      <c r="AN285" s="1609"/>
      <c r="AO285" s="1609"/>
      <c r="AP285" s="1609"/>
    </row>
    <row r="286" spans="1:43">
      <c r="A286" s="1717" t="s">
        <v>1998</v>
      </c>
      <c r="B286" s="1875"/>
      <c r="C286" s="1875">
        <v>10</v>
      </c>
      <c r="D286" s="1717"/>
      <c r="E286" s="1875"/>
      <c r="F286" s="1875">
        <v>3</v>
      </c>
      <c r="G286" s="2041"/>
      <c r="H286" s="1717">
        <f t="shared" si="37"/>
        <v>0</v>
      </c>
      <c r="I286" s="1717">
        <f t="shared" ref="I286:I296" si="46">B286*D286</f>
        <v>0</v>
      </c>
      <c r="J286" s="1717">
        <f t="shared" si="38"/>
        <v>0</v>
      </c>
      <c r="K286" s="2054">
        <f t="shared" si="44"/>
        <v>0</v>
      </c>
      <c r="L286" s="1717">
        <f t="shared" si="39"/>
        <v>0</v>
      </c>
      <c r="N286" s="1717">
        <f t="shared" si="40"/>
        <v>0</v>
      </c>
      <c r="O286" s="1717">
        <f t="shared" si="41"/>
        <v>0</v>
      </c>
      <c r="P286" s="1717">
        <f t="shared" si="42"/>
        <v>0</v>
      </c>
      <c r="Q286" s="2054">
        <f>2*(F308-0.05)+J308-0.05+G308</f>
        <v>1.4500000000000002</v>
      </c>
      <c r="R286" s="1717">
        <f t="shared" si="43"/>
        <v>0</v>
      </c>
      <c r="S286" s="1553"/>
      <c r="U286" s="1609"/>
      <c r="V286" s="1609"/>
      <c r="W286" s="1609"/>
      <c r="X286" s="1609"/>
      <c r="Y286" s="1609"/>
      <c r="Z286" s="1609"/>
      <c r="AA286" s="1609"/>
      <c r="AB286" s="1609"/>
      <c r="AC286" s="1609"/>
      <c r="AD286" s="1609"/>
      <c r="AE286" s="1609"/>
      <c r="AF286" s="1609"/>
      <c r="AG286" s="1609"/>
      <c r="AH286" s="1609"/>
      <c r="AI286" s="1609"/>
      <c r="AJ286" s="1609"/>
      <c r="AK286" s="1609"/>
      <c r="AL286" s="1609"/>
      <c r="AM286" s="1609"/>
      <c r="AN286" s="1609"/>
      <c r="AO286" s="1609"/>
      <c r="AP286" s="1609"/>
    </row>
    <row r="287" spans="1:43">
      <c r="A287" s="1717" t="s">
        <v>1999</v>
      </c>
      <c r="B287" s="1875"/>
      <c r="C287" s="1875">
        <v>10</v>
      </c>
      <c r="D287" s="1717"/>
      <c r="E287" s="1875"/>
      <c r="F287" s="1875">
        <v>2</v>
      </c>
      <c r="G287" s="1717"/>
      <c r="H287" s="1717">
        <f t="shared" si="37"/>
        <v>0</v>
      </c>
      <c r="I287" s="1717">
        <f t="shared" si="46"/>
        <v>0</v>
      </c>
      <c r="J287" s="1717">
        <f t="shared" si="38"/>
        <v>0</v>
      </c>
      <c r="K287" s="2054">
        <f t="shared" si="44"/>
        <v>0</v>
      </c>
      <c r="L287" s="1717">
        <f t="shared" si="39"/>
        <v>0</v>
      </c>
      <c r="N287" s="1717">
        <f t="shared" si="40"/>
        <v>0</v>
      </c>
      <c r="O287" s="1717">
        <f t="shared" si="41"/>
        <v>0</v>
      </c>
      <c r="P287" s="1717">
        <f t="shared" si="42"/>
        <v>0</v>
      </c>
      <c r="Q287" s="2054">
        <f>2*(F309-0.05)+J309-0.05+G309</f>
        <v>1.65</v>
      </c>
      <c r="R287" s="1717">
        <f t="shared" si="43"/>
        <v>0</v>
      </c>
      <c r="S287" s="1553"/>
      <c r="U287" s="1609"/>
      <c r="V287" s="1609"/>
      <c r="W287" s="1609"/>
      <c r="X287" s="1609"/>
      <c r="Y287" s="1609"/>
      <c r="Z287" s="1609"/>
      <c r="AA287" s="1609"/>
      <c r="AB287" s="1609"/>
      <c r="AC287" s="1609"/>
      <c r="AD287" s="1609"/>
      <c r="AE287" s="1609"/>
      <c r="AF287" s="1609"/>
      <c r="AG287" s="1609"/>
      <c r="AH287" s="1609"/>
      <c r="AI287" s="1609"/>
      <c r="AJ287" s="1609"/>
      <c r="AK287" s="1609"/>
      <c r="AL287" s="1609"/>
      <c r="AM287" s="1609"/>
      <c r="AN287" s="1609"/>
      <c r="AO287" s="1609"/>
      <c r="AP287" s="1609"/>
    </row>
    <row r="288" spans="1:43">
      <c r="A288" s="1717" t="s">
        <v>2000</v>
      </c>
      <c r="B288" s="1875"/>
      <c r="C288" s="1875">
        <v>6</v>
      </c>
      <c r="D288" s="1717"/>
      <c r="E288" s="1875"/>
      <c r="F288" s="1875"/>
      <c r="G288" s="1717"/>
      <c r="H288" s="1717">
        <f t="shared" si="37"/>
        <v>0</v>
      </c>
      <c r="I288" s="1717">
        <f t="shared" si="46"/>
        <v>0</v>
      </c>
      <c r="J288" s="1717">
        <f t="shared" si="38"/>
        <v>0</v>
      </c>
      <c r="K288" s="2054">
        <f t="shared" si="44"/>
        <v>0</v>
      </c>
      <c r="L288" s="1717">
        <f t="shared" si="39"/>
        <v>0</v>
      </c>
      <c r="N288" s="1717">
        <f t="shared" si="40"/>
        <v>0</v>
      </c>
      <c r="O288" s="1717">
        <f t="shared" si="41"/>
        <v>0</v>
      </c>
      <c r="P288" s="1717">
        <f t="shared" si="42"/>
        <v>0</v>
      </c>
      <c r="Q288" s="2054">
        <f t="shared" si="45"/>
        <v>0.7</v>
      </c>
      <c r="R288" s="1717">
        <f t="shared" si="43"/>
        <v>0</v>
      </c>
      <c r="S288" s="1553"/>
      <c r="U288" s="1609"/>
      <c r="V288" s="1609"/>
      <c r="W288" s="1609"/>
      <c r="X288" s="1609"/>
      <c r="Y288" s="1609"/>
      <c r="Z288" s="1609"/>
      <c r="AA288" s="1609"/>
      <c r="AB288" s="1609"/>
      <c r="AC288" s="1609"/>
      <c r="AD288" s="1609"/>
      <c r="AE288" s="1609"/>
      <c r="AF288" s="1609"/>
      <c r="AG288" s="1609"/>
      <c r="AH288" s="1609"/>
      <c r="AI288" s="1609"/>
      <c r="AJ288" s="1609"/>
      <c r="AK288" s="1609"/>
      <c r="AL288" s="1609"/>
      <c r="AM288" s="1609"/>
      <c r="AN288" s="1609"/>
      <c r="AO288" s="1609"/>
      <c r="AP288" s="1609"/>
    </row>
    <row r="289" spans="1:43">
      <c r="A289" s="1717" t="s">
        <v>2001</v>
      </c>
      <c r="B289" s="1717"/>
      <c r="C289" s="1875">
        <v>8</v>
      </c>
      <c r="D289" s="1717"/>
      <c r="E289" s="1875"/>
      <c r="F289" s="1875">
        <v>2</v>
      </c>
      <c r="G289" s="1717"/>
      <c r="H289" s="1717">
        <f t="shared" si="37"/>
        <v>0</v>
      </c>
      <c r="I289" s="1717">
        <f t="shared" si="46"/>
        <v>0</v>
      </c>
      <c r="J289" s="1717">
        <f t="shared" si="38"/>
        <v>0</v>
      </c>
      <c r="K289" s="2054">
        <f t="shared" si="44"/>
        <v>0</v>
      </c>
      <c r="L289" s="1717">
        <f t="shared" si="39"/>
        <v>0</v>
      </c>
      <c r="N289" s="1717">
        <f t="shared" si="40"/>
        <v>0</v>
      </c>
      <c r="O289" s="1717">
        <f t="shared" si="41"/>
        <v>0</v>
      </c>
      <c r="P289" s="1717">
        <f t="shared" si="42"/>
        <v>0</v>
      </c>
      <c r="Q289" s="2054">
        <f>2*(F311-0.05)+J311-0.05+G311</f>
        <v>1.35</v>
      </c>
      <c r="R289" s="1717">
        <f t="shared" si="43"/>
        <v>0</v>
      </c>
      <c r="S289" s="1553"/>
      <c r="U289" s="1609"/>
      <c r="V289" s="1609"/>
      <c r="W289" s="1609"/>
      <c r="X289" s="1609"/>
      <c r="Y289" s="1609"/>
      <c r="Z289" s="1609"/>
      <c r="AA289" s="1609"/>
      <c r="AB289" s="1609"/>
      <c r="AC289" s="1609"/>
      <c r="AD289" s="1609"/>
      <c r="AE289" s="1609"/>
      <c r="AF289" s="1609"/>
      <c r="AG289" s="1609"/>
      <c r="AH289" s="1609"/>
      <c r="AI289" s="1609"/>
      <c r="AJ289" s="1609"/>
      <c r="AK289" s="1609"/>
      <c r="AL289" s="1609"/>
      <c r="AM289" s="1609"/>
      <c r="AN289" s="1609"/>
      <c r="AO289" s="1609"/>
      <c r="AP289" s="1609"/>
    </row>
    <row r="290" spans="1:43">
      <c r="A290" s="1717" t="s">
        <v>2002</v>
      </c>
      <c r="B290" s="1717"/>
      <c r="C290" s="1717">
        <v>8</v>
      </c>
      <c r="D290" s="1717"/>
      <c r="E290" s="1875"/>
      <c r="F290" s="1875">
        <v>3</v>
      </c>
      <c r="G290" s="1717"/>
      <c r="H290" s="1717">
        <f t="shared" si="37"/>
        <v>0</v>
      </c>
      <c r="I290" s="1717">
        <f t="shared" si="46"/>
        <v>0</v>
      </c>
      <c r="J290" s="1717">
        <f t="shared" si="38"/>
        <v>0</v>
      </c>
      <c r="K290" s="2054">
        <f t="shared" si="44"/>
        <v>0</v>
      </c>
      <c r="L290" s="1717">
        <f t="shared" si="39"/>
        <v>0</v>
      </c>
      <c r="N290" s="1717">
        <f t="shared" si="40"/>
        <v>0</v>
      </c>
      <c r="O290" s="1717">
        <f t="shared" si="41"/>
        <v>0</v>
      </c>
      <c r="P290" s="1717">
        <f t="shared" si="42"/>
        <v>0</v>
      </c>
      <c r="Q290" s="2054">
        <f>2*(F312-0.05)+J312-0.05+G312</f>
        <v>1.41</v>
      </c>
      <c r="R290" s="1717">
        <f t="shared" si="43"/>
        <v>0</v>
      </c>
      <c r="S290" s="1553"/>
      <c r="U290" s="1609"/>
      <c r="V290" s="1609"/>
      <c r="W290" s="1609"/>
      <c r="X290" s="1609"/>
      <c r="Y290" s="1609"/>
      <c r="Z290" s="1609"/>
      <c r="AA290" s="1609"/>
      <c r="AB290" s="1609"/>
      <c r="AC290" s="1609"/>
      <c r="AD290" s="1609"/>
      <c r="AE290" s="1609"/>
      <c r="AF290" s="1609"/>
      <c r="AG290" s="1609"/>
      <c r="AH290" s="1609"/>
      <c r="AI290" s="1609"/>
      <c r="AJ290" s="1609"/>
      <c r="AK290" s="1609"/>
      <c r="AL290" s="1609"/>
      <c r="AM290" s="1609"/>
      <c r="AN290" s="1609"/>
      <c r="AO290" s="1609"/>
      <c r="AP290" s="1609"/>
    </row>
    <row r="291" spans="1:43" ht="15" customHeight="1">
      <c r="A291" s="1717" t="s">
        <v>2003</v>
      </c>
      <c r="B291" s="1717">
        <v>20</v>
      </c>
      <c r="C291" s="1717">
        <v>10</v>
      </c>
      <c r="D291" s="1717"/>
      <c r="E291" s="1875"/>
      <c r="F291" s="1875">
        <v>3</v>
      </c>
      <c r="G291" s="1717"/>
      <c r="H291" s="1717">
        <f t="shared" si="37"/>
        <v>200</v>
      </c>
      <c r="I291" s="1717">
        <f t="shared" si="46"/>
        <v>0</v>
      </c>
      <c r="J291" s="1717">
        <f t="shared" si="38"/>
        <v>0</v>
      </c>
      <c r="K291" s="2054">
        <f t="shared" si="44"/>
        <v>60</v>
      </c>
      <c r="L291" s="1717">
        <f t="shared" si="39"/>
        <v>0</v>
      </c>
      <c r="N291" s="1717">
        <f t="shared" si="40"/>
        <v>50</v>
      </c>
      <c r="O291" s="1717">
        <f t="shared" si="41"/>
        <v>100</v>
      </c>
      <c r="P291" s="1717">
        <f t="shared" si="42"/>
        <v>150</v>
      </c>
      <c r="Q291" s="2054">
        <f>2*(F313-0.05)+J313-0.05+G313</f>
        <v>1.3499999999999999</v>
      </c>
      <c r="R291" s="1717">
        <f t="shared" si="43"/>
        <v>202.49999999999997</v>
      </c>
      <c r="S291" s="1553"/>
      <c r="U291" s="1609"/>
      <c r="V291" s="1609"/>
      <c r="W291" s="1609"/>
      <c r="X291" s="1609"/>
      <c r="Y291" s="1609"/>
      <c r="Z291" s="1609"/>
      <c r="AA291" s="1609"/>
      <c r="AB291" s="1609"/>
      <c r="AC291" s="1609"/>
      <c r="AD291" s="1609"/>
      <c r="AE291" s="1609"/>
      <c r="AF291" s="1609"/>
      <c r="AG291" s="1609"/>
      <c r="AH291" s="1609"/>
      <c r="AI291" s="1609"/>
      <c r="AJ291" s="1609"/>
      <c r="AK291" s="1609"/>
      <c r="AL291" s="1609"/>
      <c r="AM291" s="1609"/>
      <c r="AN291" s="1609"/>
      <c r="AO291" s="1609"/>
    </row>
    <row r="292" spans="1:43" s="1716" customFormat="1" ht="15" customHeight="1">
      <c r="A292" s="1918" t="s">
        <v>2251</v>
      </c>
      <c r="B292" s="1918"/>
      <c r="C292" s="1918"/>
      <c r="D292" s="1918"/>
      <c r="E292" s="1918"/>
      <c r="F292" s="1918"/>
      <c r="G292" s="1918"/>
      <c r="H292" s="1918">
        <f>B292*C292</f>
        <v>0</v>
      </c>
      <c r="I292" s="1918">
        <f>B292*D292</f>
        <v>0</v>
      </c>
      <c r="J292" s="1918">
        <f>B292*E292</f>
        <v>0</v>
      </c>
      <c r="K292" s="2054">
        <f t="shared" si="44"/>
        <v>0</v>
      </c>
      <c r="L292" s="1918">
        <f>B292*G292</f>
        <v>0</v>
      </c>
      <c r="N292" s="1918">
        <f>(B292/2)/0.2</f>
        <v>0</v>
      </c>
      <c r="O292" s="1918">
        <f>(B292/2)/0.1</f>
        <v>0</v>
      </c>
      <c r="P292" s="1918">
        <f>SUM(N292:O292)</f>
        <v>0</v>
      </c>
      <c r="Q292" s="2054">
        <f t="shared" si="45"/>
        <v>-0.2</v>
      </c>
      <c r="R292" s="1918">
        <f>P292*Q292</f>
        <v>0</v>
      </c>
      <c r="U292" s="1919"/>
      <c r="V292" s="1919"/>
      <c r="W292" s="1919"/>
      <c r="X292" s="1919"/>
      <c r="Y292" s="1919"/>
      <c r="Z292" s="1919"/>
      <c r="AA292" s="1919"/>
      <c r="AB292" s="1919"/>
      <c r="AC292" s="1919"/>
      <c r="AD292" s="1919"/>
      <c r="AE292" s="1919"/>
      <c r="AF292" s="1919"/>
      <c r="AG292" s="1919"/>
      <c r="AH292" s="1919"/>
      <c r="AI292" s="1919"/>
      <c r="AJ292" s="1919"/>
      <c r="AK292" s="1919"/>
      <c r="AL292" s="1919"/>
      <c r="AM292" s="1919"/>
      <c r="AN292" s="1919"/>
      <c r="AO292" s="1919"/>
    </row>
    <row r="293" spans="1:43" s="1716" customFormat="1">
      <c r="A293" s="1945" t="s">
        <v>2273</v>
      </c>
      <c r="B293" s="1945"/>
      <c r="C293" s="1945"/>
      <c r="D293" s="1945"/>
      <c r="E293" s="1945"/>
      <c r="F293" s="1945"/>
      <c r="G293" s="1945"/>
      <c r="H293" s="1945">
        <f>B293*C293</f>
        <v>0</v>
      </c>
      <c r="I293" s="1945">
        <f>B293*D293</f>
        <v>0</v>
      </c>
      <c r="J293" s="1945">
        <f>B293*E293</f>
        <v>0</v>
      </c>
      <c r="K293" s="2054">
        <f t="shared" si="44"/>
        <v>0</v>
      </c>
      <c r="L293" s="1945">
        <f>B293*G293</f>
        <v>0</v>
      </c>
      <c r="N293" s="1945">
        <f>(B293/2)/0.2</f>
        <v>0</v>
      </c>
      <c r="O293" s="1945">
        <f>(B293/2)/0.1</f>
        <v>0</v>
      </c>
      <c r="P293" s="1945">
        <f>SUM(N293:O293)</f>
        <v>0</v>
      </c>
      <c r="Q293" s="2054">
        <f t="shared" si="45"/>
        <v>-0.2</v>
      </c>
      <c r="R293" s="1945">
        <f>P293*Q293</f>
        <v>0</v>
      </c>
      <c r="U293" s="1944"/>
      <c r="V293" s="1944"/>
      <c r="W293" s="1944"/>
      <c r="X293" s="1944"/>
      <c r="Y293" s="1944"/>
      <c r="Z293" s="1944"/>
      <c r="AA293" s="1944"/>
      <c r="AB293" s="1944"/>
      <c r="AC293" s="1944"/>
      <c r="AD293" s="1944"/>
      <c r="AE293" s="1944"/>
      <c r="AF293" s="1944"/>
      <c r="AG293" s="1944"/>
      <c r="AH293" s="1944"/>
      <c r="AI293" s="1944"/>
      <c r="AJ293" s="1944"/>
      <c r="AK293" s="1944"/>
      <c r="AL293" s="1944"/>
      <c r="AM293" s="1944"/>
      <c r="AN293" s="1944"/>
      <c r="AO293" s="1944"/>
      <c r="AP293" s="1944"/>
    </row>
    <row r="294" spans="1:43" s="1716" customFormat="1" ht="15" customHeight="1">
      <c r="A294" s="1945" t="s">
        <v>2274</v>
      </c>
      <c r="B294" s="1945"/>
      <c r="C294" s="1945"/>
      <c r="D294" s="1945"/>
      <c r="E294" s="1945"/>
      <c r="F294" s="1945"/>
      <c r="G294" s="1945"/>
      <c r="H294" s="1945">
        <f>B294*C294</f>
        <v>0</v>
      </c>
      <c r="I294" s="1945">
        <f>B294*D294</f>
        <v>0</v>
      </c>
      <c r="J294" s="1945">
        <f>B294*E294</f>
        <v>0</v>
      </c>
      <c r="K294" s="2054">
        <f t="shared" si="44"/>
        <v>0</v>
      </c>
      <c r="L294" s="1945">
        <f>B294*G294</f>
        <v>0</v>
      </c>
      <c r="N294" s="1945">
        <f>(B294/2)/0.2</f>
        <v>0</v>
      </c>
      <c r="O294" s="1945">
        <f>(B294/2)/0.1</f>
        <v>0</v>
      </c>
      <c r="P294" s="1945">
        <f>SUM(N294:O294)</f>
        <v>0</v>
      </c>
      <c r="Q294" s="2054">
        <f t="shared" si="45"/>
        <v>-0.2</v>
      </c>
      <c r="R294" s="1945">
        <f>P294*Q294</f>
        <v>0</v>
      </c>
      <c r="U294" s="1944"/>
      <c r="V294" s="1944"/>
      <c r="W294" s="1944"/>
      <c r="X294" s="1944"/>
      <c r="Y294" s="1944"/>
      <c r="Z294" s="1944"/>
      <c r="AA294" s="1944"/>
      <c r="AB294" s="1944"/>
      <c r="AC294" s="1944"/>
      <c r="AD294" s="1944"/>
      <c r="AE294" s="1944"/>
      <c r="AF294" s="1944"/>
      <c r="AG294" s="1944"/>
      <c r="AH294" s="1944"/>
      <c r="AI294" s="1944"/>
      <c r="AJ294" s="1944"/>
      <c r="AK294" s="1944"/>
      <c r="AL294" s="1944"/>
      <c r="AM294" s="1944"/>
      <c r="AN294" s="1944"/>
      <c r="AO294" s="1944"/>
    </row>
    <row r="295" spans="1:43" s="1716" customFormat="1" ht="15" customHeight="1">
      <c r="A295" s="1945" t="s">
        <v>2275</v>
      </c>
      <c r="B295" s="1945"/>
      <c r="C295" s="1945"/>
      <c r="D295" s="1945"/>
      <c r="E295" s="1945"/>
      <c r="F295" s="1945"/>
      <c r="G295" s="1945"/>
      <c r="H295" s="1945">
        <f>B295*C295</f>
        <v>0</v>
      </c>
      <c r="I295" s="1945">
        <f>B295*D295</f>
        <v>0</v>
      </c>
      <c r="J295" s="1945">
        <f>B295*E295</f>
        <v>0</v>
      </c>
      <c r="K295" s="2054">
        <f t="shared" si="44"/>
        <v>0</v>
      </c>
      <c r="L295" s="1945">
        <f>B295*G295</f>
        <v>0</v>
      </c>
      <c r="N295" s="1945">
        <f>(B295/2)/0.2</f>
        <v>0</v>
      </c>
      <c r="O295" s="1945">
        <f>(B295/2)/0.1</f>
        <v>0</v>
      </c>
      <c r="P295" s="1945">
        <f>SUM(N295:O295)</f>
        <v>0</v>
      </c>
      <c r="Q295" s="2046">
        <f>2*(F317-0.05)+J317-0.05+G317</f>
        <v>-0.15000000000000002</v>
      </c>
      <c r="R295" s="1945">
        <f>P295*Q295</f>
        <v>0</v>
      </c>
      <c r="U295" s="1944"/>
      <c r="V295" s="1944"/>
      <c r="W295" s="1944"/>
      <c r="X295" s="1944"/>
      <c r="Y295" s="1944"/>
      <c r="Z295" s="1944"/>
      <c r="AA295" s="1944"/>
      <c r="AB295" s="1944"/>
      <c r="AC295" s="1944"/>
      <c r="AD295" s="1944"/>
      <c r="AE295" s="1944"/>
      <c r="AF295" s="1944"/>
      <c r="AG295" s="1944"/>
      <c r="AH295" s="1944"/>
      <c r="AI295" s="1944"/>
      <c r="AJ295" s="1944"/>
      <c r="AK295" s="1944"/>
      <c r="AL295" s="1944"/>
      <c r="AM295" s="1944"/>
      <c r="AN295" s="1944"/>
      <c r="AO295" s="1944"/>
    </row>
    <row r="296" spans="1:43">
      <c r="A296" s="1717" t="s">
        <v>175</v>
      </c>
      <c r="B296" s="1717"/>
      <c r="C296" s="1717"/>
      <c r="D296" s="1717"/>
      <c r="E296" s="1875"/>
      <c r="F296" s="1875"/>
      <c r="G296" s="1717">
        <v>4</v>
      </c>
      <c r="H296" s="1717">
        <f t="shared" si="37"/>
        <v>0</v>
      </c>
      <c r="I296" s="1717">
        <f t="shared" si="46"/>
        <v>0</v>
      </c>
      <c r="J296" s="1717">
        <f t="shared" si="38"/>
        <v>0</v>
      </c>
      <c r="K296" s="2054">
        <f t="shared" si="44"/>
        <v>0</v>
      </c>
      <c r="L296" s="1717">
        <f t="shared" si="39"/>
        <v>0</v>
      </c>
      <c r="N296" s="1717">
        <f t="shared" si="40"/>
        <v>0</v>
      </c>
      <c r="O296" s="1717">
        <f t="shared" si="41"/>
        <v>0</v>
      </c>
      <c r="P296" s="1717">
        <f t="shared" si="42"/>
        <v>0</v>
      </c>
      <c r="Q296" s="2041">
        <f>2*(F318-0.05+G318-0.05)</f>
        <v>0.44000000000000006</v>
      </c>
      <c r="R296" s="1717">
        <f t="shared" si="43"/>
        <v>0</v>
      </c>
      <c r="T296" s="1609"/>
      <c r="U296" s="2716"/>
      <c r="V296" s="2716"/>
      <c r="W296" s="2716"/>
      <c r="X296" s="2716"/>
      <c r="Y296" s="1609"/>
      <c r="Z296" s="1609"/>
      <c r="AA296" s="1609"/>
      <c r="AB296" s="1609"/>
      <c r="AC296" s="1609"/>
      <c r="AD296" s="1609"/>
      <c r="AE296" s="1609"/>
      <c r="AF296" s="1609"/>
      <c r="AG296" s="1609"/>
      <c r="AH296" s="1609"/>
      <c r="AI296" s="1609"/>
      <c r="AJ296" s="1609"/>
      <c r="AK296" s="1609"/>
      <c r="AL296" s="1609"/>
      <c r="AM296" s="1609"/>
      <c r="AN296" s="1609"/>
      <c r="AO296" s="1609"/>
    </row>
    <row r="297" spans="1:43" ht="15">
      <c r="A297" s="1598"/>
      <c r="B297" s="1598"/>
      <c r="C297" s="1598"/>
      <c r="D297" s="1598"/>
      <c r="E297" s="1598"/>
      <c r="F297" s="2725" t="s">
        <v>2074</v>
      </c>
      <c r="G297" s="2726"/>
      <c r="H297" s="1596">
        <f>SUM(H281:H296)</f>
        <v>468</v>
      </c>
      <c r="I297" s="1596">
        <f>SUM(I281:I296)</f>
        <v>0</v>
      </c>
      <c r="J297" s="1596">
        <f>SUM(J281:J296)</f>
        <v>0</v>
      </c>
      <c r="K297" s="1596">
        <f>SUM(K281:K296)</f>
        <v>60</v>
      </c>
      <c r="L297" s="1596">
        <f>SUM(L281:L296)</f>
        <v>0</v>
      </c>
      <c r="N297" s="2725" t="s">
        <v>1972</v>
      </c>
      <c r="O297" s="2726"/>
      <c r="P297" s="2726"/>
      <c r="Q297" s="1596">
        <f>SUM(R285,R288:R290,R292:R296)</f>
        <v>175.5</v>
      </c>
      <c r="R297" s="1748">
        <f>Q297*0.4</f>
        <v>70.2</v>
      </c>
      <c r="T297" s="1609"/>
      <c r="V297" s="1609"/>
      <c r="W297" s="1609"/>
      <c r="X297" s="1609"/>
      <c r="Y297" s="1609"/>
      <c r="Z297" s="1609"/>
      <c r="AA297" s="1609"/>
      <c r="AB297" s="1609"/>
      <c r="AC297" s="1609"/>
      <c r="AD297" s="1609"/>
      <c r="AE297" s="1609"/>
      <c r="AF297" s="1609"/>
      <c r="AG297" s="1609"/>
      <c r="AH297" s="1609"/>
      <c r="AI297" s="1609"/>
      <c r="AJ297" s="1609"/>
      <c r="AK297" s="1609"/>
      <c r="AL297" s="1609"/>
      <c r="AM297" s="1609"/>
      <c r="AN297" s="1609"/>
      <c r="AO297" s="1609"/>
      <c r="AP297" s="1609"/>
      <c r="AQ297" s="1609"/>
    </row>
    <row r="298" spans="1:43" ht="15">
      <c r="A298" s="1598"/>
      <c r="B298" s="1598"/>
      <c r="C298" s="1598"/>
      <c r="D298" s="1598"/>
      <c r="E298" s="1598"/>
      <c r="F298" s="2725" t="s">
        <v>2075</v>
      </c>
      <c r="G298" s="2726"/>
      <c r="H298" s="1604">
        <f>H297*1.04</f>
        <v>486.72</v>
      </c>
      <c r="I298" s="1604">
        <f>I297*0.89</f>
        <v>0</v>
      </c>
      <c r="J298" s="1880">
        <f>J297*0.62</f>
        <v>0</v>
      </c>
      <c r="K298" s="1604">
        <f>K297*0.62</f>
        <v>37.200000000000003</v>
      </c>
      <c r="L298" s="1880">
        <f>L297*0.62</f>
        <v>0</v>
      </c>
      <c r="N298" s="2725" t="s">
        <v>2387</v>
      </c>
      <c r="O298" s="2726"/>
      <c r="P298" s="2726"/>
      <c r="Q298" s="1596">
        <f>SUM(R281:R284,R286:R287,R291)</f>
        <v>247.49999999999997</v>
      </c>
      <c r="R298" s="1880">
        <f>Q298*0.62</f>
        <v>153.44999999999999</v>
      </c>
      <c r="S298" s="1553"/>
      <c r="T298" s="1553"/>
      <c r="V298" s="1609"/>
      <c r="W298" s="1609"/>
      <c r="X298" s="1609"/>
      <c r="Y298" s="1609"/>
      <c r="Z298" s="1609"/>
      <c r="AA298" s="1609"/>
      <c r="AB298" s="1609"/>
      <c r="AC298" s="1609"/>
      <c r="AD298" s="1609"/>
      <c r="AE298" s="1609"/>
      <c r="AF298" s="1609"/>
      <c r="AG298" s="1609"/>
      <c r="AH298" s="1609"/>
      <c r="AI298" s="1609"/>
      <c r="AJ298" s="1609"/>
      <c r="AK298" s="1609"/>
      <c r="AL298" s="1609"/>
      <c r="AM298" s="1609"/>
      <c r="AN298" s="1609"/>
      <c r="AO298" s="1609"/>
      <c r="AP298" s="1609"/>
      <c r="AQ298" s="1609"/>
    </row>
    <row r="299" spans="1:43">
      <c r="A299" s="1598"/>
      <c r="B299" s="1598"/>
      <c r="C299" s="1598"/>
      <c r="D299" s="1598"/>
      <c r="E299" s="1598"/>
      <c r="F299" s="1598"/>
      <c r="G299" s="1598"/>
      <c r="H299" s="1553"/>
      <c r="I299" s="1553"/>
      <c r="L299" s="1553"/>
      <c r="M299" s="1553"/>
      <c r="N299" s="1553"/>
      <c r="O299" s="1553"/>
      <c r="P299" s="1553"/>
      <c r="Q299" s="1553"/>
      <c r="R299" s="1553"/>
      <c r="S299" s="1553"/>
      <c r="T299" s="1553"/>
      <c r="V299" s="1609"/>
      <c r="W299" s="1609"/>
      <c r="X299" s="1609"/>
      <c r="Y299" s="1609"/>
      <c r="Z299" s="1609"/>
      <c r="AA299" s="1609"/>
      <c r="AB299" s="1609"/>
      <c r="AC299" s="1609"/>
      <c r="AD299" s="1609"/>
      <c r="AE299" s="1609"/>
      <c r="AF299" s="1609"/>
      <c r="AG299" s="1609"/>
      <c r="AH299" s="1609"/>
      <c r="AI299" s="1609"/>
      <c r="AJ299" s="1609"/>
      <c r="AK299" s="1609"/>
      <c r="AL299" s="1609"/>
      <c r="AM299" s="1609"/>
      <c r="AN299" s="1609"/>
      <c r="AO299" s="1609"/>
      <c r="AP299" s="1609"/>
      <c r="AQ299" s="1609"/>
    </row>
    <row r="300" spans="1:43" ht="15" thickBot="1">
      <c r="C300" s="1553"/>
      <c r="D300" s="1553"/>
      <c r="E300" s="1303"/>
      <c r="F300" s="1303"/>
      <c r="G300" s="1303"/>
      <c r="H300" s="1303"/>
      <c r="I300" s="1303"/>
      <c r="J300" s="1303"/>
      <c r="K300" s="1303"/>
      <c r="L300" s="1303"/>
      <c r="M300" s="1303"/>
      <c r="N300" s="1303"/>
      <c r="O300" s="1303"/>
      <c r="P300" s="1303"/>
      <c r="Q300" s="1553"/>
      <c r="R300" s="1553"/>
      <c r="S300" s="1553"/>
      <c r="T300" s="1553"/>
      <c r="V300" s="1609"/>
      <c r="W300" s="1609"/>
      <c r="X300" s="1609"/>
      <c r="Y300" s="1609"/>
      <c r="Z300" s="1609"/>
      <c r="AA300" s="1609"/>
      <c r="AB300" s="1609"/>
      <c r="AC300" s="1609"/>
      <c r="AD300" s="1609"/>
      <c r="AE300" s="1609"/>
      <c r="AF300" s="1609"/>
      <c r="AG300" s="1609"/>
      <c r="AH300" s="1609"/>
      <c r="AI300" s="1609"/>
      <c r="AJ300" s="1609"/>
      <c r="AK300" s="1609"/>
      <c r="AL300" s="1609"/>
      <c r="AM300" s="1609"/>
      <c r="AN300" s="1609"/>
      <c r="AO300" s="1609"/>
      <c r="AP300" s="1609"/>
      <c r="AQ300" s="1609"/>
    </row>
    <row r="301" spans="1:43" ht="15.75">
      <c r="A301" s="2717" t="s">
        <v>2005</v>
      </c>
      <c r="B301" s="2718"/>
      <c r="C301" s="2718"/>
      <c r="D301" s="2718"/>
      <c r="E301" s="1303"/>
      <c r="F301" s="2739" t="s">
        <v>2298</v>
      </c>
      <c r="G301" s="2740"/>
      <c r="H301" s="1303"/>
      <c r="I301" s="1303"/>
      <c r="J301" s="1303"/>
      <c r="K301" s="1303"/>
      <c r="L301" s="1303"/>
      <c r="M301" s="1303"/>
      <c r="N301" s="1303"/>
      <c r="O301" s="1303"/>
      <c r="P301" s="1303"/>
      <c r="Q301" s="1553"/>
      <c r="R301" s="1553"/>
      <c r="S301" s="1553"/>
      <c r="T301" s="1553"/>
      <c r="V301" s="1609"/>
      <c r="W301" s="1609"/>
      <c r="X301" s="1609"/>
      <c r="Y301" s="1609"/>
      <c r="Z301" s="1609"/>
      <c r="AA301" s="1609"/>
      <c r="AB301" s="1609"/>
      <c r="AC301" s="1609"/>
      <c r="AD301" s="1609"/>
      <c r="AE301" s="1609"/>
      <c r="AF301" s="1609"/>
      <c r="AG301" s="1609"/>
      <c r="AH301" s="1609"/>
      <c r="AI301" s="1609"/>
      <c r="AJ301" s="1609"/>
      <c r="AK301" s="1609"/>
      <c r="AL301" s="1609"/>
      <c r="AM301" s="1609"/>
      <c r="AN301" s="1609"/>
      <c r="AO301" s="1609"/>
      <c r="AP301" s="1609"/>
      <c r="AQ301" s="1609"/>
    </row>
    <row r="302" spans="1:43">
      <c r="A302" s="1620" t="s">
        <v>1796</v>
      </c>
      <c r="B302" s="1620" t="s">
        <v>2004</v>
      </c>
      <c r="C302" s="1620" t="s">
        <v>1791</v>
      </c>
      <c r="D302" s="1620" t="s">
        <v>2008</v>
      </c>
      <c r="E302" s="1303" t="s">
        <v>2368</v>
      </c>
      <c r="F302" s="1981" t="s">
        <v>2045</v>
      </c>
      <c r="G302" s="1982" t="s">
        <v>1608</v>
      </c>
      <c r="H302" s="1303"/>
      <c r="I302" s="1303"/>
      <c r="J302" s="1303"/>
      <c r="K302" s="1303"/>
      <c r="L302" s="1303"/>
      <c r="M302" s="1303"/>
      <c r="N302" s="1303"/>
      <c r="O302" s="1303"/>
      <c r="P302" s="1303"/>
      <c r="Q302" s="1553"/>
      <c r="R302" s="1553"/>
      <c r="S302" s="1553"/>
      <c r="T302" s="1553"/>
      <c r="V302" s="1609"/>
      <c r="W302" s="1609"/>
      <c r="X302" s="1609"/>
      <c r="Y302" s="1609"/>
      <c r="Z302" s="1609"/>
      <c r="AA302" s="1609"/>
      <c r="AB302" s="1609"/>
      <c r="AC302" s="1609"/>
      <c r="AD302" s="1609"/>
      <c r="AE302" s="1609"/>
      <c r="AF302" s="1609"/>
      <c r="AG302" s="1609"/>
      <c r="AH302" s="1609"/>
      <c r="AI302" s="1609"/>
      <c r="AJ302" s="1609"/>
      <c r="AK302" s="1609"/>
      <c r="AL302" s="1609"/>
      <c r="AM302" s="1609"/>
      <c r="AN302" s="1609"/>
      <c r="AO302" s="1609"/>
      <c r="AP302" s="1609"/>
      <c r="AQ302" s="1609"/>
    </row>
    <row r="303" spans="1:43">
      <c r="A303" s="1620" t="str">
        <f t="shared" ref="A303:B317" si="47">A281</f>
        <v>B1</v>
      </c>
      <c r="B303" s="2014">
        <f t="shared" si="47"/>
        <v>0</v>
      </c>
      <c r="C303" s="2014">
        <f>F303*G303-H303*I303</f>
        <v>0.18</v>
      </c>
      <c r="D303" s="2014">
        <f>B303*C303</f>
        <v>0</v>
      </c>
      <c r="E303" s="1303">
        <f>B303*F303</f>
        <v>0</v>
      </c>
      <c r="F303" s="1983">
        <v>0.3</v>
      </c>
      <c r="G303" s="1984">
        <v>0.6</v>
      </c>
      <c r="H303" s="1303"/>
      <c r="I303" s="1303"/>
      <c r="J303" s="1303"/>
      <c r="K303" s="1303"/>
      <c r="L303" s="1303"/>
      <c r="M303" s="1303"/>
      <c r="N303" s="1303"/>
      <c r="O303" s="1303"/>
      <c r="P303" s="1303"/>
      <c r="Q303" s="1553"/>
      <c r="R303" s="1553"/>
      <c r="S303" s="1553"/>
      <c r="T303" s="1553"/>
      <c r="V303" s="1609"/>
      <c r="W303" s="1609"/>
      <c r="X303" s="1609"/>
      <c r="Y303" s="1609"/>
      <c r="Z303" s="1609"/>
      <c r="AA303" s="1609"/>
      <c r="AB303" s="1609"/>
      <c r="AC303" s="1609"/>
      <c r="AD303" s="1609"/>
      <c r="AE303" s="1609"/>
      <c r="AF303" s="1609"/>
      <c r="AG303" s="1609"/>
      <c r="AH303" s="1609"/>
      <c r="AI303" s="1609"/>
      <c r="AJ303" s="1609"/>
      <c r="AK303" s="1609"/>
      <c r="AL303" s="1609"/>
      <c r="AM303" s="1609"/>
      <c r="AN303" s="1609"/>
      <c r="AO303" s="1609"/>
      <c r="AP303" s="1609"/>
      <c r="AQ303" s="1609"/>
    </row>
    <row r="304" spans="1:43">
      <c r="A304" s="1620" t="str">
        <f t="shared" si="47"/>
        <v>B2</v>
      </c>
      <c r="B304" s="2014">
        <f t="shared" si="47"/>
        <v>0</v>
      </c>
      <c r="C304" s="2014">
        <f t="shared" ref="C304:C318" si="48">F304*G304-H304*I304</f>
        <v>0.19999999999999998</v>
      </c>
      <c r="D304" s="2014">
        <f t="shared" ref="D304:D318" si="49">B304*C304</f>
        <v>0</v>
      </c>
      <c r="E304" s="1303">
        <f t="shared" ref="E304:E318" si="50">B304*F304</f>
        <v>0</v>
      </c>
      <c r="F304" s="1983">
        <v>0.3</v>
      </c>
      <c r="G304" s="1985">
        <v>0.8</v>
      </c>
      <c r="H304" s="1303">
        <v>0.2</v>
      </c>
      <c r="I304" s="1303">
        <v>0.2</v>
      </c>
      <c r="J304" s="1303">
        <f>G304-I304</f>
        <v>0.60000000000000009</v>
      </c>
      <c r="K304" s="1303"/>
      <c r="L304" s="1303"/>
      <c r="M304" s="1303"/>
      <c r="N304" s="1303"/>
      <c r="O304" s="1303"/>
      <c r="P304" s="1303"/>
      <c r="Q304" s="1553"/>
      <c r="R304" s="1553"/>
      <c r="S304" s="1553"/>
      <c r="T304" s="1553"/>
      <c r="V304" s="1609"/>
      <c r="W304" s="1609"/>
      <c r="X304" s="1609"/>
      <c r="Y304" s="1609"/>
      <c r="Z304" s="1609"/>
      <c r="AA304" s="1609"/>
      <c r="AB304" s="1609"/>
      <c r="AC304" s="1609"/>
      <c r="AD304" s="1609"/>
      <c r="AE304" s="1609"/>
      <c r="AF304" s="1609"/>
      <c r="AG304" s="1609"/>
      <c r="AH304" s="1609"/>
      <c r="AI304" s="1609"/>
      <c r="AJ304" s="1609"/>
      <c r="AK304" s="1609"/>
      <c r="AL304" s="1609"/>
      <c r="AM304" s="1609"/>
      <c r="AN304" s="1609"/>
      <c r="AO304" s="1609"/>
      <c r="AP304" s="1609"/>
      <c r="AQ304" s="1609"/>
    </row>
    <row r="305" spans="1:43">
      <c r="A305" s="1620" t="str">
        <f t="shared" si="47"/>
        <v>B3</v>
      </c>
      <c r="B305" s="2014">
        <f t="shared" si="47"/>
        <v>0</v>
      </c>
      <c r="C305" s="2014">
        <f t="shared" si="48"/>
        <v>0.125</v>
      </c>
      <c r="D305" s="2014">
        <f t="shared" si="49"/>
        <v>0</v>
      </c>
      <c r="E305" s="1303">
        <f t="shared" si="50"/>
        <v>0</v>
      </c>
      <c r="F305" s="1983">
        <v>0.25</v>
      </c>
      <c r="G305" s="1985">
        <v>0.5</v>
      </c>
      <c r="H305" s="1303"/>
      <c r="I305" s="1303"/>
      <c r="J305" s="1303"/>
      <c r="K305" s="1303"/>
      <c r="L305" s="1303"/>
      <c r="M305" s="1303"/>
      <c r="N305" s="1303"/>
      <c r="O305" s="1303"/>
      <c r="P305" s="1303"/>
      <c r="Q305" s="1553"/>
      <c r="R305" s="1553"/>
      <c r="S305" s="1553"/>
      <c r="T305" s="1553"/>
      <c r="V305" s="1609"/>
      <c r="W305" s="1609"/>
      <c r="X305" s="1609"/>
      <c r="Y305" s="1609"/>
      <c r="Z305" s="1609"/>
      <c r="AA305" s="1609"/>
      <c r="AB305" s="1609"/>
      <c r="AC305" s="1609"/>
      <c r="AD305" s="1609"/>
      <c r="AE305" s="1609"/>
      <c r="AF305" s="1609"/>
      <c r="AG305" s="1609"/>
      <c r="AH305" s="1609"/>
      <c r="AI305" s="1609"/>
      <c r="AJ305" s="1609"/>
      <c r="AK305" s="1609"/>
      <c r="AL305" s="1609"/>
      <c r="AM305" s="1609"/>
      <c r="AN305" s="1609"/>
      <c r="AO305" s="1609"/>
      <c r="AP305" s="1609"/>
      <c r="AQ305" s="1609"/>
    </row>
    <row r="306" spans="1:43">
      <c r="A306" s="1620" t="str">
        <f t="shared" si="47"/>
        <v>B4</v>
      </c>
      <c r="B306" s="2014">
        <f t="shared" si="47"/>
        <v>6</v>
      </c>
      <c r="C306" s="2014">
        <f t="shared" si="48"/>
        <v>8.0000000000000016E-2</v>
      </c>
      <c r="D306" s="2014">
        <f t="shared" si="49"/>
        <v>0.48000000000000009</v>
      </c>
      <c r="E306" s="1303">
        <f t="shared" si="50"/>
        <v>1.2000000000000002</v>
      </c>
      <c r="F306" s="1983">
        <v>0.2</v>
      </c>
      <c r="G306" s="1985">
        <v>0.4</v>
      </c>
      <c r="H306" s="1303"/>
      <c r="I306" s="1303"/>
      <c r="J306" s="1303"/>
      <c r="K306" s="1303"/>
      <c r="L306" s="1303"/>
      <c r="M306" s="1303"/>
      <c r="N306" s="1303"/>
      <c r="O306" s="1303"/>
      <c r="P306" s="1303"/>
      <c r="Q306" s="1553"/>
      <c r="R306" s="1553"/>
      <c r="S306" s="1553"/>
      <c r="T306" s="1553"/>
      <c r="V306" s="1609"/>
      <c r="W306" s="1609"/>
      <c r="X306" s="1609"/>
      <c r="Y306" s="1609"/>
      <c r="Z306" s="1609"/>
      <c r="AA306" s="1609"/>
      <c r="AB306" s="1609"/>
      <c r="AC306" s="1609"/>
      <c r="AD306" s="1609"/>
      <c r="AE306" s="1609"/>
      <c r="AF306" s="1609"/>
      <c r="AG306" s="1609"/>
      <c r="AH306" s="1609"/>
      <c r="AI306" s="1609"/>
      <c r="AJ306" s="1609"/>
      <c r="AK306" s="1609"/>
      <c r="AL306" s="1609"/>
      <c r="AM306" s="1609"/>
      <c r="AN306" s="1609"/>
      <c r="AO306" s="1609"/>
      <c r="AP306" s="1609"/>
      <c r="AQ306" s="1609"/>
    </row>
    <row r="307" spans="1:43">
      <c r="A307" s="1620" t="str">
        <f t="shared" si="47"/>
        <v>B5</v>
      </c>
      <c r="B307" s="2014">
        <f t="shared" si="47"/>
        <v>26</v>
      </c>
      <c r="C307" s="2014">
        <f t="shared" si="48"/>
        <v>0.06</v>
      </c>
      <c r="D307" s="2014">
        <f t="shared" si="49"/>
        <v>1.56</v>
      </c>
      <c r="E307" s="1303">
        <f t="shared" si="50"/>
        <v>3.9</v>
      </c>
      <c r="F307" s="1983">
        <v>0.15</v>
      </c>
      <c r="G307" s="1985">
        <v>0.4</v>
      </c>
      <c r="H307" s="1303"/>
      <c r="I307" s="1303"/>
      <c r="J307" s="1303"/>
      <c r="K307" s="1303"/>
      <c r="L307" s="1303"/>
      <c r="M307" s="1303"/>
      <c r="N307" s="1303"/>
      <c r="O307" s="1303"/>
      <c r="P307" s="1303"/>
      <c r="Q307" s="1553"/>
      <c r="R307" s="1553"/>
      <c r="S307" s="1553"/>
      <c r="T307" s="1553"/>
      <c r="V307" s="1609"/>
      <c r="W307" s="1609"/>
      <c r="X307" s="1609"/>
      <c r="Y307" s="1609"/>
      <c r="Z307" s="1609"/>
      <c r="AA307" s="1609"/>
      <c r="AB307" s="1609"/>
      <c r="AC307" s="1609"/>
      <c r="AD307" s="1609"/>
      <c r="AE307" s="1609"/>
      <c r="AF307" s="1609"/>
      <c r="AG307" s="1609"/>
      <c r="AH307" s="1609"/>
      <c r="AI307" s="1609"/>
      <c r="AJ307" s="1609"/>
      <c r="AK307" s="1609"/>
      <c r="AL307" s="1609"/>
      <c r="AM307" s="1609"/>
      <c r="AN307" s="1609"/>
      <c r="AO307" s="1609"/>
      <c r="AP307" s="1609"/>
      <c r="AQ307" s="1609"/>
    </row>
    <row r="308" spans="1:43" ht="15" customHeight="1">
      <c r="A308" s="1620" t="str">
        <f t="shared" si="47"/>
        <v>B6</v>
      </c>
      <c r="B308" s="2014">
        <f t="shared" si="47"/>
        <v>0</v>
      </c>
      <c r="C308" s="2014">
        <f t="shared" si="48"/>
        <v>0.12000000000000002</v>
      </c>
      <c r="D308" s="2014">
        <f t="shared" si="49"/>
        <v>0</v>
      </c>
      <c r="E308" s="1303">
        <f t="shared" si="50"/>
        <v>0</v>
      </c>
      <c r="F308" s="1983">
        <v>0.2</v>
      </c>
      <c r="G308" s="1985">
        <v>0.8</v>
      </c>
      <c r="H308" s="1303">
        <v>0.1</v>
      </c>
      <c r="I308" s="1303">
        <v>0.4</v>
      </c>
      <c r="J308" s="1303">
        <f>G308-I308</f>
        <v>0.4</v>
      </c>
      <c r="K308" s="1303"/>
      <c r="L308" s="1303"/>
      <c r="M308" s="1303"/>
      <c r="N308" s="1303"/>
      <c r="O308" s="1303"/>
      <c r="P308" s="1303"/>
      <c r="Q308" s="1553"/>
      <c r="R308" s="1553"/>
      <c r="S308" s="1553"/>
      <c r="T308" s="1553"/>
      <c r="V308" s="1609"/>
      <c r="W308" s="1609"/>
      <c r="X308" s="1609"/>
      <c r="Y308" s="1609"/>
      <c r="Z308" s="1609"/>
      <c r="AA308" s="1609"/>
      <c r="AB308" s="1609"/>
      <c r="AC308" s="1609"/>
      <c r="AD308" s="1609"/>
      <c r="AE308" s="1609"/>
      <c r="AF308" s="1609"/>
      <c r="AG308" s="1609"/>
      <c r="AH308" s="1609"/>
      <c r="AI308" s="1609"/>
      <c r="AJ308" s="1609"/>
      <c r="AK308" s="1609"/>
      <c r="AL308" s="1609"/>
      <c r="AM308" s="1609"/>
      <c r="AN308" s="1609"/>
      <c r="AO308" s="1609"/>
      <c r="AP308" s="1609"/>
      <c r="AQ308" s="1609"/>
    </row>
    <row r="309" spans="1:43" ht="15" customHeight="1">
      <c r="A309" s="1620" t="str">
        <f t="shared" si="47"/>
        <v>B7</v>
      </c>
      <c r="B309" s="2014">
        <f t="shared" si="47"/>
        <v>0</v>
      </c>
      <c r="C309" s="2014">
        <f t="shared" si="48"/>
        <v>0.15500000000000003</v>
      </c>
      <c r="D309" s="2014">
        <f t="shared" si="49"/>
        <v>0</v>
      </c>
      <c r="E309" s="1303">
        <f t="shared" si="50"/>
        <v>0</v>
      </c>
      <c r="F309" s="1983">
        <v>0.25</v>
      </c>
      <c r="G309" s="1985">
        <v>0.8</v>
      </c>
      <c r="H309" s="1303">
        <v>0.15</v>
      </c>
      <c r="I309" s="1303">
        <v>0.3</v>
      </c>
      <c r="J309" s="1303">
        <f>G309-I309</f>
        <v>0.5</v>
      </c>
      <c r="K309" s="1303"/>
      <c r="L309" s="1303"/>
      <c r="M309" s="1303"/>
      <c r="N309" s="1303"/>
      <c r="O309" s="1303"/>
      <c r="P309" s="1303"/>
      <c r="Q309" s="1553"/>
      <c r="R309" s="1553"/>
      <c r="S309" s="1553"/>
      <c r="T309" s="1553"/>
      <c r="V309" s="1609"/>
      <c r="W309" s="1609"/>
      <c r="X309" s="1609"/>
      <c r="Y309" s="1609"/>
      <c r="Z309" s="1609"/>
      <c r="AA309" s="1609"/>
      <c r="AB309" s="1609"/>
      <c r="AC309" s="1609"/>
      <c r="AD309" s="1609"/>
      <c r="AE309" s="1609"/>
      <c r="AF309" s="1609"/>
      <c r="AG309" s="1609"/>
      <c r="AH309" s="1609"/>
      <c r="AI309" s="1609"/>
      <c r="AJ309" s="1609"/>
      <c r="AK309" s="1609"/>
      <c r="AL309" s="1609"/>
      <c r="AM309" s="1609"/>
      <c r="AN309" s="1609"/>
      <c r="AO309" s="1609"/>
      <c r="AP309" s="1609"/>
      <c r="AQ309" s="1609"/>
    </row>
    <row r="310" spans="1:43" ht="15" customHeight="1">
      <c r="A310" s="1620" t="str">
        <f t="shared" si="47"/>
        <v>B8</v>
      </c>
      <c r="B310" s="2014">
        <f t="shared" si="47"/>
        <v>0</v>
      </c>
      <c r="C310" s="2014">
        <f t="shared" si="48"/>
        <v>4.4999999999999998E-2</v>
      </c>
      <c r="D310" s="2014">
        <f t="shared" si="49"/>
        <v>0</v>
      </c>
      <c r="E310" s="1303">
        <f t="shared" si="50"/>
        <v>0</v>
      </c>
      <c r="F310" s="1983">
        <v>0.15</v>
      </c>
      <c r="G310" s="1985">
        <v>0.3</v>
      </c>
      <c r="H310" s="1303"/>
      <c r="I310" s="1303"/>
      <c r="J310" s="1303"/>
      <c r="K310" s="1303"/>
      <c r="L310" s="1303"/>
      <c r="M310" s="1303"/>
      <c r="N310" s="1303"/>
      <c r="O310" s="1303"/>
      <c r="P310" s="1303"/>
      <c r="Q310" s="1553"/>
      <c r="R310" s="1553"/>
      <c r="S310" s="1553"/>
      <c r="T310" s="1553"/>
      <c r="V310" s="1609"/>
      <c r="W310" s="1609"/>
      <c r="X310" s="1609"/>
      <c r="Y310" s="1609"/>
      <c r="Z310" s="1609"/>
      <c r="AA310" s="1609"/>
      <c r="AB310" s="1609"/>
      <c r="AC310" s="1609"/>
      <c r="AD310" s="1609"/>
      <c r="AE310" s="1609"/>
      <c r="AF310" s="1609"/>
      <c r="AG310" s="1609"/>
      <c r="AH310" s="1609"/>
      <c r="AI310" s="1609"/>
      <c r="AJ310" s="1609"/>
      <c r="AK310" s="1609"/>
      <c r="AL310" s="1609"/>
      <c r="AM310" s="1609"/>
      <c r="AN310" s="1609"/>
      <c r="AO310" s="1609"/>
      <c r="AP310" s="1609"/>
      <c r="AQ310" s="1609"/>
    </row>
    <row r="311" spans="1:43">
      <c r="A311" s="1620" t="str">
        <f t="shared" si="47"/>
        <v>B9</v>
      </c>
      <c r="B311" s="2014">
        <f t="shared" si="47"/>
        <v>0</v>
      </c>
      <c r="C311" s="2014">
        <f t="shared" si="48"/>
        <v>9.9999999999999992E-2</v>
      </c>
      <c r="D311" s="2014">
        <f t="shared" si="49"/>
        <v>0</v>
      </c>
      <c r="E311" s="1303">
        <f t="shared" si="50"/>
        <v>0</v>
      </c>
      <c r="F311" s="1983">
        <v>0.15</v>
      </c>
      <c r="G311" s="1985">
        <v>0.8</v>
      </c>
      <c r="H311" s="1303">
        <v>0.05</v>
      </c>
      <c r="I311" s="1303">
        <v>0.4</v>
      </c>
      <c r="J311" s="1303">
        <f>G311-I311</f>
        <v>0.4</v>
      </c>
      <c r="K311" s="1303"/>
      <c r="L311" s="1303"/>
      <c r="M311" s="1303"/>
      <c r="N311" s="1303"/>
      <c r="O311" s="1303"/>
      <c r="P311" s="1303"/>
      <c r="Q311" s="1553"/>
      <c r="R311" s="1553"/>
      <c r="S311" s="1553"/>
      <c r="T311" s="1553"/>
      <c r="V311" s="1609"/>
      <c r="W311" s="1609"/>
      <c r="X311" s="1609"/>
      <c r="Y311" s="1609"/>
      <c r="Z311" s="1609"/>
      <c r="AA311" s="1609"/>
      <c r="AB311" s="1609"/>
      <c r="AC311" s="1609"/>
      <c r="AD311" s="1609"/>
      <c r="AE311" s="1609"/>
      <c r="AF311" s="1609"/>
      <c r="AG311" s="1609"/>
      <c r="AH311" s="1609"/>
      <c r="AI311" s="1609"/>
      <c r="AJ311" s="1609"/>
      <c r="AK311" s="1609"/>
      <c r="AL311" s="1609"/>
      <c r="AM311" s="1609"/>
      <c r="AN311" s="1609"/>
      <c r="AO311" s="1609"/>
      <c r="AP311" s="1609"/>
      <c r="AQ311" s="1609"/>
    </row>
    <row r="312" spans="1:43">
      <c r="A312" s="1620" t="str">
        <f t="shared" si="47"/>
        <v>B10</v>
      </c>
      <c r="B312" s="2014">
        <f t="shared" si="47"/>
        <v>0</v>
      </c>
      <c r="C312" s="2014">
        <f t="shared" si="48"/>
        <v>0.106</v>
      </c>
      <c r="D312" s="2014">
        <f t="shared" si="49"/>
        <v>0</v>
      </c>
      <c r="E312" s="1303">
        <f t="shared" si="50"/>
        <v>0</v>
      </c>
      <c r="F312" s="1983">
        <v>0.15</v>
      </c>
      <c r="G312" s="1985">
        <v>0.86</v>
      </c>
      <c r="H312" s="1303">
        <v>0.05</v>
      </c>
      <c r="I312" s="1303">
        <v>0.46</v>
      </c>
      <c r="J312" s="1303">
        <f>G312-I312</f>
        <v>0.39999999999999997</v>
      </c>
      <c r="K312" s="1303"/>
      <c r="L312" s="1303"/>
      <c r="M312" s="1303"/>
      <c r="N312" s="1303"/>
      <c r="O312" s="1303"/>
      <c r="P312" s="1303"/>
      <c r="Q312" s="1553"/>
      <c r="R312" s="1553"/>
      <c r="S312" s="1553"/>
      <c r="T312" s="1553"/>
      <c r="V312" s="1609"/>
      <c r="W312" s="2716"/>
      <c r="X312" s="2716"/>
      <c r="Y312" s="2716"/>
      <c r="Z312" s="2716"/>
      <c r="AA312" s="1609"/>
      <c r="AB312" s="1609"/>
      <c r="AC312" s="1609"/>
      <c r="AD312" s="1609"/>
      <c r="AE312" s="1609"/>
      <c r="AF312" s="1609"/>
      <c r="AG312" s="1609"/>
      <c r="AH312" s="1609"/>
      <c r="AI312" s="1609"/>
      <c r="AJ312" s="1609"/>
      <c r="AK312" s="1609"/>
      <c r="AL312" s="1609"/>
      <c r="AM312" s="1609"/>
      <c r="AN312" s="1609"/>
      <c r="AO312" s="1609"/>
      <c r="AP312" s="1609"/>
      <c r="AQ312" s="1609"/>
    </row>
    <row r="313" spans="1:43">
      <c r="A313" s="1620" t="str">
        <f t="shared" si="47"/>
        <v>B11</v>
      </c>
      <c r="B313" s="2014">
        <f t="shared" si="47"/>
        <v>20</v>
      </c>
      <c r="C313" s="2014">
        <f t="shared" si="48"/>
        <v>0.10999999999999999</v>
      </c>
      <c r="D313" s="2014">
        <f t="shared" si="49"/>
        <v>2.1999999999999997</v>
      </c>
      <c r="E313" s="1303">
        <f t="shared" si="50"/>
        <v>4</v>
      </c>
      <c r="F313" s="1983">
        <v>0.2</v>
      </c>
      <c r="G313" s="1985">
        <v>0.7</v>
      </c>
      <c r="H313" s="1303">
        <v>0.1</v>
      </c>
      <c r="I313" s="1303">
        <v>0.3</v>
      </c>
      <c r="J313" s="1303">
        <f>G313-I313</f>
        <v>0.39999999999999997</v>
      </c>
      <c r="K313" s="1303"/>
      <c r="L313" s="1303"/>
      <c r="M313" s="1303"/>
      <c r="N313" s="1303"/>
      <c r="O313" s="1303"/>
      <c r="P313" s="1303"/>
      <c r="Q313" s="1553"/>
      <c r="R313" s="1553"/>
      <c r="S313" s="1553"/>
      <c r="T313" s="1553"/>
      <c r="V313" s="1609"/>
      <c r="W313" s="1609"/>
      <c r="X313" s="1609"/>
      <c r="Y313" s="1609"/>
      <c r="Z313" s="1609"/>
      <c r="AA313" s="1609"/>
      <c r="AB313" s="1609"/>
      <c r="AC313" s="1609"/>
      <c r="AD313" s="1609"/>
      <c r="AE313" s="1609"/>
      <c r="AF313" s="1609"/>
      <c r="AG313" s="1609"/>
      <c r="AH313" s="1609"/>
      <c r="AI313" s="1609"/>
      <c r="AJ313" s="1609"/>
      <c r="AK313" s="1609"/>
      <c r="AL313" s="1609"/>
      <c r="AM313" s="1609"/>
      <c r="AN313" s="1609"/>
      <c r="AO313" s="1609"/>
      <c r="AP313" s="1609"/>
      <c r="AQ313" s="1609"/>
    </row>
    <row r="314" spans="1:43" s="1716" customFormat="1">
      <c r="A314" s="1918" t="str">
        <f t="shared" si="47"/>
        <v>B12</v>
      </c>
      <c r="B314" s="2014">
        <f t="shared" si="47"/>
        <v>0</v>
      </c>
      <c r="C314" s="2014">
        <f t="shared" si="48"/>
        <v>0</v>
      </c>
      <c r="D314" s="2014">
        <f>B314*C314</f>
        <v>0</v>
      </c>
      <c r="E314" s="1303">
        <f t="shared" si="50"/>
        <v>0</v>
      </c>
      <c r="F314" s="1983"/>
      <c r="G314" s="1985"/>
      <c r="H314" s="1303"/>
      <c r="I314" s="1303"/>
      <c r="J314" s="1303"/>
      <c r="K314" s="1303"/>
      <c r="L314" s="1303"/>
      <c r="M314" s="1303"/>
      <c r="N314" s="1303"/>
      <c r="O314" s="1303"/>
      <c r="P314" s="1303"/>
      <c r="V314" s="1919"/>
      <c r="W314" s="1919"/>
      <c r="X314" s="1919"/>
      <c r="Y314" s="1919"/>
      <c r="Z314" s="1919"/>
      <c r="AA314" s="1919"/>
      <c r="AB314" s="1919"/>
      <c r="AC314" s="1919"/>
      <c r="AD314" s="1919"/>
      <c r="AE314" s="1919"/>
      <c r="AF314" s="1919"/>
      <c r="AG314" s="1919"/>
      <c r="AH314" s="1919"/>
      <c r="AI314" s="1919"/>
      <c r="AJ314" s="1919"/>
      <c r="AK314" s="1919"/>
      <c r="AL314" s="1919"/>
      <c r="AM314" s="1919"/>
      <c r="AN314" s="1919"/>
      <c r="AO314" s="1919"/>
      <c r="AP314" s="1919"/>
      <c r="AQ314" s="1919"/>
    </row>
    <row r="315" spans="1:43" s="1716" customFormat="1">
      <c r="A315" s="1945" t="str">
        <f t="shared" si="47"/>
        <v>B13</v>
      </c>
      <c r="B315" s="2014">
        <f t="shared" si="47"/>
        <v>0</v>
      </c>
      <c r="C315" s="2014">
        <f t="shared" si="48"/>
        <v>0</v>
      </c>
      <c r="D315" s="2014">
        <f>B315*C315</f>
        <v>0</v>
      </c>
      <c r="E315" s="1303">
        <f t="shared" si="50"/>
        <v>0</v>
      </c>
      <c r="F315" s="1983"/>
      <c r="G315" s="1985"/>
      <c r="H315" s="1303"/>
      <c r="I315" s="1303"/>
      <c r="J315" s="1303"/>
      <c r="K315" s="1303"/>
      <c r="L315" s="1303"/>
      <c r="M315" s="1303"/>
      <c r="N315" s="1303"/>
      <c r="O315" s="1303"/>
      <c r="P315" s="1303"/>
      <c r="V315" s="1944"/>
      <c r="W315" s="2716"/>
      <c r="X315" s="2716"/>
      <c r="Y315" s="2716"/>
      <c r="Z315" s="2716"/>
      <c r="AA315" s="1944"/>
      <c r="AB315" s="1944"/>
      <c r="AC315" s="1944"/>
      <c r="AD315" s="1944"/>
      <c r="AE315" s="1944"/>
      <c r="AF315" s="1944"/>
      <c r="AG315" s="1944"/>
      <c r="AH315" s="1944"/>
      <c r="AI315" s="1944"/>
      <c r="AJ315" s="1944"/>
      <c r="AK315" s="1944"/>
      <c r="AL315" s="1944"/>
      <c r="AM315" s="1944"/>
      <c r="AN315" s="1944"/>
      <c r="AO315" s="1944"/>
      <c r="AP315" s="1944"/>
      <c r="AQ315" s="1944"/>
    </row>
    <row r="316" spans="1:43" s="1716" customFormat="1">
      <c r="A316" s="1945" t="str">
        <f t="shared" si="47"/>
        <v>B14</v>
      </c>
      <c r="B316" s="2014">
        <f t="shared" si="47"/>
        <v>0</v>
      </c>
      <c r="C316" s="2014">
        <f t="shared" si="48"/>
        <v>0</v>
      </c>
      <c r="D316" s="2014">
        <f>B316*C316</f>
        <v>0</v>
      </c>
      <c r="E316" s="1303">
        <f t="shared" si="50"/>
        <v>0</v>
      </c>
      <c r="F316" s="1983"/>
      <c r="G316" s="1985"/>
      <c r="H316" s="1303"/>
      <c r="I316" s="1303"/>
      <c r="J316" s="1303"/>
      <c r="K316" s="1303"/>
      <c r="L316" s="1303"/>
      <c r="M316" s="1303"/>
      <c r="N316" s="1303"/>
      <c r="O316" s="1303"/>
      <c r="P316" s="1303"/>
      <c r="V316" s="1944"/>
      <c r="W316" s="1944"/>
      <c r="X316" s="1944"/>
      <c r="Y316" s="1944"/>
      <c r="Z316" s="1944"/>
      <c r="AA316" s="1944"/>
      <c r="AB316" s="1944"/>
      <c r="AC316" s="1944"/>
      <c r="AD316" s="1944"/>
      <c r="AE316" s="1944"/>
      <c r="AF316" s="1944"/>
      <c r="AG316" s="1944"/>
      <c r="AH316" s="1944"/>
      <c r="AI316" s="1944"/>
      <c r="AJ316" s="1944"/>
      <c r="AK316" s="1944"/>
      <c r="AL316" s="1944"/>
      <c r="AM316" s="1944"/>
      <c r="AN316" s="1944"/>
      <c r="AO316" s="1944"/>
      <c r="AP316" s="1944"/>
      <c r="AQ316" s="1944"/>
    </row>
    <row r="317" spans="1:43" s="1716" customFormat="1">
      <c r="A317" s="1945" t="str">
        <f t="shared" si="47"/>
        <v>B15</v>
      </c>
      <c r="B317" s="2014">
        <f t="shared" si="47"/>
        <v>0</v>
      </c>
      <c r="C317" s="2014">
        <f t="shared" si="48"/>
        <v>0</v>
      </c>
      <c r="D317" s="2014">
        <f>B317*C317</f>
        <v>0</v>
      </c>
      <c r="E317" s="1303">
        <f t="shared" si="50"/>
        <v>0</v>
      </c>
      <c r="F317" s="1983"/>
      <c r="G317" s="1985"/>
      <c r="H317" s="1303"/>
      <c r="I317" s="1303"/>
      <c r="J317" s="1303"/>
      <c r="K317" s="1303"/>
      <c r="L317" s="1303"/>
      <c r="M317" s="1303"/>
      <c r="N317" s="1303"/>
      <c r="O317" s="1303"/>
      <c r="P317" s="1303"/>
      <c r="V317" s="1944"/>
      <c r="W317" s="1944"/>
      <c r="X317" s="1944"/>
      <c r="Y317" s="1944"/>
      <c r="Z317" s="1944"/>
      <c r="AA317" s="1944"/>
      <c r="AB317" s="1944"/>
      <c r="AC317" s="1944"/>
      <c r="AD317" s="1944"/>
      <c r="AE317" s="1944"/>
      <c r="AF317" s="1944"/>
      <c r="AG317" s="1944"/>
      <c r="AH317" s="1944"/>
      <c r="AI317" s="1944"/>
      <c r="AJ317" s="1944"/>
      <c r="AK317" s="1944"/>
      <c r="AL317" s="1944"/>
      <c r="AM317" s="1944"/>
      <c r="AN317" s="1944"/>
      <c r="AO317" s="1944"/>
      <c r="AP317" s="1944"/>
      <c r="AQ317" s="1944"/>
    </row>
    <row r="318" spans="1:43" ht="15" thickBot="1">
      <c r="A318" s="1620" t="str">
        <f>A296</f>
        <v>RB</v>
      </c>
      <c r="B318" s="2014">
        <f>B296</f>
        <v>0</v>
      </c>
      <c r="C318" s="2014">
        <f t="shared" si="48"/>
        <v>2.4E-2</v>
      </c>
      <c r="D318" s="2015">
        <f t="shared" si="49"/>
        <v>0</v>
      </c>
      <c r="E318" s="1303">
        <f t="shared" si="50"/>
        <v>0</v>
      </c>
      <c r="F318" s="1986">
        <v>0.12</v>
      </c>
      <c r="G318" s="1987">
        <v>0.2</v>
      </c>
      <c r="H318" s="1303"/>
      <c r="I318" s="1303"/>
      <c r="J318" s="1303"/>
      <c r="K318" s="1303"/>
      <c r="L318" s="1303"/>
      <c r="M318" s="1303"/>
      <c r="N318" s="1303"/>
      <c r="O318" s="1303"/>
      <c r="P318" s="1303"/>
      <c r="Q318" s="1553"/>
      <c r="R318" s="1553"/>
      <c r="S318" s="1553"/>
      <c r="T318" s="1553"/>
      <c r="V318" s="1609"/>
      <c r="W318" s="1609"/>
      <c r="X318" s="1609"/>
      <c r="Y318" s="1609"/>
      <c r="Z318" s="1609"/>
      <c r="AA318" s="1609"/>
      <c r="AB318" s="1609"/>
      <c r="AC318" s="1609"/>
      <c r="AD318" s="1609"/>
      <c r="AE318" s="1609"/>
      <c r="AF318" s="1609"/>
      <c r="AG318" s="1609"/>
      <c r="AH318" s="1609"/>
      <c r="AI318" s="1609"/>
      <c r="AJ318" s="1609"/>
      <c r="AK318" s="1609"/>
      <c r="AL318" s="1609"/>
      <c r="AM318" s="1609"/>
      <c r="AN318" s="1609"/>
      <c r="AO318" s="1609"/>
      <c r="AP318" s="1609"/>
      <c r="AQ318" s="1609"/>
    </row>
    <row r="319" spans="1:43" ht="15">
      <c r="C319" s="1738" t="s">
        <v>2078</v>
      </c>
      <c r="D319" s="1881">
        <f>SUM(D303:D318)</f>
        <v>4.24</v>
      </c>
      <c r="E319" s="1962">
        <f>SUM(E303:E318)</f>
        <v>9.1</v>
      </c>
      <c r="F319" s="1303"/>
      <c r="G319" s="1303"/>
      <c r="H319" s="1303"/>
      <c r="I319" s="1303"/>
      <c r="J319" s="1303"/>
      <c r="K319" s="1303"/>
      <c r="L319" s="1303"/>
      <c r="M319" s="1303"/>
      <c r="N319" s="1303"/>
      <c r="O319" s="1303"/>
      <c r="P319" s="1303"/>
      <c r="Q319" s="1553"/>
      <c r="R319" s="1553"/>
      <c r="S319" s="1553"/>
      <c r="T319" s="1553"/>
      <c r="V319" s="1609"/>
      <c r="W319" s="1609"/>
      <c r="X319" s="1609"/>
      <c r="Y319" s="1609"/>
      <c r="Z319" s="1609"/>
      <c r="AA319" s="1609"/>
      <c r="AB319" s="1609"/>
      <c r="AC319" s="1609"/>
      <c r="AD319" s="1609"/>
      <c r="AE319" s="1609"/>
      <c r="AF319" s="1609"/>
      <c r="AG319" s="1609"/>
      <c r="AH319" s="1609"/>
      <c r="AI319" s="1609"/>
      <c r="AJ319" s="1609"/>
      <c r="AK319" s="1609"/>
      <c r="AL319" s="1609"/>
      <c r="AM319" s="1609"/>
      <c r="AN319" s="1609"/>
      <c r="AO319" s="1609"/>
      <c r="AP319" s="1609"/>
      <c r="AQ319" s="1609"/>
    </row>
    <row r="320" spans="1:43" s="1303" customFormat="1">
      <c r="V320" s="1806"/>
      <c r="W320" s="1806"/>
      <c r="X320" s="1806"/>
      <c r="Y320" s="1806"/>
      <c r="Z320" s="1806"/>
      <c r="AA320" s="1806"/>
      <c r="AB320" s="1806"/>
      <c r="AC320" s="1806"/>
      <c r="AD320" s="1806"/>
      <c r="AE320" s="1806"/>
      <c r="AF320" s="1806"/>
      <c r="AG320" s="1806"/>
      <c r="AH320" s="1806"/>
      <c r="AI320" s="1806"/>
      <c r="AJ320" s="1806"/>
      <c r="AK320" s="1806"/>
      <c r="AL320" s="1806"/>
      <c r="AM320" s="1806"/>
      <c r="AN320" s="1806"/>
      <c r="AO320" s="1806"/>
      <c r="AP320" s="1806"/>
      <c r="AQ320" s="1806"/>
    </row>
    <row r="321" spans="1:43">
      <c r="A321" s="2717" t="s">
        <v>2006</v>
      </c>
      <c r="B321" s="2718"/>
      <c r="C321" s="2718"/>
      <c r="D321" s="2718"/>
      <c r="E321" s="1303"/>
      <c r="F321" s="1303"/>
      <c r="G321" s="1303"/>
      <c r="H321" s="1303"/>
      <c r="I321" s="1303"/>
      <c r="J321" s="1303"/>
      <c r="K321" s="1303"/>
      <c r="L321" s="1303"/>
      <c r="M321" s="1303"/>
      <c r="N321" s="1303"/>
      <c r="O321" s="1303"/>
      <c r="P321" s="1303"/>
      <c r="Q321" s="1553"/>
      <c r="R321" s="1553"/>
      <c r="S321" s="1553"/>
      <c r="T321" s="1553"/>
      <c r="V321" s="1609"/>
      <c r="W321" s="1609"/>
      <c r="X321" s="1609"/>
      <c r="Y321" s="1609"/>
      <c r="Z321" s="1609"/>
      <c r="AA321" s="1609"/>
      <c r="AB321" s="1609"/>
      <c r="AC321" s="1609"/>
      <c r="AD321" s="1609"/>
      <c r="AE321" s="1609"/>
      <c r="AF321" s="1609"/>
      <c r="AG321" s="1609"/>
      <c r="AH321" s="1609"/>
      <c r="AI321" s="1609"/>
      <c r="AJ321" s="1609"/>
      <c r="AK321" s="1609"/>
      <c r="AL321" s="1609"/>
      <c r="AM321" s="1609"/>
      <c r="AN321" s="1609"/>
      <c r="AO321" s="1609"/>
      <c r="AP321" s="1609"/>
      <c r="AQ321" s="1609"/>
    </row>
    <row r="322" spans="1:43">
      <c r="A322" s="1620" t="s">
        <v>1796</v>
      </c>
      <c r="B322" s="1620" t="s">
        <v>2004</v>
      </c>
      <c r="C322" s="1620"/>
      <c r="D322" s="1620" t="s">
        <v>2007</v>
      </c>
      <c r="E322" s="1303"/>
      <c r="F322" s="1303"/>
      <c r="G322" s="1303"/>
      <c r="H322" s="1303"/>
      <c r="I322" s="1303"/>
      <c r="J322" s="1303"/>
      <c r="K322" s="1303"/>
      <c r="L322" s="1303"/>
      <c r="M322" s="1303"/>
      <c r="N322" s="1303"/>
      <c r="O322" s="1303"/>
      <c r="P322" s="1303"/>
      <c r="Q322" s="1553"/>
      <c r="R322" s="1553"/>
      <c r="S322" s="1553"/>
      <c r="T322" s="1553"/>
      <c r="V322" s="1609"/>
      <c r="W322" s="1609"/>
      <c r="X322" s="1609"/>
      <c r="Y322" s="1609"/>
      <c r="Z322" s="1609"/>
      <c r="AA322" s="1609"/>
      <c r="AB322" s="1609"/>
      <c r="AC322" s="1609"/>
      <c r="AD322" s="1609"/>
      <c r="AE322" s="1609"/>
      <c r="AF322" s="1609"/>
      <c r="AG322" s="1609"/>
      <c r="AH322" s="1609"/>
      <c r="AI322" s="1609"/>
      <c r="AJ322" s="1609"/>
      <c r="AK322" s="1609"/>
      <c r="AL322" s="1609"/>
      <c r="AM322" s="1609"/>
      <c r="AN322" s="1609"/>
      <c r="AO322" s="1609"/>
      <c r="AP322" s="1609"/>
      <c r="AQ322" s="1609"/>
    </row>
    <row r="323" spans="1:43">
      <c r="A323" s="1620" t="str">
        <f t="shared" ref="A323:B337" si="51">A303</f>
        <v>B1</v>
      </c>
      <c r="B323" s="1620">
        <f t="shared" si="51"/>
        <v>0</v>
      </c>
      <c r="C323" s="1875">
        <f>F303+G303*2</f>
        <v>1.5</v>
      </c>
      <c r="D323" s="1620">
        <f t="shared" ref="D323:D338" si="52">B323*C323</f>
        <v>0</v>
      </c>
      <c r="E323" s="1553"/>
      <c r="F323" s="1553"/>
      <c r="G323" s="1553"/>
      <c r="H323" s="1553"/>
      <c r="I323" s="1553"/>
      <c r="L323" s="1553"/>
      <c r="M323" s="1553"/>
      <c r="N323" s="1553"/>
      <c r="O323" s="1553"/>
      <c r="P323" s="1553"/>
      <c r="Q323" s="1553"/>
      <c r="R323" s="1553"/>
      <c r="S323" s="1553"/>
      <c r="T323" s="1553"/>
      <c r="V323" s="1609"/>
      <c r="W323" s="1609"/>
      <c r="X323" s="1609"/>
      <c r="Y323" s="1609"/>
      <c r="Z323" s="1609"/>
      <c r="AA323" s="1609"/>
      <c r="AB323" s="1609"/>
      <c r="AC323" s="1609"/>
      <c r="AD323" s="1609"/>
      <c r="AE323" s="1609"/>
      <c r="AF323" s="1609"/>
      <c r="AG323" s="1609"/>
      <c r="AH323" s="1609"/>
      <c r="AI323" s="1609"/>
      <c r="AJ323" s="1609"/>
      <c r="AK323" s="1609"/>
      <c r="AL323" s="1609"/>
      <c r="AM323" s="1609"/>
      <c r="AN323" s="1609"/>
      <c r="AO323" s="1609"/>
      <c r="AP323" s="1609"/>
      <c r="AQ323" s="1609"/>
    </row>
    <row r="324" spans="1:43">
      <c r="A324" s="1620" t="str">
        <f t="shared" si="51"/>
        <v>B2</v>
      </c>
      <c r="B324" s="1620">
        <f t="shared" si="51"/>
        <v>0</v>
      </c>
      <c r="C324" s="1953">
        <f t="shared" ref="C324:C338" si="53">F304+G304*2</f>
        <v>1.9000000000000001</v>
      </c>
      <c r="D324" s="1620">
        <f t="shared" si="52"/>
        <v>0</v>
      </c>
      <c r="E324" s="1553"/>
      <c r="F324" s="1553"/>
      <c r="G324" s="1553"/>
      <c r="H324" s="1553"/>
      <c r="I324" s="1553"/>
      <c r="L324" s="1553"/>
      <c r="M324" s="1553"/>
      <c r="N324" s="1553"/>
      <c r="O324" s="1553"/>
      <c r="P324" s="1553"/>
      <c r="Q324" s="1553"/>
      <c r="R324" s="1553"/>
      <c r="S324" s="1553"/>
      <c r="T324" s="1553"/>
      <c r="V324" s="1609"/>
      <c r="W324" s="1609"/>
      <c r="X324" s="1609"/>
      <c r="Y324" s="1609"/>
      <c r="Z324" s="1609"/>
      <c r="AA324" s="1609"/>
      <c r="AB324" s="1609"/>
      <c r="AC324" s="1609"/>
      <c r="AD324" s="1609"/>
      <c r="AE324" s="1609"/>
      <c r="AF324" s="1609"/>
      <c r="AG324" s="1609"/>
      <c r="AH324" s="1609"/>
      <c r="AI324" s="1609"/>
      <c r="AJ324" s="1609"/>
      <c r="AK324" s="1609"/>
      <c r="AL324" s="1609"/>
      <c r="AM324" s="1609"/>
      <c r="AN324" s="1609"/>
      <c r="AO324" s="1609"/>
      <c r="AP324" s="1609"/>
      <c r="AQ324" s="1609"/>
    </row>
    <row r="325" spans="1:43">
      <c r="A325" s="1620" t="str">
        <f t="shared" si="51"/>
        <v>B3</v>
      </c>
      <c r="B325" s="1620">
        <f t="shared" si="51"/>
        <v>0</v>
      </c>
      <c r="C325" s="1953">
        <f t="shared" si="53"/>
        <v>1.25</v>
      </c>
      <c r="D325" s="1620">
        <f t="shared" si="52"/>
        <v>0</v>
      </c>
      <c r="E325" s="1553"/>
      <c r="F325" s="1553"/>
      <c r="G325" s="1553"/>
      <c r="H325" s="1553"/>
      <c r="I325" s="1553"/>
      <c r="L325" s="1553"/>
      <c r="M325" s="1553"/>
      <c r="N325" s="1553"/>
      <c r="O325" s="1553"/>
      <c r="P325" s="1553"/>
      <c r="Q325" s="1553"/>
      <c r="R325" s="1553"/>
      <c r="S325" s="1553"/>
      <c r="T325" s="1553"/>
      <c r="V325" s="1609"/>
      <c r="W325" s="1609"/>
      <c r="X325" s="1609"/>
      <c r="Y325" s="1609"/>
      <c r="Z325" s="1609"/>
      <c r="AA325" s="1609"/>
      <c r="AB325" s="1609"/>
      <c r="AC325" s="1609"/>
      <c r="AD325" s="1609"/>
      <c r="AE325" s="1609"/>
      <c r="AF325" s="1609"/>
      <c r="AG325" s="1609"/>
      <c r="AH325" s="1609"/>
      <c r="AI325" s="1609"/>
      <c r="AJ325" s="1609"/>
      <c r="AK325" s="1609"/>
      <c r="AL325" s="1609"/>
      <c r="AM325" s="1609"/>
      <c r="AN325" s="1609"/>
      <c r="AO325" s="1609"/>
      <c r="AP325" s="1609"/>
      <c r="AQ325" s="1609"/>
    </row>
    <row r="326" spans="1:43">
      <c r="A326" s="1620" t="str">
        <f t="shared" si="51"/>
        <v>B4</v>
      </c>
      <c r="B326" s="1620">
        <f t="shared" si="51"/>
        <v>6</v>
      </c>
      <c r="C326" s="1953">
        <f t="shared" si="53"/>
        <v>1</v>
      </c>
      <c r="D326" s="1620">
        <f t="shared" si="52"/>
        <v>6</v>
      </c>
      <c r="E326" s="1553"/>
      <c r="F326" s="1553"/>
      <c r="G326" s="1553"/>
      <c r="H326" s="1553"/>
      <c r="I326" s="1553"/>
      <c r="L326" s="1553"/>
      <c r="M326" s="1553"/>
      <c r="N326" s="1553"/>
      <c r="O326" s="1553"/>
      <c r="P326" s="1553"/>
      <c r="Q326" s="1553"/>
      <c r="R326" s="1553"/>
      <c r="S326" s="1553"/>
      <c r="T326" s="1553"/>
      <c r="V326" s="1609"/>
      <c r="W326" s="1609"/>
      <c r="X326" s="1609"/>
      <c r="Y326" s="1609"/>
      <c r="Z326" s="1609"/>
      <c r="AA326" s="1609"/>
      <c r="AB326" s="1609"/>
      <c r="AC326" s="1609"/>
      <c r="AD326" s="1609"/>
      <c r="AE326" s="1609"/>
      <c r="AF326" s="1609"/>
      <c r="AG326" s="1609"/>
      <c r="AH326" s="1609"/>
      <c r="AI326" s="1609"/>
      <c r="AJ326" s="1609"/>
      <c r="AK326" s="1609"/>
      <c r="AL326" s="1609"/>
      <c r="AM326" s="1609"/>
      <c r="AN326" s="1609"/>
      <c r="AO326" s="1609"/>
      <c r="AP326" s="1609"/>
      <c r="AQ326" s="1609"/>
    </row>
    <row r="327" spans="1:43">
      <c r="A327" s="1620" t="str">
        <f t="shared" si="51"/>
        <v>B5</v>
      </c>
      <c r="B327" s="1620">
        <f t="shared" si="51"/>
        <v>26</v>
      </c>
      <c r="C327" s="1953">
        <f t="shared" si="53"/>
        <v>0.95000000000000007</v>
      </c>
      <c r="D327" s="1620">
        <f t="shared" si="52"/>
        <v>24.700000000000003</v>
      </c>
      <c r="E327" s="1553"/>
      <c r="F327" s="1553"/>
      <c r="G327" s="1553"/>
      <c r="H327" s="1553"/>
      <c r="I327" s="1553"/>
      <c r="L327" s="1553"/>
      <c r="M327" s="1553"/>
      <c r="N327" s="1553"/>
      <c r="O327" s="1553"/>
      <c r="P327" s="1553"/>
      <c r="Q327" s="1553"/>
      <c r="R327" s="1553"/>
      <c r="S327" s="1553"/>
      <c r="T327" s="1553"/>
      <c r="V327" s="1609"/>
      <c r="W327" s="1609"/>
      <c r="X327" s="1609"/>
      <c r="Y327" s="1609"/>
      <c r="Z327" s="1609"/>
      <c r="AA327" s="1609"/>
      <c r="AB327" s="1609"/>
      <c r="AC327" s="1609"/>
      <c r="AD327" s="1609"/>
      <c r="AE327" s="1609"/>
      <c r="AF327" s="1609"/>
      <c r="AG327" s="1609"/>
      <c r="AH327" s="1609"/>
      <c r="AI327" s="1609"/>
      <c r="AJ327" s="1609"/>
      <c r="AK327" s="1609"/>
      <c r="AL327" s="1609"/>
      <c r="AM327" s="1609"/>
      <c r="AN327" s="1609"/>
      <c r="AO327" s="1609"/>
      <c r="AP327" s="1609"/>
      <c r="AQ327" s="1609"/>
    </row>
    <row r="328" spans="1:43">
      <c r="A328" s="1620" t="str">
        <f t="shared" si="51"/>
        <v>B6</v>
      </c>
      <c r="B328" s="1620">
        <f t="shared" si="51"/>
        <v>0</v>
      </c>
      <c r="C328" s="1953">
        <f t="shared" si="53"/>
        <v>1.8</v>
      </c>
      <c r="D328" s="1620">
        <f t="shared" si="52"/>
        <v>0</v>
      </c>
      <c r="E328" s="1553"/>
      <c r="F328" s="1553"/>
      <c r="G328" s="1553"/>
      <c r="H328" s="1553"/>
      <c r="I328" s="1553"/>
      <c r="L328" s="1553"/>
      <c r="M328" s="1553"/>
      <c r="N328" s="1553"/>
      <c r="O328" s="1553"/>
      <c r="P328" s="1553"/>
      <c r="Q328" s="1553"/>
      <c r="R328" s="1553"/>
      <c r="S328" s="1553"/>
      <c r="T328" s="1553"/>
      <c r="V328" s="1609"/>
      <c r="W328" s="1609"/>
      <c r="X328" s="1609"/>
      <c r="Y328" s="1609"/>
      <c r="Z328" s="1609"/>
      <c r="AA328" s="1609"/>
      <c r="AB328" s="1609"/>
      <c r="AC328" s="1609"/>
      <c r="AD328" s="1609"/>
      <c r="AE328" s="1609"/>
      <c r="AF328" s="1609"/>
      <c r="AG328" s="1609"/>
      <c r="AH328" s="1609"/>
      <c r="AI328" s="1609"/>
      <c r="AJ328" s="1609"/>
      <c r="AK328" s="1609"/>
      <c r="AL328" s="1609"/>
      <c r="AM328" s="1609"/>
      <c r="AN328" s="1609"/>
      <c r="AO328" s="1609"/>
      <c r="AP328" s="1609"/>
      <c r="AQ328" s="1609"/>
    </row>
    <row r="329" spans="1:43">
      <c r="A329" s="1620" t="str">
        <f t="shared" si="51"/>
        <v>B7</v>
      </c>
      <c r="B329" s="1620">
        <f t="shared" si="51"/>
        <v>0</v>
      </c>
      <c r="C329" s="1953">
        <f t="shared" si="53"/>
        <v>1.85</v>
      </c>
      <c r="D329" s="1620">
        <f t="shared" si="52"/>
        <v>0</v>
      </c>
      <c r="E329" s="1553"/>
      <c r="F329" s="1553"/>
      <c r="G329" s="1553"/>
      <c r="H329" s="1553"/>
      <c r="I329" s="1553"/>
      <c r="L329" s="1553"/>
      <c r="M329" s="1553"/>
      <c r="N329" s="1553"/>
      <c r="O329" s="1553"/>
      <c r="P329" s="1553"/>
      <c r="Q329" s="1553"/>
      <c r="R329" s="1553"/>
      <c r="S329" s="1553"/>
      <c r="T329" s="1553"/>
      <c r="V329" s="1609"/>
      <c r="W329" s="1609"/>
      <c r="X329" s="1609"/>
      <c r="Y329" s="1609"/>
      <c r="Z329" s="1609"/>
      <c r="AA329" s="1609"/>
      <c r="AB329" s="1609"/>
      <c r="AC329" s="1609"/>
      <c r="AD329" s="1609"/>
      <c r="AE329" s="1609"/>
      <c r="AF329" s="1609"/>
      <c r="AG329" s="1609"/>
      <c r="AH329" s="1609"/>
      <c r="AI329" s="1609"/>
      <c r="AJ329" s="1609"/>
      <c r="AK329" s="1609"/>
      <c r="AL329" s="1609"/>
      <c r="AM329" s="1609"/>
      <c r="AN329" s="1609"/>
      <c r="AO329" s="1609"/>
      <c r="AP329" s="1609"/>
      <c r="AQ329" s="1609"/>
    </row>
    <row r="330" spans="1:43">
      <c r="A330" s="1620" t="str">
        <f t="shared" si="51"/>
        <v>B8</v>
      </c>
      <c r="B330" s="1620">
        <f t="shared" si="51"/>
        <v>0</v>
      </c>
      <c r="C330" s="1953">
        <f t="shared" si="53"/>
        <v>0.75</v>
      </c>
      <c r="D330" s="1620">
        <f t="shared" si="52"/>
        <v>0</v>
      </c>
      <c r="E330" s="1553"/>
      <c r="F330" s="1553"/>
      <c r="G330" s="1553"/>
      <c r="H330" s="1553"/>
      <c r="I330" s="1553"/>
      <c r="L330" s="1553"/>
      <c r="M330" s="1553"/>
      <c r="N330" s="1553"/>
      <c r="O330" s="1553"/>
      <c r="P330" s="1553"/>
      <c r="Q330" s="1553"/>
      <c r="R330" s="1553"/>
      <c r="S330" s="1553"/>
      <c r="T330" s="1553"/>
      <c r="V330" s="1609"/>
      <c r="W330" s="1609"/>
      <c r="X330" s="1609"/>
      <c r="Y330" s="1609"/>
      <c r="Z330" s="1609"/>
      <c r="AA330" s="1609"/>
      <c r="AB330" s="1609"/>
      <c r="AC330" s="1609"/>
      <c r="AD330" s="1609"/>
      <c r="AE330" s="1609"/>
      <c r="AF330" s="1609"/>
      <c r="AG330" s="1609"/>
      <c r="AH330" s="1609"/>
      <c r="AI330" s="1609"/>
      <c r="AJ330" s="1609"/>
      <c r="AK330" s="1609"/>
      <c r="AL330" s="1609"/>
      <c r="AM330" s="1609"/>
      <c r="AN330" s="1609"/>
      <c r="AO330" s="1609"/>
      <c r="AP330" s="1609"/>
      <c r="AQ330" s="1609"/>
    </row>
    <row r="331" spans="1:43">
      <c r="A331" s="1620" t="str">
        <f t="shared" si="51"/>
        <v>B9</v>
      </c>
      <c r="B331" s="1620">
        <f t="shared" si="51"/>
        <v>0</v>
      </c>
      <c r="C331" s="1953">
        <f t="shared" si="53"/>
        <v>1.75</v>
      </c>
      <c r="D331" s="1620">
        <f t="shared" si="52"/>
        <v>0</v>
      </c>
      <c r="E331" s="1553"/>
      <c r="F331" s="1553"/>
      <c r="G331" s="1553"/>
      <c r="H331" s="1553"/>
      <c r="I331" s="1553"/>
      <c r="L331" s="1553"/>
      <c r="M331" s="1553"/>
      <c r="N331" s="1553"/>
      <c r="O331" s="1553"/>
      <c r="P331" s="1553"/>
      <c r="Q331" s="1553"/>
      <c r="R331" s="1553"/>
      <c r="S331" s="1553"/>
      <c r="T331" s="1553"/>
      <c r="V331" s="1609"/>
      <c r="W331" s="1609"/>
      <c r="X331" s="1609"/>
      <c r="Y331" s="1609"/>
      <c r="Z331" s="1609"/>
      <c r="AA331" s="1609"/>
      <c r="AB331" s="1609"/>
      <c r="AC331" s="1609"/>
      <c r="AD331" s="1609"/>
      <c r="AE331" s="1609"/>
      <c r="AF331" s="1609"/>
      <c r="AG331" s="1609"/>
      <c r="AH331" s="1609"/>
      <c r="AI331" s="1609"/>
      <c r="AJ331" s="1609"/>
      <c r="AK331" s="1609"/>
      <c r="AL331" s="1609"/>
      <c r="AM331" s="1609"/>
      <c r="AN331" s="1609"/>
      <c r="AO331" s="1609"/>
      <c r="AP331" s="1609"/>
      <c r="AQ331" s="1609"/>
    </row>
    <row r="332" spans="1:43">
      <c r="A332" s="1620" t="str">
        <f t="shared" si="51"/>
        <v>B10</v>
      </c>
      <c r="B332" s="1620">
        <f t="shared" si="51"/>
        <v>0</v>
      </c>
      <c r="C332" s="1953">
        <f t="shared" si="53"/>
        <v>1.8699999999999999</v>
      </c>
      <c r="D332" s="1620">
        <f t="shared" si="52"/>
        <v>0</v>
      </c>
      <c r="E332" s="1553"/>
      <c r="F332" s="1553"/>
      <c r="G332" s="1553"/>
      <c r="H332" s="1553"/>
      <c r="I332" s="1553"/>
      <c r="L332" s="1553"/>
      <c r="M332" s="1553"/>
      <c r="N332" s="1553"/>
      <c r="O332" s="1553"/>
      <c r="P332" s="1553"/>
      <c r="Q332" s="1553"/>
      <c r="R332" s="1553"/>
      <c r="V332" s="1609"/>
      <c r="W332" s="1609"/>
      <c r="X332" s="1609"/>
      <c r="Y332" s="1609"/>
      <c r="Z332" s="1609"/>
      <c r="AA332" s="1609"/>
      <c r="AB332" s="1609"/>
      <c r="AC332" s="1609"/>
      <c r="AD332" s="1609"/>
      <c r="AE332" s="1609"/>
      <c r="AF332" s="1609"/>
      <c r="AG332" s="1609"/>
      <c r="AH332" s="1609"/>
      <c r="AI332" s="1609"/>
      <c r="AJ332" s="1609"/>
      <c r="AK332" s="1609"/>
      <c r="AL332" s="1609"/>
      <c r="AM332" s="1609"/>
      <c r="AN332" s="1609"/>
      <c r="AO332" s="1609"/>
      <c r="AP332" s="1609"/>
      <c r="AQ332" s="1609"/>
    </row>
    <row r="333" spans="1:43">
      <c r="A333" s="1620" t="str">
        <f t="shared" si="51"/>
        <v>B11</v>
      </c>
      <c r="B333" s="1620">
        <f t="shared" si="51"/>
        <v>20</v>
      </c>
      <c r="C333" s="1953">
        <f t="shared" si="53"/>
        <v>1.5999999999999999</v>
      </c>
      <c r="D333" s="1620">
        <f t="shared" si="52"/>
        <v>31.999999999999996</v>
      </c>
      <c r="E333" s="1553"/>
      <c r="F333" s="1553"/>
      <c r="G333" s="1553"/>
      <c r="V333" s="1609"/>
      <c r="W333" s="1609"/>
      <c r="X333" s="1609"/>
      <c r="Y333" s="1609"/>
      <c r="Z333" s="1609"/>
      <c r="AA333" s="1609"/>
      <c r="AB333" s="1609"/>
      <c r="AC333" s="1609"/>
      <c r="AD333" s="1609"/>
      <c r="AE333" s="1609"/>
      <c r="AF333" s="1609"/>
      <c r="AG333" s="1609"/>
      <c r="AH333" s="1609"/>
      <c r="AI333" s="1609"/>
      <c r="AJ333" s="1609"/>
      <c r="AK333" s="1609"/>
      <c r="AL333" s="1609"/>
      <c r="AM333" s="1609"/>
      <c r="AN333" s="1609"/>
      <c r="AO333" s="1609"/>
      <c r="AP333" s="1609"/>
      <c r="AQ333" s="1609"/>
    </row>
    <row r="334" spans="1:43" s="1716" customFormat="1">
      <c r="A334" s="1918" t="str">
        <f t="shared" si="51"/>
        <v>B12</v>
      </c>
      <c r="B334" s="1918">
        <f t="shared" si="51"/>
        <v>0</v>
      </c>
      <c r="C334" s="1953">
        <f t="shared" si="53"/>
        <v>0</v>
      </c>
      <c r="D334" s="1918">
        <f>B334*C334</f>
        <v>0</v>
      </c>
      <c r="V334" s="1919"/>
      <c r="W334" s="1919"/>
      <c r="X334" s="1919"/>
      <c r="Y334" s="1919"/>
      <c r="Z334" s="1919"/>
      <c r="AA334" s="1919"/>
      <c r="AB334" s="1919"/>
      <c r="AC334" s="1919"/>
      <c r="AD334" s="1919"/>
      <c r="AE334" s="1919"/>
      <c r="AF334" s="1919"/>
      <c r="AG334" s="1919"/>
      <c r="AH334" s="1919"/>
      <c r="AI334" s="1919"/>
      <c r="AJ334" s="1919"/>
      <c r="AK334" s="1919"/>
      <c r="AL334" s="1919"/>
      <c r="AM334" s="1919"/>
      <c r="AN334" s="1919"/>
      <c r="AO334" s="1919"/>
      <c r="AP334" s="1919"/>
      <c r="AQ334" s="1919"/>
    </row>
    <row r="335" spans="1:43" s="1716" customFormat="1">
      <c r="A335" s="1945" t="str">
        <f t="shared" si="51"/>
        <v>B13</v>
      </c>
      <c r="B335" s="1945">
        <f t="shared" si="51"/>
        <v>0</v>
      </c>
      <c r="C335" s="1953">
        <f t="shared" si="53"/>
        <v>0</v>
      </c>
      <c r="D335" s="1945">
        <f>B335*C335</f>
        <v>0</v>
      </c>
      <c r="V335" s="1944"/>
      <c r="W335" s="1944"/>
      <c r="X335" s="1944"/>
      <c r="Y335" s="1944"/>
      <c r="Z335" s="1944"/>
      <c r="AA335" s="1944"/>
      <c r="AB335" s="1944"/>
      <c r="AC335" s="1944"/>
      <c r="AD335" s="1944"/>
      <c r="AE335" s="1944"/>
      <c r="AF335" s="1944"/>
      <c r="AG335" s="1944"/>
      <c r="AH335" s="1944"/>
      <c r="AI335" s="1944"/>
      <c r="AJ335" s="1944"/>
      <c r="AK335" s="1944"/>
      <c r="AL335" s="1944"/>
      <c r="AM335" s="1944"/>
      <c r="AN335" s="1944"/>
      <c r="AO335" s="1944"/>
      <c r="AP335" s="1944"/>
      <c r="AQ335" s="1944"/>
    </row>
    <row r="336" spans="1:43" s="1716" customFormat="1">
      <c r="A336" s="1945" t="str">
        <f t="shared" si="51"/>
        <v>B14</v>
      </c>
      <c r="B336" s="1945">
        <f t="shared" si="51"/>
        <v>0</v>
      </c>
      <c r="C336" s="1953">
        <f t="shared" si="53"/>
        <v>0</v>
      </c>
      <c r="D336" s="1945">
        <f>B336*C336</f>
        <v>0</v>
      </c>
      <c r="V336" s="1944"/>
      <c r="W336" s="1944"/>
      <c r="X336" s="1944"/>
      <c r="Y336" s="1944"/>
      <c r="Z336" s="1944"/>
      <c r="AA336" s="1944"/>
      <c r="AB336" s="1944"/>
      <c r="AC336" s="1944"/>
      <c r="AD336" s="1944"/>
      <c r="AE336" s="1944"/>
      <c r="AF336" s="1944"/>
      <c r="AG336" s="1944"/>
      <c r="AH336" s="1944"/>
      <c r="AI336" s="1944"/>
      <c r="AJ336" s="1944"/>
      <c r="AK336" s="1944"/>
      <c r="AL336" s="1944"/>
      <c r="AM336" s="1944"/>
      <c r="AN336" s="1944"/>
      <c r="AO336" s="1944"/>
      <c r="AP336" s="1944"/>
      <c r="AQ336" s="1944"/>
    </row>
    <row r="337" spans="1:43" s="1716" customFormat="1">
      <c r="A337" s="1945" t="str">
        <f t="shared" si="51"/>
        <v>B15</v>
      </c>
      <c r="B337" s="1945">
        <f t="shared" si="51"/>
        <v>0</v>
      </c>
      <c r="C337" s="1953">
        <f t="shared" si="53"/>
        <v>0</v>
      </c>
      <c r="D337" s="1945">
        <f>B337*C337</f>
        <v>0</v>
      </c>
      <c r="V337" s="1944"/>
      <c r="W337" s="1944"/>
      <c r="X337" s="1944"/>
      <c r="Y337" s="1944"/>
      <c r="Z337" s="1944"/>
      <c r="AA337" s="1944"/>
      <c r="AB337" s="1944"/>
      <c r="AC337" s="1944"/>
      <c r="AD337" s="1944"/>
      <c r="AE337" s="1944"/>
      <c r="AF337" s="1944"/>
      <c r="AG337" s="1944"/>
      <c r="AH337" s="1944"/>
      <c r="AI337" s="1944"/>
      <c r="AJ337" s="1944"/>
      <c r="AK337" s="1944"/>
      <c r="AL337" s="1944"/>
      <c r="AM337" s="1944"/>
      <c r="AN337" s="1944"/>
      <c r="AO337" s="1944"/>
      <c r="AP337" s="1944"/>
      <c r="AQ337" s="1944"/>
    </row>
    <row r="338" spans="1:43">
      <c r="A338" s="1620" t="str">
        <f>A318</f>
        <v>RB</v>
      </c>
      <c r="B338" s="1620">
        <f>B318</f>
        <v>0</v>
      </c>
      <c r="C338" s="1953">
        <f t="shared" si="53"/>
        <v>0.52</v>
      </c>
      <c r="D338" s="1620">
        <f t="shared" si="52"/>
        <v>0</v>
      </c>
      <c r="E338" s="1553"/>
      <c r="F338" s="1553"/>
      <c r="G338" s="1553"/>
      <c r="V338" s="1609"/>
      <c r="W338" s="1609"/>
      <c r="X338" s="1609"/>
      <c r="Y338" s="1609"/>
      <c r="Z338" s="1609"/>
      <c r="AA338" s="1609"/>
      <c r="AB338" s="1609"/>
      <c r="AC338" s="1609"/>
      <c r="AD338" s="1609"/>
      <c r="AE338" s="1609"/>
      <c r="AF338" s="1609"/>
      <c r="AG338" s="1609"/>
      <c r="AH338" s="1609"/>
      <c r="AI338" s="1609"/>
      <c r="AJ338" s="1609"/>
      <c r="AK338" s="1609"/>
      <c r="AL338" s="1609"/>
      <c r="AM338" s="1609"/>
      <c r="AN338" s="1609"/>
      <c r="AO338" s="1609"/>
      <c r="AP338" s="1609"/>
      <c r="AQ338" s="1609"/>
    </row>
    <row r="339" spans="1:43" ht="15">
      <c r="C339" s="1738" t="s">
        <v>2076</v>
      </c>
      <c r="D339" s="1881">
        <f>SUM(D323:D338)</f>
        <v>62.7</v>
      </c>
      <c r="E339" s="1553"/>
      <c r="F339" s="1553"/>
      <c r="G339" s="1553"/>
      <c r="V339" s="1609"/>
      <c r="W339" s="1609"/>
      <c r="X339" s="1609"/>
      <c r="Y339" s="1609"/>
      <c r="Z339" s="1609"/>
      <c r="AA339" s="1609"/>
      <c r="AB339" s="1609"/>
      <c r="AC339" s="1609"/>
      <c r="AD339" s="1609"/>
      <c r="AE339" s="1609"/>
      <c r="AF339" s="1609"/>
      <c r="AG339" s="1609"/>
      <c r="AH339" s="1609"/>
      <c r="AI339" s="1609"/>
      <c r="AJ339" s="1609"/>
      <c r="AK339" s="1609"/>
      <c r="AL339" s="1609"/>
      <c r="AM339" s="1609"/>
      <c r="AN339" s="1609"/>
      <c r="AO339" s="1609"/>
      <c r="AP339" s="1609"/>
      <c r="AQ339" s="1609"/>
    </row>
    <row r="340" spans="1:43" s="1716" customFormat="1"/>
    <row r="341" spans="1:43" s="1933" customFormat="1">
      <c r="A341" s="2722" t="s">
        <v>2392</v>
      </c>
      <c r="B341" s="2723"/>
      <c r="C341" s="2723"/>
      <c r="D341" s="2723"/>
      <c r="E341" s="2723"/>
      <c r="F341" s="2723"/>
      <c r="G341" s="2724"/>
      <c r="H341" s="2722" t="s">
        <v>1568</v>
      </c>
      <c r="I341" s="2723"/>
      <c r="J341" s="2723"/>
      <c r="K341" s="2723"/>
      <c r="L341" s="2724"/>
      <c r="N341" s="2722" t="s">
        <v>1610</v>
      </c>
      <c r="O341" s="2723"/>
      <c r="P341" s="2723"/>
      <c r="Q341" s="2723"/>
      <c r="R341" s="2724"/>
      <c r="U341" s="1938"/>
      <c r="V341" s="1938"/>
      <c r="W341" s="1938"/>
      <c r="X341" s="1938"/>
      <c r="Y341" s="1938"/>
      <c r="Z341" s="1938"/>
      <c r="AA341" s="1938"/>
      <c r="AB341" s="1938"/>
      <c r="AC341" s="1938"/>
      <c r="AD341" s="1938"/>
      <c r="AE341" s="1938"/>
      <c r="AF341" s="1938"/>
      <c r="AG341" s="1938"/>
      <c r="AH341" s="1938"/>
      <c r="AI341" s="1938"/>
      <c r="AJ341" s="1938"/>
      <c r="AK341" s="1938"/>
      <c r="AL341" s="1938"/>
      <c r="AM341" s="1938"/>
      <c r="AN341" s="1938"/>
      <c r="AO341" s="1938"/>
      <c r="AP341" s="1938"/>
    </row>
    <row r="342" spans="1:43" s="1716" customFormat="1" ht="15">
      <c r="A342" s="1942" t="s">
        <v>1796</v>
      </c>
      <c r="B342" s="1942" t="s">
        <v>2004</v>
      </c>
      <c r="C342" s="1942" t="s">
        <v>1609</v>
      </c>
      <c r="D342" s="1733" t="s">
        <v>2098</v>
      </c>
      <c r="E342" s="1747" t="s">
        <v>2099</v>
      </c>
      <c r="F342" s="1733" t="s">
        <v>1841</v>
      </c>
      <c r="G342" s="1942" t="s">
        <v>2107</v>
      </c>
      <c r="H342" s="1942" t="s">
        <v>2100</v>
      </c>
      <c r="I342" s="1942" t="s">
        <v>2101</v>
      </c>
      <c r="J342" s="1942" t="s">
        <v>2102</v>
      </c>
      <c r="K342" s="1942" t="s">
        <v>2103</v>
      </c>
      <c r="L342" s="1942" t="s">
        <v>2104</v>
      </c>
      <c r="N342" s="1945" t="s">
        <v>1607</v>
      </c>
      <c r="O342" s="1945" t="s">
        <v>1611</v>
      </c>
      <c r="P342" s="1945" t="s">
        <v>1168</v>
      </c>
      <c r="Q342" s="1945" t="s">
        <v>1205</v>
      </c>
      <c r="R342" s="1945" t="s">
        <v>1243</v>
      </c>
      <c r="U342" s="1944"/>
      <c r="V342" s="1944"/>
      <c r="W342" s="1944"/>
      <c r="X342" s="1944"/>
      <c r="Y342" s="1944"/>
      <c r="Z342" s="1944"/>
      <c r="AA342" s="1944"/>
      <c r="AB342" s="1944"/>
      <c r="AC342" s="1944"/>
      <c r="AD342" s="1944"/>
      <c r="AE342" s="1944"/>
      <c r="AF342" s="1944"/>
      <c r="AG342" s="1944"/>
      <c r="AH342" s="1944"/>
      <c r="AI342" s="1944"/>
      <c r="AJ342" s="1944"/>
      <c r="AK342" s="1944"/>
      <c r="AL342" s="1944"/>
      <c r="AM342" s="1944"/>
      <c r="AN342" s="1944"/>
      <c r="AO342" s="1944"/>
      <c r="AP342" s="1944"/>
    </row>
    <row r="343" spans="1:43" s="1716" customFormat="1">
      <c r="A343" s="1945" t="s">
        <v>187</v>
      </c>
      <c r="B343" s="1945">
        <v>23.78</v>
      </c>
      <c r="C343" s="1945">
        <f>C281</f>
        <v>16</v>
      </c>
      <c r="D343" s="1945">
        <f>D281</f>
        <v>0</v>
      </c>
      <c r="E343" s="1945">
        <f>E281</f>
        <v>0</v>
      </c>
      <c r="F343" s="1945">
        <f>F281</f>
        <v>0</v>
      </c>
      <c r="G343" s="1945">
        <f>G281</f>
        <v>0</v>
      </c>
      <c r="H343" s="1945">
        <f t="shared" ref="H343:H358" si="54">B343*C343</f>
        <v>380.48</v>
      </c>
      <c r="I343" s="1945">
        <f>B343*D343</f>
        <v>0</v>
      </c>
      <c r="J343" s="1945">
        <f t="shared" ref="J343:J358" si="55">B343*E343</f>
        <v>0</v>
      </c>
      <c r="K343" s="1945">
        <f>B343*F343</f>
        <v>0</v>
      </c>
      <c r="L343" s="1945">
        <f t="shared" ref="L343:L358" si="56">B343*G343</f>
        <v>0</v>
      </c>
      <c r="N343" s="1945">
        <f t="shared" ref="N343:N358" si="57">(B343/2)/0.2</f>
        <v>59.45</v>
      </c>
      <c r="O343" s="1945">
        <f t="shared" ref="O343:O358" si="58">(B343/2)/0.1</f>
        <v>118.9</v>
      </c>
      <c r="P343" s="1945">
        <f t="shared" ref="P343:P358" si="59">SUM(N343:O343)</f>
        <v>178.35000000000002</v>
      </c>
      <c r="Q343" s="1945">
        <f>Q281</f>
        <v>1.5999999999999999</v>
      </c>
      <c r="R343" s="1945">
        <f t="shared" ref="R343:R358" si="60">P343*Q343</f>
        <v>285.36</v>
      </c>
      <c r="U343" s="1944"/>
      <c r="V343" s="1944"/>
      <c r="W343" s="1944"/>
      <c r="X343" s="1944"/>
      <c r="Y343" s="1944"/>
      <c r="Z343" s="1944"/>
      <c r="AA343" s="1944"/>
      <c r="AB343" s="1944"/>
      <c r="AC343" s="1944"/>
      <c r="AD343" s="1944"/>
      <c r="AE343" s="1944"/>
      <c r="AF343" s="1944"/>
      <c r="AG343" s="1944"/>
      <c r="AH343" s="1944"/>
      <c r="AI343" s="1944"/>
      <c r="AJ343" s="1944"/>
      <c r="AK343" s="1944"/>
      <c r="AL343" s="1944"/>
      <c r="AM343" s="1944"/>
      <c r="AN343" s="1944"/>
      <c r="AO343" s="1944"/>
      <c r="AP343" s="1944"/>
    </row>
    <row r="344" spans="1:43" s="1716" customFormat="1">
      <c r="A344" s="1945" t="s">
        <v>173</v>
      </c>
      <c r="B344" s="1945">
        <v>4.22</v>
      </c>
      <c r="C344" s="1945">
        <f t="shared" ref="C344:G358" si="61">C282</f>
        <v>16</v>
      </c>
      <c r="D344" s="1945">
        <f t="shared" si="61"/>
        <v>0</v>
      </c>
      <c r="E344" s="1945">
        <f t="shared" si="61"/>
        <v>0</v>
      </c>
      <c r="F344" s="1945">
        <f t="shared" si="61"/>
        <v>1</v>
      </c>
      <c r="G344" s="1945">
        <f t="shared" si="61"/>
        <v>0</v>
      </c>
      <c r="H344" s="1945">
        <f t="shared" si="54"/>
        <v>67.52</v>
      </c>
      <c r="I344" s="1945">
        <f>B344*D344</f>
        <v>0</v>
      </c>
      <c r="J344" s="1945">
        <f t="shared" si="55"/>
        <v>0</v>
      </c>
      <c r="K344" s="2054">
        <f t="shared" ref="K344:K358" si="62">B344*F344</f>
        <v>4.22</v>
      </c>
      <c r="L344" s="1945">
        <f t="shared" si="56"/>
        <v>0</v>
      </c>
      <c r="N344" s="1945">
        <f t="shared" si="57"/>
        <v>10.549999999999999</v>
      </c>
      <c r="O344" s="1945">
        <f t="shared" si="58"/>
        <v>21.099999999999998</v>
      </c>
      <c r="P344" s="1945">
        <f t="shared" si="59"/>
        <v>31.65</v>
      </c>
      <c r="Q344" s="1945">
        <f t="shared" ref="Q344:Q358" si="63">Q282</f>
        <v>1.85</v>
      </c>
      <c r="R344" s="1945">
        <f t="shared" si="60"/>
        <v>58.552500000000002</v>
      </c>
      <c r="U344" s="1944"/>
      <c r="V344" s="1944"/>
      <c r="W344" s="1944"/>
      <c r="X344" s="1944"/>
      <c r="Y344" s="1944"/>
      <c r="Z344" s="1944"/>
      <c r="AA344" s="1944"/>
      <c r="AB344" s="1944"/>
      <c r="AC344" s="1944"/>
      <c r="AD344" s="1944"/>
      <c r="AE344" s="1944"/>
      <c r="AF344" s="1944"/>
      <c r="AG344" s="1944"/>
      <c r="AH344" s="1944"/>
      <c r="AI344" s="1944"/>
      <c r="AJ344" s="1944"/>
      <c r="AK344" s="1944"/>
      <c r="AL344" s="1944"/>
      <c r="AM344" s="1944"/>
      <c r="AN344" s="1944"/>
      <c r="AO344" s="1944"/>
      <c r="AP344" s="1944"/>
    </row>
    <row r="345" spans="1:43" s="1716" customFormat="1">
      <c r="A345" s="1945" t="s">
        <v>172</v>
      </c>
      <c r="B345" s="1945">
        <v>55.2</v>
      </c>
      <c r="C345" s="1945">
        <f t="shared" si="61"/>
        <v>10</v>
      </c>
      <c r="D345" s="1945">
        <f t="shared" si="61"/>
        <v>0</v>
      </c>
      <c r="E345" s="1945">
        <f t="shared" si="61"/>
        <v>0</v>
      </c>
      <c r="F345" s="1945">
        <f t="shared" si="61"/>
        <v>0</v>
      </c>
      <c r="G345" s="1945">
        <f t="shared" si="61"/>
        <v>0</v>
      </c>
      <c r="H345" s="1945">
        <f t="shared" si="54"/>
        <v>552</v>
      </c>
      <c r="I345" s="1945">
        <f>B345*D345</f>
        <v>0</v>
      </c>
      <c r="J345" s="1945">
        <f t="shared" si="55"/>
        <v>0</v>
      </c>
      <c r="K345" s="2054">
        <f t="shared" si="62"/>
        <v>0</v>
      </c>
      <c r="L345" s="1945">
        <f t="shared" si="56"/>
        <v>0</v>
      </c>
      <c r="N345" s="1945">
        <f t="shared" si="57"/>
        <v>138</v>
      </c>
      <c r="O345" s="1945">
        <f t="shared" si="58"/>
        <v>276</v>
      </c>
      <c r="P345" s="1945">
        <f t="shared" si="59"/>
        <v>414</v>
      </c>
      <c r="Q345" s="1945">
        <f t="shared" si="63"/>
        <v>1.2999999999999998</v>
      </c>
      <c r="R345" s="1945">
        <f t="shared" si="60"/>
        <v>538.19999999999993</v>
      </c>
      <c r="U345" s="1944"/>
      <c r="V345" s="1944"/>
      <c r="W345" s="1944"/>
      <c r="X345" s="1944"/>
      <c r="Y345" s="1944"/>
      <c r="Z345" s="1944"/>
      <c r="AA345" s="1944"/>
      <c r="AB345" s="1944"/>
      <c r="AC345" s="1944"/>
      <c r="AD345" s="1944"/>
      <c r="AE345" s="1944"/>
      <c r="AF345" s="1944"/>
      <c r="AG345" s="1944"/>
      <c r="AH345" s="1944"/>
      <c r="AI345" s="1944"/>
      <c r="AJ345" s="1944"/>
      <c r="AK345" s="1944"/>
      <c r="AL345" s="1944"/>
      <c r="AM345" s="1944"/>
      <c r="AN345" s="1944"/>
      <c r="AO345" s="1944"/>
      <c r="AP345" s="1944"/>
    </row>
    <row r="346" spans="1:43" s="1716" customFormat="1">
      <c r="A346" s="1945" t="s">
        <v>174</v>
      </c>
      <c r="B346" s="1945">
        <v>80.5</v>
      </c>
      <c r="C346" s="1945">
        <f t="shared" si="61"/>
        <v>10</v>
      </c>
      <c r="D346" s="1945">
        <f t="shared" si="61"/>
        <v>0</v>
      </c>
      <c r="E346" s="1945">
        <f t="shared" si="61"/>
        <v>0</v>
      </c>
      <c r="F346" s="1945">
        <f t="shared" si="61"/>
        <v>0</v>
      </c>
      <c r="G346" s="1945">
        <f t="shared" si="61"/>
        <v>0</v>
      </c>
      <c r="H346" s="1945">
        <f t="shared" si="54"/>
        <v>805</v>
      </c>
      <c r="I346" s="1945">
        <f>B346*E346</f>
        <v>0</v>
      </c>
      <c r="J346" s="1945">
        <f t="shared" si="55"/>
        <v>0</v>
      </c>
      <c r="K346" s="2054">
        <f t="shared" si="62"/>
        <v>0</v>
      </c>
      <c r="L346" s="1945">
        <f t="shared" si="56"/>
        <v>0</v>
      </c>
      <c r="N346" s="1945">
        <f t="shared" si="57"/>
        <v>201.25</v>
      </c>
      <c r="O346" s="1945">
        <f t="shared" si="58"/>
        <v>402.5</v>
      </c>
      <c r="P346" s="1945">
        <f t="shared" si="59"/>
        <v>603.75</v>
      </c>
      <c r="Q346" s="1945">
        <f t="shared" si="63"/>
        <v>1</v>
      </c>
      <c r="R346" s="1945">
        <f t="shared" si="60"/>
        <v>603.75</v>
      </c>
      <c r="U346" s="1944"/>
      <c r="V346" s="1944"/>
      <c r="W346" s="1944"/>
      <c r="X346" s="1944"/>
      <c r="Y346" s="1944"/>
      <c r="Z346" s="1944"/>
      <c r="AA346" s="1944"/>
      <c r="AB346" s="1944"/>
      <c r="AC346" s="1944"/>
      <c r="AD346" s="1944"/>
      <c r="AE346" s="1944"/>
      <c r="AF346" s="1944"/>
      <c r="AG346" s="1944"/>
      <c r="AH346" s="1944"/>
      <c r="AI346" s="1944"/>
      <c r="AJ346" s="1944"/>
      <c r="AK346" s="1944"/>
      <c r="AL346" s="1944"/>
      <c r="AM346" s="1944"/>
      <c r="AN346" s="1944"/>
      <c r="AO346" s="1944"/>
      <c r="AP346" s="1944"/>
    </row>
    <row r="347" spans="1:43" s="1716" customFormat="1">
      <c r="A347" s="1945" t="s">
        <v>188</v>
      </c>
      <c r="B347" s="1945">
        <v>91.57</v>
      </c>
      <c r="C347" s="1945">
        <f t="shared" si="61"/>
        <v>8</v>
      </c>
      <c r="D347" s="1945">
        <f t="shared" si="61"/>
        <v>0</v>
      </c>
      <c r="E347" s="1945">
        <f t="shared" si="61"/>
        <v>0</v>
      </c>
      <c r="F347" s="1945">
        <f t="shared" si="61"/>
        <v>0</v>
      </c>
      <c r="G347" s="1945">
        <f t="shared" si="61"/>
        <v>0</v>
      </c>
      <c r="H347" s="1945">
        <f t="shared" si="54"/>
        <v>732.56</v>
      </c>
      <c r="I347" s="1945">
        <f>B347*E347</f>
        <v>0</v>
      </c>
      <c r="J347" s="1945">
        <f t="shared" si="55"/>
        <v>0</v>
      </c>
      <c r="K347" s="2054">
        <f t="shared" si="62"/>
        <v>0</v>
      </c>
      <c r="L347" s="1945">
        <f t="shared" si="56"/>
        <v>0</v>
      </c>
      <c r="N347" s="1945">
        <f t="shared" si="57"/>
        <v>228.92499999999998</v>
      </c>
      <c r="O347" s="1945">
        <f t="shared" si="58"/>
        <v>457.84999999999997</v>
      </c>
      <c r="P347" s="1945">
        <f t="shared" si="59"/>
        <v>686.77499999999998</v>
      </c>
      <c r="Q347" s="1945">
        <f t="shared" si="63"/>
        <v>0.9</v>
      </c>
      <c r="R347" s="1945">
        <f t="shared" si="60"/>
        <v>618.09749999999997</v>
      </c>
      <c r="U347" s="1944"/>
      <c r="V347" s="1944"/>
      <c r="W347" s="1944"/>
      <c r="X347" s="1944"/>
      <c r="Y347" s="1944"/>
      <c r="Z347" s="1944"/>
      <c r="AA347" s="1944"/>
      <c r="AB347" s="1944"/>
      <c r="AC347" s="1944"/>
      <c r="AD347" s="1944"/>
      <c r="AE347" s="1944"/>
      <c r="AF347" s="1944"/>
      <c r="AG347" s="1944"/>
      <c r="AH347" s="1944"/>
      <c r="AI347" s="1944"/>
      <c r="AJ347" s="1944"/>
      <c r="AK347" s="1944"/>
      <c r="AL347" s="1944"/>
      <c r="AM347" s="1944"/>
      <c r="AN347" s="1944"/>
      <c r="AO347" s="1944"/>
      <c r="AP347" s="1944"/>
    </row>
    <row r="348" spans="1:43" s="1716" customFormat="1">
      <c r="A348" s="1945" t="s">
        <v>1998</v>
      </c>
      <c r="B348" s="1945">
        <v>5.59</v>
      </c>
      <c r="C348" s="1945">
        <f t="shared" si="61"/>
        <v>10</v>
      </c>
      <c r="D348" s="1945">
        <f t="shared" si="61"/>
        <v>0</v>
      </c>
      <c r="E348" s="1945">
        <f t="shared" si="61"/>
        <v>0</v>
      </c>
      <c r="F348" s="1945">
        <f t="shared" si="61"/>
        <v>3</v>
      </c>
      <c r="G348" s="1945">
        <f t="shared" si="61"/>
        <v>0</v>
      </c>
      <c r="H348" s="1945">
        <f t="shared" si="54"/>
        <v>55.9</v>
      </c>
      <c r="I348" s="1945">
        <f t="shared" ref="I348:I358" si="64">B348*D348</f>
        <v>0</v>
      </c>
      <c r="J348" s="1945">
        <f t="shared" si="55"/>
        <v>0</v>
      </c>
      <c r="K348" s="2054">
        <f t="shared" si="62"/>
        <v>16.77</v>
      </c>
      <c r="L348" s="1945">
        <f t="shared" si="56"/>
        <v>0</v>
      </c>
      <c r="N348" s="1945">
        <f t="shared" si="57"/>
        <v>13.975</v>
      </c>
      <c r="O348" s="1945">
        <f t="shared" si="58"/>
        <v>27.95</v>
      </c>
      <c r="P348" s="1945">
        <f t="shared" si="59"/>
        <v>41.924999999999997</v>
      </c>
      <c r="Q348" s="1945">
        <f t="shared" si="63"/>
        <v>1.4500000000000002</v>
      </c>
      <c r="R348" s="1945">
        <f t="shared" si="60"/>
        <v>60.791250000000005</v>
      </c>
      <c r="U348" s="1944"/>
      <c r="V348" s="1944"/>
      <c r="W348" s="1944"/>
      <c r="X348" s="1944"/>
      <c r="Y348" s="1944"/>
      <c r="Z348" s="1944"/>
      <c r="AA348" s="1944"/>
      <c r="AB348" s="1944"/>
      <c r="AC348" s="1944"/>
      <c r="AD348" s="1944"/>
      <c r="AE348" s="1944"/>
      <c r="AF348" s="1944"/>
      <c r="AG348" s="1944"/>
      <c r="AH348" s="1944"/>
      <c r="AI348" s="1944"/>
      <c r="AJ348" s="1944"/>
      <c r="AK348" s="1944"/>
      <c r="AL348" s="1944"/>
      <c r="AM348" s="1944"/>
      <c r="AN348" s="1944"/>
      <c r="AO348" s="1944"/>
      <c r="AP348" s="1944"/>
    </row>
    <row r="349" spans="1:43" s="1716" customFormat="1">
      <c r="A349" s="1945" t="s">
        <v>1999</v>
      </c>
      <c r="B349" s="1945">
        <v>1.8</v>
      </c>
      <c r="C349" s="1945">
        <f t="shared" si="61"/>
        <v>10</v>
      </c>
      <c r="D349" s="1945">
        <f t="shared" si="61"/>
        <v>0</v>
      </c>
      <c r="E349" s="1945">
        <f t="shared" si="61"/>
        <v>0</v>
      </c>
      <c r="F349" s="1945">
        <f t="shared" si="61"/>
        <v>2</v>
      </c>
      <c r="G349" s="1945">
        <f t="shared" si="61"/>
        <v>0</v>
      </c>
      <c r="H349" s="1945">
        <f t="shared" si="54"/>
        <v>18</v>
      </c>
      <c r="I349" s="1945">
        <f t="shared" si="64"/>
        <v>0</v>
      </c>
      <c r="J349" s="1945">
        <f t="shared" si="55"/>
        <v>0</v>
      </c>
      <c r="K349" s="2054">
        <f t="shared" si="62"/>
        <v>3.6</v>
      </c>
      <c r="L349" s="1945">
        <f t="shared" si="56"/>
        <v>0</v>
      </c>
      <c r="N349" s="1945">
        <f t="shared" si="57"/>
        <v>4.5</v>
      </c>
      <c r="O349" s="1945">
        <f t="shared" si="58"/>
        <v>9</v>
      </c>
      <c r="P349" s="1945">
        <f t="shared" si="59"/>
        <v>13.5</v>
      </c>
      <c r="Q349" s="1945">
        <f t="shared" si="63"/>
        <v>1.65</v>
      </c>
      <c r="R349" s="1945">
        <f t="shared" si="60"/>
        <v>22.274999999999999</v>
      </c>
      <c r="U349" s="1944"/>
      <c r="V349" s="1944"/>
      <c r="W349" s="1944"/>
      <c r="X349" s="1944"/>
      <c r="Y349" s="1944"/>
      <c r="Z349" s="1944"/>
      <c r="AA349" s="1944"/>
      <c r="AB349" s="1944"/>
      <c r="AC349" s="1944"/>
      <c r="AD349" s="1944"/>
      <c r="AE349" s="1944"/>
      <c r="AF349" s="1944"/>
      <c r="AG349" s="1944"/>
      <c r="AH349" s="1944"/>
      <c r="AI349" s="1944"/>
      <c r="AJ349" s="1944"/>
      <c r="AK349" s="1944"/>
      <c r="AL349" s="1944"/>
      <c r="AM349" s="1944"/>
      <c r="AN349" s="1944"/>
      <c r="AO349" s="1944"/>
      <c r="AP349" s="1944"/>
    </row>
    <row r="350" spans="1:43" s="1716" customFormat="1">
      <c r="A350" s="1945" t="s">
        <v>2000</v>
      </c>
      <c r="B350" s="1945"/>
      <c r="C350" s="1945">
        <f t="shared" si="61"/>
        <v>6</v>
      </c>
      <c r="D350" s="1945">
        <f t="shared" si="61"/>
        <v>0</v>
      </c>
      <c r="E350" s="1945">
        <f t="shared" si="61"/>
        <v>0</v>
      </c>
      <c r="F350" s="1945">
        <f t="shared" si="61"/>
        <v>0</v>
      </c>
      <c r="G350" s="1945">
        <f t="shared" si="61"/>
        <v>0</v>
      </c>
      <c r="H350" s="1945">
        <f t="shared" si="54"/>
        <v>0</v>
      </c>
      <c r="I350" s="1945">
        <f t="shared" si="64"/>
        <v>0</v>
      </c>
      <c r="J350" s="1945">
        <f t="shared" si="55"/>
        <v>0</v>
      </c>
      <c r="K350" s="2054">
        <f t="shared" si="62"/>
        <v>0</v>
      </c>
      <c r="L350" s="1945">
        <f t="shared" si="56"/>
        <v>0</v>
      </c>
      <c r="N350" s="1945">
        <f t="shared" si="57"/>
        <v>0</v>
      </c>
      <c r="O350" s="1945">
        <f t="shared" si="58"/>
        <v>0</v>
      </c>
      <c r="P350" s="1945">
        <f t="shared" si="59"/>
        <v>0</v>
      </c>
      <c r="Q350" s="1945">
        <f t="shared" si="63"/>
        <v>0.7</v>
      </c>
      <c r="R350" s="1945">
        <f t="shared" si="60"/>
        <v>0</v>
      </c>
      <c r="U350" s="1944"/>
      <c r="V350" s="1944"/>
      <c r="W350" s="1944"/>
      <c r="X350" s="1944"/>
      <c r="Y350" s="1944"/>
      <c r="Z350" s="1944"/>
      <c r="AA350" s="1944"/>
      <c r="AB350" s="1944"/>
      <c r="AC350" s="1944"/>
      <c r="AD350" s="1944"/>
      <c r="AE350" s="1944"/>
      <c r="AF350" s="1944"/>
      <c r="AG350" s="1944"/>
      <c r="AH350" s="1944"/>
      <c r="AI350" s="1944"/>
      <c r="AJ350" s="1944"/>
      <c r="AK350" s="1944"/>
      <c r="AL350" s="1944"/>
      <c r="AM350" s="1944"/>
      <c r="AN350" s="1944"/>
      <c r="AO350" s="1944"/>
      <c r="AP350" s="1944"/>
    </row>
    <row r="351" spans="1:43" s="1716" customFormat="1">
      <c r="A351" s="1945" t="s">
        <v>2001</v>
      </c>
      <c r="B351" s="1945"/>
      <c r="C351" s="1945">
        <f t="shared" si="61"/>
        <v>8</v>
      </c>
      <c r="D351" s="1945">
        <f t="shared" si="61"/>
        <v>0</v>
      </c>
      <c r="E351" s="1945">
        <f t="shared" si="61"/>
        <v>0</v>
      </c>
      <c r="F351" s="1945">
        <f t="shared" si="61"/>
        <v>2</v>
      </c>
      <c r="G351" s="1945">
        <f t="shared" si="61"/>
        <v>0</v>
      </c>
      <c r="H351" s="1945">
        <f t="shared" si="54"/>
        <v>0</v>
      </c>
      <c r="I351" s="1945">
        <f t="shared" si="64"/>
        <v>0</v>
      </c>
      <c r="J351" s="1945">
        <f t="shared" si="55"/>
        <v>0</v>
      </c>
      <c r="K351" s="2054">
        <f t="shared" si="62"/>
        <v>0</v>
      </c>
      <c r="L351" s="1945">
        <f t="shared" si="56"/>
        <v>0</v>
      </c>
      <c r="N351" s="1945">
        <f t="shared" si="57"/>
        <v>0</v>
      </c>
      <c r="O351" s="1945">
        <f t="shared" si="58"/>
        <v>0</v>
      </c>
      <c r="P351" s="1945">
        <f t="shared" si="59"/>
        <v>0</v>
      </c>
      <c r="Q351" s="1945">
        <f t="shared" si="63"/>
        <v>1.35</v>
      </c>
      <c r="R351" s="1945">
        <f t="shared" si="60"/>
        <v>0</v>
      </c>
      <c r="U351" s="1944"/>
      <c r="V351" s="1944"/>
      <c r="W351" s="1944"/>
      <c r="X351" s="1944"/>
      <c r="Y351" s="1944"/>
      <c r="Z351" s="1944"/>
      <c r="AA351" s="1944"/>
      <c r="AB351" s="1944"/>
      <c r="AC351" s="1944"/>
      <c r="AD351" s="1944"/>
      <c r="AE351" s="1944"/>
      <c r="AF351" s="1944"/>
      <c r="AG351" s="1944"/>
      <c r="AH351" s="1944"/>
      <c r="AI351" s="1944"/>
      <c r="AJ351" s="1944"/>
      <c r="AK351" s="1944"/>
      <c r="AL351" s="1944"/>
      <c r="AM351" s="1944"/>
      <c r="AN351" s="1944"/>
      <c r="AO351" s="1944"/>
      <c r="AP351" s="1944"/>
    </row>
    <row r="352" spans="1:43" s="1716" customFormat="1">
      <c r="A352" s="1945" t="s">
        <v>2002</v>
      </c>
      <c r="B352" s="1945">
        <v>33.630000000000003</v>
      </c>
      <c r="C352" s="1945">
        <f t="shared" si="61"/>
        <v>8</v>
      </c>
      <c r="D352" s="1945">
        <f t="shared" si="61"/>
        <v>0</v>
      </c>
      <c r="E352" s="1945">
        <f t="shared" si="61"/>
        <v>0</v>
      </c>
      <c r="F352" s="1945">
        <f t="shared" si="61"/>
        <v>3</v>
      </c>
      <c r="G352" s="1945">
        <f t="shared" si="61"/>
        <v>0</v>
      </c>
      <c r="H352" s="1945">
        <f t="shared" si="54"/>
        <v>269.04000000000002</v>
      </c>
      <c r="I352" s="1945">
        <f t="shared" si="64"/>
        <v>0</v>
      </c>
      <c r="J352" s="1945">
        <f t="shared" si="55"/>
        <v>0</v>
      </c>
      <c r="K352" s="2054">
        <f t="shared" si="62"/>
        <v>100.89000000000001</v>
      </c>
      <c r="L352" s="1945">
        <f t="shared" si="56"/>
        <v>0</v>
      </c>
      <c r="N352" s="1945">
        <f t="shared" si="57"/>
        <v>84.075000000000003</v>
      </c>
      <c r="O352" s="1945">
        <f t="shared" si="58"/>
        <v>168.15</v>
      </c>
      <c r="P352" s="1945">
        <f t="shared" si="59"/>
        <v>252.22500000000002</v>
      </c>
      <c r="Q352" s="1945">
        <f t="shared" si="63"/>
        <v>1.41</v>
      </c>
      <c r="R352" s="1945">
        <f t="shared" si="60"/>
        <v>355.63724999999999</v>
      </c>
      <c r="U352" s="1944"/>
      <c r="V352" s="1944"/>
      <c r="W352" s="1944"/>
      <c r="X352" s="1944"/>
      <c r="Y352" s="1944"/>
      <c r="Z352" s="1944"/>
      <c r="AA352" s="1944"/>
      <c r="AB352" s="1944"/>
      <c r="AC352" s="1944"/>
      <c r="AD352" s="1944"/>
      <c r="AE352" s="1944"/>
      <c r="AF352" s="1944"/>
      <c r="AG352" s="1944"/>
      <c r="AH352" s="1944"/>
      <c r="AI352" s="1944"/>
      <c r="AJ352" s="1944"/>
      <c r="AK352" s="1944"/>
      <c r="AL352" s="1944"/>
      <c r="AM352" s="1944"/>
      <c r="AN352" s="1944"/>
      <c r="AO352" s="1944"/>
      <c r="AP352" s="1944"/>
    </row>
    <row r="353" spans="1:43" s="1716" customFormat="1" ht="15" customHeight="1">
      <c r="A353" s="1945" t="s">
        <v>2003</v>
      </c>
      <c r="B353" s="1945"/>
      <c r="C353" s="1945">
        <f t="shared" si="61"/>
        <v>10</v>
      </c>
      <c r="D353" s="1945">
        <f t="shared" si="61"/>
        <v>0</v>
      </c>
      <c r="E353" s="1945">
        <f t="shared" si="61"/>
        <v>0</v>
      </c>
      <c r="F353" s="1945">
        <f t="shared" si="61"/>
        <v>3</v>
      </c>
      <c r="G353" s="1945">
        <f t="shared" si="61"/>
        <v>0</v>
      </c>
      <c r="H353" s="1945">
        <f t="shared" si="54"/>
        <v>0</v>
      </c>
      <c r="I353" s="1945">
        <f t="shared" si="64"/>
        <v>0</v>
      </c>
      <c r="J353" s="1945">
        <f t="shared" si="55"/>
        <v>0</v>
      </c>
      <c r="K353" s="2054">
        <f t="shared" si="62"/>
        <v>0</v>
      </c>
      <c r="L353" s="1945">
        <f t="shared" si="56"/>
        <v>0</v>
      </c>
      <c r="N353" s="1945">
        <f t="shared" si="57"/>
        <v>0</v>
      </c>
      <c r="O353" s="1945">
        <f t="shared" si="58"/>
        <v>0</v>
      </c>
      <c r="P353" s="1945">
        <f t="shared" si="59"/>
        <v>0</v>
      </c>
      <c r="Q353" s="1945">
        <f t="shared" si="63"/>
        <v>1.3499999999999999</v>
      </c>
      <c r="R353" s="1945">
        <f t="shared" si="60"/>
        <v>0</v>
      </c>
      <c r="U353" s="1944"/>
      <c r="V353" s="1944"/>
      <c r="W353" s="1944"/>
      <c r="X353" s="1944"/>
      <c r="Y353" s="1944"/>
      <c r="Z353" s="1944"/>
      <c r="AA353" s="1944"/>
      <c r="AB353" s="1944"/>
      <c r="AC353" s="1944"/>
      <c r="AD353" s="1944"/>
      <c r="AE353" s="1944"/>
      <c r="AF353" s="1944"/>
      <c r="AG353" s="1944"/>
      <c r="AH353" s="1944"/>
      <c r="AI353" s="1944"/>
      <c r="AJ353" s="1944"/>
      <c r="AK353" s="1944"/>
      <c r="AL353" s="1944"/>
      <c r="AM353" s="1944"/>
      <c r="AN353" s="1944"/>
      <c r="AO353" s="1944"/>
    </row>
    <row r="354" spans="1:43" s="1716" customFormat="1" ht="15" customHeight="1">
      <c r="A354" s="1945" t="s">
        <v>2251</v>
      </c>
      <c r="B354" s="1945"/>
      <c r="C354" s="1945">
        <f t="shared" si="61"/>
        <v>0</v>
      </c>
      <c r="D354" s="1945">
        <f t="shared" si="61"/>
        <v>0</v>
      </c>
      <c r="E354" s="1945">
        <f t="shared" si="61"/>
        <v>0</v>
      </c>
      <c r="F354" s="1945">
        <f t="shared" si="61"/>
        <v>0</v>
      </c>
      <c r="G354" s="1945">
        <f t="shared" si="61"/>
        <v>0</v>
      </c>
      <c r="H354" s="1945">
        <f t="shared" si="54"/>
        <v>0</v>
      </c>
      <c r="I354" s="1945">
        <f t="shared" si="64"/>
        <v>0</v>
      </c>
      <c r="J354" s="1945">
        <f t="shared" si="55"/>
        <v>0</v>
      </c>
      <c r="K354" s="2054">
        <f t="shared" si="62"/>
        <v>0</v>
      </c>
      <c r="L354" s="1945">
        <f t="shared" si="56"/>
        <v>0</v>
      </c>
      <c r="N354" s="1945">
        <f t="shared" si="57"/>
        <v>0</v>
      </c>
      <c r="O354" s="1945">
        <f t="shared" si="58"/>
        <v>0</v>
      </c>
      <c r="P354" s="1945">
        <f t="shared" si="59"/>
        <v>0</v>
      </c>
      <c r="Q354" s="1945">
        <f t="shared" si="63"/>
        <v>-0.2</v>
      </c>
      <c r="R354" s="1945">
        <f t="shared" si="60"/>
        <v>0</v>
      </c>
      <c r="U354" s="1944"/>
      <c r="V354" s="1944"/>
      <c r="W354" s="1944"/>
      <c r="X354" s="1944"/>
      <c r="Y354" s="1944"/>
      <c r="Z354" s="1944"/>
      <c r="AA354" s="1944"/>
      <c r="AB354" s="1944"/>
      <c r="AC354" s="1944"/>
      <c r="AD354" s="1944"/>
      <c r="AE354" s="1944"/>
      <c r="AF354" s="1944"/>
      <c r="AG354" s="1944"/>
      <c r="AH354" s="1944"/>
      <c r="AI354" s="1944"/>
      <c r="AJ354" s="1944"/>
      <c r="AK354" s="1944"/>
      <c r="AL354" s="1944"/>
      <c r="AM354" s="1944"/>
      <c r="AN354" s="1944"/>
      <c r="AO354" s="1944"/>
    </row>
    <row r="355" spans="1:43" s="1716" customFormat="1">
      <c r="A355" s="1945" t="s">
        <v>2273</v>
      </c>
      <c r="B355" s="1945"/>
      <c r="C355" s="1945">
        <f t="shared" si="61"/>
        <v>0</v>
      </c>
      <c r="D355" s="1945">
        <f t="shared" si="61"/>
        <v>0</v>
      </c>
      <c r="E355" s="1945">
        <f t="shared" si="61"/>
        <v>0</v>
      </c>
      <c r="F355" s="1945">
        <f t="shared" si="61"/>
        <v>0</v>
      </c>
      <c r="G355" s="1945">
        <f t="shared" si="61"/>
        <v>0</v>
      </c>
      <c r="H355" s="1945">
        <f>B355*C355</f>
        <v>0</v>
      </c>
      <c r="I355" s="1945">
        <f>B355*D355</f>
        <v>0</v>
      </c>
      <c r="J355" s="1945">
        <f>B355*E355</f>
        <v>0</v>
      </c>
      <c r="K355" s="2054">
        <f t="shared" si="62"/>
        <v>0</v>
      </c>
      <c r="L355" s="1945">
        <f>B355*G355</f>
        <v>0</v>
      </c>
      <c r="N355" s="1945">
        <f>(B355/2)/0.2</f>
        <v>0</v>
      </c>
      <c r="O355" s="1945">
        <f>(B355/2)/0.1</f>
        <v>0</v>
      </c>
      <c r="P355" s="1945">
        <f>SUM(N355:O355)</f>
        <v>0</v>
      </c>
      <c r="Q355" s="1945">
        <f t="shared" si="63"/>
        <v>-0.2</v>
      </c>
      <c r="R355" s="1945">
        <f>P355*Q355</f>
        <v>0</v>
      </c>
      <c r="U355" s="1944"/>
      <c r="V355" s="1944"/>
      <c r="W355" s="1944"/>
      <c r="X355" s="1944"/>
      <c r="Y355" s="1944"/>
      <c r="Z355" s="1944"/>
      <c r="AA355" s="1944"/>
      <c r="AB355" s="1944"/>
      <c r="AC355" s="1944"/>
      <c r="AD355" s="1944"/>
      <c r="AE355" s="1944"/>
      <c r="AF355" s="1944"/>
      <c r="AG355" s="1944"/>
      <c r="AH355" s="1944"/>
      <c r="AI355" s="1944"/>
      <c r="AJ355" s="1944"/>
      <c r="AK355" s="1944"/>
      <c r="AL355" s="1944"/>
      <c r="AM355" s="1944"/>
      <c r="AN355" s="1944"/>
      <c r="AO355" s="1944"/>
      <c r="AP355" s="1944"/>
    </row>
    <row r="356" spans="1:43" s="1716" customFormat="1" ht="15" customHeight="1">
      <c r="A356" s="1945" t="s">
        <v>2274</v>
      </c>
      <c r="B356" s="1945"/>
      <c r="C356" s="1945">
        <f t="shared" si="61"/>
        <v>0</v>
      </c>
      <c r="D356" s="1945">
        <f t="shared" si="61"/>
        <v>0</v>
      </c>
      <c r="E356" s="1945">
        <f t="shared" si="61"/>
        <v>0</v>
      </c>
      <c r="F356" s="1945">
        <f t="shared" si="61"/>
        <v>0</v>
      </c>
      <c r="G356" s="1945">
        <f t="shared" si="61"/>
        <v>0</v>
      </c>
      <c r="H356" s="1945">
        <f>B356*C356</f>
        <v>0</v>
      </c>
      <c r="I356" s="1945">
        <f>B356*D356</f>
        <v>0</v>
      </c>
      <c r="J356" s="1945">
        <f>B356*E356</f>
        <v>0</v>
      </c>
      <c r="K356" s="2054">
        <f t="shared" si="62"/>
        <v>0</v>
      </c>
      <c r="L356" s="1945">
        <f>B356*G356</f>
        <v>0</v>
      </c>
      <c r="N356" s="1945">
        <f>(B356/2)/0.2</f>
        <v>0</v>
      </c>
      <c r="O356" s="1945">
        <f>(B356/2)/0.1</f>
        <v>0</v>
      </c>
      <c r="P356" s="1945">
        <f>SUM(N356:O356)</f>
        <v>0</v>
      </c>
      <c r="Q356" s="1945">
        <f t="shared" si="63"/>
        <v>-0.2</v>
      </c>
      <c r="R356" s="1945">
        <f>P356*Q356</f>
        <v>0</v>
      </c>
      <c r="U356" s="1944"/>
      <c r="V356" s="1944"/>
      <c r="W356" s="1944"/>
      <c r="X356" s="1944"/>
      <c r="Y356" s="1944"/>
      <c r="Z356" s="1944"/>
      <c r="AA356" s="1944"/>
      <c r="AB356" s="1944"/>
      <c r="AC356" s="1944"/>
      <c r="AD356" s="1944"/>
      <c r="AE356" s="1944"/>
      <c r="AF356" s="1944"/>
      <c r="AG356" s="1944"/>
      <c r="AH356" s="1944"/>
      <c r="AI356" s="1944"/>
      <c r="AJ356" s="1944"/>
      <c r="AK356" s="1944"/>
      <c r="AL356" s="1944"/>
      <c r="AM356" s="1944"/>
      <c r="AN356" s="1944"/>
      <c r="AO356" s="1944"/>
    </row>
    <row r="357" spans="1:43" s="1716" customFormat="1" ht="15" customHeight="1">
      <c r="A357" s="1945" t="s">
        <v>2275</v>
      </c>
      <c r="B357" s="1945"/>
      <c r="C357" s="1945">
        <f t="shared" si="61"/>
        <v>0</v>
      </c>
      <c r="D357" s="1945">
        <f t="shared" si="61"/>
        <v>0</v>
      </c>
      <c r="E357" s="1945">
        <f t="shared" si="61"/>
        <v>0</v>
      </c>
      <c r="F357" s="1945">
        <f t="shared" si="61"/>
        <v>0</v>
      </c>
      <c r="G357" s="1945">
        <f t="shared" si="61"/>
        <v>0</v>
      </c>
      <c r="H357" s="1945">
        <f>B357*C357</f>
        <v>0</v>
      </c>
      <c r="I357" s="1945">
        <f>B357*D357</f>
        <v>0</v>
      </c>
      <c r="J357" s="1945">
        <f>B357*E357</f>
        <v>0</v>
      </c>
      <c r="K357" s="2054">
        <f t="shared" si="62"/>
        <v>0</v>
      </c>
      <c r="L357" s="1945">
        <f>B357*G357</f>
        <v>0</v>
      </c>
      <c r="N357" s="1945">
        <f>(B357/2)/0.2</f>
        <v>0</v>
      </c>
      <c r="O357" s="1945">
        <f>(B357/2)/0.1</f>
        <v>0</v>
      </c>
      <c r="P357" s="1945">
        <f>SUM(N357:O357)</f>
        <v>0</v>
      </c>
      <c r="Q357" s="1945">
        <f>Q295</f>
        <v>-0.15000000000000002</v>
      </c>
      <c r="R357" s="1945">
        <f>P357*Q357</f>
        <v>0</v>
      </c>
      <c r="U357" s="1944"/>
      <c r="V357" s="1944"/>
      <c r="W357" s="1944"/>
      <c r="X357" s="1944"/>
      <c r="Y357" s="1944"/>
      <c r="Z357" s="1944"/>
      <c r="AA357" s="1944"/>
      <c r="AB357" s="1944"/>
      <c r="AC357" s="1944"/>
      <c r="AD357" s="1944"/>
      <c r="AE357" s="1944"/>
      <c r="AF357" s="1944"/>
      <c r="AG357" s="1944"/>
      <c r="AH357" s="1944"/>
      <c r="AI357" s="1944"/>
      <c r="AJ357" s="1944"/>
      <c r="AK357" s="1944"/>
      <c r="AL357" s="1944"/>
      <c r="AM357" s="1944"/>
      <c r="AN357" s="1944"/>
      <c r="AO357" s="1944"/>
    </row>
    <row r="358" spans="1:43" s="1716" customFormat="1">
      <c r="A358" s="1945" t="s">
        <v>175</v>
      </c>
      <c r="B358" s="1945"/>
      <c r="C358" s="1945">
        <f t="shared" si="61"/>
        <v>0</v>
      </c>
      <c r="D358" s="1945">
        <f t="shared" si="61"/>
        <v>0</v>
      </c>
      <c r="E358" s="1945">
        <f t="shared" si="61"/>
        <v>0</v>
      </c>
      <c r="F358" s="1945">
        <f t="shared" si="61"/>
        <v>0</v>
      </c>
      <c r="G358" s="1945">
        <f t="shared" si="61"/>
        <v>4</v>
      </c>
      <c r="H358" s="1945">
        <f t="shared" si="54"/>
        <v>0</v>
      </c>
      <c r="I358" s="1945">
        <f t="shared" si="64"/>
        <v>0</v>
      </c>
      <c r="J358" s="1945">
        <f t="shared" si="55"/>
        <v>0</v>
      </c>
      <c r="K358" s="2054">
        <f t="shared" si="62"/>
        <v>0</v>
      </c>
      <c r="L358" s="1945">
        <f t="shared" si="56"/>
        <v>0</v>
      </c>
      <c r="N358" s="1945">
        <f t="shared" si="57"/>
        <v>0</v>
      </c>
      <c r="O358" s="1945">
        <f t="shared" si="58"/>
        <v>0</v>
      </c>
      <c r="P358" s="1945">
        <f t="shared" si="59"/>
        <v>0</v>
      </c>
      <c r="Q358" s="1945">
        <f t="shared" si="63"/>
        <v>0.44000000000000006</v>
      </c>
      <c r="R358" s="1945">
        <f t="shared" si="60"/>
        <v>0</v>
      </c>
      <c r="T358" s="1944"/>
      <c r="U358" s="2716"/>
      <c r="V358" s="2716"/>
      <c r="W358" s="2716"/>
      <c r="X358" s="2716"/>
      <c r="Y358" s="1944"/>
      <c r="Z358" s="1944"/>
      <c r="AA358" s="1944"/>
      <c r="AB358" s="1944"/>
      <c r="AC358" s="1944"/>
      <c r="AD358" s="1944"/>
      <c r="AE358" s="1944"/>
      <c r="AF358" s="1944"/>
      <c r="AG358" s="1944"/>
      <c r="AH358" s="1944"/>
      <c r="AI358" s="1944"/>
      <c r="AJ358" s="1944"/>
      <c r="AK358" s="1944"/>
      <c r="AL358" s="1944"/>
      <c r="AM358" s="1944"/>
      <c r="AN358" s="1944"/>
      <c r="AO358" s="1944"/>
    </row>
    <row r="359" spans="1:43" s="1716" customFormat="1" ht="15">
      <c r="A359" s="1598"/>
      <c r="B359" s="1598"/>
      <c r="C359" s="1598"/>
      <c r="D359" s="1598"/>
      <c r="E359" s="1598"/>
      <c r="F359" s="2725" t="s">
        <v>2074</v>
      </c>
      <c r="G359" s="2726"/>
      <c r="H359" s="1596">
        <f>SUM(H343:H358)</f>
        <v>2880.5</v>
      </c>
      <c r="I359" s="1596">
        <f>SUM(I343:I358)</f>
        <v>0</v>
      </c>
      <c r="J359" s="1596">
        <f>SUM(J343:J358)</f>
        <v>0</v>
      </c>
      <c r="K359" s="1596">
        <f>SUM(K343:K358)</f>
        <v>125.48000000000002</v>
      </c>
      <c r="L359" s="1596">
        <f>SUM(L343:L358)</f>
        <v>0</v>
      </c>
      <c r="N359" s="2725" t="s">
        <v>1972</v>
      </c>
      <c r="O359" s="2726"/>
      <c r="P359" s="2726"/>
      <c r="Q359" s="1596">
        <f>SUM(R347,R350:R352,R354:R358)</f>
        <v>973.73474999999996</v>
      </c>
      <c r="R359" s="2056">
        <f>Q359*0.4</f>
        <v>389.4939</v>
      </c>
      <c r="T359" s="1944"/>
      <c r="V359" s="1944"/>
      <c r="W359" s="1944"/>
      <c r="X359" s="1944"/>
      <c r="Y359" s="1944"/>
      <c r="Z359" s="1944"/>
      <c r="AA359" s="1944"/>
      <c r="AB359" s="1944"/>
      <c r="AC359" s="1944"/>
      <c r="AD359" s="1944"/>
      <c r="AE359" s="1944"/>
      <c r="AF359" s="1944"/>
      <c r="AG359" s="1944"/>
      <c r="AH359" s="1944"/>
      <c r="AI359" s="1944"/>
      <c r="AJ359" s="1944"/>
      <c r="AK359" s="1944"/>
      <c r="AL359" s="1944"/>
      <c r="AM359" s="1944"/>
      <c r="AN359" s="1944"/>
      <c r="AO359" s="1944"/>
      <c r="AP359" s="1944"/>
      <c r="AQ359" s="1944"/>
    </row>
    <row r="360" spans="1:43" s="1716" customFormat="1" ht="15">
      <c r="A360" s="1598"/>
      <c r="B360" s="1598"/>
      <c r="C360" s="1598"/>
      <c r="D360" s="1598"/>
      <c r="E360" s="1598"/>
      <c r="F360" s="2725" t="s">
        <v>2075</v>
      </c>
      <c r="G360" s="2726"/>
      <c r="H360" s="1604">
        <f>H359*1.04</f>
        <v>2995.7200000000003</v>
      </c>
      <c r="I360" s="1604">
        <f>I359*0.89</f>
        <v>0</v>
      </c>
      <c r="J360" s="1880">
        <f>J359*0.62</f>
        <v>0</v>
      </c>
      <c r="K360" s="1604">
        <f>K359*0.62</f>
        <v>77.797600000000017</v>
      </c>
      <c r="L360" s="1880">
        <f>L359*0.62</f>
        <v>0</v>
      </c>
      <c r="N360" s="2725" t="s">
        <v>2387</v>
      </c>
      <c r="O360" s="2726"/>
      <c r="P360" s="2726"/>
      <c r="Q360" s="1596">
        <f>SUM(R343:R346,R348:R349,R353)</f>
        <v>1568.92875</v>
      </c>
      <c r="R360" s="1880">
        <f>Q360*0.62</f>
        <v>972.73582499999998</v>
      </c>
      <c r="V360" s="1944"/>
      <c r="W360" s="1944"/>
      <c r="X360" s="1944"/>
      <c r="Y360" s="1944"/>
      <c r="Z360" s="1944"/>
      <c r="AA360" s="1944"/>
      <c r="AB360" s="1944"/>
      <c r="AC360" s="1944"/>
      <c r="AD360" s="1944"/>
      <c r="AE360" s="1944"/>
      <c r="AF360" s="1944"/>
      <c r="AG360" s="1944"/>
      <c r="AH360" s="1944"/>
      <c r="AI360" s="1944"/>
      <c r="AJ360" s="1944"/>
      <c r="AK360" s="1944"/>
      <c r="AL360" s="1944"/>
      <c r="AM360" s="1944"/>
      <c r="AN360" s="1944"/>
      <c r="AO360" s="1944"/>
      <c r="AP360" s="1944"/>
      <c r="AQ360" s="1944"/>
    </row>
    <row r="361" spans="1:43" s="1716" customFormat="1">
      <c r="A361" s="1598"/>
      <c r="B361" s="1598"/>
      <c r="C361" s="1598"/>
      <c r="D361" s="1598"/>
      <c r="E361" s="1598"/>
      <c r="F361" s="1598"/>
      <c r="G361" s="1598"/>
      <c r="V361" s="1944"/>
      <c r="W361" s="1944"/>
      <c r="X361" s="1944"/>
      <c r="Y361" s="1944"/>
      <c r="Z361" s="1944"/>
      <c r="AA361" s="1944"/>
      <c r="AB361" s="1944"/>
      <c r="AC361" s="1944"/>
      <c r="AD361" s="1944"/>
      <c r="AE361" s="1944"/>
      <c r="AF361" s="1944"/>
      <c r="AG361" s="1944"/>
      <c r="AH361" s="1944"/>
      <c r="AI361" s="1944"/>
      <c r="AJ361" s="1944"/>
      <c r="AK361" s="1944"/>
      <c r="AL361" s="1944"/>
      <c r="AM361" s="1944"/>
      <c r="AN361" s="1944"/>
      <c r="AO361" s="1944"/>
      <c r="AP361" s="1944"/>
      <c r="AQ361" s="1944"/>
    </row>
    <row r="362" spans="1:43" s="1716" customFormat="1">
      <c r="E362" s="1303"/>
      <c r="F362" s="1303"/>
      <c r="G362" s="1303"/>
      <c r="H362" s="1303"/>
      <c r="I362" s="1303"/>
      <c r="J362" s="1303"/>
      <c r="K362" s="1303"/>
      <c r="L362" s="1303"/>
      <c r="M362" s="1303"/>
      <c r="N362" s="1303"/>
      <c r="O362" s="1303"/>
      <c r="P362" s="1303"/>
      <c r="V362" s="1944"/>
      <c r="W362" s="1944"/>
      <c r="X362" s="1944"/>
      <c r="Y362" s="1944"/>
      <c r="Z362" s="1944"/>
      <c r="AA362" s="1944"/>
      <c r="AB362" s="1944"/>
      <c r="AC362" s="1944"/>
      <c r="AD362" s="1944"/>
      <c r="AE362" s="1944"/>
      <c r="AF362" s="1944"/>
      <c r="AG362" s="1944"/>
      <c r="AH362" s="1944"/>
      <c r="AI362" s="1944"/>
      <c r="AJ362" s="1944"/>
      <c r="AK362" s="1944"/>
      <c r="AL362" s="1944"/>
      <c r="AM362" s="1944"/>
      <c r="AN362" s="1944"/>
      <c r="AO362" s="1944"/>
      <c r="AP362" s="1944"/>
      <c r="AQ362" s="1944"/>
    </row>
    <row r="363" spans="1:43" s="1716" customFormat="1">
      <c r="A363" s="2717" t="s">
        <v>2005</v>
      </c>
      <c r="B363" s="2718"/>
      <c r="C363" s="2718"/>
      <c r="D363" s="2718"/>
      <c r="E363" s="1303"/>
      <c r="F363" s="1303"/>
      <c r="G363" s="1303"/>
      <c r="H363" s="1303"/>
      <c r="I363" s="1303"/>
      <c r="J363" s="1303"/>
      <c r="K363" s="1303"/>
      <c r="L363" s="1303"/>
      <c r="M363" s="1303"/>
      <c r="N363" s="1303"/>
      <c r="O363" s="1303"/>
      <c r="P363" s="1303"/>
      <c r="V363" s="1944"/>
      <c r="W363" s="1944"/>
      <c r="X363" s="1944"/>
      <c r="Y363" s="1944"/>
      <c r="Z363" s="1944"/>
      <c r="AA363" s="1944"/>
      <c r="AB363" s="1944"/>
      <c r="AC363" s="1944"/>
      <c r="AD363" s="1944"/>
      <c r="AE363" s="1944"/>
      <c r="AF363" s="1944"/>
      <c r="AG363" s="1944"/>
      <c r="AH363" s="1944"/>
      <c r="AI363" s="1944"/>
      <c r="AJ363" s="1944"/>
      <c r="AK363" s="1944"/>
      <c r="AL363" s="1944"/>
      <c r="AM363" s="1944"/>
      <c r="AN363" s="1944"/>
      <c r="AO363" s="1944"/>
      <c r="AP363" s="1944"/>
      <c r="AQ363" s="1944"/>
    </row>
    <row r="364" spans="1:43" s="1716" customFormat="1">
      <c r="A364" s="1945" t="s">
        <v>1796</v>
      </c>
      <c r="B364" s="1945" t="s">
        <v>2004</v>
      </c>
      <c r="C364" s="1945" t="s">
        <v>1791</v>
      </c>
      <c r="D364" s="1945" t="s">
        <v>2008</v>
      </c>
      <c r="E364" s="1303" t="s">
        <v>2368</v>
      </c>
      <c r="F364" s="1303"/>
      <c r="G364" s="1303"/>
      <c r="H364" s="1303"/>
      <c r="I364" s="1303"/>
      <c r="J364" s="1303"/>
      <c r="K364" s="1303"/>
      <c r="L364" s="1303"/>
      <c r="M364" s="1303"/>
      <c r="N364" s="1303"/>
      <c r="O364" s="1303"/>
      <c r="P364" s="1303"/>
      <c r="V364" s="1944"/>
      <c r="W364" s="1944"/>
      <c r="X364" s="1944"/>
      <c r="Y364" s="1944"/>
      <c r="Z364" s="1944"/>
      <c r="AA364" s="1944"/>
      <c r="AB364" s="1944"/>
      <c r="AC364" s="1944"/>
      <c r="AD364" s="1944"/>
      <c r="AE364" s="1944"/>
      <c r="AF364" s="1944"/>
      <c r="AG364" s="1944"/>
      <c r="AH364" s="1944"/>
      <c r="AI364" s="1944"/>
      <c r="AJ364" s="1944"/>
      <c r="AK364" s="1944"/>
      <c r="AL364" s="1944"/>
      <c r="AM364" s="1944"/>
      <c r="AN364" s="1944"/>
      <c r="AO364" s="1944"/>
      <c r="AP364" s="1944"/>
      <c r="AQ364" s="1944"/>
    </row>
    <row r="365" spans="1:43" s="1716" customFormat="1">
      <c r="A365" s="1945" t="str">
        <f t="shared" ref="A365:B380" si="65">A343</f>
        <v>B1</v>
      </c>
      <c r="B365" s="1945">
        <f t="shared" si="65"/>
        <v>23.78</v>
      </c>
      <c r="C365" s="1968">
        <f>C303</f>
        <v>0.18</v>
      </c>
      <c r="D365" s="1945">
        <f>B365*C365</f>
        <v>4.2804000000000002</v>
      </c>
      <c r="E365" s="1303">
        <f>$F$303*B365</f>
        <v>7.1340000000000003</v>
      </c>
      <c r="F365" s="1303"/>
      <c r="G365" s="1746"/>
      <c r="H365" s="1303"/>
      <c r="I365" s="1303"/>
      <c r="J365" s="1303"/>
      <c r="K365" s="1303"/>
      <c r="L365" s="1303"/>
      <c r="M365" s="1303"/>
      <c r="N365" s="1303"/>
      <c r="O365" s="1303"/>
      <c r="P365" s="1303"/>
      <c r="V365" s="1944"/>
      <c r="W365" s="1944"/>
      <c r="X365" s="1944"/>
      <c r="Y365" s="1944"/>
      <c r="Z365" s="1944"/>
      <c r="AA365" s="1944"/>
      <c r="AB365" s="1944"/>
      <c r="AC365" s="1944"/>
      <c r="AD365" s="1944"/>
      <c r="AE365" s="1944"/>
      <c r="AF365" s="1944"/>
      <c r="AG365" s="1944"/>
      <c r="AH365" s="1944"/>
      <c r="AI365" s="1944"/>
      <c r="AJ365" s="1944"/>
      <c r="AK365" s="1944"/>
      <c r="AL365" s="1944"/>
      <c r="AM365" s="1944"/>
      <c r="AN365" s="1944"/>
      <c r="AO365" s="1944"/>
      <c r="AP365" s="1944"/>
      <c r="AQ365" s="1944"/>
    </row>
    <row r="366" spans="1:43" s="1716" customFormat="1">
      <c r="A366" s="1945" t="str">
        <f t="shared" si="65"/>
        <v>B2</v>
      </c>
      <c r="B366" s="1945">
        <f t="shared" si="65"/>
        <v>4.22</v>
      </c>
      <c r="C366" s="1968">
        <f t="shared" ref="C366:C380" si="66">C304</f>
        <v>0.19999999999999998</v>
      </c>
      <c r="D366" s="1945">
        <f t="shared" ref="D366:D380" si="67">B366*C366</f>
        <v>0.84399999999999986</v>
      </c>
      <c r="E366" s="1303">
        <f>$F$304*B366</f>
        <v>1.2659999999999998</v>
      </c>
      <c r="F366" s="1303"/>
      <c r="G366" s="1303"/>
      <c r="H366" s="1303"/>
      <c r="I366" s="1303"/>
      <c r="J366" s="1303"/>
      <c r="K366" s="1303"/>
      <c r="L366" s="1303"/>
      <c r="M366" s="1303"/>
      <c r="N366" s="1303"/>
      <c r="O366" s="1303"/>
      <c r="P366" s="1303"/>
      <c r="V366" s="1944"/>
      <c r="W366" s="1944"/>
      <c r="X366" s="1944"/>
      <c r="Y366" s="1944"/>
      <c r="Z366" s="1944"/>
      <c r="AA366" s="1944"/>
      <c r="AB366" s="1944"/>
      <c r="AC366" s="1944"/>
      <c r="AD366" s="1944"/>
      <c r="AE366" s="1944"/>
      <c r="AF366" s="1944"/>
      <c r="AG366" s="1944"/>
      <c r="AH366" s="1944"/>
      <c r="AI366" s="1944"/>
      <c r="AJ366" s="1944"/>
      <c r="AK366" s="1944"/>
      <c r="AL366" s="1944"/>
      <c r="AM366" s="1944"/>
      <c r="AN366" s="1944"/>
      <c r="AO366" s="1944"/>
      <c r="AP366" s="1944"/>
      <c r="AQ366" s="1944"/>
    </row>
    <row r="367" spans="1:43" s="1716" customFormat="1">
      <c r="A367" s="1945" t="str">
        <f t="shared" si="65"/>
        <v>B3</v>
      </c>
      <c r="B367" s="1945">
        <f t="shared" si="65"/>
        <v>55.2</v>
      </c>
      <c r="C367" s="1968">
        <f t="shared" si="66"/>
        <v>0.125</v>
      </c>
      <c r="D367" s="1945">
        <f t="shared" si="67"/>
        <v>6.9</v>
      </c>
      <c r="E367" s="1303">
        <f>$F$305*B367</f>
        <v>13.8</v>
      </c>
      <c r="F367" s="1303"/>
      <c r="G367" s="1303"/>
      <c r="H367" s="1303"/>
      <c r="I367" s="1303"/>
      <c r="J367" s="1303"/>
      <c r="K367" s="1303"/>
      <c r="L367" s="1303"/>
      <c r="M367" s="1303"/>
      <c r="N367" s="1303"/>
      <c r="O367" s="1303"/>
      <c r="P367" s="1303"/>
      <c r="V367" s="1944"/>
      <c r="W367" s="1944"/>
      <c r="X367" s="1944"/>
      <c r="Y367" s="1944"/>
      <c r="Z367" s="1944"/>
      <c r="AA367" s="1944"/>
      <c r="AB367" s="1944"/>
      <c r="AC367" s="1944"/>
      <c r="AD367" s="1944"/>
      <c r="AE367" s="1944"/>
      <c r="AF367" s="1944"/>
      <c r="AG367" s="1944"/>
      <c r="AH367" s="1944"/>
      <c r="AI367" s="1944"/>
      <c r="AJ367" s="1944"/>
      <c r="AK367" s="1944"/>
      <c r="AL367" s="1944"/>
      <c r="AM367" s="1944"/>
      <c r="AN367" s="1944"/>
      <c r="AO367" s="1944"/>
      <c r="AP367" s="1944"/>
      <c r="AQ367" s="1944"/>
    </row>
    <row r="368" spans="1:43" s="1716" customFormat="1">
      <c r="A368" s="1945" t="str">
        <f t="shared" si="65"/>
        <v>B4</v>
      </c>
      <c r="B368" s="1945">
        <f t="shared" si="65"/>
        <v>80.5</v>
      </c>
      <c r="C368" s="1968">
        <f t="shared" si="66"/>
        <v>8.0000000000000016E-2</v>
      </c>
      <c r="D368" s="1945">
        <f t="shared" si="67"/>
        <v>6.4400000000000013</v>
      </c>
      <c r="E368" s="1303">
        <f>$F$306*B368</f>
        <v>16.100000000000001</v>
      </c>
      <c r="F368" s="1303"/>
      <c r="G368" s="1303"/>
      <c r="H368" s="1303"/>
      <c r="I368" s="1303"/>
      <c r="J368" s="1303"/>
      <c r="K368" s="1303"/>
      <c r="L368" s="1303"/>
      <c r="M368" s="1303"/>
      <c r="N368" s="1303"/>
      <c r="O368" s="1303"/>
      <c r="P368" s="1303"/>
      <c r="V368" s="1944"/>
      <c r="W368" s="1944"/>
      <c r="X368" s="1944"/>
      <c r="Y368" s="1944"/>
      <c r="Z368" s="1944"/>
      <c r="AA368" s="1944"/>
      <c r="AB368" s="1944"/>
      <c r="AC368" s="1944"/>
      <c r="AD368" s="1944"/>
      <c r="AE368" s="1944"/>
      <c r="AF368" s="1944"/>
      <c r="AG368" s="1944"/>
      <c r="AH368" s="1944"/>
      <c r="AI368" s="1944"/>
      <c r="AJ368" s="1944"/>
      <c r="AK368" s="1944"/>
      <c r="AL368" s="1944"/>
      <c r="AM368" s="1944"/>
      <c r="AN368" s="1944"/>
      <c r="AO368" s="1944"/>
      <c r="AP368" s="1944"/>
      <c r="AQ368" s="1944"/>
    </row>
    <row r="369" spans="1:43" s="1716" customFormat="1">
      <c r="A369" s="1945" t="str">
        <f t="shared" si="65"/>
        <v>B5</v>
      </c>
      <c r="B369" s="1945">
        <f t="shared" si="65"/>
        <v>91.57</v>
      </c>
      <c r="C369" s="1968">
        <f t="shared" si="66"/>
        <v>0.06</v>
      </c>
      <c r="D369" s="1945">
        <f t="shared" si="67"/>
        <v>5.4941999999999993</v>
      </c>
      <c r="E369" s="1303">
        <f>$F$307*B369</f>
        <v>13.735499999999998</v>
      </c>
      <c r="F369" s="1303"/>
      <c r="G369" s="1303"/>
      <c r="H369" s="1303"/>
      <c r="I369" s="1303"/>
      <c r="J369" s="1303"/>
      <c r="K369" s="1303"/>
      <c r="L369" s="1303"/>
      <c r="M369" s="1303"/>
      <c r="N369" s="1303"/>
      <c r="O369" s="1303"/>
      <c r="P369" s="1303"/>
      <c r="V369" s="1944"/>
      <c r="W369" s="1944"/>
      <c r="X369" s="1944"/>
      <c r="Y369" s="1944"/>
      <c r="Z369" s="1944"/>
      <c r="AA369" s="1944"/>
      <c r="AB369" s="1944"/>
      <c r="AC369" s="1944"/>
      <c r="AD369" s="1944"/>
      <c r="AE369" s="1944"/>
      <c r="AF369" s="1944"/>
      <c r="AG369" s="1944"/>
      <c r="AH369" s="1944"/>
      <c r="AI369" s="1944"/>
      <c r="AJ369" s="1944"/>
      <c r="AK369" s="1944"/>
      <c r="AL369" s="1944"/>
      <c r="AM369" s="1944"/>
      <c r="AN369" s="1944"/>
      <c r="AO369" s="1944"/>
      <c r="AP369" s="1944"/>
      <c r="AQ369" s="1944"/>
    </row>
    <row r="370" spans="1:43" s="1716" customFormat="1" ht="15" customHeight="1">
      <c r="A370" s="1945" t="str">
        <f t="shared" si="65"/>
        <v>B6</v>
      </c>
      <c r="B370" s="1945">
        <f t="shared" si="65"/>
        <v>5.59</v>
      </c>
      <c r="C370" s="1968">
        <f t="shared" si="66"/>
        <v>0.12000000000000002</v>
      </c>
      <c r="D370" s="1945">
        <f t="shared" si="67"/>
        <v>0.67080000000000006</v>
      </c>
      <c r="E370" s="1303">
        <f>$F$308*B370</f>
        <v>1.1180000000000001</v>
      </c>
      <c r="F370" s="1303"/>
      <c r="G370" s="1303"/>
      <c r="H370" s="1303"/>
      <c r="I370" s="1303"/>
      <c r="J370" s="1303"/>
      <c r="K370" s="1303"/>
      <c r="L370" s="1303"/>
      <c r="M370" s="1303"/>
      <c r="N370" s="1303"/>
      <c r="O370" s="1303"/>
      <c r="P370" s="1303"/>
      <c r="V370" s="1944"/>
      <c r="W370" s="1944"/>
      <c r="X370" s="1944"/>
      <c r="Y370" s="1944"/>
      <c r="Z370" s="1944"/>
      <c r="AA370" s="1944"/>
      <c r="AB370" s="1944"/>
      <c r="AC370" s="1944"/>
      <c r="AD370" s="1944"/>
      <c r="AE370" s="1944"/>
      <c r="AF370" s="1944"/>
      <c r="AG370" s="1944"/>
      <c r="AH370" s="1944"/>
      <c r="AI370" s="1944"/>
      <c r="AJ370" s="1944"/>
      <c r="AK370" s="1944"/>
      <c r="AL370" s="1944"/>
      <c r="AM370" s="1944"/>
      <c r="AN370" s="1944"/>
      <c r="AO370" s="1944"/>
      <c r="AP370" s="1944"/>
      <c r="AQ370" s="1944"/>
    </row>
    <row r="371" spans="1:43" s="1716" customFormat="1" ht="15" customHeight="1">
      <c r="A371" s="1945" t="str">
        <f t="shared" si="65"/>
        <v>B7</v>
      </c>
      <c r="B371" s="1945">
        <f t="shared" si="65"/>
        <v>1.8</v>
      </c>
      <c r="C371" s="1968">
        <f t="shared" si="66"/>
        <v>0.15500000000000003</v>
      </c>
      <c r="D371" s="1945">
        <f t="shared" si="67"/>
        <v>0.27900000000000008</v>
      </c>
      <c r="E371" s="1303">
        <f>$F$309*B371</f>
        <v>0.45</v>
      </c>
      <c r="F371" s="1303"/>
      <c r="G371" s="1303"/>
      <c r="H371" s="1303"/>
      <c r="I371" s="1303"/>
      <c r="J371" s="1303"/>
      <c r="K371" s="1303"/>
      <c r="L371" s="1303"/>
      <c r="M371" s="1303"/>
      <c r="N371" s="1303"/>
      <c r="O371" s="1303"/>
      <c r="P371" s="1303"/>
      <c r="V371" s="1944"/>
      <c r="W371" s="1944"/>
      <c r="X371" s="1944"/>
      <c r="Y371" s="1944"/>
      <c r="Z371" s="1944"/>
      <c r="AA371" s="1944"/>
      <c r="AB371" s="1944"/>
      <c r="AC371" s="1944"/>
      <c r="AD371" s="1944"/>
      <c r="AE371" s="1944"/>
      <c r="AF371" s="1944"/>
      <c r="AG371" s="1944"/>
      <c r="AH371" s="1944"/>
      <c r="AI371" s="1944"/>
      <c r="AJ371" s="1944"/>
      <c r="AK371" s="1944"/>
      <c r="AL371" s="1944"/>
      <c r="AM371" s="1944"/>
      <c r="AN371" s="1944"/>
      <c r="AO371" s="1944"/>
      <c r="AP371" s="1944"/>
      <c r="AQ371" s="1944"/>
    </row>
    <row r="372" spans="1:43" s="1716" customFormat="1" ht="15" customHeight="1">
      <c r="A372" s="1945" t="str">
        <f t="shared" si="65"/>
        <v>B8</v>
      </c>
      <c r="B372" s="1945">
        <f t="shared" si="65"/>
        <v>0</v>
      </c>
      <c r="C372" s="1968">
        <f t="shared" si="66"/>
        <v>4.4999999999999998E-2</v>
      </c>
      <c r="D372" s="1945">
        <f t="shared" si="67"/>
        <v>0</v>
      </c>
      <c r="E372" s="1303">
        <f>$F$310*B372</f>
        <v>0</v>
      </c>
      <c r="F372" s="1303"/>
      <c r="G372" s="1303"/>
      <c r="H372" s="1303"/>
      <c r="I372" s="1303"/>
      <c r="J372" s="1303"/>
      <c r="K372" s="1303"/>
      <c r="L372" s="1303"/>
      <c r="M372" s="1303"/>
      <c r="N372" s="1303"/>
      <c r="O372" s="1303"/>
      <c r="P372" s="1303"/>
      <c r="V372" s="1944"/>
      <c r="W372" s="1944"/>
      <c r="X372" s="1944"/>
      <c r="Y372" s="1944"/>
      <c r="Z372" s="1944"/>
      <c r="AA372" s="1944"/>
      <c r="AB372" s="1944"/>
      <c r="AC372" s="1944"/>
      <c r="AD372" s="1944"/>
      <c r="AE372" s="1944"/>
      <c r="AF372" s="1944"/>
      <c r="AG372" s="1944"/>
      <c r="AH372" s="1944"/>
      <c r="AI372" s="1944"/>
      <c r="AJ372" s="1944"/>
      <c r="AK372" s="1944"/>
      <c r="AL372" s="1944"/>
      <c r="AM372" s="1944"/>
      <c r="AN372" s="1944"/>
      <c r="AO372" s="1944"/>
      <c r="AP372" s="1944"/>
      <c r="AQ372" s="1944"/>
    </row>
    <row r="373" spans="1:43" s="1716" customFormat="1">
      <c r="A373" s="1945" t="str">
        <f t="shared" si="65"/>
        <v>B9</v>
      </c>
      <c r="B373" s="1945">
        <f t="shared" si="65"/>
        <v>0</v>
      </c>
      <c r="C373" s="1968">
        <f t="shared" si="66"/>
        <v>9.9999999999999992E-2</v>
      </c>
      <c r="D373" s="1945">
        <f t="shared" si="67"/>
        <v>0</v>
      </c>
      <c r="E373" s="1303">
        <f>$F$311*B373</f>
        <v>0</v>
      </c>
      <c r="F373" s="1303"/>
      <c r="G373" s="1303"/>
      <c r="H373" s="1303"/>
      <c r="I373" s="1303"/>
      <c r="J373" s="1303"/>
      <c r="K373" s="1303"/>
      <c r="L373" s="1303"/>
      <c r="M373" s="1303"/>
      <c r="N373" s="1303"/>
      <c r="O373" s="1303"/>
      <c r="P373" s="1303"/>
      <c r="V373" s="1944"/>
      <c r="W373" s="1944"/>
      <c r="X373" s="1944"/>
      <c r="Y373" s="1944"/>
      <c r="Z373" s="1944"/>
      <c r="AA373" s="1944"/>
      <c r="AB373" s="1944"/>
      <c r="AC373" s="1944"/>
      <c r="AD373" s="1944"/>
      <c r="AE373" s="1944"/>
      <c r="AF373" s="1944"/>
      <c r="AG373" s="1944"/>
      <c r="AH373" s="1944"/>
      <c r="AI373" s="1944"/>
      <c r="AJ373" s="1944"/>
      <c r="AK373" s="1944"/>
      <c r="AL373" s="1944"/>
      <c r="AM373" s="1944"/>
      <c r="AN373" s="1944"/>
      <c r="AO373" s="1944"/>
      <c r="AP373" s="1944"/>
      <c r="AQ373" s="1944"/>
    </row>
    <row r="374" spans="1:43" s="1716" customFormat="1">
      <c r="A374" s="1945" t="str">
        <f t="shared" si="65"/>
        <v>B10</v>
      </c>
      <c r="B374" s="1945">
        <f t="shared" si="65"/>
        <v>33.630000000000003</v>
      </c>
      <c r="C374" s="1968">
        <f t="shared" si="66"/>
        <v>0.106</v>
      </c>
      <c r="D374" s="1945">
        <f t="shared" si="67"/>
        <v>3.5647800000000003</v>
      </c>
      <c r="E374" s="1303">
        <f>$F$312*B374</f>
        <v>5.0445000000000002</v>
      </c>
      <c r="F374" s="1303"/>
      <c r="G374" s="1303"/>
      <c r="H374" s="1303"/>
      <c r="I374" s="1303"/>
      <c r="J374" s="1303"/>
      <c r="K374" s="1303"/>
      <c r="L374" s="1303"/>
      <c r="M374" s="1303"/>
      <c r="N374" s="1303"/>
      <c r="O374" s="1303"/>
      <c r="P374" s="1303"/>
      <c r="V374" s="1944"/>
      <c r="W374" s="2716"/>
      <c r="X374" s="2716"/>
      <c r="Y374" s="2716"/>
      <c r="Z374" s="2716"/>
      <c r="AA374" s="1944"/>
      <c r="AB374" s="1944"/>
      <c r="AC374" s="1944"/>
      <c r="AD374" s="1944"/>
      <c r="AE374" s="1944"/>
      <c r="AF374" s="1944"/>
      <c r="AG374" s="1944"/>
      <c r="AH374" s="1944"/>
      <c r="AI374" s="1944"/>
      <c r="AJ374" s="1944"/>
      <c r="AK374" s="1944"/>
      <c r="AL374" s="1944"/>
      <c r="AM374" s="1944"/>
      <c r="AN374" s="1944"/>
      <c r="AO374" s="1944"/>
      <c r="AP374" s="1944"/>
      <c r="AQ374" s="1944"/>
    </row>
    <row r="375" spans="1:43" s="1716" customFormat="1">
      <c r="A375" s="1945" t="str">
        <f t="shared" si="65"/>
        <v>B11</v>
      </c>
      <c r="B375" s="1945">
        <f t="shared" si="65"/>
        <v>0</v>
      </c>
      <c r="C375" s="1968">
        <f t="shared" si="66"/>
        <v>0.10999999999999999</v>
      </c>
      <c r="D375" s="1945">
        <f t="shared" si="67"/>
        <v>0</v>
      </c>
      <c r="E375" s="1303">
        <f>$F$313*B375</f>
        <v>0</v>
      </c>
      <c r="F375" s="1303"/>
      <c r="G375" s="1303"/>
      <c r="H375" s="1303"/>
      <c r="I375" s="1303"/>
      <c r="J375" s="1303"/>
      <c r="K375" s="1303"/>
      <c r="L375" s="1303"/>
      <c r="M375" s="1303"/>
      <c r="N375" s="1303"/>
      <c r="O375" s="1303"/>
      <c r="P375" s="1303"/>
      <c r="V375" s="1944"/>
      <c r="W375" s="1944"/>
      <c r="X375" s="1944"/>
      <c r="Y375" s="1944"/>
      <c r="Z375" s="1944"/>
      <c r="AA375" s="1944"/>
      <c r="AB375" s="1944"/>
      <c r="AC375" s="1944"/>
      <c r="AD375" s="1944"/>
      <c r="AE375" s="1944"/>
      <c r="AF375" s="1944"/>
      <c r="AG375" s="1944"/>
      <c r="AH375" s="1944"/>
      <c r="AI375" s="1944"/>
      <c r="AJ375" s="1944"/>
      <c r="AK375" s="1944"/>
      <c r="AL375" s="1944"/>
      <c r="AM375" s="1944"/>
      <c r="AN375" s="1944"/>
      <c r="AO375" s="1944"/>
      <c r="AP375" s="1944"/>
      <c r="AQ375" s="1944"/>
    </row>
    <row r="376" spans="1:43" s="1716" customFormat="1">
      <c r="A376" s="1945" t="str">
        <f t="shared" si="65"/>
        <v>B12</v>
      </c>
      <c r="B376" s="1945">
        <f t="shared" si="65"/>
        <v>0</v>
      </c>
      <c r="C376" s="1968">
        <f t="shared" si="66"/>
        <v>0</v>
      </c>
      <c r="D376" s="1945">
        <f t="shared" si="67"/>
        <v>0</v>
      </c>
      <c r="E376" s="1303">
        <f>$F$314*B376</f>
        <v>0</v>
      </c>
      <c r="F376" s="1303"/>
      <c r="G376" s="1303"/>
      <c r="H376" s="1303"/>
      <c r="I376" s="1303"/>
      <c r="J376" s="1303"/>
      <c r="K376" s="1303"/>
      <c r="L376" s="1303"/>
      <c r="M376" s="1303"/>
      <c r="N376" s="1303"/>
      <c r="O376" s="1303"/>
      <c r="P376" s="1303"/>
      <c r="V376" s="1944"/>
      <c r="W376" s="1944"/>
      <c r="X376" s="1944"/>
      <c r="Y376" s="1944"/>
      <c r="Z376" s="1944"/>
      <c r="AA376" s="1944"/>
      <c r="AB376" s="1944"/>
      <c r="AC376" s="1944"/>
      <c r="AD376" s="1944"/>
      <c r="AE376" s="1944"/>
      <c r="AF376" s="1944"/>
      <c r="AG376" s="1944"/>
      <c r="AH376" s="1944"/>
      <c r="AI376" s="1944"/>
      <c r="AJ376" s="1944"/>
      <c r="AK376" s="1944"/>
      <c r="AL376" s="1944"/>
      <c r="AM376" s="1944"/>
      <c r="AN376" s="1944"/>
      <c r="AO376" s="1944"/>
      <c r="AP376" s="1944"/>
      <c r="AQ376" s="1944"/>
    </row>
    <row r="377" spans="1:43" s="1716" customFormat="1">
      <c r="A377" s="1968" t="str">
        <f t="shared" si="65"/>
        <v>B13</v>
      </c>
      <c r="B377" s="1968">
        <f t="shared" si="65"/>
        <v>0</v>
      </c>
      <c r="C377" s="1968">
        <f t="shared" si="66"/>
        <v>0</v>
      </c>
      <c r="D377" s="1968">
        <f>B377*C377</f>
        <v>0</v>
      </c>
      <c r="E377" s="1303">
        <f>$F$315*B377</f>
        <v>0</v>
      </c>
      <c r="F377" s="1303"/>
      <c r="G377" s="1303"/>
      <c r="H377" s="1303"/>
      <c r="I377" s="1303"/>
      <c r="J377" s="1303"/>
      <c r="K377" s="1303"/>
      <c r="L377" s="1303"/>
      <c r="M377" s="1303"/>
      <c r="N377" s="1303"/>
      <c r="O377" s="1303"/>
      <c r="P377" s="1303"/>
      <c r="V377" s="1970"/>
      <c r="W377" s="2716"/>
      <c r="X377" s="2716"/>
      <c r="Y377" s="2716"/>
      <c r="Z377" s="2716"/>
      <c r="AA377" s="1970"/>
      <c r="AB377" s="1970"/>
      <c r="AC377" s="1970"/>
      <c r="AD377" s="1970"/>
      <c r="AE377" s="1970"/>
      <c r="AF377" s="1970"/>
      <c r="AG377" s="1970"/>
      <c r="AH377" s="1970"/>
      <c r="AI377" s="1970"/>
      <c r="AJ377" s="1970"/>
      <c r="AK377" s="1970"/>
      <c r="AL377" s="1970"/>
      <c r="AM377" s="1970"/>
      <c r="AN377" s="1970"/>
      <c r="AO377" s="1970"/>
      <c r="AP377" s="1970"/>
      <c r="AQ377" s="1970"/>
    </row>
    <row r="378" spans="1:43" s="1716" customFormat="1">
      <c r="A378" s="1968" t="str">
        <f t="shared" si="65"/>
        <v>B14</v>
      </c>
      <c r="B378" s="1968">
        <f t="shared" si="65"/>
        <v>0</v>
      </c>
      <c r="C378" s="1968">
        <f t="shared" si="66"/>
        <v>0</v>
      </c>
      <c r="D378" s="1968">
        <f>B378*C378</f>
        <v>0</v>
      </c>
      <c r="E378" s="1303">
        <f>$F$316*B378</f>
        <v>0</v>
      </c>
      <c r="F378" s="1303"/>
      <c r="G378" s="1303"/>
      <c r="H378" s="1303"/>
      <c r="I378" s="1303"/>
      <c r="J378" s="1303"/>
      <c r="K378" s="1303"/>
      <c r="L378" s="1303"/>
      <c r="M378" s="1303"/>
      <c r="N378" s="1303"/>
      <c r="O378" s="1303"/>
      <c r="P378" s="1303"/>
      <c r="V378" s="1970"/>
      <c r="W378" s="1970"/>
      <c r="X378" s="1970"/>
      <c r="Y378" s="1970"/>
      <c r="Z378" s="1970"/>
      <c r="AA378" s="1970"/>
      <c r="AB378" s="1970"/>
      <c r="AC378" s="1970"/>
      <c r="AD378" s="1970"/>
      <c r="AE378" s="1970"/>
      <c r="AF378" s="1970"/>
      <c r="AG378" s="1970"/>
      <c r="AH378" s="1970"/>
      <c r="AI378" s="1970"/>
      <c r="AJ378" s="1970"/>
      <c r="AK378" s="1970"/>
      <c r="AL378" s="1970"/>
      <c r="AM378" s="1970"/>
      <c r="AN378" s="1970"/>
      <c r="AO378" s="1970"/>
      <c r="AP378" s="1970"/>
      <c r="AQ378" s="1970"/>
    </row>
    <row r="379" spans="1:43" s="1716" customFormat="1">
      <c r="A379" s="1968" t="str">
        <f t="shared" si="65"/>
        <v>B15</v>
      </c>
      <c r="B379" s="1968">
        <f t="shared" si="65"/>
        <v>0</v>
      </c>
      <c r="C379" s="1968">
        <f t="shared" si="66"/>
        <v>0</v>
      </c>
      <c r="D379" s="1968">
        <f>B379*C379</f>
        <v>0</v>
      </c>
      <c r="E379" s="1303">
        <f>$F$317*B379</f>
        <v>0</v>
      </c>
      <c r="F379" s="1303"/>
      <c r="G379" s="1303"/>
      <c r="H379" s="1303"/>
      <c r="I379" s="1303"/>
      <c r="J379" s="1303"/>
      <c r="K379" s="1303"/>
      <c r="L379" s="1303"/>
      <c r="M379" s="1303"/>
      <c r="N379" s="1303"/>
      <c r="O379" s="1303"/>
      <c r="P379" s="1303"/>
      <c r="V379" s="1970"/>
      <c r="W379" s="1970"/>
      <c r="X379" s="1970"/>
      <c r="Y379" s="1970"/>
      <c r="Z379" s="1970"/>
      <c r="AA379" s="1970"/>
      <c r="AB379" s="1970"/>
      <c r="AC379" s="1970"/>
      <c r="AD379" s="1970"/>
      <c r="AE379" s="1970"/>
      <c r="AF379" s="1970"/>
      <c r="AG379" s="1970"/>
      <c r="AH379" s="1970"/>
      <c r="AI379" s="1970"/>
      <c r="AJ379" s="1970"/>
      <c r="AK379" s="1970"/>
      <c r="AL379" s="1970"/>
      <c r="AM379" s="1970"/>
      <c r="AN379" s="1970"/>
      <c r="AO379" s="1970"/>
      <c r="AP379" s="1970"/>
      <c r="AQ379" s="1970"/>
    </row>
    <row r="380" spans="1:43" s="1716" customFormat="1">
      <c r="A380" s="1945" t="str">
        <f t="shared" si="65"/>
        <v>RB</v>
      </c>
      <c r="B380" s="1945">
        <f t="shared" si="65"/>
        <v>0</v>
      </c>
      <c r="C380" s="1968">
        <f t="shared" si="66"/>
        <v>2.4E-2</v>
      </c>
      <c r="D380" s="1943">
        <f t="shared" si="67"/>
        <v>0</v>
      </c>
      <c r="E380" s="1303">
        <f>$F$318*B380</f>
        <v>0</v>
      </c>
      <c r="F380" s="1303"/>
      <c r="G380" s="1746"/>
      <c r="H380" s="1303"/>
      <c r="I380" s="1303"/>
      <c r="J380" s="1303"/>
      <c r="K380" s="1303"/>
      <c r="L380" s="1303"/>
      <c r="M380" s="1303"/>
      <c r="N380" s="1303"/>
      <c r="O380" s="1303"/>
      <c r="P380" s="1303"/>
      <c r="V380" s="1944"/>
      <c r="W380" s="1944"/>
      <c r="X380" s="1944"/>
      <c r="Y380" s="1944"/>
      <c r="Z380" s="1944"/>
      <c r="AA380" s="1944"/>
      <c r="AB380" s="1944"/>
      <c r="AC380" s="1944"/>
      <c r="AD380" s="1944"/>
      <c r="AE380" s="1944"/>
      <c r="AF380" s="1944"/>
      <c r="AG380" s="1944"/>
      <c r="AH380" s="1944"/>
      <c r="AI380" s="1944"/>
      <c r="AJ380" s="1944"/>
      <c r="AK380" s="1944"/>
      <c r="AL380" s="1944"/>
      <c r="AM380" s="1944"/>
      <c r="AN380" s="1944"/>
      <c r="AO380" s="1944"/>
      <c r="AP380" s="1944"/>
      <c r="AQ380" s="1944"/>
    </row>
    <row r="381" spans="1:43" s="1716" customFormat="1" ht="15">
      <c r="C381" s="1738" t="s">
        <v>2078</v>
      </c>
      <c r="D381" s="1881">
        <f>SUM(D365:D380)</f>
        <v>28.473179999999999</v>
      </c>
      <c r="E381" s="1303">
        <f>SUM(E365:E380)</f>
        <v>58.648000000000003</v>
      </c>
      <c r="F381" s="1303"/>
      <c r="G381" s="1303"/>
      <c r="H381" s="1303"/>
      <c r="I381" s="1303"/>
      <c r="J381" s="1303"/>
      <c r="K381" s="1303"/>
      <c r="L381" s="1303"/>
      <c r="M381" s="1303"/>
      <c r="N381" s="1303"/>
      <c r="O381" s="1303"/>
      <c r="P381" s="1303"/>
      <c r="V381" s="1944"/>
      <c r="W381" s="1944"/>
      <c r="X381" s="1944"/>
      <c r="Y381" s="1944"/>
      <c r="Z381" s="1944"/>
      <c r="AA381" s="1944"/>
      <c r="AB381" s="1944"/>
      <c r="AC381" s="1944"/>
      <c r="AD381" s="1944"/>
      <c r="AE381" s="1944"/>
      <c r="AF381" s="1944"/>
      <c r="AG381" s="1944"/>
      <c r="AH381" s="1944"/>
      <c r="AI381" s="1944"/>
      <c r="AJ381" s="1944"/>
      <c r="AK381" s="1944"/>
      <c r="AL381" s="1944"/>
      <c r="AM381" s="1944"/>
      <c r="AN381" s="1944"/>
      <c r="AO381" s="1944"/>
      <c r="AP381" s="1944"/>
      <c r="AQ381" s="1944"/>
    </row>
    <row r="382" spans="1:43" s="1303" customFormat="1">
      <c r="V382" s="1944"/>
      <c r="W382" s="1944"/>
      <c r="X382" s="1944"/>
      <c r="Y382" s="1944"/>
      <c r="Z382" s="1944"/>
      <c r="AA382" s="1944"/>
      <c r="AB382" s="1944"/>
      <c r="AC382" s="1944"/>
      <c r="AD382" s="1944"/>
      <c r="AE382" s="1944"/>
      <c r="AF382" s="1944"/>
      <c r="AG382" s="1944"/>
      <c r="AH382" s="1944"/>
      <c r="AI382" s="1944"/>
      <c r="AJ382" s="1944"/>
      <c r="AK382" s="1944"/>
      <c r="AL382" s="1944"/>
      <c r="AM382" s="1944"/>
      <c r="AN382" s="1944"/>
      <c r="AO382" s="1944"/>
      <c r="AP382" s="1944"/>
      <c r="AQ382" s="1944"/>
    </row>
    <row r="383" spans="1:43" s="1716" customFormat="1">
      <c r="A383" s="2717" t="s">
        <v>2006</v>
      </c>
      <c r="B383" s="2718"/>
      <c r="C383" s="2718"/>
      <c r="D383" s="2718"/>
      <c r="E383" s="1303"/>
      <c r="F383" s="1303"/>
      <c r="G383" s="1303"/>
      <c r="H383" s="1303"/>
      <c r="I383" s="1303"/>
      <c r="J383" s="1303"/>
      <c r="K383" s="1303"/>
      <c r="L383" s="1303"/>
      <c r="M383" s="1303"/>
      <c r="N383" s="1303"/>
      <c r="O383" s="1303"/>
      <c r="P383" s="1303"/>
      <c r="V383" s="1944"/>
      <c r="W383" s="1944"/>
      <c r="X383" s="1944"/>
      <c r="Y383" s="1944"/>
      <c r="Z383" s="1944"/>
      <c r="AA383" s="1944"/>
      <c r="AB383" s="1944"/>
      <c r="AC383" s="1944"/>
      <c r="AD383" s="1944"/>
      <c r="AE383" s="1944"/>
      <c r="AF383" s="1944"/>
      <c r="AG383" s="1944"/>
      <c r="AH383" s="1944"/>
      <c r="AI383" s="1944"/>
      <c r="AJ383" s="1944"/>
      <c r="AK383" s="1944"/>
      <c r="AL383" s="1944"/>
      <c r="AM383" s="1944"/>
      <c r="AN383" s="1944"/>
      <c r="AO383" s="1944"/>
      <c r="AP383" s="1944"/>
      <c r="AQ383" s="1944"/>
    </row>
    <row r="384" spans="1:43" s="1716" customFormat="1">
      <c r="A384" s="1945" t="s">
        <v>1796</v>
      </c>
      <c r="B384" s="1945" t="s">
        <v>2004</v>
      </c>
      <c r="C384" s="1945" t="s">
        <v>1791</v>
      </c>
      <c r="D384" s="1945" t="s">
        <v>2007</v>
      </c>
      <c r="E384" s="1303"/>
      <c r="F384" s="1303"/>
      <c r="G384" s="1303"/>
      <c r="H384" s="1303"/>
      <c r="I384" s="1303"/>
      <c r="J384" s="1303"/>
      <c r="K384" s="1303"/>
      <c r="L384" s="1303"/>
      <c r="M384" s="1303"/>
      <c r="N384" s="1303"/>
      <c r="O384" s="1303"/>
      <c r="P384" s="1303"/>
      <c r="V384" s="1944"/>
      <c r="W384" s="1944"/>
      <c r="X384" s="1944"/>
      <c r="Y384" s="1944"/>
      <c r="Z384" s="1944"/>
      <c r="AA384" s="1944"/>
      <c r="AB384" s="1944"/>
      <c r="AC384" s="1944"/>
      <c r="AD384" s="1944"/>
      <c r="AE384" s="1944"/>
      <c r="AF384" s="1944"/>
      <c r="AG384" s="1944"/>
      <c r="AH384" s="1944"/>
      <c r="AI384" s="1944"/>
      <c r="AJ384" s="1944"/>
      <c r="AK384" s="1944"/>
      <c r="AL384" s="1944"/>
      <c r="AM384" s="1944"/>
      <c r="AN384" s="1944"/>
      <c r="AO384" s="1944"/>
      <c r="AP384" s="1944"/>
      <c r="AQ384" s="1944"/>
    </row>
    <row r="385" spans="1:43" s="1716" customFormat="1">
      <c r="A385" s="1945" t="str">
        <f t="shared" ref="A385:B400" si="68">A365</f>
        <v>B1</v>
      </c>
      <c r="B385" s="1945">
        <f t="shared" si="68"/>
        <v>23.78</v>
      </c>
      <c r="C385" s="1945">
        <f>C323</f>
        <v>1.5</v>
      </c>
      <c r="D385" s="1945">
        <f t="shared" ref="D385:D400" si="69">B385*C385</f>
        <v>35.67</v>
      </c>
      <c r="V385" s="1944"/>
      <c r="W385" s="1944"/>
      <c r="X385" s="1944"/>
      <c r="Y385" s="1944"/>
      <c r="Z385" s="1944"/>
      <c r="AA385" s="1944"/>
      <c r="AB385" s="1944"/>
      <c r="AC385" s="1944"/>
      <c r="AD385" s="1944"/>
      <c r="AE385" s="1944"/>
      <c r="AF385" s="1944"/>
      <c r="AG385" s="1944"/>
      <c r="AH385" s="1944"/>
      <c r="AI385" s="1944"/>
      <c r="AJ385" s="1944"/>
      <c r="AK385" s="1944"/>
      <c r="AL385" s="1944"/>
      <c r="AM385" s="1944"/>
      <c r="AN385" s="1944"/>
      <c r="AO385" s="1944"/>
      <c r="AP385" s="1944"/>
      <c r="AQ385" s="1944"/>
    </row>
    <row r="386" spans="1:43" s="1716" customFormat="1">
      <c r="A386" s="1945" t="str">
        <f t="shared" si="68"/>
        <v>B2</v>
      </c>
      <c r="B386" s="1945">
        <f t="shared" si="68"/>
        <v>4.22</v>
      </c>
      <c r="C386" s="1968">
        <f t="shared" ref="C386:C400" si="70">C324</f>
        <v>1.9000000000000001</v>
      </c>
      <c r="D386" s="1945">
        <f t="shared" si="69"/>
        <v>8.0180000000000007</v>
      </c>
      <c r="V386" s="1944"/>
      <c r="W386" s="1944"/>
      <c r="X386" s="1944"/>
      <c r="Y386" s="1944"/>
      <c r="Z386" s="1944"/>
      <c r="AA386" s="1944"/>
      <c r="AB386" s="1944"/>
      <c r="AC386" s="1944"/>
      <c r="AD386" s="1944"/>
      <c r="AE386" s="1944"/>
      <c r="AF386" s="1944"/>
      <c r="AG386" s="1944"/>
      <c r="AH386" s="1944"/>
      <c r="AI386" s="1944"/>
      <c r="AJ386" s="1944"/>
      <c r="AK386" s="1944"/>
      <c r="AL386" s="1944"/>
      <c r="AM386" s="1944"/>
      <c r="AN386" s="1944"/>
      <c r="AO386" s="1944"/>
      <c r="AP386" s="1944"/>
      <c r="AQ386" s="1944"/>
    </row>
    <row r="387" spans="1:43" s="1716" customFormat="1">
      <c r="A387" s="1945" t="str">
        <f t="shared" si="68"/>
        <v>B3</v>
      </c>
      <c r="B387" s="1945">
        <f t="shared" si="68"/>
        <v>55.2</v>
      </c>
      <c r="C387" s="1968">
        <f t="shared" si="70"/>
        <v>1.25</v>
      </c>
      <c r="D387" s="1945">
        <f t="shared" si="69"/>
        <v>69</v>
      </c>
      <c r="V387" s="1944"/>
      <c r="W387" s="1944"/>
      <c r="X387" s="1944"/>
      <c r="Y387" s="1944"/>
      <c r="Z387" s="1944"/>
      <c r="AA387" s="1944"/>
      <c r="AB387" s="1944"/>
      <c r="AC387" s="1944"/>
      <c r="AD387" s="1944"/>
      <c r="AE387" s="1944"/>
      <c r="AF387" s="1944"/>
      <c r="AG387" s="1944"/>
      <c r="AH387" s="1944"/>
      <c r="AI387" s="1944"/>
      <c r="AJ387" s="1944"/>
      <c r="AK387" s="1944"/>
      <c r="AL387" s="1944"/>
      <c r="AM387" s="1944"/>
      <c r="AN387" s="1944"/>
      <c r="AO387" s="1944"/>
      <c r="AP387" s="1944"/>
      <c r="AQ387" s="1944"/>
    </row>
    <row r="388" spans="1:43" s="1716" customFormat="1">
      <c r="A388" s="1945" t="str">
        <f t="shared" si="68"/>
        <v>B4</v>
      </c>
      <c r="B388" s="1945">
        <f t="shared" si="68"/>
        <v>80.5</v>
      </c>
      <c r="C388" s="1968">
        <f t="shared" si="70"/>
        <v>1</v>
      </c>
      <c r="D388" s="1945">
        <f t="shared" si="69"/>
        <v>80.5</v>
      </c>
      <c r="V388" s="1944"/>
      <c r="W388" s="1944"/>
      <c r="X388" s="1944"/>
      <c r="Y388" s="1944"/>
      <c r="Z388" s="1944"/>
      <c r="AA388" s="1944"/>
      <c r="AB388" s="1944"/>
      <c r="AC388" s="1944"/>
      <c r="AD388" s="1944"/>
      <c r="AE388" s="1944"/>
      <c r="AF388" s="1944"/>
      <c r="AG388" s="1944"/>
      <c r="AH388" s="1944"/>
      <c r="AI388" s="1944"/>
      <c r="AJ388" s="1944"/>
      <c r="AK388" s="1944"/>
      <c r="AL388" s="1944"/>
      <c r="AM388" s="1944"/>
      <c r="AN388" s="1944"/>
      <c r="AO388" s="1944"/>
      <c r="AP388" s="1944"/>
      <c r="AQ388" s="1944"/>
    </row>
    <row r="389" spans="1:43" s="1716" customFormat="1">
      <c r="A389" s="1945" t="str">
        <f t="shared" si="68"/>
        <v>B5</v>
      </c>
      <c r="B389" s="1945">
        <f t="shared" si="68"/>
        <v>91.57</v>
      </c>
      <c r="C389" s="1968">
        <f t="shared" si="70"/>
        <v>0.95000000000000007</v>
      </c>
      <c r="D389" s="1945">
        <f t="shared" si="69"/>
        <v>86.991500000000002</v>
      </c>
      <c r="V389" s="1944"/>
      <c r="W389" s="1944"/>
      <c r="X389" s="1944"/>
      <c r="Y389" s="1944"/>
      <c r="Z389" s="1944"/>
      <c r="AA389" s="1944"/>
      <c r="AB389" s="1944"/>
      <c r="AC389" s="1944"/>
      <c r="AD389" s="1944"/>
      <c r="AE389" s="1944"/>
      <c r="AF389" s="1944"/>
      <c r="AG389" s="1944"/>
      <c r="AH389" s="1944"/>
      <c r="AI389" s="1944"/>
      <c r="AJ389" s="1944"/>
      <c r="AK389" s="1944"/>
      <c r="AL389" s="1944"/>
      <c r="AM389" s="1944"/>
      <c r="AN389" s="1944"/>
      <c r="AO389" s="1944"/>
      <c r="AP389" s="1944"/>
      <c r="AQ389" s="1944"/>
    </row>
    <row r="390" spans="1:43" s="1716" customFormat="1">
      <c r="A390" s="1945" t="str">
        <f t="shared" si="68"/>
        <v>B6</v>
      </c>
      <c r="B390" s="1945">
        <f t="shared" si="68"/>
        <v>5.59</v>
      </c>
      <c r="C390" s="1968">
        <f t="shared" si="70"/>
        <v>1.8</v>
      </c>
      <c r="D390" s="1945">
        <f t="shared" si="69"/>
        <v>10.061999999999999</v>
      </c>
      <c r="V390" s="1944"/>
      <c r="W390" s="1944"/>
      <c r="X390" s="1944"/>
      <c r="Y390" s="1944"/>
      <c r="Z390" s="1944"/>
      <c r="AA390" s="1944"/>
      <c r="AB390" s="1944"/>
      <c r="AC390" s="1944"/>
      <c r="AD390" s="1944"/>
      <c r="AE390" s="1944"/>
      <c r="AF390" s="1944"/>
      <c r="AG390" s="1944"/>
      <c r="AH390" s="1944"/>
      <c r="AI390" s="1944"/>
      <c r="AJ390" s="1944"/>
      <c r="AK390" s="1944"/>
      <c r="AL390" s="1944"/>
      <c r="AM390" s="1944"/>
      <c r="AN390" s="1944"/>
      <c r="AO390" s="1944"/>
      <c r="AP390" s="1944"/>
      <c r="AQ390" s="1944"/>
    </row>
    <row r="391" spans="1:43" s="1716" customFormat="1">
      <c r="A391" s="1945" t="str">
        <f t="shared" si="68"/>
        <v>B7</v>
      </c>
      <c r="B391" s="1945">
        <f t="shared" si="68"/>
        <v>1.8</v>
      </c>
      <c r="C391" s="1968">
        <f t="shared" si="70"/>
        <v>1.85</v>
      </c>
      <c r="D391" s="1945">
        <f t="shared" si="69"/>
        <v>3.33</v>
      </c>
      <c r="V391" s="1944"/>
      <c r="W391" s="1944"/>
      <c r="X391" s="1944"/>
      <c r="Y391" s="1944"/>
      <c r="Z391" s="1944"/>
      <c r="AA391" s="1944"/>
      <c r="AB391" s="1944"/>
      <c r="AC391" s="1944"/>
      <c r="AD391" s="1944"/>
      <c r="AE391" s="1944"/>
      <c r="AF391" s="1944"/>
      <c r="AG391" s="1944"/>
      <c r="AH391" s="1944"/>
      <c r="AI391" s="1944"/>
      <c r="AJ391" s="1944"/>
      <c r="AK391" s="1944"/>
      <c r="AL391" s="1944"/>
      <c r="AM391" s="1944"/>
      <c r="AN391" s="1944"/>
      <c r="AO391" s="1944"/>
      <c r="AP391" s="1944"/>
      <c r="AQ391" s="1944"/>
    </row>
    <row r="392" spans="1:43" s="1716" customFormat="1">
      <c r="A392" s="1945" t="str">
        <f t="shared" si="68"/>
        <v>B8</v>
      </c>
      <c r="B392" s="1945">
        <f t="shared" si="68"/>
        <v>0</v>
      </c>
      <c r="C392" s="1968">
        <f t="shared" si="70"/>
        <v>0.75</v>
      </c>
      <c r="D392" s="1945">
        <f t="shared" si="69"/>
        <v>0</v>
      </c>
      <c r="V392" s="1944"/>
      <c r="W392" s="1944"/>
      <c r="X392" s="1944"/>
      <c r="Y392" s="1944"/>
      <c r="Z392" s="1944"/>
      <c r="AA392" s="1944"/>
      <c r="AB392" s="1944"/>
      <c r="AC392" s="1944"/>
      <c r="AD392" s="1944"/>
      <c r="AE392" s="1944"/>
      <c r="AF392" s="1944"/>
      <c r="AG392" s="1944"/>
      <c r="AH392" s="1944"/>
      <c r="AI392" s="1944"/>
      <c r="AJ392" s="1944"/>
      <c r="AK392" s="1944"/>
      <c r="AL392" s="1944"/>
      <c r="AM392" s="1944"/>
      <c r="AN392" s="1944"/>
      <c r="AO392" s="1944"/>
      <c r="AP392" s="1944"/>
      <c r="AQ392" s="1944"/>
    </row>
    <row r="393" spans="1:43" s="1716" customFormat="1">
      <c r="A393" s="1945" t="str">
        <f t="shared" si="68"/>
        <v>B9</v>
      </c>
      <c r="B393" s="1945">
        <f t="shared" si="68"/>
        <v>0</v>
      </c>
      <c r="C393" s="1968">
        <f t="shared" si="70"/>
        <v>1.75</v>
      </c>
      <c r="D393" s="1945">
        <f t="shared" si="69"/>
        <v>0</v>
      </c>
      <c r="V393" s="1944"/>
      <c r="W393" s="1944"/>
      <c r="X393" s="1944"/>
      <c r="Y393" s="1944"/>
      <c r="Z393" s="1944"/>
      <c r="AA393" s="1944"/>
      <c r="AB393" s="1944"/>
      <c r="AC393" s="1944"/>
      <c r="AD393" s="1944"/>
      <c r="AE393" s="1944"/>
      <c r="AF393" s="1944"/>
      <c r="AG393" s="1944"/>
      <c r="AH393" s="1944"/>
      <c r="AI393" s="1944"/>
      <c r="AJ393" s="1944"/>
      <c r="AK393" s="1944"/>
      <c r="AL393" s="1944"/>
      <c r="AM393" s="1944"/>
      <c r="AN393" s="1944"/>
      <c r="AO393" s="1944"/>
      <c r="AP393" s="1944"/>
      <c r="AQ393" s="1944"/>
    </row>
    <row r="394" spans="1:43" s="1716" customFormat="1">
      <c r="A394" s="1945" t="str">
        <f t="shared" si="68"/>
        <v>B10</v>
      </c>
      <c r="B394" s="1945">
        <f t="shared" si="68"/>
        <v>33.630000000000003</v>
      </c>
      <c r="C394" s="1968">
        <f t="shared" si="70"/>
        <v>1.8699999999999999</v>
      </c>
      <c r="D394" s="1945">
        <f t="shared" si="69"/>
        <v>62.888100000000001</v>
      </c>
      <c r="V394" s="1944"/>
      <c r="W394" s="1944"/>
      <c r="X394" s="1944"/>
      <c r="Y394" s="1944"/>
      <c r="Z394" s="1944"/>
      <c r="AA394" s="1944"/>
      <c r="AB394" s="1944"/>
      <c r="AC394" s="1944"/>
      <c r="AD394" s="1944"/>
      <c r="AE394" s="1944"/>
      <c r="AF394" s="1944"/>
      <c r="AG394" s="1944"/>
      <c r="AH394" s="1944"/>
      <c r="AI394" s="1944"/>
      <c r="AJ394" s="1944"/>
      <c r="AK394" s="1944"/>
      <c r="AL394" s="1944"/>
      <c r="AM394" s="1944"/>
      <c r="AN394" s="1944"/>
      <c r="AO394" s="1944"/>
      <c r="AP394" s="1944"/>
      <c r="AQ394" s="1944"/>
    </row>
    <row r="395" spans="1:43" s="1716" customFormat="1">
      <c r="A395" s="1945" t="str">
        <f t="shared" si="68"/>
        <v>B11</v>
      </c>
      <c r="B395" s="1945">
        <f t="shared" si="68"/>
        <v>0</v>
      </c>
      <c r="C395" s="1968">
        <f t="shared" si="70"/>
        <v>1.5999999999999999</v>
      </c>
      <c r="D395" s="1945">
        <f t="shared" si="69"/>
        <v>0</v>
      </c>
      <c r="V395" s="1944"/>
      <c r="W395" s="1944"/>
      <c r="X395" s="1944"/>
      <c r="Y395" s="1944"/>
      <c r="Z395" s="1944"/>
      <c r="AA395" s="1944"/>
      <c r="AB395" s="1944"/>
      <c r="AC395" s="1944"/>
      <c r="AD395" s="1944"/>
      <c r="AE395" s="1944"/>
      <c r="AF395" s="1944"/>
      <c r="AG395" s="1944"/>
      <c r="AH395" s="1944"/>
      <c r="AI395" s="1944"/>
      <c r="AJ395" s="1944"/>
      <c r="AK395" s="1944"/>
      <c r="AL395" s="1944"/>
      <c r="AM395" s="1944"/>
      <c r="AN395" s="1944"/>
      <c r="AO395" s="1944"/>
      <c r="AP395" s="1944"/>
      <c r="AQ395" s="1944"/>
    </row>
    <row r="396" spans="1:43" s="1716" customFormat="1">
      <c r="A396" s="1945" t="str">
        <f t="shared" si="68"/>
        <v>B12</v>
      </c>
      <c r="B396" s="1945">
        <f t="shared" si="68"/>
        <v>0</v>
      </c>
      <c r="C396" s="1968">
        <f t="shared" si="70"/>
        <v>0</v>
      </c>
      <c r="D396" s="1945">
        <f t="shared" si="69"/>
        <v>0</v>
      </c>
      <c r="V396" s="1944"/>
      <c r="W396" s="1944"/>
      <c r="X396" s="1944"/>
      <c r="Y396" s="1944"/>
      <c r="Z396" s="1944"/>
      <c r="AA396" s="1944"/>
      <c r="AB396" s="1944"/>
      <c r="AC396" s="1944"/>
      <c r="AD396" s="1944"/>
      <c r="AE396" s="1944"/>
      <c r="AF396" s="1944"/>
      <c r="AG396" s="1944"/>
      <c r="AH396" s="1944"/>
      <c r="AI396" s="1944"/>
      <c r="AJ396" s="1944"/>
      <c r="AK396" s="1944"/>
      <c r="AL396" s="1944"/>
      <c r="AM396" s="1944"/>
      <c r="AN396" s="1944"/>
      <c r="AO396" s="1944"/>
      <c r="AP396" s="1944"/>
      <c r="AQ396" s="1944"/>
    </row>
    <row r="397" spans="1:43" s="1716" customFormat="1">
      <c r="A397" s="1968" t="str">
        <f t="shared" si="68"/>
        <v>B13</v>
      </c>
      <c r="B397" s="1968">
        <f t="shared" si="68"/>
        <v>0</v>
      </c>
      <c r="C397" s="1968">
        <f t="shared" si="70"/>
        <v>0</v>
      </c>
      <c r="D397" s="1968">
        <f>B397*C397</f>
        <v>0</v>
      </c>
      <c r="V397" s="1970"/>
      <c r="W397" s="1970"/>
      <c r="X397" s="1970"/>
      <c r="Y397" s="1970"/>
      <c r="Z397" s="1970"/>
      <c r="AA397" s="1970"/>
      <c r="AB397" s="1970"/>
      <c r="AC397" s="1970"/>
      <c r="AD397" s="1970"/>
      <c r="AE397" s="1970"/>
      <c r="AF397" s="1970"/>
      <c r="AG397" s="1970"/>
      <c r="AH397" s="1970"/>
      <c r="AI397" s="1970"/>
      <c r="AJ397" s="1970"/>
      <c r="AK397" s="1970"/>
      <c r="AL397" s="1970"/>
      <c r="AM397" s="1970"/>
      <c r="AN397" s="1970"/>
      <c r="AO397" s="1970"/>
      <c r="AP397" s="1970"/>
      <c r="AQ397" s="1970"/>
    </row>
    <row r="398" spans="1:43" s="1716" customFormat="1">
      <c r="A398" s="1968" t="str">
        <f t="shared" si="68"/>
        <v>B14</v>
      </c>
      <c r="B398" s="1968">
        <f t="shared" si="68"/>
        <v>0</v>
      </c>
      <c r="C398" s="1968">
        <f t="shared" si="70"/>
        <v>0</v>
      </c>
      <c r="D398" s="1968">
        <f>B398*C398</f>
        <v>0</v>
      </c>
      <c r="V398" s="1970"/>
      <c r="W398" s="1970"/>
      <c r="X398" s="1970"/>
      <c r="Y398" s="1970"/>
      <c r="Z398" s="1970"/>
      <c r="AA398" s="1970"/>
      <c r="AB398" s="1970"/>
      <c r="AC398" s="1970"/>
      <c r="AD398" s="1970"/>
      <c r="AE398" s="1970"/>
      <c r="AF398" s="1970"/>
      <c r="AG398" s="1970"/>
      <c r="AH398" s="1970"/>
      <c r="AI398" s="1970"/>
      <c r="AJ398" s="1970"/>
      <c r="AK398" s="1970"/>
      <c r="AL398" s="1970"/>
      <c r="AM398" s="1970"/>
      <c r="AN398" s="1970"/>
      <c r="AO398" s="1970"/>
      <c r="AP398" s="1970"/>
      <c r="AQ398" s="1970"/>
    </row>
    <row r="399" spans="1:43" s="1716" customFormat="1">
      <c r="A399" s="1968" t="str">
        <f t="shared" si="68"/>
        <v>B15</v>
      </c>
      <c r="B399" s="1968">
        <f t="shared" si="68"/>
        <v>0</v>
      </c>
      <c r="C399" s="1968">
        <f t="shared" si="70"/>
        <v>0</v>
      </c>
      <c r="D399" s="1968">
        <f>B399*C399</f>
        <v>0</v>
      </c>
      <c r="V399" s="1970"/>
      <c r="W399" s="1970"/>
      <c r="X399" s="1970"/>
      <c r="Y399" s="1970"/>
      <c r="Z399" s="1970"/>
      <c r="AA399" s="1970"/>
      <c r="AB399" s="1970"/>
      <c r="AC399" s="1970"/>
      <c r="AD399" s="1970"/>
      <c r="AE399" s="1970"/>
      <c r="AF399" s="1970"/>
      <c r="AG399" s="1970"/>
      <c r="AH399" s="1970"/>
      <c r="AI399" s="1970"/>
      <c r="AJ399" s="1970"/>
      <c r="AK399" s="1970"/>
      <c r="AL399" s="1970"/>
      <c r="AM399" s="1970"/>
      <c r="AN399" s="1970"/>
      <c r="AO399" s="1970"/>
      <c r="AP399" s="1970"/>
      <c r="AQ399" s="1970"/>
    </row>
    <row r="400" spans="1:43" s="1716" customFormat="1">
      <c r="A400" s="1945" t="str">
        <f t="shared" si="68"/>
        <v>RB</v>
      </c>
      <c r="B400" s="1945">
        <f t="shared" si="68"/>
        <v>0</v>
      </c>
      <c r="C400" s="1968">
        <f t="shared" si="70"/>
        <v>0.52</v>
      </c>
      <c r="D400" s="1945">
        <f t="shared" si="69"/>
        <v>0</v>
      </c>
      <c r="V400" s="1944"/>
      <c r="W400" s="1944"/>
      <c r="X400" s="1944"/>
      <c r="Y400" s="1944"/>
      <c r="Z400" s="1944"/>
      <c r="AA400" s="1944"/>
      <c r="AB400" s="1944"/>
      <c r="AC400" s="1944"/>
      <c r="AD400" s="1944"/>
      <c r="AE400" s="1944"/>
      <c r="AF400" s="1944"/>
      <c r="AG400" s="1944"/>
      <c r="AH400" s="1944"/>
      <c r="AI400" s="1944"/>
      <c r="AJ400" s="1944"/>
      <c r="AK400" s="1944"/>
      <c r="AL400" s="1944"/>
      <c r="AM400" s="1944"/>
      <c r="AN400" s="1944"/>
      <c r="AO400" s="1944"/>
      <c r="AP400" s="1944"/>
      <c r="AQ400" s="1944"/>
    </row>
    <row r="401" spans="1:43" s="1716" customFormat="1" ht="15">
      <c r="C401" s="1738" t="s">
        <v>2076</v>
      </c>
      <c r="D401" s="1881">
        <f>SUM(D385:D400)</f>
        <v>356.45959999999997</v>
      </c>
      <c r="V401" s="1944"/>
      <c r="W401" s="1944"/>
      <c r="X401" s="1944"/>
      <c r="Y401" s="1944"/>
      <c r="Z401" s="1944"/>
      <c r="AA401" s="1944"/>
      <c r="AB401" s="1944"/>
      <c r="AC401" s="1944"/>
      <c r="AD401" s="1944"/>
      <c r="AE401" s="1944"/>
      <c r="AF401" s="1944"/>
      <c r="AG401" s="1944"/>
      <c r="AH401" s="1944"/>
      <c r="AI401" s="1944"/>
      <c r="AJ401" s="1944"/>
      <c r="AK401" s="1944"/>
      <c r="AL401" s="1944"/>
      <c r="AM401" s="1944"/>
      <c r="AN401" s="1944"/>
      <c r="AO401" s="1944"/>
      <c r="AP401" s="1944"/>
      <c r="AQ401" s="1944"/>
    </row>
    <row r="402" spans="1:43" s="1716" customFormat="1"/>
    <row r="403" spans="1:43" s="1933" customFormat="1" ht="15" customHeight="1">
      <c r="A403" s="2733" t="s">
        <v>2016</v>
      </c>
      <c r="B403" s="2734"/>
      <c r="C403" s="2734"/>
      <c r="D403" s="2734"/>
      <c r="E403" s="2735"/>
    </row>
    <row r="404" spans="1:43" s="1716" customFormat="1" ht="15" customHeight="1">
      <c r="A404" s="1731" t="s">
        <v>1987</v>
      </c>
      <c r="B404" s="1730" t="s">
        <v>1205</v>
      </c>
      <c r="C404" s="1731" t="s">
        <v>1111</v>
      </c>
      <c r="D404" s="1731" t="s">
        <v>1243</v>
      </c>
      <c r="E404" s="1730" t="s">
        <v>1568</v>
      </c>
    </row>
    <row r="405" spans="1:43" s="1716" customFormat="1" ht="15" customHeight="1">
      <c r="A405" s="1729" t="s">
        <v>1709</v>
      </c>
      <c r="B405" s="2018"/>
      <c r="C405" s="2018"/>
      <c r="D405" s="1719">
        <v>0.15</v>
      </c>
      <c r="E405" s="1719">
        <f>B405*C405*D405</f>
        <v>0</v>
      </c>
    </row>
    <row r="406" spans="1:43" s="1716" customFormat="1" ht="15" customHeight="1">
      <c r="A406" s="1717"/>
      <c r="B406" s="2019"/>
      <c r="C406" s="2019"/>
      <c r="D406" s="1717">
        <v>0.15</v>
      </c>
      <c r="E406" s="1717">
        <f>B406*C406*D406</f>
        <v>0</v>
      </c>
    </row>
    <row r="407" spans="1:43" s="1716" customFormat="1" ht="15" customHeight="1">
      <c r="A407" s="1717" t="s">
        <v>1710</v>
      </c>
      <c r="B407" s="2001"/>
      <c r="C407" s="2001"/>
      <c r="D407" s="1717">
        <v>0.15</v>
      </c>
      <c r="E407" s="1717">
        <f>B407*C407*D407</f>
        <v>0</v>
      </c>
    </row>
    <row r="408" spans="1:43" s="1716" customFormat="1">
      <c r="A408" s="1717"/>
      <c r="B408" s="2000"/>
      <c r="C408" s="2000"/>
      <c r="D408" s="1717">
        <v>0.15</v>
      </c>
      <c r="E408" s="1717">
        <f>B408*C408*D408</f>
        <v>0</v>
      </c>
    </row>
    <row r="409" spans="1:43" s="1716" customFormat="1" ht="15">
      <c r="D409" s="1738" t="s">
        <v>2078</v>
      </c>
      <c r="E409" s="1749">
        <f>SUM(E405:E408)</f>
        <v>0</v>
      </c>
    </row>
    <row r="410" spans="1:43" s="1716" customFormat="1"/>
    <row r="411" spans="1:43" s="1716" customFormat="1">
      <c r="A411" s="2717" t="s">
        <v>2018</v>
      </c>
      <c r="B411" s="2718"/>
      <c r="C411" s="2718"/>
      <c r="D411" s="2718"/>
      <c r="E411" s="2718"/>
      <c r="F411" s="2718"/>
      <c r="G411" s="2736"/>
    </row>
    <row r="412" spans="1:43" s="1716" customFormat="1">
      <c r="A412" s="1729" t="s">
        <v>1996</v>
      </c>
      <c r="B412" s="1719" t="s">
        <v>1205</v>
      </c>
      <c r="C412" s="1719" t="s">
        <v>1607</v>
      </c>
      <c r="D412" s="1719" t="s">
        <v>1168</v>
      </c>
      <c r="E412" s="1719" t="s">
        <v>1205</v>
      </c>
      <c r="F412" s="1719" t="s">
        <v>1243</v>
      </c>
      <c r="G412" s="1719"/>
    </row>
    <row r="413" spans="1:43" s="1716" customFormat="1">
      <c r="A413" s="2737" t="s">
        <v>2079</v>
      </c>
      <c r="B413" s="1717">
        <f>B405</f>
        <v>0</v>
      </c>
      <c r="C413" s="1717">
        <f>B413/0.2</f>
        <v>0</v>
      </c>
      <c r="D413" s="1717">
        <f>ROUNDUP(C413,0)</f>
        <v>0</v>
      </c>
      <c r="E413" s="1717">
        <f>(2*(B415-0.05))+0.2</f>
        <v>0.1</v>
      </c>
      <c r="F413" s="1717">
        <f>D413*E413</f>
        <v>0</v>
      </c>
      <c r="G413" s="1596">
        <f>F413*0.89</f>
        <v>0</v>
      </c>
      <c r="I413" s="1533"/>
      <c r="J413" s="1533"/>
      <c r="K413" s="1533"/>
      <c r="L413" s="1533"/>
    </row>
    <row r="414" spans="1:43" s="1716" customFormat="1">
      <c r="A414" s="2720"/>
      <c r="B414" s="1717"/>
      <c r="C414" s="1717"/>
      <c r="D414" s="1717"/>
      <c r="E414" s="1717"/>
      <c r="F414" s="1717"/>
      <c r="G414" s="1717"/>
      <c r="I414" s="1533"/>
      <c r="J414" s="1533"/>
      <c r="K414" s="1533"/>
      <c r="L414" s="1533"/>
    </row>
    <row r="415" spans="1:43" s="1716" customFormat="1">
      <c r="A415" s="2738"/>
      <c r="B415" s="1717">
        <f>$C$405</f>
        <v>0</v>
      </c>
      <c r="C415" s="1717">
        <f>B415/0.2</f>
        <v>0</v>
      </c>
      <c r="D415" s="1717">
        <f>ROUNDUP(C415,0)</f>
        <v>0</v>
      </c>
      <c r="E415" s="1717">
        <f>(2*(B413-0.05))+0.2</f>
        <v>0.1</v>
      </c>
      <c r="F415" s="1717">
        <f>D415*E415</f>
        <v>0</v>
      </c>
      <c r="G415" s="1596">
        <f>F415*0.4</f>
        <v>0</v>
      </c>
      <c r="L415" s="1533"/>
      <c r="S415" s="1128"/>
    </row>
    <row r="416" spans="1:43" s="1716" customFormat="1">
      <c r="F416" s="1128"/>
    </row>
    <row r="417" spans="1:19" s="1716" customFormat="1">
      <c r="A417" s="2717" t="s">
        <v>2017</v>
      </c>
      <c r="B417" s="2718"/>
      <c r="C417" s="2718"/>
      <c r="D417" s="2718"/>
      <c r="E417" s="2718"/>
      <c r="F417" s="2718"/>
      <c r="G417" s="2736"/>
    </row>
    <row r="418" spans="1:19" s="1716" customFormat="1">
      <c r="A418" s="2737" t="s">
        <v>2079</v>
      </c>
      <c r="B418" s="1719">
        <f>B406</f>
        <v>0</v>
      </c>
      <c r="C418" s="1719">
        <f>B418/0.2</f>
        <v>0</v>
      </c>
      <c r="D418" s="1719">
        <f>ROUNDUP(C418,0)</f>
        <v>0</v>
      </c>
      <c r="E418" s="1719">
        <f>(2*(B419-0.05))+0.2</f>
        <v>0.1</v>
      </c>
      <c r="F418" s="1719">
        <f>D418*E418</f>
        <v>0</v>
      </c>
      <c r="G418" s="1728">
        <f>F418*0.89</f>
        <v>0</v>
      </c>
    </row>
    <row r="419" spans="1:19" s="1716" customFormat="1">
      <c r="A419" s="2738"/>
      <c r="B419" s="1717">
        <f>C406</f>
        <v>0</v>
      </c>
      <c r="C419" s="1717">
        <f>B419/0.2</f>
        <v>0</v>
      </c>
      <c r="D419" s="1717">
        <f>ROUNDUP(C419,0)</f>
        <v>0</v>
      </c>
      <c r="E419" s="1717">
        <f>(2*(B418-0.05))+0.2</f>
        <v>0.1</v>
      </c>
      <c r="F419" s="1717">
        <f>D419*E419</f>
        <v>0</v>
      </c>
      <c r="G419" s="1596">
        <f>F419*0.4</f>
        <v>0</v>
      </c>
    </row>
    <row r="420" spans="1:19" s="1716" customFormat="1"/>
    <row r="421" spans="1:19" s="1716" customFormat="1">
      <c r="A421" s="2767" t="s">
        <v>2019</v>
      </c>
      <c r="B421" s="2768"/>
      <c r="C421" s="2768"/>
      <c r="D421" s="2768"/>
      <c r="E421" s="2768"/>
      <c r="F421" s="2768"/>
      <c r="G421" s="2769"/>
    </row>
    <row r="422" spans="1:19" s="1716" customFormat="1">
      <c r="A422" s="1719" t="s">
        <v>1996</v>
      </c>
      <c r="B422" s="1719" t="s">
        <v>1205</v>
      </c>
      <c r="C422" s="1719" t="s">
        <v>1607</v>
      </c>
      <c r="D422" s="1719" t="s">
        <v>1168</v>
      </c>
      <c r="E422" s="1719" t="s">
        <v>1205</v>
      </c>
      <c r="F422" s="1719" t="s">
        <v>1243</v>
      </c>
      <c r="G422" s="1719"/>
    </row>
    <row r="423" spans="1:19" s="1716" customFormat="1">
      <c r="A423" s="2737" t="s">
        <v>2080</v>
      </c>
      <c r="B423" s="1717">
        <f>B407</f>
        <v>0</v>
      </c>
      <c r="C423" s="1717">
        <f>B423/0.2</f>
        <v>0</v>
      </c>
      <c r="D423" s="1717">
        <f>ROUNDUP(C423,0)</f>
        <v>0</v>
      </c>
      <c r="E423" s="1717">
        <f>(2*(B425-0.05))+0.2</f>
        <v>0.1</v>
      </c>
      <c r="F423" s="1717">
        <f>D423*E423</f>
        <v>0</v>
      </c>
      <c r="G423" s="1596">
        <f>F423*0.89</f>
        <v>0</v>
      </c>
    </row>
    <row r="424" spans="1:19" s="1716" customFormat="1">
      <c r="A424" s="2720"/>
      <c r="B424" s="1717"/>
      <c r="C424" s="1717"/>
      <c r="D424" s="1717"/>
      <c r="E424" s="1717"/>
      <c r="F424" s="1717"/>
      <c r="G424" s="1717"/>
    </row>
    <row r="425" spans="1:19" s="1716" customFormat="1">
      <c r="A425" s="2738"/>
      <c r="B425" s="1717">
        <v>0</v>
      </c>
      <c r="C425" s="1717">
        <f>B425/0.2</f>
        <v>0</v>
      </c>
      <c r="D425" s="1717">
        <f>ROUNDUP(C425,0)</f>
        <v>0</v>
      </c>
      <c r="E425" s="1717">
        <f>(2*(B423-0.05))+0.2</f>
        <v>0.1</v>
      </c>
      <c r="F425" s="1717">
        <f>D425*E425</f>
        <v>0</v>
      </c>
      <c r="G425" s="1596">
        <f>F425*0.4</f>
        <v>0</v>
      </c>
      <c r="S425" s="1128"/>
    </row>
    <row r="426" spans="1:19" s="1716" customFormat="1">
      <c r="F426" s="1128"/>
    </row>
    <row r="427" spans="1:19" s="1716" customFormat="1">
      <c r="A427" s="2767" t="s">
        <v>2017</v>
      </c>
      <c r="B427" s="2768"/>
      <c r="C427" s="2768"/>
      <c r="D427" s="2768"/>
      <c r="E427" s="2768"/>
      <c r="F427" s="2768"/>
      <c r="G427" s="2769"/>
    </row>
    <row r="428" spans="1:19" s="1716" customFormat="1">
      <c r="A428" s="2719" t="s">
        <v>2080</v>
      </c>
      <c r="B428" s="1719">
        <f>B408</f>
        <v>0</v>
      </c>
      <c r="C428" s="1719">
        <f>B428/0.2</f>
        <v>0</v>
      </c>
      <c r="D428" s="1719">
        <f>ROUNDUP(C428,0)</f>
        <v>0</v>
      </c>
      <c r="E428" s="1719">
        <f>(2*(B429-0.05))+0.2</f>
        <v>0.1</v>
      </c>
      <c r="F428" s="1719">
        <f>D428*E428</f>
        <v>0</v>
      </c>
      <c r="G428" s="1728">
        <f>F428*0.89</f>
        <v>0</v>
      </c>
    </row>
    <row r="429" spans="1:19" s="1716" customFormat="1">
      <c r="A429" s="2738"/>
      <c r="B429" s="1717">
        <v>0</v>
      </c>
      <c r="C429" s="1717">
        <f>B429/0.2</f>
        <v>0</v>
      </c>
      <c r="D429" s="1717">
        <f>ROUNDUP(C429,0)</f>
        <v>0</v>
      </c>
      <c r="E429" s="1717">
        <f>(2*(B428-0.05))+0.2</f>
        <v>0.1</v>
      </c>
      <c r="F429" s="1717">
        <f>D429*E429</f>
        <v>0</v>
      </c>
      <c r="G429" s="1596">
        <f>F429*0.4</f>
        <v>0</v>
      </c>
    </row>
    <row r="430" spans="1:19" s="1716" customFormat="1" ht="15">
      <c r="E430" s="2725" t="s">
        <v>2097</v>
      </c>
      <c r="F430" s="2726"/>
      <c r="G430" s="1749">
        <f>G413+G418+G423+G428</f>
        <v>0</v>
      </c>
    </row>
    <row r="431" spans="1:19" s="1716" customFormat="1" ht="15">
      <c r="E431" s="2725" t="s">
        <v>2096</v>
      </c>
      <c r="F431" s="2726"/>
      <c r="G431" s="1749">
        <f>G415+G419+G425+G429</f>
        <v>0</v>
      </c>
    </row>
    <row r="432" spans="1:19" s="1716" customFormat="1"/>
    <row r="433" spans="1:6" s="1716" customFormat="1">
      <c r="A433" s="1731" t="s">
        <v>2047</v>
      </c>
      <c r="B433" s="1731" t="s">
        <v>2009</v>
      </c>
      <c r="C433" s="1731" t="s">
        <v>2045</v>
      </c>
      <c r="D433" s="1731" t="s">
        <v>1568</v>
      </c>
    </row>
    <row r="434" spans="1:6" s="1716" customFormat="1">
      <c r="A434" s="2719" t="s">
        <v>2079</v>
      </c>
      <c r="B434" s="1719">
        <f t="shared" ref="B434:C437" si="71">B405</f>
        <v>0</v>
      </c>
      <c r="C434" s="1719">
        <f>C405</f>
        <v>0</v>
      </c>
      <c r="D434" s="1719">
        <f>B434*C434</f>
        <v>0</v>
      </c>
    </row>
    <row r="435" spans="1:6" s="1716" customFormat="1">
      <c r="A435" s="2738"/>
      <c r="B435" s="1717">
        <f t="shared" si="71"/>
        <v>0</v>
      </c>
      <c r="C435" s="1717">
        <f t="shared" si="71"/>
        <v>0</v>
      </c>
      <c r="D435" s="1717">
        <f>B435*C435</f>
        <v>0</v>
      </c>
    </row>
    <row r="436" spans="1:6" s="1716" customFormat="1">
      <c r="A436" s="2737" t="s">
        <v>2081</v>
      </c>
      <c r="B436" s="1717">
        <f t="shared" si="71"/>
        <v>0</v>
      </c>
      <c r="C436" s="1717">
        <f t="shared" si="71"/>
        <v>0</v>
      </c>
      <c r="D436" s="1717">
        <f>B436*C436</f>
        <v>0</v>
      </c>
    </row>
    <row r="437" spans="1:6" s="1716" customFormat="1">
      <c r="A437" s="2738"/>
      <c r="B437" s="1717">
        <f t="shared" si="71"/>
        <v>0</v>
      </c>
      <c r="C437" s="1717">
        <f t="shared" si="71"/>
        <v>0</v>
      </c>
      <c r="D437" s="1717">
        <f>B437*C437</f>
        <v>0</v>
      </c>
    </row>
    <row r="438" spans="1:6" s="1716" customFormat="1" ht="15">
      <c r="C438" s="1740" t="s">
        <v>2076</v>
      </c>
      <c r="D438" s="1748">
        <f>SUM(D434:D437)</f>
        <v>0</v>
      </c>
    </row>
    <row r="439" spans="1:6" s="1716" customFormat="1" ht="14.25" customHeight="1"/>
    <row r="440" spans="1:6" s="1933" customFormat="1">
      <c r="A440" s="2756" t="s">
        <v>2085</v>
      </c>
      <c r="B440" s="1934" t="s">
        <v>2009</v>
      </c>
      <c r="C440" s="1934" t="s">
        <v>2045</v>
      </c>
      <c r="D440" s="1934" t="s">
        <v>1568</v>
      </c>
    </row>
    <row r="441" spans="1:6" s="1716" customFormat="1">
      <c r="A441" s="2757"/>
      <c r="B441" s="1717"/>
      <c r="C441" s="1720"/>
      <c r="D441" s="1717">
        <v>0</v>
      </c>
    </row>
    <row r="442" spans="1:6" s="1716" customFormat="1" ht="15" customHeight="1">
      <c r="A442" s="2758"/>
      <c r="B442" s="2760" t="s">
        <v>2078</v>
      </c>
      <c r="C442" s="2761"/>
      <c r="D442" s="1596">
        <f>B441*C441*D441</f>
        <v>0</v>
      </c>
    </row>
    <row r="443" spans="1:6" s="1716" customFormat="1" ht="15">
      <c r="A443" s="2759"/>
      <c r="B443" s="2760" t="s">
        <v>2082</v>
      </c>
      <c r="C443" s="2761"/>
      <c r="D443" s="1597">
        <f>D442-(0.4*0.1)*0</f>
        <v>0</v>
      </c>
    </row>
    <row r="444" spans="1:6" s="1716" customFormat="1" ht="14.25" customHeight="1"/>
    <row r="445" spans="1:6" s="1716" customFormat="1">
      <c r="A445" s="2752" t="s">
        <v>2084</v>
      </c>
      <c r="B445" s="1731" t="s">
        <v>1205</v>
      </c>
      <c r="C445" s="1731" t="s">
        <v>1607</v>
      </c>
      <c r="D445" s="1731" t="s">
        <v>2093</v>
      </c>
      <c r="E445" s="1731" t="s">
        <v>1205</v>
      </c>
      <c r="F445" s="1731" t="s">
        <v>1568</v>
      </c>
    </row>
    <row r="446" spans="1:6" s="1716" customFormat="1">
      <c r="A446" s="2765"/>
      <c r="B446" s="1721">
        <f>B441</f>
        <v>0</v>
      </c>
      <c r="C446" s="1717">
        <f>B446/0.15</f>
        <v>0</v>
      </c>
      <c r="D446" s="1717">
        <f>ROUNDUP(C446,0)</f>
        <v>0</v>
      </c>
      <c r="E446" s="1717">
        <f>B447-0.05</f>
        <v>-0.05</v>
      </c>
      <c r="F446" s="1717">
        <f>D446*E446</f>
        <v>0</v>
      </c>
    </row>
    <row r="447" spans="1:6" s="1716" customFormat="1">
      <c r="A447" s="2766"/>
      <c r="B447" s="1721">
        <f>C441</f>
        <v>0</v>
      </c>
      <c r="C447" s="1717">
        <f>B447/0.15</f>
        <v>0</v>
      </c>
      <c r="D447" s="1718">
        <f>ROUNDUP(C447,0)</f>
        <v>0</v>
      </c>
      <c r="E447" s="1718">
        <f>B446-0.05</f>
        <v>-0.05</v>
      </c>
      <c r="F447" s="1718">
        <f>D447*E447</f>
        <v>0</v>
      </c>
    </row>
    <row r="448" spans="1:6" s="1716" customFormat="1" ht="15">
      <c r="A448" s="1598"/>
      <c r="B448" s="1598"/>
      <c r="C448" s="1598"/>
      <c r="D448" s="2751" t="s">
        <v>2086</v>
      </c>
      <c r="E448" s="2751"/>
      <c r="F448" s="1596">
        <f>F446*0.62</f>
        <v>0</v>
      </c>
    </row>
    <row r="449" spans="1:16" s="1716" customFormat="1" ht="15">
      <c r="A449" s="1598"/>
      <c r="B449" s="1598"/>
      <c r="C449" s="1598"/>
      <c r="D449" s="2751" t="s">
        <v>2087</v>
      </c>
      <c r="E449" s="2751"/>
      <c r="F449" s="1597">
        <f>F447*0.62</f>
        <v>0</v>
      </c>
    </row>
    <row r="450" spans="1:16" s="1716" customFormat="1"/>
    <row r="451" spans="1:16" s="1716" customFormat="1">
      <c r="A451" s="2752" t="s">
        <v>2083</v>
      </c>
      <c r="B451" s="1731" t="s">
        <v>1205</v>
      </c>
      <c r="C451" s="1731" t="s">
        <v>1111</v>
      </c>
      <c r="D451" s="1731" t="s">
        <v>1568</v>
      </c>
    </row>
    <row r="452" spans="1:16" s="1716" customFormat="1">
      <c r="A452" s="2753"/>
      <c r="B452" s="1721">
        <f>B441</f>
        <v>0</v>
      </c>
      <c r="C452" s="1717">
        <f>C441</f>
        <v>0</v>
      </c>
      <c r="D452" s="1717">
        <f>B452*C452</f>
        <v>0</v>
      </c>
    </row>
    <row r="453" spans="1:16" s="1716" customFormat="1">
      <c r="A453" s="2754"/>
      <c r="B453" s="1721">
        <f>B441</f>
        <v>0</v>
      </c>
      <c r="C453" s="1717">
        <f>D441</f>
        <v>0</v>
      </c>
      <c r="D453" s="1717">
        <f>B453*C453</f>
        <v>0</v>
      </c>
    </row>
    <row r="454" spans="1:16" s="1716" customFormat="1" ht="15">
      <c r="C454" s="1740" t="s">
        <v>2076</v>
      </c>
      <c r="D454" s="1596">
        <f>SUM(D452:D453)</f>
        <v>0</v>
      </c>
    </row>
    <row r="455" spans="1:16" s="1303" customFormat="1"/>
    <row r="456" spans="1:16" s="1933" customFormat="1">
      <c r="A456" s="2762" t="s">
        <v>2056</v>
      </c>
      <c r="B456" s="2763"/>
      <c r="C456" s="2763"/>
      <c r="D456" s="2763"/>
      <c r="E456" s="2763"/>
      <c r="F456" s="2764"/>
      <c r="G456" s="1935" t="s">
        <v>1568</v>
      </c>
      <c r="H456" s="1936"/>
      <c r="I456" s="1936"/>
      <c r="J456" s="1937"/>
      <c r="L456" s="2762" t="s">
        <v>2094</v>
      </c>
      <c r="M456" s="2763"/>
      <c r="N456" s="2763"/>
      <c r="O456" s="2763"/>
      <c r="P456" s="2763"/>
    </row>
    <row r="457" spans="1:16" s="1716" customFormat="1" ht="15">
      <c r="A457" s="1717" t="s">
        <v>2090</v>
      </c>
      <c r="B457" s="1717" t="s">
        <v>2009</v>
      </c>
      <c r="C457" s="1717" t="s">
        <v>1609</v>
      </c>
      <c r="D457" s="1717" t="s">
        <v>1679</v>
      </c>
      <c r="E457" s="1599" t="s">
        <v>1840</v>
      </c>
      <c r="F457" s="1741" t="s">
        <v>1841</v>
      </c>
      <c r="G457" s="1717" t="s">
        <v>2050</v>
      </c>
      <c r="H457" s="1717" t="s">
        <v>2051</v>
      </c>
      <c r="I457" s="1717" t="s">
        <v>2091</v>
      </c>
      <c r="J457" s="1717" t="s">
        <v>2092</v>
      </c>
      <c r="L457" s="1717" t="s">
        <v>1607</v>
      </c>
      <c r="M457" s="1717" t="s">
        <v>1611</v>
      </c>
      <c r="N457" s="1717" t="s">
        <v>1168</v>
      </c>
      <c r="O457" s="1717" t="s">
        <v>1205</v>
      </c>
      <c r="P457" s="1717" t="s">
        <v>1243</v>
      </c>
    </row>
    <row r="458" spans="1:16" s="1716" customFormat="1">
      <c r="A458" s="1717" t="s">
        <v>187</v>
      </c>
      <c r="B458" s="1717">
        <v>44.95</v>
      </c>
      <c r="C458" s="1717">
        <v>0</v>
      </c>
      <c r="D458" s="1717">
        <v>0</v>
      </c>
      <c r="E458" s="1717">
        <v>0</v>
      </c>
      <c r="F458" s="1720">
        <v>4</v>
      </c>
      <c r="G458" s="1717">
        <f>B458*C458</f>
        <v>0</v>
      </c>
      <c r="H458" s="1717">
        <f>B458*D458</f>
        <v>0</v>
      </c>
      <c r="I458" s="1717">
        <f>B458*E458</f>
        <v>0</v>
      </c>
      <c r="J458" s="1717">
        <f>B458*F458</f>
        <v>179.8</v>
      </c>
      <c r="L458" s="1717">
        <f>(B458/2)/0.2</f>
        <v>112.375</v>
      </c>
      <c r="M458" s="1717">
        <f>(B458/2)/0.1</f>
        <v>224.75</v>
      </c>
      <c r="N458" s="1717">
        <f>SUM(L458:M458)</f>
        <v>337.125</v>
      </c>
      <c r="O458" s="1717">
        <f>2*(0.07+0.07)</f>
        <v>0.28000000000000003</v>
      </c>
      <c r="P458" s="1717">
        <f>N458*O458</f>
        <v>94.39500000000001</v>
      </c>
    </row>
    <row r="459" spans="1:16" s="1716" customFormat="1" ht="15" customHeight="1">
      <c r="A459" s="1717" t="s">
        <v>173</v>
      </c>
      <c r="B459" s="1717">
        <v>0</v>
      </c>
      <c r="C459" s="1717">
        <v>0</v>
      </c>
      <c r="D459" s="1717">
        <v>0</v>
      </c>
      <c r="E459" s="1717">
        <v>0</v>
      </c>
      <c r="F459" s="1720">
        <v>4</v>
      </c>
      <c r="G459" s="1717">
        <f>B459*C459</f>
        <v>0</v>
      </c>
      <c r="H459" s="1717">
        <f>B459*D459</f>
        <v>0</v>
      </c>
      <c r="I459" s="1717">
        <f>B459*E459</f>
        <v>0</v>
      </c>
      <c r="J459" s="1717">
        <f>B459*F459</f>
        <v>0</v>
      </c>
      <c r="L459" s="1717">
        <f>(B459/2)/0.2</f>
        <v>0</v>
      </c>
      <c r="M459" s="1717">
        <f>(B459/2)/0.1</f>
        <v>0</v>
      </c>
      <c r="N459" s="1717">
        <f>SUM(L459:M459)</f>
        <v>0</v>
      </c>
      <c r="O459" s="1717"/>
      <c r="P459" s="1717">
        <f>N459*O459</f>
        <v>0</v>
      </c>
    </row>
    <row r="460" spans="1:16" s="1716" customFormat="1" ht="15" customHeight="1">
      <c r="A460" s="1598"/>
      <c r="B460" s="1598"/>
      <c r="C460" s="1598"/>
      <c r="D460" s="1598"/>
      <c r="E460" s="2725" t="s">
        <v>2074</v>
      </c>
      <c r="F460" s="2726"/>
      <c r="G460" s="1596">
        <f>SUM(G458:G459)</f>
        <v>0</v>
      </c>
      <c r="H460" s="1596">
        <f>SUM(H458:H459)</f>
        <v>0</v>
      </c>
      <c r="I460" s="1596">
        <f>SUM(I458:I459)</f>
        <v>0</v>
      </c>
      <c r="J460" s="1596">
        <f>SUM(J458:J459)</f>
        <v>179.8</v>
      </c>
      <c r="M460" s="2741" t="s">
        <v>2074</v>
      </c>
      <c r="N460" s="2741"/>
      <c r="O460" s="2741"/>
      <c r="P460" s="1596">
        <f>SUM(P458:P459)</f>
        <v>94.39500000000001</v>
      </c>
    </row>
    <row r="461" spans="1:16" s="1716" customFormat="1" ht="15">
      <c r="A461" s="1598"/>
      <c r="B461" s="1598"/>
      <c r="C461" s="1598"/>
      <c r="D461" s="1598"/>
      <c r="E461" s="2725" t="s">
        <v>2075</v>
      </c>
      <c r="F461" s="2726"/>
      <c r="G461" s="1597">
        <f>G460*1.58</f>
        <v>0</v>
      </c>
      <c r="H461" s="1597">
        <f>H460*1.04</f>
        <v>0</v>
      </c>
      <c r="I461" s="1597">
        <f>I460*0.89</f>
        <v>0</v>
      </c>
      <c r="J461" s="1880">
        <f>J460*0.62</f>
        <v>111.47600000000001</v>
      </c>
      <c r="M461" s="2741" t="s">
        <v>2075</v>
      </c>
      <c r="N461" s="2741"/>
      <c r="O461" s="2741"/>
      <c r="P461" s="1880">
        <f>P460*0.4</f>
        <v>37.758000000000003</v>
      </c>
    </row>
    <row r="462" spans="1:16" s="1716" customFormat="1">
      <c r="A462" s="1598"/>
      <c r="B462" s="1598"/>
      <c r="C462" s="1598"/>
      <c r="D462" s="1598"/>
      <c r="E462" s="1598"/>
      <c r="F462" s="1598"/>
      <c r="G462" s="1598"/>
      <c r="H462" s="1598"/>
      <c r="I462" s="1598"/>
      <c r="J462" s="1598"/>
    </row>
    <row r="463" spans="1:16" s="1716" customFormat="1">
      <c r="A463" s="2731" t="s">
        <v>2052</v>
      </c>
      <c r="B463" s="2732"/>
      <c r="C463" s="2732"/>
      <c r="D463" s="2732"/>
    </row>
    <row r="464" spans="1:16" s="1716" customFormat="1">
      <c r="A464" s="1717" t="s">
        <v>1711</v>
      </c>
      <c r="B464" s="1717" t="s">
        <v>1614</v>
      </c>
      <c r="C464" s="1717" t="s">
        <v>1615</v>
      </c>
      <c r="D464" s="1717"/>
    </row>
    <row r="465" spans="1:16" s="1716" customFormat="1">
      <c r="A465" s="1717" t="str">
        <f>A458</f>
        <v>B1</v>
      </c>
      <c r="B465" s="1717">
        <f>B458</f>
        <v>44.95</v>
      </c>
      <c r="C465" s="1717">
        <f>0.12*0.12</f>
        <v>1.44E-2</v>
      </c>
      <c r="D465" s="1717">
        <f>B465*C465</f>
        <v>0.64728000000000008</v>
      </c>
    </row>
    <row r="466" spans="1:16" s="1716" customFormat="1" ht="15" customHeight="1">
      <c r="A466" s="1717" t="str">
        <f>A459</f>
        <v>B2</v>
      </c>
      <c r="B466" s="1717">
        <f>B459</f>
        <v>0</v>
      </c>
      <c r="C466" s="1717"/>
      <c r="D466" s="1717">
        <f>B466*C466</f>
        <v>0</v>
      </c>
    </row>
    <row r="467" spans="1:16" s="1716" customFormat="1" ht="15">
      <c r="C467" s="1740" t="s">
        <v>2078</v>
      </c>
      <c r="D467" s="1748">
        <f>SUM(D465:D466)</f>
        <v>0.64728000000000008</v>
      </c>
    </row>
    <row r="468" spans="1:16" s="1716" customFormat="1"/>
    <row r="469" spans="1:16" s="1716" customFormat="1">
      <c r="A469" s="2731" t="s">
        <v>2053</v>
      </c>
      <c r="B469" s="2732"/>
      <c r="C469" s="2732"/>
      <c r="D469" s="2732"/>
    </row>
    <row r="470" spans="1:16" s="1716" customFormat="1">
      <c r="A470" s="1717" t="s">
        <v>1711</v>
      </c>
      <c r="B470" s="1717" t="s">
        <v>1614</v>
      </c>
      <c r="C470" s="1717" t="s">
        <v>1615</v>
      </c>
      <c r="D470" s="1717"/>
    </row>
    <row r="471" spans="1:16" s="1716" customFormat="1">
      <c r="A471" s="1717" t="str">
        <f>A465</f>
        <v>B1</v>
      </c>
      <c r="B471" s="1717">
        <f>B465</f>
        <v>44.95</v>
      </c>
      <c r="C471" s="1717">
        <f>2*(0.12+0.12)</f>
        <v>0.48</v>
      </c>
      <c r="D471" s="1717">
        <f>B471*C471</f>
        <v>21.576000000000001</v>
      </c>
    </row>
    <row r="472" spans="1:16" s="1716" customFormat="1">
      <c r="A472" s="1717" t="str">
        <f>A466</f>
        <v>B2</v>
      </c>
      <c r="B472" s="1717">
        <f>B466</f>
        <v>0</v>
      </c>
      <c r="C472" s="1717"/>
      <c r="D472" s="1717">
        <f>B472*C472</f>
        <v>0</v>
      </c>
    </row>
    <row r="473" spans="1:16" s="1716" customFormat="1" ht="15">
      <c r="C473" s="1740" t="s">
        <v>2076</v>
      </c>
      <c r="D473" s="1748">
        <f>SUM(D471:D472)</f>
        <v>21.576000000000001</v>
      </c>
    </row>
    <row r="474" spans="1:16" s="1716" customFormat="1"/>
    <row r="475" spans="1:16" s="1933" customFormat="1">
      <c r="A475" s="2762" t="s">
        <v>2054</v>
      </c>
      <c r="B475" s="2763"/>
      <c r="C475" s="2763"/>
      <c r="D475" s="2763"/>
      <c r="E475" s="2763"/>
      <c r="F475" s="2764"/>
      <c r="G475" s="1935" t="s">
        <v>1568</v>
      </c>
      <c r="H475" s="1936"/>
      <c r="I475" s="1936"/>
      <c r="J475" s="1937"/>
      <c r="L475" s="2762" t="s">
        <v>2094</v>
      </c>
      <c r="M475" s="2763"/>
      <c r="N475" s="2763"/>
      <c r="O475" s="2763"/>
      <c r="P475" s="2763"/>
    </row>
    <row r="476" spans="1:16" s="1716" customFormat="1" ht="15">
      <c r="A476" s="1717" t="s">
        <v>2130</v>
      </c>
      <c r="B476" s="1717" t="s">
        <v>2009</v>
      </c>
      <c r="C476" s="1717" t="s">
        <v>1609</v>
      </c>
      <c r="D476" s="1717" t="s">
        <v>1679</v>
      </c>
      <c r="E476" s="1599" t="s">
        <v>1840</v>
      </c>
      <c r="F476" s="1741" t="s">
        <v>1841</v>
      </c>
      <c r="G476" s="1717" t="s">
        <v>2050</v>
      </c>
      <c r="H476" s="1717" t="s">
        <v>2051</v>
      </c>
      <c r="I476" s="1717" t="s">
        <v>2091</v>
      </c>
      <c r="J476" s="1717" t="s">
        <v>2092</v>
      </c>
      <c r="L476" s="1717" t="s">
        <v>1607</v>
      </c>
      <c r="M476" s="1717" t="s">
        <v>1611</v>
      </c>
      <c r="N476" s="1717" t="s">
        <v>1168</v>
      </c>
      <c r="O476" s="1717" t="s">
        <v>1205</v>
      </c>
      <c r="P476" s="1717" t="s">
        <v>1243</v>
      </c>
    </row>
    <row r="477" spans="1:16" s="1716" customFormat="1">
      <c r="A477" s="1717" t="s">
        <v>187</v>
      </c>
      <c r="B477" s="1717">
        <v>13.48</v>
      </c>
      <c r="C477" s="1717">
        <v>0</v>
      </c>
      <c r="D477" s="1717">
        <v>0</v>
      </c>
      <c r="E477" s="1717">
        <v>0</v>
      </c>
      <c r="F477" s="1720">
        <v>4</v>
      </c>
      <c r="G477" s="1717">
        <f>B477*C477</f>
        <v>0</v>
      </c>
      <c r="H477" s="1717">
        <f>B477*D477</f>
        <v>0</v>
      </c>
      <c r="I477" s="1717">
        <f>B477*E477</f>
        <v>0</v>
      </c>
      <c r="J477" s="1717">
        <f>B477*F477</f>
        <v>53.92</v>
      </c>
      <c r="L477" s="1717">
        <f>(B477/2)/0.2</f>
        <v>33.699999999999996</v>
      </c>
      <c r="M477" s="1717">
        <f>(B477/2)/0.1</f>
        <v>67.399999999999991</v>
      </c>
      <c r="N477" s="1717">
        <f>SUM(L477:M477)</f>
        <v>101.1</v>
      </c>
      <c r="O477" s="1989">
        <f>(0.05+0.15)*2</f>
        <v>0.4</v>
      </c>
      <c r="P477" s="1717">
        <f>N477*O477</f>
        <v>40.44</v>
      </c>
    </row>
    <row r="478" spans="1:16" s="1716" customFormat="1" ht="15" customHeight="1">
      <c r="A478" s="1717" t="s">
        <v>173</v>
      </c>
      <c r="B478" s="1717">
        <v>11.47</v>
      </c>
      <c r="C478" s="1717">
        <v>0</v>
      </c>
      <c r="D478" s="1717">
        <v>0</v>
      </c>
      <c r="E478" s="1717">
        <v>0</v>
      </c>
      <c r="F478" s="1720">
        <v>4</v>
      </c>
      <c r="G478" s="1717">
        <f>B478*C478</f>
        <v>0</v>
      </c>
      <c r="H478" s="1717">
        <f>B478*D478</f>
        <v>0</v>
      </c>
      <c r="I478" s="1717">
        <f>B478*E478</f>
        <v>0</v>
      </c>
      <c r="J478" s="1717">
        <f>B478*F478</f>
        <v>45.88</v>
      </c>
      <c r="L478" s="1717">
        <f>(B478/2)/0.2</f>
        <v>28.675000000000001</v>
      </c>
      <c r="M478" s="1717">
        <f>(B478/2)/0.1</f>
        <v>57.35</v>
      </c>
      <c r="N478" s="1717">
        <f>SUM(L478:M478)</f>
        <v>86.025000000000006</v>
      </c>
      <c r="O478" s="1717"/>
      <c r="P478" s="1717">
        <f>N478*O478</f>
        <v>0</v>
      </c>
    </row>
    <row r="479" spans="1:16" s="1716" customFormat="1" ht="15" customHeight="1">
      <c r="A479" s="1598"/>
      <c r="B479" s="1598"/>
      <c r="C479" s="1598"/>
      <c r="D479" s="1598"/>
      <c r="E479" s="2725" t="s">
        <v>2074</v>
      </c>
      <c r="F479" s="2726"/>
      <c r="G479" s="1596">
        <f>SUM(G477:G478)</f>
        <v>0</v>
      </c>
      <c r="H479" s="1596">
        <f>SUM(H477:H478)</f>
        <v>0</v>
      </c>
      <c r="I479" s="1596">
        <f>SUM(I477:I478)</f>
        <v>0</v>
      </c>
      <c r="J479" s="1596">
        <f>SUM(J477:J478)</f>
        <v>99.800000000000011</v>
      </c>
      <c r="M479" s="2741" t="s">
        <v>2074</v>
      </c>
      <c r="N479" s="2741"/>
      <c r="O479" s="2741"/>
      <c r="P479" s="1596">
        <f>SUM(P477:P478)</f>
        <v>40.44</v>
      </c>
    </row>
    <row r="480" spans="1:16" s="1716" customFormat="1" ht="15">
      <c r="A480" s="1598"/>
      <c r="B480" s="1598"/>
      <c r="C480" s="1598"/>
      <c r="D480" s="1598"/>
      <c r="E480" s="2725" t="s">
        <v>2075</v>
      </c>
      <c r="F480" s="2726"/>
      <c r="G480" s="1597">
        <f>G479*1.58</f>
        <v>0</v>
      </c>
      <c r="H480" s="1597">
        <f>H479*1.04</f>
        <v>0</v>
      </c>
      <c r="I480" s="1597">
        <f>I479*0.89</f>
        <v>0</v>
      </c>
      <c r="J480" s="1880">
        <f>J479*0.62</f>
        <v>61.876000000000005</v>
      </c>
      <c r="M480" s="2741" t="s">
        <v>2075</v>
      </c>
      <c r="N480" s="2741"/>
      <c r="O480" s="2741"/>
      <c r="P480" s="1880">
        <f>P479*0.4</f>
        <v>16.175999999999998</v>
      </c>
    </row>
    <row r="481" spans="1:15" s="1716" customFormat="1">
      <c r="A481" s="1598"/>
      <c r="B481" s="1598"/>
      <c r="C481" s="1598"/>
      <c r="D481" s="1598"/>
      <c r="E481" s="1598"/>
      <c r="F481" s="1598"/>
      <c r="G481" s="1598"/>
      <c r="H481" s="1598"/>
      <c r="I481" s="1598"/>
      <c r="J481" s="1598"/>
    </row>
    <row r="482" spans="1:15" s="1716" customFormat="1">
      <c r="A482" s="2731" t="s">
        <v>2055</v>
      </c>
      <c r="B482" s="2732"/>
      <c r="C482" s="2732"/>
      <c r="D482" s="2732"/>
    </row>
    <row r="483" spans="1:15" s="1716" customFormat="1">
      <c r="A483" s="1717" t="s">
        <v>2130</v>
      </c>
      <c r="B483" s="1717" t="s">
        <v>1614</v>
      </c>
      <c r="C483" s="1717" t="s">
        <v>1615</v>
      </c>
      <c r="D483" s="1717"/>
    </row>
    <row r="484" spans="1:15" s="1716" customFormat="1">
      <c r="A484" s="1717" t="str">
        <f>A477</f>
        <v>B1</v>
      </c>
      <c r="B484" s="1717">
        <f>B477</f>
        <v>13.48</v>
      </c>
      <c r="C484" s="1717">
        <f>0.1*0.25</f>
        <v>2.5000000000000001E-2</v>
      </c>
      <c r="D484" s="1717">
        <f>B484*C484</f>
        <v>0.33700000000000002</v>
      </c>
    </row>
    <row r="485" spans="1:15" s="1716" customFormat="1" ht="15" customHeight="1">
      <c r="A485" s="1717" t="str">
        <f>A478</f>
        <v>B2</v>
      </c>
      <c r="B485" s="1717">
        <f>B478</f>
        <v>11.47</v>
      </c>
      <c r="C485" s="1717">
        <f>0.31*0.1</f>
        <v>3.1E-2</v>
      </c>
      <c r="D485" s="1717">
        <f>B485*C485</f>
        <v>0.35557</v>
      </c>
    </row>
    <row r="486" spans="1:15" s="1716" customFormat="1" ht="15">
      <c r="C486" s="1740" t="s">
        <v>2078</v>
      </c>
      <c r="D486" s="1748">
        <f>SUM(D484:D485)</f>
        <v>0.69257000000000002</v>
      </c>
    </row>
    <row r="487" spans="1:15" s="1716" customFormat="1"/>
    <row r="488" spans="1:15" s="1716" customFormat="1">
      <c r="A488" s="2731" t="s">
        <v>2095</v>
      </c>
      <c r="B488" s="2732"/>
      <c r="C488" s="2732"/>
      <c r="D488" s="2732"/>
    </row>
    <row r="489" spans="1:15" s="1716" customFormat="1">
      <c r="A489" s="1717" t="s">
        <v>2130</v>
      </c>
      <c r="B489" s="1717" t="s">
        <v>1614</v>
      </c>
      <c r="C489" s="1717" t="s">
        <v>1615</v>
      </c>
      <c r="D489" s="1717"/>
    </row>
    <row r="490" spans="1:15" s="1716" customFormat="1">
      <c r="A490" s="1717" t="str">
        <f>A484</f>
        <v>B1</v>
      </c>
      <c r="B490" s="1717">
        <f>B484</f>
        <v>13.48</v>
      </c>
      <c r="C490" s="1717">
        <f>0.1+0.25*2</f>
        <v>0.6</v>
      </c>
      <c r="D490" s="1717">
        <f>B490*C490</f>
        <v>8.0879999999999992</v>
      </c>
    </row>
    <row r="491" spans="1:15" s="1716" customFormat="1">
      <c r="A491" s="1717" t="str">
        <f>A485</f>
        <v>B2</v>
      </c>
      <c r="B491" s="1717">
        <f>B485</f>
        <v>11.47</v>
      </c>
      <c r="C491" s="1717">
        <v>0.31</v>
      </c>
      <c r="D491" s="1717">
        <f>B491*C491</f>
        <v>3.5557000000000003</v>
      </c>
    </row>
    <row r="492" spans="1:15" s="1716" customFormat="1" ht="15">
      <c r="C492" s="1740" t="s">
        <v>2076</v>
      </c>
      <c r="D492" s="1748">
        <f>SUM(D490:D491)</f>
        <v>11.643699999999999</v>
      </c>
    </row>
    <row r="493" spans="1:15" s="1716" customFormat="1"/>
    <row r="494" spans="1:15" s="1716" customFormat="1" ht="14.25" customHeight="1">
      <c r="A494" s="2742" t="s">
        <v>2393</v>
      </c>
      <c r="B494" s="2743"/>
      <c r="C494" s="2743"/>
      <c r="D494" s="2743"/>
      <c r="E494" s="2743"/>
      <c r="F494" s="2743"/>
      <c r="G494" s="2743"/>
      <c r="H494" s="2743"/>
      <c r="I494" s="2743"/>
      <c r="J494" s="2743"/>
      <c r="K494" s="2743"/>
      <c r="L494" s="2743"/>
      <c r="M494" s="2743"/>
      <c r="N494" s="2743"/>
      <c r="O494" s="2744"/>
    </row>
    <row r="495" spans="1:15" s="1716" customFormat="1">
      <c r="A495" s="2745"/>
      <c r="B495" s="2746"/>
      <c r="C495" s="2746"/>
      <c r="D495" s="2746"/>
      <c r="E495" s="2746"/>
      <c r="F495" s="2746"/>
      <c r="G495" s="2746"/>
      <c r="H495" s="2746"/>
      <c r="I495" s="2746"/>
      <c r="J495" s="2746"/>
      <c r="K495" s="2746"/>
      <c r="L495" s="2746"/>
      <c r="M495" s="2746"/>
      <c r="N495" s="2746"/>
      <c r="O495" s="2747"/>
    </row>
    <row r="496" spans="1:15" s="1716" customFormat="1">
      <c r="A496" s="2748"/>
      <c r="B496" s="2749"/>
      <c r="C496" s="2749"/>
      <c r="D496" s="2749"/>
      <c r="E496" s="2749"/>
      <c r="F496" s="2749"/>
      <c r="G496" s="2749"/>
      <c r="H496" s="2749"/>
      <c r="I496" s="2749"/>
      <c r="J496" s="2749"/>
      <c r="K496" s="2749"/>
      <c r="L496" s="2749"/>
      <c r="M496" s="2749"/>
      <c r="N496" s="2749"/>
      <c r="O496" s="2750"/>
    </row>
    <row r="497" spans="1:5" s="1716" customFormat="1"/>
    <row r="498" spans="1:5" s="1716" customFormat="1">
      <c r="A498" s="2717" t="s">
        <v>2020</v>
      </c>
      <c r="B498" s="2718"/>
      <c r="C498" s="2718"/>
      <c r="D498" s="2718"/>
      <c r="E498" s="2770"/>
    </row>
    <row r="499" spans="1:5" s="1716" customFormat="1">
      <c r="A499" s="1731" t="s">
        <v>1987</v>
      </c>
      <c r="B499" s="1731" t="s">
        <v>1608</v>
      </c>
      <c r="C499" s="1731" t="s">
        <v>2062</v>
      </c>
      <c r="D499" s="1731" t="s">
        <v>2088</v>
      </c>
      <c r="E499" s="1731" t="s">
        <v>1568</v>
      </c>
    </row>
    <row r="500" spans="1:5" s="1716" customFormat="1">
      <c r="A500" s="1719" t="s">
        <v>1704</v>
      </c>
      <c r="B500" s="1719">
        <v>4.5</v>
      </c>
      <c r="C500" s="1719"/>
      <c r="D500" s="1974">
        <f>$D$66</f>
        <v>0</v>
      </c>
      <c r="E500" s="1719">
        <f t="shared" ref="E500:E509" si="72">B500*C500*D500</f>
        <v>0</v>
      </c>
    </row>
    <row r="501" spans="1:5" s="1716" customFormat="1">
      <c r="A501" s="1717" t="s">
        <v>1705</v>
      </c>
      <c r="B501" s="1719">
        <f>$B$500</f>
        <v>4.5</v>
      </c>
      <c r="C501" s="1717"/>
      <c r="D501" s="1974">
        <f>$D$67</f>
        <v>0</v>
      </c>
      <c r="E501" s="1717">
        <f t="shared" si="72"/>
        <v>0</v>
      </c>
    </row>
    <row r="502" spans="1:5" s="1716" customFormat="1">
      <c r="A502" s="1717" t="s">
        <v>1917</v>
      </c>
      <c r="B502" s="1990">
        <f t="shared" ref="B502:B509" si="73">$B$500</f>
        <v>4.5</v>
      </c>
      <c r="C502" s="1717"/>
      <c r="D502" s="1974">
        <f>$D$68</f>
        <v>0</v>
      </c>
      <c r="E502" s="1717">
        <f t="shared" si="72"/>
        <v>0</v>
      </c>
    </row>
    <row r="503" spans="1:5" s="1716" customFormat="1">
      <c r="A503" s="1717" t="s">
        <v>1918</v>
      </c>
      <c r="B503" s="1990">
        <f t="shared" si="73"/>
        <v>4.5</v>
      </c>
      <c r="C503" s="1717"/>
      <c r="D503" s="1974">
        <f>$D$69</f>
        <v>0</v>
      </c>
      <c r="E503" s="1717">
        <f t="shared" si="72"/>
        <v>0</v>
      </c>
    </row>
    <row r="504" spans="1:5" s="1716" customFormat="1">
      <c r="A504" s="1717" t="s">
        <v>1919</v>
      </c>
      <c r="B504" s="2042">
        <f t="shared" si="73"/>
        <v>4.5</v>
      </c>
      <c r="C504" s="1717"/>
      <c r="D504" s="1974">
        <f>$D$70</f>
        <v>0</v>
      </c>
      <c r="E504" s="1717">
        <f t="shared" si="72"/>
        <v>0</v>
      </c>
    </row>
    <row r="505" spans="1:5" s="1716" customFormat="1">
      <c r="A505" s="1717" t="s">
        <v>1992</v>
      </c>
      <c r="B505" s="1990">
        <f t="shared" si="73"/>
        <v>4.5</v>
      </c>
      <c r="C505" s="1717"/>
      <c r="D505" s="1974">
        <f>$D$71</f>
        <v>0</v>
      </c>
      <c r="E505" s="1717">
        <f t="shared" si="72"/>
        <v>0</v>
      </c>
    </row>
    <row r="506" spans="1:5" s="1716" customFormat="1">
      <c r="A506" s="1717" t="s">
        <v>1993</v>
      </c>
      <c r="B506" s="1990">
        <f t="shared" si="73"/>
        <v>4.5</v>
      </c>
      <c r="C506" s="1717"/>
      <c r="D506" s="1974">
        <f>$D$72</f>
        <v>0.15896250000000001</v>
      </c>
      <c r="E506" s="1717">
        <f t="shared" si="72"/>
        <v>0</v>
      </c>
    </row>
    <row r="507" spans="1:5" s="1716" customFormat="1">
      <c r="A507" s="1717" t="s">
        <v>1994</v>
      </c>
      <c r="B507" s="1990">
        <f t="shared" si="73"/>
        <v>4.5</v>
      </c>
      <c r="C507" s="1717"/>
      <c r="D507" s="1974">
        <f>$D$73</f>
        <v>9.6162499999999998E-2</v>
      </c>
      <c r="E507" s="1717">
        <f t="shared" si="72"/>
        <v>0</v>
      </c>
    </row>
    <row r="508" spans="1:5" s="1716" customFormat="1">
      <c r="A508" s="1717" t="s">
        <v>1995</v>
      </c>
      <c r="B508" s="1990">
        <f t="shared" si="73"/>
        <v>4.5</v>
      </c>
      <c r="C508" s="1717"/>
      <c r="D508" s="1974">
        <f>$D$74</f>
        <v>3.1400000000000004E-2</v>
      </c>
      <c r="E508" s="1717">
        <f t="shared" si="72"/>
        <v>0</v>
      </c>
    </row>
    <row r="509" spans="1:5" s="1716" customFormat="1">
      <c r="A509" s="1717" t="s">
        <v>1706</v>
      </c>
      <c r="B509" s="1990">
        <f t="shared" si="73"/>
        <v>4.5</v>
      </c>
      <c r="C509" s="1717"/>
      <c r="D509" s="1974">
        <f>$D$75</f>
        <v>0</v>
      </c>
      <c r="E509" s="1717">
        <f t="shared" si="72"/>
        <v>0</v>
      </c>
    </row>
    <row r="510" spans="1:5" s="1716" customFormat="1" ht="14.25" customHeight="1">
      <c r="D510" s="1993" t="s">
        <v>2070</v>
      </c>
      <c r="E510" s="1994">
        <f>SUM(E500:E509)</f>
        <v>0</v>
      </c>
    </row>
    <row r="511" spans="1:5" s="1716" customFormat="1" ht="14.25" customHeight="1">
      <c r="D511" s="1995"/>
      <c r="E511" s="1996"/>
    </row>
    <row r="512" spans="1:5" s="1716" customFormat="1">
      <c r="E512" s="1303"/>
    </row>
    <row r="513" spans="1:17" s="1716" customFormat="1">
      <c r="A513" s="1717" t="s">
        <v>1707</v>
      </c>
      <c r="B513" s="1990">
        <v>0.65</v>
      </c>
      <c r="C513" s="1717">
        <v>61</v>
      </c>
      <c r="D513" s="1968">
        <f>$D$79</f>
        <v>1.44E-2</v>
      </c>
      <c r="E513" s="1717">
        <f>B513*C513*D513</f>
        <v>0.57095999999999991</v>
      </c>
    </row>
    <row r="514" spans="1:17" s="1716" customFormat="1">
      <c r="A514" s="1717" t="s">
        <v>1708</v>
      </c>
      <c r="B514" s="1990">
        <f>B513</f>
        <v>0.65</v>
      </c>
      <c r="C514" s="1717"/>
      <c r="D514" s="1968">
        <f>$D$80</f>
        <v>7.1999999999999995E-2</v>
      </c>
      <c r="E514" s="1717">
        <f>B514*C514*D514</f>
        <v>0</v>
      </c>
    </row>
    <row r="515" spans="1:17" s="1716" customFormat="1" ht="30">
      <c r="D515" s="1739" t="s">
        <v>2071</v>
      </c>
      <c r="E515" s="1800">
        <f>SUM(E513:E514)</f>
        <v>0.57095999999999991</v>
      </c>
    </row>
    <row r="516" spans="1:17" s="1716" customFormat="1"/>
    <row r="517" spans="1:17" s="1716" customFormat="1">
      <c r="A517" s="2771" t="s">
        <v>2106</v>
      </c>
      <c r="B517" s="2771"/>
      <c r="C517" s="2771"/>
      <c r="D517" s="2717" t="s">
        <v>2069</v>
      </c>
      <c r="E517" s="2718"/>
      <c r="F517" s="2718"/>
      <c r="G517" s="2736"/>
      <c r="H517" s="2717" t="s">
        <v>2068</v>
      </c>
      <c r="I517" s="2718"/>
      <c r="J517" s="2718"/>
      <c r="K517" s="2736"/>
      <c r="M517" s="2717" t="s">
        <v>1610</v>
      </c>
      <c r="N517" s="2718"/>
      <c r="O517" s="2718"/>
      <c r="P517" s="2718"/>
      <c r="Q517" s="2736"/>
    </row>
    <row r="518" spans="1:17" s="1716" customFormat="1" ht="15">
      <c r="A518" s="1719" t="s">
        <v>1796</v>
      </c>
      <c r="B518" s="1719" t="s">
        <v>1608</v>
      </c>
      <c r="C518" s="1719" t="s">
        <v>1606</v>
      </c>
      <c r="D518" s="1719" t="s">
        <v>1609</v>
      </c>
      <c r="E518" s="1719" t="s">
        <v>1679</v>
      </c>
      <c r="F518" s="1733" t="s">
        <v>1840</v>
      </c>
      <c r="G518" s="1732" t="s">
        <v>1807</v>
      </c>
      <c r="H518" s="1719" t="s">
        <v>1568</v>
      </c>
      <c r="I518" s="1719" t="s">
        <v>1568</v>
      </c>
      <c r="J518" s="1719" t="s">
        <v>1568</v>
      </c>
      <c r="K518" s="1719" t="s">
        <v>1568</v>
      </c>
      <c r="M518" s="1719" t="s">
        <v>1607</v>
      </c>
      <c r="N518" s="1719" t="s">
        <v>1611</v>
      </c>
      <c r="O518" s="1719" t="s">
        <v>1168</v>
      </c>
      <c r="P518" s="1719" t="s">
        <v>1205</v>
      </c>
      <c r="Q518" s="1719" t="s">
        <v>1243</v>
      </c>
    </row>
    <row r="519" spans="1:17" s="1716" customFormat="1">
      <c r="A519" s="1717" t="str">
        <f t="shared" ref="A519:C528" si="74">A500</f>
        <v>K1</v>
      </c>
      <c r="B519" s="1717">
        <f t="shared" si="74"/>
        <v>4.5</v>
      </c>
      <c r="C519" s="1717">
        <f t="shared" si="74"/>
        <v>0</v>
      </c>
      <c r="D519" s="1717">
        <f t="shared" ref="D519:G528" si="75">D240</f>
        <v>12</v>
      </c>
      <c r="E519" s="1717">
        <f t="shared" si="75"/>
        <v>0</v>
      </c>
      <c r="F519" s="1717">
        <f t="shared" si="75"/>
        <v>0</v>
      </c>
      <c r="G519" s="1720">
        <f t="shared" si="75"/>
        <v>0</v>
      </c>
      <c r="H519" s="1717">
        <f>B519*C519*D519</f>
        <v>0</v>
      </c>
      <c r="I519" s="1717">
        <f t="shared" ref="I519:I528" si="76">B519*C519*E519</f>
        <v>0</v>
      </c>
      <c r="J519" s="1717">
        <f t="shared" ref="J519:J528" si="77">B519*C519*F519</f>
        <v>0</v>
      </c>
      <c r="K519" s="1717">
        <f t="shared" ref="K519:K528" si="78">B519*C519*G519</f>
        <v>0</v>
      </c>
      <c r="M519" s="1717">
        <f t="shared" ref="M519:M528" si="79">(B519/2)/0.2</f>
        <v>11.25</v>
      </c>
      <c r="N519" s="1717">
        <f t="shared" ref="N519:N528" si="80">(B519/2)/0.1</f>
        <v>22.5</v>
      </c>
      <c r="O519" s="1717">
        <f t="shared" ref="O519:O528" si="81">SUM(M519:N519)*C519</f>
        <v>0</v>
      </c>
      <c r="P519" s="1717">
        <f t="shared" ref="P519:P528" si="82">P240</f>
        <v>-0.2</v>
      </c>
      <c r="Q519" s="1717">
        <f t="shared" ref="Q519:Q528" si="83">O519*P519</f>
        <v>0</v>
      </c>
    </row>
    <row r="520" spans="1:17" s="1716" customFormat="1">
      <c r="A520" s="1717" t="str">
        <f t="shared" si="74"/>
        <v>K2</v>
      </c>
      <c r="B520" s="1717">
        <f t="shared" si="74"/>
        <v>4.5</v>
      </c>
      <c r="C520" s="1717">
        <f t="shared" si="74"/>
        <v>0</v>
      </c>
      <c r="D520" s="1717">
        <f t="shared" si="75"/>
        <v>10</v>
      </c>
      <c r="E520" s="1717">
        <f t="shared" si="75"/>
        <v>0</v>
      </c>
      <c r="F520" s="1717">
        <f t="shared" si="75"/>
        <v>0</v>
      </c>
      <c r="G520" s="1720">
        <f t="shared" si="75"/>
        <v>0</v>
      </c>
      <c r="H520" s="1717">
        <f t="shared" ref="H520:H528" si="84">B520*C520*D520</f>
        <v>0</v>
      </c>
      <c r="I520" s="1717">
        <f t="shared" si="76"/>
        <v>0</v>
      </c>
      <c r="J520" s="1717">
        <f t="shared" si="77"/>
        <v>0</v>
      </c>
      <c r="K520" s="1717">
        <f t="shared" si="78"/>
        <v>0</v>
      </c>
      <c r="M520" s="1717">
        <f t="shared" si="79"/>
        <v>11.25</v>
      </c>
      <c r="N520" s="1717">
        <f t="shared" si="80"/>
        <v>22.5</v>
      </c>
      <c r="O520" s="1717">
        <f t="shared" si="81"/>
        <v>0</v>
      </c>
      <c r="P520" s="1717">
        <f t="shared" si="82"/>
        <v>-0.2</v>
      </c>
      <c r="Q520" s="1717">
        <f t="shared" si="83"/>
        <v>0</v>
      </c>
    </row>
    <row r="521" spans="1:17" s="1716" customFormat="1">
      <c r="A521" s="1717" t="str">
        <f t="shared" si="74"/>
        <v>K3</v>
      </c>
      <c r="B521" s="1717">
        <f t="shared" si="74"/>
        <v>4.5</v>
      </c>
      <c r="C521" s="1717">
        <f t="shared" si="74"/>
        <v>0</v>
      </c>
      <c r="D521" s="1717">
        <f t="shared" si="75"/>
        <v>10</v>
      </c>
      <c r="E521" s="1717">
        <f t="shared" si="75"/>
        <v>0</v>
      </c>
      <c r="F521" s="1717">
        <f t="shared" si="75"/>
        <v>0</v>
      </c>
      <c r="G521" s="1720">
        <f t="shared" si="75"/>
        <v>0</v>
      </c>
      <c r="H521" s="1717">
        <f t="shared" si="84"/>
        <v>0</v>
      </c>
      <c r="I521" s="1717">
        <f t="shared" si="76"/>
        <v>0</v>
      </c>
      <c r="J521" s="1717">
        <f t="shared" si="77"/>
        <v>0</v>
      </c>
      <c r="K521" s="1717">
        <f t="shared" si="78"/>
        <v>0</v>
      </c>
      <c r="M521" s="1717">
        <f t="shared" si="79"/>
        <v>11.25</v>
      </c>
      <c r="N521" s="1717">
        <f t="shared" si="80"/>
        <v>22.5</v>
      </c>
      <c r="O521" s="1717">
        <f t="shared" si="81"/>
        <v>0</v>
      </c>
      <c r="P521" s="1717">
        <f t="shared" si="82"/>
        <v>-0.2</v>
      </c>
      <c r="Q521" s="1717">
        <f t="shared" si="83"/>
        <v>0</v>
      </c>
    </row>
    <row r="522" spans="1:17" s="1716" customFormat="1">
      <c r="A522" s="1717" t="str">
        <f t="shared" si="74"/>
        <v>K4</v>
      </c>
      <c r="B522" s="1717">
        <f t="shared" si="74"/>
        <v>4.5</v>
      </c>
      <c r="C522" s="1717">
        <f t="shared" si="74"/>
        <v>0</v>
      </c>
      <c r="D522" s="1717">
        <f t="shared" si="75"/>
        <v>12</v>
      </c>
      <c r="E522" s="1717">
        <f t="shared" si="75"/>
        <v>0</v>
      </c>
      <c r="F522" s="1717">
        <f t="shared" si="75"/>
        <v>0</v>
      </c>
      <c r="G522" s="1720">
        <f t="shared" si="75"/>
        <v>0</v>
      </c>
      <c r="H522" s="1717">
        <f t="shared" si="84"/>
        <v>0</v>
      </c>
      <c r="I522" s="1717">
        <f t="shared" si="76"/>
        <v>0</v>
      </c>
      <c r="J522" s="1717">
        <f t="shared" si="77"/>
        <v>0</v>
      </c>
      <c r="K522" s="1717">
        <f t="shared" si="78"/>
        <v>0</v>
      </c>
      <c r="M522" s="1717">
        <f t="shared" si="79"/>
        <v>11.25</v>
      </c>
      <c r="N522" s="1717">
        <f t="shared" si="80"/>
        <v>22.5</v>
      </c>
      <c r="O522" s="1717">
        <f t="shared" si="81"/>
        <v>0</v>
      </c>
      <c r="P522" s="1717">
        <f t="shared" si="82"/>
        <v>-0.2</v>
      </c>
      <c r="Q522" s="1717">
        <f t="shared" si="83"/>
        <v>0</v>
      </c>
    </row>
    <row r="523" spans="1:17" s="1716" customFormat="1">
      <c r="A523" s="1717" t="str">
        <f t="shared" si="74"/>
        <v>K5</v>
      </c>
      <c r="B523" s="1717">
        <f t="shared" si="74"/>
        <v>4.5</v>
      </c>
      <c r="C523" s="1717">
        <f t="shared" si="74"/>
        <v>0</v>
      </c>
      <c r="D523" s="1717">
        <f t="shared" si="75"/>
        <v>8</v>
      </c>
      <c r="E523" s="1717">
        <f t="shared" si="75"/>
        <v>0</v>
      </c>
      <c r="F523" s="1717">
        <f t="shared" si="75"/>
        <v>0</v>
      </c>
      <c r="G523" s="1720">
        <f t="shared" si="75"/>
        <v>0</v>
      </c>
      <c r="H523" s="1717">
        <f t="shared" si="84"/>
        <v>0</v>
      </c>
      <c r="I523" s="1717">
        <f t="shared" si="76"/>
        <v>0</v>
      </c>
      <c r="J523" s="1717">
        <f t="shared" si="77"/>
        <v>0</v>
      </c>
      <c r="K523" s="1717">
        <f t="shared" si="78"/>
        <v>0</v>
      </c>
      <c r="M523" s="1717">
        <f t="shared" si="79"/>
        <v>11.25</v>
      </c>
      <c r="N523" s="1717">
        <f t="shared" si="80"/>
        <v>22.5</v>
      </c>
      <c r="O523" s="1717">
        <f t="shared" si="81"/>
        <v>0</v>
      </c>
      <c r="P523" s="1717">
        <f t="shared" si="82"/>
        <v>-0.2</v>
      </c>
      <c r="Q523" s="1717">
        <f t="shared" si="83"/>
        <v>0</v>
      </c>
    </row>
    <row r="524" spans="1:17" s="1716" customFormat="1">
      <c r="A524" s="1717" t="str">
        <f t="shared" si="74"/>
        <v>K6</v>
      </c>
      <c r="B524" s="1717">
        <f t="shared" si="74"/>
        <v>4.5</v>
      </c>
      <c r="C524" s="1717">
        <f t="shared" si="74"/>
        <v>0</v>
      </c>
      <c r="D524" s="1717">
        <f t="shared" si="75"/>
        <v>0</v>
      </c>
      <c r="E524" s="1717">
        <f t="shared" si="75"/>
        <v>0</v>
      </c>
      <c r="F524" s="1717">
        <f t="shared" si="75"/>
        <v>6</v>
      </c>
      <c r="G524" s="1720">
        <f t="shared" si="75"/>
        <v>0</v>
      </c>
      <c r="H524" s="1717">
        <f t="shared" si="84"/>
        <v>0</v>
      </c>
      <c r="I524" s="1717">
        <f t="shared" si="76"/>
        <v>0</v>
      </c>
      <c r="J524" s="1717">
        <f t="shared" si="77"/>
        <v>0</v>
      </c>
      <c r="K524" s="1717">
        <f t="shared" si="78"/>
        <v>0</v>
      </c>
      <c r="M524" s="1717">
        <f t="shared" si="79"/>
        <v>11.25</v>
      </c>
      <c r="N524" s="1717">
        <f t="shared" si="80"/>
        <v>22.5</v>
      </c>
      <c r="O524" s="1717">
        <f t="shared" si="81"/>
        <v>0</v>
      </c>
      <c r="P524" s="1717">
        <f t="shared" si="82"/>
        <v>-0.2</v>
      </c>
      <c r="Q524" s="1717">
        <f t="shared" si="83"/>
        <v>0</v>
      </c>
    </row>
    <row r="525" spans="1:17" s="1716" customFormat="1">
      <c r="A525" s="1717" t="str">
        <f t="shared" si="74"/>
        <v>K7</v>
      </c>
      <c r="B525" s="1717">
        <f t="shared" si="74"/>
        <v>4.5</v>
      </c>
      <c r="C525" s="1717">
        <f t="shared" si="74"/>
        <v>0</v>
      </c>
      <c r="D525" s="1717">
        <f t="shared" si="75"/>
        <v>10</v>
      </c>
      <c r="E525" s="1717">
        <f t="shared" si="75"/>
        <v>0</v>
      </c>
      <c r="F525" s="1717">
        <f t="shared" si="75"/>
        <v>0</v>
      </c>
      <c r="G525" s="1720">
        <f t="shared" si="75"/>
        <v>0</v>
      </c>
      <c r="H525" s="1717">
        <f t="shared" si="84"/>
        <v>0</v>
      </c>
      <c r="I525" s="1717">
        <f t="shared" si="76"/>
        <v>0</v>
      </c>
      <c r="J525" s="1717">
        <f t="shared" si="77"/>
        <v>0</v>
      </c>
      <c r="K525" s="1717">
        <f t="shared" si="78"/>
        <v>0</v>
      </c>
      <c r="M525" s="1717">
        <f t="shared" si="79"/>
        <v>11.25</v>
      </c>
      <c r="N525" s="1717">
        <f t="shared" si="80"/>
        <v>22.5</v>
      </c>
      <c r="O525" s="1717">
        <f t="shared" si="81"/>
        <v>0</v>
      </c>
      <c r="P525" s="1717">
        <f t="shared" si="82"/>
        <v>1.2560000000000002</v>
      </c>
      <c r="Q525" s="1717">
        <f t="shared" si="83"/>
        <v>0</v>
      </c>
    </row>
    <row r="526" spans="1:17" s="1716" customFormat="1">
      <c r="A526" s="1717" t="str">
        <f t="shared" si="74"/>
        <v>K8</v>
      </c>
      <c r="B526" s="1717">
        <f t="shared" si="74"/>
        <v>4.5</v>
      </c>
      <c r="C526" s="1717">
        <f t="shared" si="74"/>
        <v>0</v>
      </c>
      <c r="D526" s="1717">
        <f t="shared" si="75"/>
        <v>8</v>
      </c>
      <c r="E526" s="1717">
        <f t="shared" si="75"/>
        <v>0</v>
      </c>
      <c r="F526" s="1717">
        <f t="shared" si="75"/>
        <v>0</v>
      </c>
      <c r="G526" s="1720">
        <f t="shared" si="75"/>
        <v>0</v>
      </c>
      <c r="H526" s="1717">
        <f t="shared" si="84"/>
        <v>0</v>
      </c>
      <c r="I526" s="1717">
        <f t="shared" si="76"/>
        <v>0</v>
      </c>
      <c r="J526" s="1717">
        <f t="shared" si="77"/>
        <v>0</v>
      </c>
      <c r="K526" s="1717">
        <f t="shared" si="78"/>
        <v>0</v>
      </c>
      <c r="M526" s="1717">
        <f t="shared" si="79"/>
        <v>11.25</v>
      </c>
      <c r="N526" s="1717">
        <f t="shared" si="80"/>
        <v>22.5</v>
      </c>
      <c r="O526" s="1717">
        <f t="shared" si="81"/>
        <v>0</v>
      </c>
      <c r="P526" s="1717">
        <f t="shared" si="82"/>
        <v>0.94199999999999995</v>
      </c>
      <c r="Q526" s="1717">
        <f t="shared" si="83"/>
        <v>0</v>
      </c>
    </row>
    <row r="527" spans="1:17" s="1716" customFormat="1">
      <c r="A527" s="1717" t="str">
        <f t="shared" si="74"/>
        <v>K9</v>
      </c>
      <c r="B527" s="1717">
        <f t="shared" si="74"/>
        <v>4.5</v>
      </c>
      <c r="C527" s="1717">
        <f t="shared" si="74"/>
        <v>0</v>
      </c>
      <c r="D527" s="1717">
        <f t="shared" si="75"/>
        <v>0</v>
      </c>
      <c r="E527" s="1717">
        <f t="shared" si="75"/>
        <v>0</v>
      </c>
      <c r="F527" s="1717">
        <f t="shared" si="75"/>
        <v>5</v>
      </c>
      <c r="G527" s="1720">
        <f t="shared" si="75"/>
        <v>0</v>
      </c>
      <c r="H527" s="1717">
        <f t="shared" si="84"/>
        <v>0</v>
      </c>
      <c r="I527" s="1717">
        <f t="shared" si="76"/>
        <v>0</v>
      </c>
      <c r="J527" s="1717">
        <f t="shared" si="77"/>
        <v>0</v>
      </c>
      <c r="K527" s="1717">
        <f t="shared" si="78"/>
        <v>0</v>
      </c>
      <c r="M527" s="1717">
        <f t="shared" si="79"/>
        <v>11.25</v>
      </c>
      <c r="N527" s="1717">
        <f t="shared" si="80"/>
        <v>22.5</v>
      </c>
      <c r="O527" s="1717">
        <f t="shared" si="81"/>
        <v>0</v>
      </c>
      <c r="P527" s="1717">
        <f t="shared" si="82"/>
        <v>0.47100000000000009</v>
      </c>
      <c r="Q527" s="1717">
        <f t="shared" si="83"/>
        <v>0</v>
      </c>
    </row>
    <row r="528" spans="1:17" s="1716" customFormat="1" ht="15" customHeight="1">
      <c r="A528" s="1717" t="str">
        <f t="shared" si="74"/>
        <v>K10</v>
      </c>
      <c r="B528" s="1717">
        <f t="shared" si="74"/>
        <v>4.5</v>
      </c>
      <c r="C528" s="1717">
        <f t="shared" si="74"/>
        <v>0</v>
      </c>
      <c r="D528" s="1717">
        <f t="shared" si="75"/>
        <v>0</v>
      </c>
      <c r="E528" s="1717">
        <f t="shared" si="75"/>
        <v>0</v>
      </c>
      <c r="F528" s="1717">
        <f t="shared" si="75"/>
        <v>0</v>
      </c>
      <c r="G528" s="1720">
        <f t="shared" si="75"/>
        <v>0</v>
      </c>
      <c r="H528" s="1717">
        <f t="shared" si="84"/>
        <v>0</v>
      </c>
      <c r="I528" s="1717">
        <f t="shared" si="76"/>
        <v>0</v>
      </c>
      <c r="J528" s="1717">
        <f t="shared" si="77"/>
        <v>0</v>
      </c>
      <c r="K528" s="1717">
        <f t="shared" si="78"/>
        <v>0</v>
      </c>
      <c r="M528" s="1718">
        <f t="shared" si="79"/>
        <v>11.25</v>
      </c>
      <c r="N528" s="1718">
        <f t="shared" si="80"/>
        <v>22.5</v>
      </c>
      <c r="O528" s="1718">
        <f t="shared" si="81"/>
        <v>0</v>
      </c>
      <c r="P528" s="1717">
        <f t="shared" si="82"/>
        <v>-0.2</v>
      </c>
      <c r="Q528" s="1718">
        <f t="shared" si="83"/>
        <v>0</v>
      </c>
    </row>
    <row r="529" spans="1:18" s="1716" customFormat="1" ht="15" customHeight="1">
      <c r="F529" s="2725" t="s">
        <v>2074</v>
      </c>
      <c r="G529" s="2726"/>
      <c r="H529" s="1596">
        <f>SUM(H519:H528)</f>
        <v>0</v>
      </c>
      <c r="I529" s="1596">
        <f>SUM(I519:I528)</f>
        <v>0</v>
      </c>
      <c r="J529" s="1596">
        <f>SUM(J519:J528)</f>
        <v>0</v>
      </c>
      <c r="K529" s="1596">
        <f>SUM(K519:K528)</f>
        <v>0</v>
      </c>
      <c r="M529" s="2725" t="s">
        <v>1972</v>
      </c>
      <c r="N529" s="2726"/>
      <c r="O529" s="2726"/>
      <c r="P529" s="2727"/>
      <c r="Q529" s="1734">
        <f>SUM(Q522:Q528)</f>
        <v>0</v>
      </c>
      <c r="R529" s="1801">
        <f>Q529*0.4</f>
        <v>0</v>
      </c>
    </row>
    <row r="530" spans="1:18" s="1716" customFormat="1" ht="15">
      <c r="F530" s="2725" t="s">
        <v>2075</v>
      </c>
      <c r="G530" s="2726"/>
      <c r="H530" s="1800">
        <f>H529*1.58</f>
        <v>0</v>
      </c>
      <c r="I530" s="1597">
        <f>I529*1.04</f>
        <v>0</v>
      </c>
      <c r="J530" s="1800">
        <f>J529*0.89</f>
        <v>0</v>
      </c>
      <c r="K530" s="1801">
        <f>K529*0.62</f>
        <v>0</v>
      </c>
      <c r="M530" s="2725" t="s">
        <v>2387</v>
      </c>
      <c r="N530" s="2726"/>
      <c r="O530" s="2726"/>
      <c r="P530" s="2727"/>
      <c r="Q530" s="1734">
        <f>SUM(Q519:Q521)</f>
        <v>0</v>
      </c>
      <c r="R530" s="1801">
        <f>Q530*0.62</f>
        <v>0</v>
      </c>
    </row>
    <row r="531" spans="1:18" s="1716" customFormat="1">
      <c r="Q531" s="1303"/>
      <c r="R531" s="1303"/>
    </row>
    <row r="532" spans="1:18" s="1716" customFormat="1">
      <c r="A532" s="1731" t="s">
        <v>1796</v>
      </c>
      <c r="B532" s="1731" t="s">
        <v>1608</v>
      </c>
      <c r="C532" s="1731" t="s">
        <v>2062</v>
      </c>
      <c r="D532" s="1731" t="s">
        <v>1807</v>
      </c>
      <c r="E532" s="1731" t="s">
        <v>1997</v>
      </c>
      <c r="F532" s="1731" t="s">
        <v>1568</v>
      </c>
      <c r="M532" s="1717" t="s">
        <v>1607</v>
      </c>
      <c r="N532" s="1717" t="s">
        <v>1611</v>
      </c>
      <c r="O532" s="1717" t="s">
        <v>1168</v>
      </c>
      <c r="P532" s="1717" t="s">
        <v>1205</v>
      </c>
      <c r="Q532" s="1717" t="s">
        <v>1243</v>
      </c>
    </row>
    <row r="533" spans="1:18" s="1716" customFormat="1">
      <c r="A533" s="1717" t="str">
        <f t="shared" ref="A533:C534" si="85">A513</f>
        <v>KP1</v>
      </c>
      <c r="B533" s="1717">
        <f t="shared" si="85"/>
        <v>0.65</v>
      </c>
      <c r="C533" s="1717">
        <f t="shared" si="85"/>
        <v>61</v>
      </c>
      <c r="D533" s="1717">
        <v>4</v>
      </c>
      <c r="E533" s="1717"/>
      <c r="F533" s="1717">
        <f>B533*C533*D533</f>
        <v>158.6</v>
      </c>
      <c r="M533" s="1717">
        <f>(B533/2)/0.2</f>
        <v>1.625</v>
      </c>
      <c r="N533" s="1717">
        <f>(B533/2)/0.1</f>
        <v>3.25</v>
      </c>
      <c r="O533" s="1717">
        <f>SUM(M533:N533)*C533</f>
        <v>297.375</v>
      </c>
      <c r="P533" s="1717">
        <f>P254</f>
        <v>0.4</v>
      </c>
      <c r="Q533" s="1717">
        <f>O533*P533</f>
        <v>118.95</v>
      </c>
    </row>
    <row r="534" spans="1:18" s="1716" customFormat="1" ht="15" customHeight="1">
      <c r="A534" s="1717" t="str">
        <f t="shared" si="85"/>
        <v>KP2</v>
      </c>
      <c r="B534" s="1717">
        <f t="shared" si="85"/>
        <v>0.65</v>
      </c>
      <c r="C534" s="1717">
        <f t="shared" si="85"/>
        <v>0</v>
      </c>
      <c r="D534" s="1717">
        <v>3</v>
      </c>
      <c r="E534" s="1717">
        <v>0</v>
      </c>
      <c r="F534" s="1717">
        <f>B534*C534*D534</f>
        <v>0</v>
      </c>
      <c r="M534" s="1718">
        <f>(B534/2)/0.2</f>
        <v>1.625</v>
      </c>
      <c r="N534" s="1718">
        <f>(B534/2)/0.1</f>
        <v>3.25</v>
      </c>
      <c r="O534" s="1718">
        <f>SUM(M534:N534)*C534</f>
        <v>0</v>
      </c>
      <c r="P534" s="1717">
        <f>P255</f>
        <v>0</v>
      </c>
      <c r="Q534" s="1718">
        <f>O534*P534</f>
        <v>0</v>
      </c>
    </row>
    <row r="535" spans="1:18" s="1716" customFormat="1" ht="15" customHeight="1">
      <c r="D535" s="2725" t="s">
        <v>2074</v>
      </c>
      <c r="E535" s="2726"/>
      <c r="F535" s="1596">
        <f>SUM(F533:F534)</f>
        <v>158.6</v>
      </c>
      <c r="M535" s="2725" t="s">
        <v>2109</v>
      </c>
      <c r="N535" s="2726"/>
      <c r="O535" s="2726"/>
      <c r="P535" s="2727"/>
      <c r="Q535" s="1734">
        <f>SUM(Q533:Q534)</f>
        <v>118.95</v>
      </c>
    </row>
    <row r="536" spans="1:18" s="1716" customFormat="1" ht="15">
      <c r="D536" s="2725" t="s">
        <v>2075</v>
      </c>
      <c r="E536" s="2726"/>
      <c r="F536" s="1800">
        <f>F535*0.62</f>
        <v>98.331999999999994</v>
      </c>
      <c r="M536" s="2725" t="s">
        <v>2108</v>
      </c>
      <c r="N536" s="2726"/>
      <c r="O536" s="2726"/>
      <c r="P536" s="2727"/>
      <c r="Q536" s="1800">
        <f>Q535*0.4</f>
        <v>47.580000000000005</v>
      </c>
    </row>
    <row r="537" spans="1:18" s="1716" customFormat="1"/>
    <row r="538" spans="1:18" s="1716" customFormat="1">
      <c r="A538" s="1731" t="s">
        <v>1612</v>
      </c>
      <c r="B538" s="1731" t="s">
        <v>1608</v>
      </c>
      <c r="C538" s="1731" t="s">
        <v>2062</v>
      </c>
      <c r="D538" s="1731" t="s">
        <v>2089</v>
      </c>
      <c r="E538" s="1731" t="s">
        <v>1568</v>
      </c>
    </row>
    <row r="539" spans="1:18" s="1716" customFormat="1">
      <c r="A539" s="1719" t="str">
        <f t="shared" ref="A539:C548" si="86">A500</f>
        <v>K1</v>
      </c>
      <c r="B539" s="1719">
        <f t="shared" si="86"/>
        <v>4.5</v>
      </c>
      <c r="C539" s="1719">
        <f t="shared" si="86"/>
        <v>0</v>
      </c>
      <c r="D539" s="1719">
        <f t="shared" ref="D539:D548" si="87">D260</f>
        <v>0</v>
      </c>
      <c r="E539" s="1719">
        <f t="shared" ref="E539:E548" si="88">B539*C539*D539</f>
        <v>0</v>
      </c>
    </row>
    <row r="540" spans="1:18" s="1716" customFormat="1">
      <c r="A540" s="1717" t="str">
        <f t="shared" si="86"/>
        <v>K2</v>
      </c>
      <c r="B540" s="1719">
        <f t="shared" si="86"/>
        <v>4.5</v>
      </c>
      <c r="C540" s="1719">
        <f t="shared" si="86"/>
        <v>0</v>
      </c>
      <c r="D540" s="1719">
        <f t="shared" si="87"/>
        <v>0</v>
      </c>
      <c r="E540" s="1717">
        <f t="shared" si="88"/>
        <v>0</v>
      </c>
    </row>
    <row r="541" spans="1:18" s="1716" customFormat="1">
      <c r="A541" s="1717" t="str">
        <f t="shared" si="86"/>
        <v>K3</v>
      </c>
      <c r="B541" s="1719">
        <f t="shared" si="86"/>
        <v>4.5</v>
      </c>
      <c r="C541" s="1719">
        <f t="shared" si="86"/>
        <v>0</v>
      </c>
      <c r="D541" s="1719">
        <f t="shared" si="87"/>
        <v>0</v>
      </c>
      <c r="E541" s="1717">
        <f t="shared" si="88"/>
        <v>0</v>
      </c>
    </row>
    <row r="542" spans="1:18" s="1716" customFormat="1">
      <c r="A542" s="1717" t="str">
        <f t="shared" si="86"/>
        <v>K4</v>
      </c>
      <c r="B542" s="1719">
        <f t="shared" si="86"/>
        <v>4.5</v>
      </c>
      <c r="C542" s="1719">
        <f t="shared" si="86"/>
        <v>0</v>
      </c>
      <c r="D542" s="1719">
        <f t="shared" si="87"/>
        <v>0</v>
      </c>
      <c r="E542" s="1717">
        <f t="shared" si="88"/>
        <v>0</v>
      </c>
    </row>
    <row r="543" spans="1:18" s="1716" customFormat="1">
      <c r="A543" s="1717" t="str">
        <f t="shared" si="86"/>
        <v>K5</v>
      </c>
      <c r="B543" s="1719">
        <f t="shared" si="86"/>
        <v>4.5</v>
      </c>
      <c r="C543" s="1719">
        <f t="shared" si="86"/>
        <v>0</v>
      </c>
      <c r="D543" s="1719">
        <f t="shared" si="87"/>
        <v>0</v>
      </c>
      <c r="E543" s="1717">
        <f t="shared" si="88"/>
        <v>0</v>
      </c>
    </row>
    <row r="544" spans="1:18" s="1716" customFormat="1">
      <c r="A544" s="1717" t="str">
        <f t="shared" si="86"/>
        <v>K6</v>
      </c>
      <c r="B544" s="1719">
        <f t="shared" si="86"/>
        <v>4.5</v>
      </c>
      <c r="C544" s="1719">
        <f t="shared" si="86"/>
        <v>0</v>
      </c>
      <c r="D544" s="1719">
        <f t="shared" si="87"/>
        <v>0</v>
      </c>
      <c r="E544" s="1717">
        <f t="shared" si="88"/>
        <v>0</v>
      </c>
    </row>
    <row r="545" spans="1:43" s="1716" customFormat="1">
      <c r="A545" s="1717" t="str">
        <f t="shared" si="86"/>
        <v>K7</v>
      </c>
      <c r="B545" s="1719">
        <f t="shared" si="86"/>
        <v>4.5</v>
      </c>
      <c r="C545" s="1719">
        <f t="shared" si="86"/>
        <v>0</v>
      </c>
      <c r="D545" s="1719">
        <f t="shared" si="87"/>
        <v>1.413</v>
      </c>
      <c r="E545" s="1717">
        <f t="shared" si="88"/>
        <v>0</v>
      </c>
    </row>
    <row r="546" spans="1:43" s="1716" customFormat="1">
      <c r="A546" s="1717" t="str">
        <f t="shared" si="86"/>
        <v>K8</v>
      </c>
      <c r="B546" s="1719">
        <f t="shared" si="86"/>
        <v>4.5</v>
      </c>
      <c r="C546" s="1719">
        <f t="shared" si="86"/>
        <v>0</v>
      </c>
      <c r="D546" s="1719">
        <f t="shared" si="87"/>
        <v>1.099</v>
      </c>
      <c r="E546" s="1717">
        <f t="shared" si="88"/>
        <v>0</v>
      </c>
    </row>
    <row r="547" spans="1:43" s="1716" customFormat="1" ht="15" customHeight="1">
      <c r="A547" s="1717" t="str">
        <f t="shared" si="86"/>
        <v>K9</v>
      </c>
      <c r="B547" s="1719">
        <f t="shared" si="86"/>
        <v>4.5</v>
      </c>
      <c r="C547" s="1719">
        <f t="shared" si="86"/>
        <v>0</v>
      </c>
      <c r="D547" s="1719">
        <f t="shared" si="87"/>
        <v>0.62800000000000011</v>
      </c>
      <c r="E547" s="1717">
        <f t="shared" si="88"/>
        <v>0</v>
      </c>
    </row>
    <row r="548" spans="1:43" s="1716" customFormat="1" ht="15" customHeight="1">
      <c r="A548" s="1717" t="str">
        <f t="shared" si="86"/>
        <v>K10</v>
      </c>
      <c r="B548" s="1719">
        <f t="shared" si="86"/>
        <v>4.5</v>
      </c>
      <c r="C548" s="1719">
        <f t="shared" si="86"/>
        <v>0</v>
      </c>
      <c r="D548" s="1719">
        <f t="shared" si="87"/>
        <v>0</v>
      </c>
      <c r="E548" s="1717">
        <f t="shared" si="88"/>
        <v>0</v>
      </c>
    </row>
    <row r="549" spans="1:43" s="1716" customFormat="1">
      <c r="D549" s="2728" t="s">
        <v>2076</v>
      </c>
      <c r="E549" s="2730">
        <f>SUM(E539:E548)</f>
        <v>0</v>
      </c>
    </row>
    <row r="550" spans="1:43" s="1303" customFormat="1">
      <c r="A550" s="1716"/>
      <c r="B550" s="1716"/>
      <c r="C550" s="1716"/>
      <c r="D550" s="2729"/>
      <c r="E550" s="2730"/>
      <c r="F550" s="1716"/>
      <c r="G550" s="1716"/>
      <c r="H550" s="1716"/>
      <c r="I550" s="1716"/>
      <c r="J550" s="1716"/>
      <c r="K550" s="1716"/>
      <c r="L550" s="1716"/>
      <c r="M550" s="1716"/>
      <c r="N550" s="1716"/>
      <c r="O550" s="1716"/>
      <c r="P550" s="1716"/>
      <c r="Q550" s="1716"/>
      <c r="R550" s="1716"/>
    </row>
    <row r="551" spans="1:43" s="1716" customFormat="1">
      <c r="E551" s="1303"/>
      <c r="H551" s="1303"/>
      <c r="I551" s="1303"/>
      <c r="J551" s="1303"/>
      <c r="K551" s="1303"/>
      <c r="L551" s="1303"/>
      <c r="M551" s="1303"/>
      <c r="N551" s="1303"/>
      <c r="O551" s="1303"/>
      <c r="P551" s="1303"/>
      <c r="Q551" s="1303"/>
      <c r="R551" s="1303"/>
    </row>
    <row r="552" spans="1:43" s="1716" customFormat="1">
      <c r="A552" s="1303"/>
      <c r="B552" s="1303"/>
      <c r="C552" s="1303"/>
      <c r="D552" s="1303"/>
      <c r="E552" s="1303"/>
      <c r="F552" s="1303"/>
      <c r="G552" s="1303"/>
    </row>
    <row r="553" spans="1:43" s="1716" customFormat="1">
      <c r="A553" s="1731" t="s">
        <v>1612</v>
      </c>
      <c r="B553" s="1731" t="s">
        <v>1608</v>
      </c>
      <c r="C553" s="1731" t="s">
        <v>2062</v>
      </c>
      <c r="D553" s="1731" t="s">
        <v>2088</v>
      </c>
      <c r="E553" s="1731" t="s">
        <v>1568</v>
      </c>
    </row>
    <row r="554" spans="1:43" s="1716" customFormat="1">
      <c r="A554" s="1719" t="str">
        <f t="shared" ref="A554:C555" si="89">A533</f>
        <v>KP1</v>
      </c>
      <c r="B554" s="1719">
        <f t="shared" si="89"/>
        <v>0.65</v>
      </c>
      <c r="C554" s="1719">
        <f t="shared" si="89"/>
        <v>61</v>
      </c>
      <c r="D554" s="1719">
        <f>D275</f>
        <v>0.48</v>
      </c>
      <c r="E554" s="1719">
        <f>B554*C554*D554</f>
        <v>19.032</v>
      </c>
    </row>
    <row r="555" spans="1:43" s="1716" customFormat="1">
      <c r="A555" s="1717" t="str">
        <f t="shared" si="89"/>
        <v>KP2</v>
      </c>
      <c r="B555" s="1717">
        <f t="shared" si="89"/>
        <v>0.65</v>
      </c>
      <c r="C555" s="1717">
        <f t="shared" si="89"/>
        <v>0</v>
      </c>
      <c r="D555" s="1724">
        <f>D276</f>
        <v>1.44</v>
      </c>
      <c r="E555" s="1717">
        <f>B555*C555*D555</f>
        <v>0</v>
      </c>
      <c r="V555" s="1609"/>
      <c r="W555" s="1609"/>
      <c r="X555" s="1609"/>
      <c r="Y555" s="1609"/>
      <c r="Z555" s="1609"/>
      <c r="AA555" s="1609"/>
      <c r="AB555" s="1609"/>
      <c r="AC555" s="1609"/>
      <c r="AD555" s="1609"/>
      <c r="AE555" s="1609"/>
      <c r="AF555" s="1609"/>
      <c r="AG555" s="1609"/>
      <c r="AH555" s="1609"/>
      <c r="AI555" s="1609"/>
      <c r="AJ555" s="1609"/>
      <c r="AK555" s="1609"/>
      <c r="AL555" s="1609"/>
      <c r="AM555" s="1609"/>
      <c r="AN555" s="1609"/>
      <c r="AO555" s="1609"/>
      <c r="AP555" s="1609"/>
      <c r="AQ555" s="1609"/>
    </row>
    <row r="556" spans="1:43" s="1716" customFormat="1" ht="15">
      <c r="D556" s="1738" t="s">
        <v>2076</v>
      </c>
      <c r="E556" s="1800">
        <f>SUM(E554:E555)</f>
        <v>19.032</v>
      </c>
      <c r="V556" s="1609"/>
      <c r="W556" s="2716"/>
      <c r="X556" s="2716"/>
      <c r="Y556" s="2716"/>
      <c r="Z556" s="2716"/>
      <c r="AA556" s="2716"/>
      <c r="AB556" s="2716"/>
      <c r="AC556" s="2716"/>
      <c r="AD556" s="2716"/>
      <c r="AE556" s="1609"/>
      <c r="AF556" s="1609"/>
      <c r="AG556" s="1609"/>
      <c r="AH556" s="1609"/>
      <c r="AI556" s="1609"/>
      <c r="AJ556" s="1609"/>
      <c r="AK556" s="1609"/>
      <c r="AL556" s="1609"/>
      <c r="AM556" s="1609"/>
      <c r="AN556" s="1609"/>
      <c r="AO556" s="1609"/>
      <c r="AP556" s="1609"/>
      <c r="AQ556" s="1609"/>
    </row>
    <row r="557" spans="1:43" s="1716" customFormat="1">
      <c r="U557" s="1609"/>
      <c r="V557" s="1609"/>
      <c r="W557" s="1609"/>
      <c r="X557" s="1609"/>
      <c r="Y557" s="1745"/>
      <c r="Z557" s="1609"/>
      <c r="AA557" s="1745"/>
      <c r="AB557" s="1609"/>
      <c r="AC557" s="1609"/>
      <c r="AD557" s="1609"/>
      <c r="AE557" s="1609"/>
      <c r="AF557" s="1609"/>
      <c r="AG557" s="1609"/>
      <c r="AH557" s="1609"/>
      <c r="AI557" s="1609"/>
      <c r="AJ557" s="1609"/>
      <c r="AK557" s="1609"/>
      <c r="AL557" s="1609"/>
      <c r="AM557" s="1609"/>
      <c r="AN557" s="1609"/>
      <c r="AO557" s="1609"/>
      <c r="AP557" s="1609"/>
    </row>
    <row r="558" spans="1:43" s="1716" customFormat="1">
      <c r="A558" s="2717" t="s">
        <v>2105</v>
      </c>
      <c r="B558" s="2718"/>
      <c r="C558" s="2718"/>
      <c r="D558" s="2718"/>
      <c r="E558" s="2718"/>
      <c r="F558" s="2718"/>
      <c r="G558" s="2736"/>
      <c r="H558" s="2717" t="s">
        <v>1568</v>
      </c>
      <c r="I558" s="2718"/>
      <c r="J558" s="2718"/>
      <c r="K558" s="2718"/>
      <c r="L558" s="2736"/>
      <c r="N558" s="2717" t="s">
        <v>1610</v>
      </c>
      <c r="O558" s="2718"/>
      <c r="P558" s="2718"/>
      <c r="Q558" s="2718"/>
      <c r="R558" s="2736"/>
      <c r="U558" s="1609"/>
      <c r="V558" s="1609"/>
      <c r="W558" s="1609"/>
      <c r="X558" s="1609"/>
      <c r="Y558" s="1609"/>
      <c r="Z558" s="1609"/>
      <c r="AA558" s="1609"/>
      <c r="AB558" s="1609"/>
      <c r="AC558" s="1609"/>
      <c r="AD558" s="1609"/>
      <c r="AE558" s="1609"/>
      <c r="AF558" s="1609"/>
      <c r="AG558" s="1609"/>
      <c r="AH558" s="1609"/>
      <c r="AI558" s="1609"/>
      <c r="AJ558" s="1609"/>
      <c r="AK558" s="1609"/>
      <c r="AL558" s="1609"/>
      <c r="AM558" s="1609"/>
      <c r="AN558" s="1609"/>
      <c r="AO558" s="1609"/>
      <c r="AP558" s="1609"/>
    </row>
    <row r="559" spans="1:43" s="1303" customFormat="1" ht="15">
      <c r="A559" s="1729" t="s">
        <v>1796</v>
      </c>
      <c r="B559" s="1729" t="s">
        <v>2004</v>
      </c>
      <c r="C559" s="1729" t="s">
        <v>1609</v>
      </c>
      <c r="D559" s="1842" t="s">
        <v>2098</v>
      </c>
      <c r="E559" s="1843" t="s">
        <v>2099</v>
      </c>
      <c r="F559" s="1842" t="s">
        <v>1841</v>
      </c>
      <c r="G559" s="1729" t="s">
        <v>2107</v>
      </c>
      <c r="H559" s="1729" t="s">
        <v>2100</v>
      </c>
      <c r="I559" s="1729" t="s">
        <v>2101</v>
      </c>
      <c r="J559" s="1729" t="s">
        <v>2102</v>
      </c>
      <c r="K559" s="1729" t="s">
        <v>2103</v>
      </c>
      <c r="L559" s="1729" t="s">
        <v>2104</v>
      </c>
      <c r="N559" s="1826" t="s">
        <v>1607</v>
      </c>
      <c r="O559" s="1826" t="s">
        <v>1611</v>
      </c>
      <c r="P559" s="1826" t="s">
        <v>1168</v>
      </c>
      <c r="Q559" s="1826" t="s">
        <v>1205</v>
      </c>
      <c r="R559" s="1826" t="s">
        <v>1243</v>
      </c>
      <c r="U559" s="1825"/>
      <c r="V559" s="1825"/>
      <c r="W559" s="1825"/>
      <c r="X559" s="1825"/>
      <c r="Y559" s="1825"/>
      <c r="Z559" s="1825"/>
      <c r="AA559" s="1825"/>
      <c r="AB559" s="1825"/>
      <c r="AC559" s="1825"/>
      <c r="AD559" s="1825"/>
      <c r="AE559" s="1825"/>
      <c r="AF559" s="1825"/>
      <c r="AG559" s="1825"/>
      <c r="AH559" s="1825"/>
      <c r="AI559" s="1825"/>
      <c r="AJ559" s="1825"/>
      <c r="AK559" s="1825"/>
      <c r="AL559" s="1825"/>
      <c r="AM559" s="1825"/>
      <c r="AN559" s="1825"/>
      <c r="AO559" s="1825"/>
      <c r="AP559" s="1825"/>
    </row>
    <row r="560" spans="1:43" s="1303" customFormat="1">
      <c r="A560" s="1826" t="s">
        <v>187</v>
      </c>
      <c r="B560" s="2000">
        <v>28</v>
      </c>
      <c r="C560" s="1875">
        <f t="shared" ref="C560:C575" si="90">C281</f>
        <v>16</v>
      </c>
      <c r="D560" s="1918">
        <f>D281</f>
        <v>0</v>
      </c>
      <c r="E560" s="1918">
        <f>E281</f>
        <v>0</v>
      </c>
      <c r="F560" s="1918">
        <f>F281</f>
        <v>0</v>
      </c>
      <c r="G560" s="1918">
        <f>G281</f>
        <v>0</v>
      </c>
      <c r="H560" s="1826">
        <f t="shared" ref="H560:H575" si="91">B560*C560</f>
        <v>448</v>
      </c>
      <c r="I560" s="1826">
        <f>B560*D560</f>
        <v>0</v>
      </c>
      <c r="J560" s="1826">
        <f t="shared" ref="J560:J575" si="92">B560*E560</f>
        <v>0</v>
      </c>
      <c r="K560" s="1826">
        <f>B560*F560</f>
        <v>0</v>
      </c>
      <c r="L560" s="1826">
        <f t="shared" ref="L560:L575" si="93">B560*G560</f>
        <v>0</v>
      </c>
      <c r="N560" s="1826">
        <f t="shared" ref="N560:N575" si="94">(B560/2)/0.2</f>
        <v>70</v>
      </c>
      <c r="O560" s="1826">
        <f t="shared" ref="O560:O575" si="95">(B560/2)/0.1</f>
        <v>140</v>
      </c>
      <c r="P560" s="1826">
        <f t="shared" ref="P560:P575" si="96">SUM(N560:O560)</f>
        <v>210</v>
      </c>
      <c r="Q560" s="1826">
        <f t="shared" ref="Q560:Q574" si="97">Q281</f>
        <v>1.5999999999999999</v>
      </c>
      <c r="R560" s="1826">
        <f t="shared" ref="R560:R575" si="98">P560*Q560</f>
        <v>336</v>
      </c>
      <c r="U560" s="1825"/>
      <c r="V560" s="1825"/>
      <c r="W560" s="1825"/>
      <c r="X560" s="1825"/>
      <c r="Y560" s="1825"/>
      <c r="Z560" s="1825"/>
      <c r="AA560" s="1825"/>
      <c r="AB560" s="1825"/>
      <c r="AC560" s="1825"/>
      <c r="AD560" s="1825"/>
      <c r="AE560" s="1825"/>
      <c r="AF560" s="1825"/>
      <c r="AG560" s="1825"/>
      <c r="AH560" s="1825"/>
      <c r="AI560" s="1825"/>
      <c r="AJ560" s="1825"/>
      <c r="AK560" s="1825"/>
      <c r="AL560" s="1825"/>
      <c r="AM560" s="1825"/>
      <c r="AN560" s="1825"/>
      <c r="AO560" s="1825"/>
      <c r="AP560" s="1825"/>
    </row>
    <row r="561" spans="1:43" s="1303" customFormat="1">
      <c r="A561" s="1826" t="s">
        <v>173</v>
      </c>
      <c r="B561" s="2000"/>
      <c r="C561" s="1918">
        <f t="shared" si="90"/>
        <v>16</v>
      </c>
      <c r="D561" s="1918">
        <f t="shared" ref="D561:G575" si="99">D282</f>
        <v>0</v>
      </c>
      <c r="E561" s="1918">
        <f t="shared" si="99"/>
        <v>0</v>
      </c>
      <c r="F561" s="1918">
        <f t="shared" si="99"/>
        <v>1</v>
      </c>
      <c r="G561" s="1918">
        <f t="shared" si="99"/>
        <v>0</v>
      </c>
      <c r="H561" s="1826">
        <f>B561*C561</f>
        <v>0</v>
      </c>
      <c r="I561" s="1826">
        <f>B561*D561</f>
        <v>0</v>
      </c>
      <c r="J561" s="1826">
        <f t="shared" si="92"/>
        <v>0</v>
      </c>
      <c r="K561" s="1826">
        <f t="shared" ref="K561:K575" si="100">B561*F561</f>
        <v>0</v>
      </c>
      <c r="L561" s="1826">
        <f t="shared" si="93"/>
        <v>0</v>
      </c>
      <c r="N561" s="1826">
        <f t="shared" si="94"/>
        <v>0</v>
      </c>
      <c r="O561" s="1826">
        <f t="shared" si="95"/>
        <v>0</v>
      </c>
      <c r="P561" s="1826">
        <f t="shared" si="96"/>
        <v>0</v>
      </c>
      <c r="Q561" s="1826">
        <f t="shared" si="97"/>
        <v>1.85</v>
      </c>
      <c r="R561" s="1826">
        <f t="shared" si="98"/>
        <v>0</v>
      </c>
      <c r="U561" s="1825"/>
      <c r="V561" s="1825"/>
      <c r="W561" s="1825"/>
      <c r="X561" s="1825"/>
      <c r="Y561" s="1825"/>
      <c r="Z561" s="1825"/>
      <c r="AA561" s="1825"/>
      <c r="AB561" s="1825"/>
      <c r="AC561" s="1825"/>
      <c r="AD561" s="1825"/>
      <c r="AE561" s="1825"/>
      <c r="AF561" s="1825"/>
      <c r="AG561" s="1825"/>
      <c r="AH561" s="1825"/>
      <c r="AI561" s="1825"/>
      <c r="AJ561" s="1825"/>
      <c r="AK561" s="1825"/>
      <c r="AL561" s="1825"/>
      <c r="AM561" s="1825"/>
      <c r="AN561" s="1825"/>
      <c r="AO561" s="1825"/>
      <c r="AP561" s="1825"/>
    </row>
    <row r="562" spans="1:43" s="1303" customFormat="1">
      <c r="A562" s="1826" t="s">
        <v>172</v>
      </c>
      <c r="B562" s="2000">
        <v>18.47</v>
      </c>
      <c r="C562" s="1918">
        <f t="shared" si="90"/>
        <v>10</v>
      </c>
      <c r="D562" s="1918">
        <f t="shared" si="99"/>
        <v>0</v>
      </c>
      <c r="E562" s="1918">
        <f t="shared" si="99"/>
        <v>0</v>
      </c>
      <c r="F562" s="1918">
        <f t="shared" si="99"/>
        <v>0</v>
      </c>
      <c r="G562" s="1918">
        <f t="shared" si="99"/>
        <v>0</v>
      </c>
      <c r="H562" s="1826">
        <f>B562*C562</f>
        <v>184.7</v>
      </c>
      <c r="I562" s="1826">
        <f>B562*D562</f>
        <v>0</v>
      </c>
      <c r="J562" s="1826">
        <f t="shared" si="92"/>
        <v>0</v>
      </c>
      <c r="K562" s="1826">
        <f t="shared" si="100"/>
        <v>0</v>
      </c>
      <c r="L562" s="1826">
        <f t="shared" si="93"/>
        <v>0</v>
      </c>
      <c r="N562" s="1826">
        <f t="shared" si="94"/>
        <v>46.174999999999997</v>
      </c>
      <c r="O562" s="1826">
        <f t="shared" si="95"/>
        <v>92.35</v>
      </c>
      <c r="P562" s="1826">
        <f t="shared" si="96"/>
        <v>138.52499999999998</v>
      </c>
      <c r="Q562" s="1826">
        <f t="shared" si="97"/>
        <v>1.2999999999999998</v>
      </c>
      <c r="R562" s="1826">
        <f t="shared" si="98"/>
        <v>180.08249999999995</v>
      </c>
      <c r="U562" s="1825"/>
      <c r="V562" s="1825"/>
      <c r="W562" s="1825"/>
      <c r="X562" s="1825"/>
      <c r="Y562" s="1825"/>
      <c r="Z562" s="1825"/>
      <c r="AA562" s="1825"/>
      <c r="AB562" s="1825"/>
      <c r="AC562" s="1825"/>
      <c r="AD562" s="1825"/>
      <c r="AE562" s="1825"/>
      <c r="AF562" s="1825"/>
      <c r="AG562" s="1825"/>
      <c r="AH562" s="1825"/>
      <c r="AI562" s="1825"/>
      <c r="AJ562" s="1825"/>
      <c r="AK562" s="1825"/>
      <c r="AL562" s="1825"/>
      <c r="AM562" s="1825"/>
      <c r="AN562" s="1825"/>
      <c r="AO562" s="1825"/>
      <c r="AP562" s="1825"/>
    </row>
    <row r="563" spans="1:43" s="1303" customFormat="1">
      <c r="A563" s="1826" t="s">
        <v>174</v>
      </c>
      <c r="B563" s="2000">
        <v>88.04</v>
      </c>
      <c r="C563" s="1918">
        <f t="shared" si="90"/>
        <v>10</v>
      </c>
      <c r="D563" s="1918">
        <f t="shared" si="99"/>
        <v>0</v>
      </c>
      <c r="E563" s="1918">
        <f t="shared" si="99"/>
        <v>0</v>
      </c>
      <c r="F563" s="1918">
        <f t="shared" si="99"/>
        <v>0</v>
      </c>
      <c r="G563" s="1918">
        <f t="shared" si="99"/>
        <v>0</v>
      </c>
      <c r="H563" s="1826">
        <f t="shared" si="91"/>
        <v>880.40000000000009</v>
      </c>
      <c r="I563" s="1826">
        <f>B563*E563</f>
        <v>0</v>
      </c>
      <c r="J563" s="1826">
        <f t="shared" si="92"/>
        <v>0</v>
      </c>
      <c r="K563" s="1826">
        <f t="shared" si="100"/>
        <v>0</v>
      </c>
      <c r="L563" s="1826">
        <f t="shared" si="93"/>
        <v>0</v>
      </c>
      <c r="N563" s="1826">
        <f t="shared" si="94"/>
        <v>220.1</v>
      </c>
      <c r="O563" s="1826">
        <f t="shared" si="95"/>
        <v>440.2</v>
      </c>
      <c r="P563" s="1826">
        <f t="shared" si="96"/>
        <v>660.3</v>
      </c>
      <c r="Q563" s="1826">
        <f t="shared" si="97"/>
        <v>1</v>
      </c>
      <c r="R563" s="1826">
        <f t="shared" si="98"/>
        <v>660.3</v>
      </c>
      <c r="U563" s="1825"/>
      <c r="V563" s="1825"/>
      <c r="W563" s="1825"/>
      <c r="X563" s="1825"/>
      <c r="Y563" s="1825"/>
      <c r="Z563" s="1825"/>
      <c r="AA563" s="1825"/>
      <c r="AB563" s="1825"/>
      <c r="AC563" s="1825"/>
      <c r="AD563" s="1825"/>
      <c r="AE563" s="1825"/>
      <c r="AF563" s="1825"/>
      <c r="AG563" s="1825"/>
      <c r="AH563" s="1825"/>
      <c r="AI563" s="1825"/>
      <c r="AJ563" s="1825"/>
      <c r="AK563" s="1825"/>
      <c r="AL563" s="1825"/>
      <c r="AM563" s="1825"/>
      <c r="AN563" s="1825"/>
      <c r="AO563" s="1825"/>
      <c r="AP563" s="1825"/>
    </row>
    <row r="564" spans="1:43" s="1303" customFormat="1">
      <c r="A564" s="1826" t="s">
        <v>188</v>
      </c>
      <c r="B564" s="2000">
        <v>59.55</v>
      </c>
      <c r="C564" s="1918">
        <f t="shared" si="90"/>
        <v>8</v>
      </c>
      <c r="D564" s="1918">
        <f t="shared" si="99"/>
        <v>0</v>
      </c>
      <c r="E564" s="1918">
        <f t="shared" si="99"/>
        <v>0</v>
      </c>
      <c r="F564" s="1918">
        <f t="shared" si="99"/>
        <v>0</v>
      </c>
      <c r="G564" s="1918">
        <f t="shared" si="99"/>
        <v>0</v>
      </c>
      <c r="H564" s="1826">
        <f t="shared" si="91"/>
        <v>476.4</v>
      </c>
      <c r="I564" s="1826">
        <f>B564*E564</f>
        <v>0</v>
      </c>
      <c r="J564" s="1826">
        <f t="shared" si="92"/>
        <v>0</v>
      </c>
      <c r="K564" s="1826">
        <f t="shared" si="100"/>
        <v>0</v>
      </c>
      <c r="L564" s="1826">
        <f t="shared" si="93"/>
        <v>0</v>
      </c>
      <c r="N564" s="1826">
        <f t="shared" si="94"/>
        <v>148.87499999999997</v>
      </c>
      <c r="O564" s="1826">
        <f t="shared" si="95"/>
        <v>297.74999999999994</v>
      </c>
      <c r="P564" s="1826">
        <f t="shared" si="96"/>
        <v>446.62499999999989</v>
      </c>
      <c r="Q564" s="1826">
        <f t="shared" si="97"/>
        <v>0.9</v>
      </c>
      <c r="R564" s="1826">
        <f t="shared" si="98"/>
        <v>401.96249999999992</v>
      </c>
      <c r="U564" s="1825"/>
      <c r="V564" s="1825"/>
      <c r="W564" s="1825"/>
      <c r="X564" s="1825"/>
      <c r="Y564" s="1825"/>
      <c r="Z564" s="1825"/>
      <c r="AA564" s="1825"/>
      <c r="AB564" s="1825"/>
      <c r="AC564" s="1825"/>
      <c r="AD564" s="1825"/>
      <c r="AE564" s="1825"/>
      <c r="AF564" s="1825"/>
      <c r="AG564" s="1825"/>
      <c r="AH564" s="1825"/>
      <c r="AI564" s="1825"/>
      <c r="AJ564" s="1825"/>
      <c r="AK564" s="1825"/>
      <c r="AL564" s="1825"/>
      <c r="AM564" s="1825"/>
      <c r="AN564" s="1825"/>
      <c r="AO564" s="1825"/>
      <c r="AP564" s="1825"/>
    </row>
    <row r="565" spans="1:43" s="1303" customFormat="1">
      <c r="A565" s="1826" t="s">
        <v>1998</v>
      </c>
      <c r="B565" s="2000"/>
      <c r="C565" s="1918">
        <f t="shared" si="90"/>
        <v>10</v>
      </c>
      <c r="D565" s="1918">
        <f t="shared" si="99"/>
        <v>0</v>
      </c>
      <c r="E565" s="1918">
        <f t="shared" si="99"/>
        <v>0</v>
      </c>
      <c r="F565" s="1918">
        <f t="shared" si="99"/>
        <v>3</v>
      </c>
      <c r="G565" s="1918">
        <f t="shared" si="99"/>
        <v>0</v>
      </c>
      <c r="H565" s="1826">
        <f t="shared" si="91"/>
        <v>0</v>
      </c>
      <c r="I565" s="1826">
        <f t="shared" ref="I565:I575" si="101">B565*D565</f>
        <v>0</v>
      </c>
      <c r="J565" s="1826">
        <f t="shared" si="92"/>
        <v>0</v>
      </c>
      <c r="K565" s="1826">
        <f t="shared" si="100"/>
        <v>0</v>
      </c>
      <c r="L565" s="1826">
        <f t="shared" si="93"/>
        <v>0</v>
      </c>
      <c r="N565" s="1826">
        <f t="shared" si="94"/>
        <v>0</v>
      </c>
      <c r="O565" s="1826">
        <f t="shared" si="95"/>
        <v>0</v>
      </c>
      <c r="P565" s="1826">
        <f t="shared" si="96"/>
        <v>0</v>
      </c>
      <c r="Q565" s="1826">
        <f t="shared" si="97"/>
        <v>1.4500000000000002</v>
      </c>
      <c r="R565" s="1826">
        <f t="shared" si="98"/>
        <v>0</v>
      </c>
      <c r="U565" s="1825"/>
      <c r="V565" s="1825"/>
      <c r="W565" s="1825"/>
      <c r="X565" s="1825"/>
      <c r="Y565" s="1825"/>
      <c r="Z565" s="1825"/>
      <c r="AA565" s="1825"/>
      <c r="AB565" s="1825"/>
      <c r="AC565" s="1825"/>
      <c r="AD565" s="1825"/>
      <c r="AE565" s="1825"/>
      <c r="AF565" s="1825"/>
      <c r="AG565" s="1825"/>
      <c r="AH565" s="1825"/>
      <c r="AI565" s="1825"/>
      <c r="AJ565" s="1825"/>
      <c r="AK565" s="1825"/>
      <c r="AL565" s="1825"/>
      <c r="AM565" s="1825"/>
      <c r="AN565" s="1825"/>
      <c r="AO565" s="1825"/>
      <c r="AP565" s="1825"/>
    </row>
    <row r="566" spans="1:43" s="1303" customFormat="1">
      <c r="A566" s="1826" t="s">
        <v>1999</v>
      </c>
      <c r="B566" s="1826"/>
      <c r="C566" s="1918">
        <f t="shared" si="90"/>
        <v>10</v>
      </c>
      <c r="D566" s="1918">
        <f t="shared" si="99"/>
        <v>0</v>
      </c>
      <c r="E566" s="1918">
        <f t="shared" si="99"/>
        <v>0</v>
      </c>
      <c r="F566" s="1918">
        <f t="shared" si="99"/>
        <v>2</v>
      </c>
      <c r="G566" s="1918">
        <f t="shared" si="99"/>
        <v>0</v>
      </c>
      <c r="H566" s="1826">
        <f t="shared" si="91"/>
        <v>0</v>
      </c>
      <c r="I566" s="1826">
        <f t="shared" si="101"/>
        <v>0</v>
      </c>
      <c r="J566" s="1826">
        <f t="shared" si="92"/>
        <v>0</v>
      </c>
      <c r="K566" s="1826">
        <f t="shared" si="100"/>
        <v>0</v>
      </c>
      <c r="L566" s="1826">
        <f t="shared" si="93"/>
        <v>0</v>
      </c>
      <c r="N566" s="1826">
        <f t="shared" si="94"/>
        <v>0</v>
      </c>
      <c r="O566" s="1826">
        <f t="shared" si="95"/>
        <v>0</v>
      </c>
      <c r="P566" s="1826">
        <f t="shared" si="96"/>
        <v>0</v>
      </c>
      <c r="Q566" s="1826">
        <f t="shared" si="97"/>
        <v>1.65</v>
      </c>
      <c r="R566" s="1826">
        <f t="shared" si="98"/>
        <v>0</v>
      </c>
      <c r="U566" s="1825"/>
      <c r="V566" s="1825"/>
      <c r="W566" s="1825"/>
      <c r="X566" s="1825"/>
      <c r="Y566" s="1825"/>
      <c r="Z566" s="1825"/>
      <c r="AA566" s="1825"/>
      <c r="AB566" s="1825"/>
      <c r="AC566" s="1825"/>
      <c r="AD566" s="1825"/>
      <c r="AE566" s="1825"/>
      <c r="AF566" s="1825"/>
      <c r="AG566" s="1825"/>
      <c r="AH566" s="1825"/>
      <c r="AI566" s="1825"/>
      <c r="AJ566" s="1825"/>
      <c r="AK566" s="1825"/>
      <c r="AL566" s="1825"/>
      <c r="AM566" s="1825"/>
      <c r="AN566" s="1825"/>
      <c r="AO566" s="1825"/>
      <c r="AP566" s="1825"/>
    </row>
    <row r="567" spans="1:43" s="1303" customFormat="1">
      <c r="A567" s="1826" t="s">
        <v>2000</v>
      </c>
      <c r="B567" s="1826">
        <v>41.4</v>
      </c>
      <c r="C567" s="1918">
        <f t="shared" si="90"/>
        <v>6</v>
      </c>
      <c r="D567" s="1918">
        <f t="shared" si="99"/>
        <v>0</v>
      </c>
      <c r="E567" s="1918">
        <f t="shared" si="99"/>
        <v>0</v>
      </c>
      <c r="F567" s="1918">
        <f t="shared" si="99"/>
        <v>0</v>
      </c>
      <c r="G567" s="1918">
        <f t="shared" si="99"/>
        <v>0</v>
      </c>
      <c r="H567" s="1826">
        <f t="shared" si="91"/>
        <v>248.39999999999998</v>
      </c>
      <c r="I567" s="1826">
        <f t="shared" si="101"/>
        <v>0</v>
      </c>
      <c r="J567" s="1826">
        <f t="shared" si="92"/>
        <v>0</v>
      </c>
      <c r="K567" s="1826">
        <f t="shared" si="100"/>
        <v>0</v>
      </c>
      <c r="L567" s="1826">
        <f t="shared" si="93"/>
        <v>0</v>
      </c>
      <c r="N567" s="1826">
        <f t="shared" si="94"/>
        <v>103.49999999999999</v>
      </c>
      <c r="O567" s="1826">
        <f t="shared" si="95"/>
        <v>206.99999999999997</v>
      </c>
      <c r="P567" s="1826">
        <f t="shared" si="96"/>
        <v>310.49999999999994</v>
      </c>
      <c r="Q567" s="1826">
        <f t="shared" si="97"/>
        <v>0.7</v>
      </c>
      <c r="R567" s="1826">
        <f t="shared" si="98"/>
        <v>217.34999999999994</v>
      </c>
      <c r="U567" s="1825"/>
      <c r="V567" s="1825"/>
      <c r="W567" s="1825"/>
      <c r="X567" s="1825"/>
      <c r="Y567" s="1825"/>
      <c r="Z567" s="1825"/>
      <c r="AA567" s="1825"/>
      <c r="AB567" s="1825"/>
      <c r="AC567" s="1825"/>
      <c r="AD567" s="1825"/>
      <c r="AE567" s="1825"/>
      <c r="AF567" s="1825"/>
      <c r="AG567" s="1825"/>
      <c r="AH567" s="1825"/>
      <c r="AI567" s="1825"/>
      <c r="AJ567" s="1825"/>
      <c r="AK567" s="1825"/>
      <c r="AL567" s="1825"/>
      <c r="AM567" s="1825"/>
      <c r="AN567" s="1825"/>
      <c r="AO567" s="1825"/>
      <c r="AP567" s="1825"/>
    </row>
    <row r="568" spans="1:43" s="1303" customFormat="1">
      <c r="A568" s="1826" t="s">
        <v>2001</v>
      </c>
      <c r="B568" s="1826">
        <f>0.385+62.97</f>
        <v>63.354999999999997</v>
      </c>
      <c r="C568" s="1918">
        <f t="shared" si="90"/>
        <v>8</v>
      </c>
      <c r="D568" s="1918">
        <f t="shared" si="99"/>
        <v>0</v>
      </c>
      <c r="E568" s="1918">
        <f t="shared" si="99"/>
        <v>0</v>
      </c>
      <c r="F568" s="1918">
        <f t="shared" si="99"/>
        <v>2</v>
      </c>
      <c r="G568" s="1918">
        <f t="shared" si="99"/>
        <v>0</v>
      </c>
      <c r="H568" s="1826">
        <f t="shared" si="91"/>
        <v>506.84</v>
      </c>
      <c r="I568" s="1826">
        <f t="shared" si="101"/>
        <v>0</v>
      </c>
      <c r="J568" s="1826">
        <f t="shared" si="92"/>
        <v>0</v>
      </c>
      <c r="K568" s="1826">
        <f>B568*F568</f>
        <v>126.71</v>
      </c>
      <c r="L568" s="1826">
        <f t="shared" si="93"/>
        <v>0</v>
      </c>
      <c r="N568" s="1826">
        <f t="shared" si="94"/>
        <v>158.38749999999999</v>
      </c>
      <c r="O568" s="1826">
        <f t="shared" si="95"/>
        <v>316.77499999999998</v>
      </c>
      <c r="P568" s="1826">
        <f t="shared" si="96"/>
        <v>475.16249999999997</v>
      </c>
      <c r="Q568" s="1826">
        <f t="shared" si="97"/>
        <v>1.35</v>
      </c>
      <c r="R568" s="1826">
        <f t="shared" si="98"/>
        <v>641.46937500000001</v>
      </c>
      <c r="U568" s="1825"/>
      <c r="V568" s="1825"/>
      <c r="W568" s="1825"/>
      <c r="X568" s="1825"/>
      <c r="Y568" s="1825"/>
      <c r="Z568" s="1825"/>
      <c r="AA568" s="1825"/>
      <c r="AB568" s="1825"/>
      <c r="AC568" s="1825"/>
      <c r="AD568" s="1825"/>
      <c r="AE568" s="1825"/>
      <c r="AF568" s="1825"/>
      <c r="AG568" s="1825"/>
      <c r="AH568" s="1825"/>
      <c r="AI568" s="1825"/>
      <c r="AJ568" s="1825"/>
      <c r="AK568" s="1825"/>
      <c r="AL568" s="1825"/>
      <c r="AM568" s="1825"/>
      <c r="AN568" s="1825"/>
      <c r="AO568" s="1825"/>
      <c r="AP568" s="1825"/>
    </row>
    <row r="569" spans="1:43" s="1303" customFormat="1">
      <c r="A569" s="1826" t="s">
        <v>2002</v>
      </c>
      <c r="B569" s="1826"/>
      <c r="C569" s="1918">
        <f t="shared" si="90"/>
        <v>8</v>
      </c>
      <c r="D569" s="1918">
        <f t="shared" si="99"/>
        <v>0</v>
      </c>
      <c r="E569" s="1918">
        <f t="shared" si="99"/>
        <v>0</v>
      </c>
      <c r="F569" s="1918">
        <f t="shared" si="99"/>
        <v>3</v>
      </c>
      <c r="G569" s="1918">
        <f t="shared" si="99"/>
        <v>0</v>
      </c>
      <c r="H569" s="1826">
        <f t="shared" si="91"/>
        <v>0</v>
      </c>
      <c r="I569" s="1826">
        <f t="shared" si="101"/>
        <v>0</v>
      </c>
      <c r="J569" s="1826">
        <f t="shared" si="92"/>
        <v>0</v>
      </c>
      <c r="K569" s="1826">
        <f t="shared" si="100"/>
        <v>0</v>
      </c>
      <c r="L569" s="1826">
        <f t="shared" si="93"/>
        <v>0</v>
      </c>
      <c r="N569" s="1826">
        <f t="shared" si="94"/>
        <v>0</v>
      </c>
      <c r="O569" s="1826">
        <f t="shared" si="95"/>
        <v>0</v>
      </c>
      <c r="P569" s="1826">
        <f t="shared" si="96"/>
        <v>0</v>
      </c>
      <c r="Q569" s="1826">
        <f t="shared" si="97"/>
        <v>1.41</v>
      </c>
      <c r="R569" s="1826">
        <f t="shared" si="98"/>
        <v>0</v>
      </c>
      <c r="U569" s="1825"/>
      <c r="V569" s="1825"/>
      <c r="W569" s="1825"/>
      <c r="X569" s="1825"/>
      <c r="Y569" s="1825"/>
      <c r="Z569" s="1825"/>
      <c r="AA569" s="1825"/>
      <c r="AB569" s="1825"/>
      <c r="AC569" s="1825"/>
      <c r="AD569" s="1825"/>
      <c r="AE569" s="1825"/>
      <c r="AF569" s="1825"/>
      <c r="AG569" s="1825"/>
      <c r="AH569" s="1825"/>
      <c r="AI569" s="1825"/>
      <c r="AJ569" s="1825"/>
      <c r="AK569" s="1825"/>
      <c r="AL569" s="1825"/>
      <c r="AM569" s="1825"/>
      <c r="AN569" s="1825"/>
      <c r="AO569" s="1825"/>
      <c r="AP569" s="1825"/>
    </row>
    <row r="570" spans="1:43" s="1303" customFormat="1" ht="15" customHeight="1">
      <c r="A570" s="1826" t="s">
        <v>2003</v>
      </c>
      <c r="B570" s="1826"/>
      <c r="C570" s="1918">
        <f t="shared" si="90"/>
        <v>10</v>
      </c>
      <c r="D570" s="1918">
        <f t="shared" si="99"/>
        <v>0</v>
      </c>
      <c r="E570" s="1918">
        <f t="shared" si="99"/>
        <v>0</v>
      </c>
      <c r="F570" s="1918">
        <f t="shared" si="99"/>
        <v>3</v>
      </c>
      <c r="G570" s="1918">
        <f t="shared" si="99"/>
        <v>0</v>
      </c>
      <c r="H570" s="1826">
        <f t="shared" si="91"/>
        <v>0</v>
      </c>
      <c r="I570" s="1826">
        <f t="shared" si="101"/>
        <v>0</v>
      </c>
      <c r="J570" s="1826">
        <f t="shared" si="92"/>
        <v>0</v>
      </c>
      <c r="K570" s="1826">
        <f t="shared" si="100"/>
        <v>0</v>
      </c>
      <c r="L570" s="1826">
        <f t="shared" si="93"/>
        <v>0</v>
      </c>
      <c r="N570" s="1826">
        <f t="shared" si="94"/>
        <v>0</v>
      </c>
      <c r="O570" s="1826">
        <f t="shared" si="95"/>
        <v>0</v>
      </c>
      <c r="P570" s="1826">
        <f t="shared" si="96"/>
        <v>0</v>
      </c>
      <c r="Q570" s="1826">
        <f t="shared" si="97"/>
        <v>1.3499999999999999</v>
      </c>
      <c r="R570" s="1826">
        <f t="shared" si="98"/>
        <v>0</v>
      </c>
      <c r="U570" s="1825"/>
      <c r="V570" s="1825"/>
      <c r="W570" s="1825"/>
      <c r="X570" s="1825"/>
      <c r="Y570" s="1825"/>
      <c r="Z570" s="1825"/>
      <c r="AA570" s="1825"/>
      <c r="AB570" s="1825"/>
      <c r="AC570" s="1825"/>
      <c r="AD570" s="1825"/>
      <c r="AE570" s="1825"/>
      <c r="AF570" s="1825"/>
      <c r="AG570" s="1825"/>
      <c r="AH570" s="1825"/>
      <c r="AI570" s="1825"/>
      <c r="AJ570" s="1825"/>
      <c r="AK570" s="1825"/>
      <c r="AL570" s="1825"/>
      <c r="AM570" s="1825"/>
      <c r="AN570" s="1825"/>
      <c r="AO570" s="1825"/>
    </row>
    <row r="571" spans="1:43" s="1303" customFormat="1" ht="15" customHeight="1">
      <c r="A571" s="1826" t="s">
        <v>2251</v>
      </c>
      <c r="B571" s="1826"/>
      <c r="C571" s="1918">
        <f t="shared" si="90"/>
        <v>0</v>
      </c>
      <c r="D571" s="1918">
        <f t="shared" si="99"/>
        <v>0</v>
      </c>
      <c r="E571" s="1918">
        <f t="shared" si="99"/>
        <v>0</v>
      </c>
      <c r="F571" s="1918">
        <f t="shared" si="99"/>
        <v>0</v>
      </c>
      <c r="G571" s="1918">
        <f t="shared" si="99"/>
        <v>0</v>
      </c>
      <c r="H571" s="1826">
        <f>B571*C571</f>
        <v>0</v>
      </c>
      <c r="I571" s="1826">
        <f>B571*D571</f>
        <v>0</v>
      </c>
      <c r="J571" s="1826">
        <f>B571*E571</f>
        <v>0</v>
      </c>
      <c r="K571" s="1826">
        <f t="shared" si="100"/>
        <v>0</v>
      </c>
      <c r="L571" s="1826">
        <f>B571*G571</f>
        <v>0</v>
      </c>
      <c r="N571" s="1826">
        <f>(B571/2)/0.2</f>
        <v>0</v>
      </c>
      <c r="O571" s="1826">
        <f>(B571/2)/0.1</f>
        <v>0</v>
      </c>
      <c r="P571" s="1826">
        <f>SUM(N571:O571)</f>
        <v>0</v>
      </c>
      <c r="Q571" s="1826">
        <f t="shared" si="97"/>
        <v>-0.2</v>
      </c>
      <c r="R571" s="1826">
        <f>P571*Q571</f>
        <v>0</v>
      </c>
      <c r="U571" s="1919"/>
      <c r="V571" s="1919"/>
      <c r="W571" s="1919"/>
      <c r="X571" s="1919"/>
      <c r="Y571" s="1919"/>
      <c r="Z571" s="1919"/>
      <c r="AA571" s="1919"/>
      <c r="AB571" s="1919"/>
      <c r="AC571" s="1919"/>
      <c r="AD571" s="1919"/>
      <c r="AE571" s="1919"/>
      <c r="AF571" s="1919"/>
      <c r="AG571" s="1919"/>
      <c r="AH571" s="1919"/>
      <c r="AI571" s="1919"/>
      <c r="AJ571" s="1919"/>
      <c r="AK571" s="1919"/>
      <c r="AL571" s="1919"/>
      <c r="AM571" s="1919"/>
      <c r="AN571" s="1919"/>
      <c r="AO571" s="1919"/>
    </row>
    <row r="572" spans="1:43" s="1303" customFormat="1">
      <c r="A572" s="1826" t="s">
        <v>2273</v>
      </c>
      <c r="B572" s="1826"/>
      <c r="C572" s="1945">
        <f t="shared" si="90"/>
        <v>0</v>
      </c>
      <c r="D572" s="1945">
        <f t="shared" si="99"/>
        <v>0</v>
      </c>
      <c r="E572" s="1945">
        <f t="shared" si="99"/>
        <v>0</v>
      </c>
      <c r="F572" s="1945">
        <f t="shared" si="99"/>
        <v>0</v>
      </c>
      <c r="G572" s="1945">
        <f t="shared" si="99"/>
        <v>0</v>
      </c>
      <c r="H572" s="1826">
        <f>B572*C572</f>
        <v>0</v>
      </c>
      <c r="I572" s="1826">
        <f>B572*D572</f>
        <v>0</v>
      </c>
      <c r="J572" s="1826">
        <f>B572*E572</f>
        <v>0</v>
      </c>
      <c r="K572" s="1826">
        <f t="shared" si="100"/>
        <v>0</v>
      </c>
      <c r="L572" s="1826">
        <f>B572*G572</f>
        <v>0</v>
      </c>
      <c r="N572" s="1826">
        <f>(B572/2)/0.2</f>
        <v>0</v>
      </c>
      <c r="O572" s="1826">
        <f>(B572/2)/0.1</f>
        <v>0</v>
      </c>
      <c r="P572" s="1826">
        <f>SUM(N572:O572)</f>
        <v>0</v>
      </c>
      <c r="Q572" s="1826">
        <f t="shared" si="97"/>
        <v>-0.2</v>
      </c>
      <c r="R572" s="1826">
        <f>P572*Q572</f>
        <v>0</v>
      </c>
      <c r="U572" s="1944"/>
      <c r="V572" s="1944"/>
      <c r="W572" s="1944"/>
      <c r="X572" s="1944"/>
      <c r="Y572" s="1944"/>
      <c r="Z572" s="1944"/>
      <c r="AA572" s="1944"/>
      <c r="AB572" s="1944"/>
      <c r="AC572" s="1944"/>
      <c r="AD572" s="1944"/>
      <c r="AE572" s="1944"/>
      <c r="AF572" s="1944"/>
      <c r="AG572" s="1944"/>
      <c r="AH572" s="1944"/>
      <c r="AI572" s="1944"/>
      <c r="AJ572" s="1944"/>
      <c r="AK572" s="1944"/>
      <c r="AL572" s="1944"/>
      <c r="AM572" s="1944"/>
      <c r="AN572" s="1944"/>
      <c r="AO572" s="1944"/>
      <c r="AP572" s="1944"/>
    </row>
    <row r="573" spans="1:43" s="1303" customFormat="1" ht="15" customHeight="1">
      <c r="A573" s="1826" t="s">
        <v>2274</v>
      </c>
      <c r="B573" s="1826"/>
      <c r="C573" s="1945">
        <f t="shared" si="90"/>
        <v>0</v>
      </c>
      <c r="D573" s="1945">
        <f t="shared" si="99"/>
        <v>0</v>
      </c>
      <c r="E573" s="1945">
        <f t="shared" si="99"/>
        <v>0</v>
      </c>
      <c r="F573" s="1945">
        <f t="shared" si="99"/>
        <v>0</v>
      </c>
      <c r="G573" s="1945">
        <f t="shared" si="99"/>
        <v>0</v>
      </c>
      <c r="H573" s="1826">
        <f>B573*C573</f>
        <v>0</v>
      </c>
      <c r="I573" s="1826">
        <f>B573*D573</f>
        <v>0</v>
      </c>
      <c r="J573" s="1826">
        <f>B573*E573</f>
        <v>0</v>
      </c>
      <c r="K573" s="1826">
        <f t="shared" si="100"/>
        <v>0</v>
      </c>
      <c r="L573" s="1826">
        <f>B573*G573</f>
        <v>0</v>
      </c>
      <c r="N573" s="1826">
        <f>(B573/2)/0.2</f>
        <v>0</v>
      </c>
      <c r="O573" s="1826">
        <f>(B573/2)/0.1</f>
        <v>0</v>
      </c>
      <c r="P573" s="1826">
        <f>SUM(N573:O573)</f>
        <v>0</v>
      </c>
      <c r="Q573" s="1826">
        <f t="shared" si="97"/>
        <v>-0.2</v>
      </c>
      <c r="R573" s="1826">
        <f>P573*Q573</f>
        <v>0</v>
      </c>
      <c r="U573" s="1944"/>
      <c r="V573" s="1944"/>
      <c r="W573" s="1944"/>
      <c r="X573" s="1944"/>
      <c r="Y573" s="1944"/>
      <c r="Z573" s="1944"/>
      <c r="AA573" s="1944"/>
      <c r="AB573" s="1944"/>
      <c r="AC573" s="1944"/>
      <c r="AD573" s="1944"/>
      <c r="AE573" s="1944"/>
      <c r="AF573" s="1944"/>
      <c r="AG573" s="1944"/>
      <c r="AH573" s="1944"/>
      <c r="AI573" s="1944"/>
      <c r="AJ573" s="1944"/>
      <c r="AK573" s="1944"/>
      <c r="AL573" s="1944"/>
      <c r="AM573" s="1944"/>
      <c r="AN573" s="1944"/>
      <c r="AO573" s="1944"/>
    </row>
    <row r="574" spans="1:43" s="1303" customFormat="1" ht="15" customHeight="1">
      <c r="A574" s="1826" t="s">
        <v>2275</v>
      </c>
      <c r="B574" s="1826"/>
      <c r="C574" s="1945">
        <f t="shared" si="90"/>
        <v>0</v>
      </c>
      <c r="D574" s="1945">
        <f t="shared" si="99"/>
        <v>0</v>
      </c>
      <c r="E574" s="1945">
        <f t="shared" si="99"/>
        <v>0</v>
      </c>
      <c r="F574" s="1945">
        <f t="shared" si="99"/>
        <v>0</v>
      </c>
      <c r="G574" s="1945">
        <f t="shared" si="99"/>
        <v>0</v>
      </c>
      <c r="H574" s="1826">
        <f>B574*C574</f>
        <v>0</v>
      </c>
      <c r="I574" s="1826">
        <f>B574*D574</f>
        <v>0</v>
      </c>
      <c r="J574" s="1826">
        <f>B574*E574</f>
        <v>0</v>
      </c>
      <c r="K574" s="1826">
        <f t="shared" si="100"/>
        <v>0</v>
      </c>
      <c r="L574" s="1826">
        <f>B574*G574</f>
        <v>0</v>
      </c>
      <c r="N574" s="1826">
        <f>(B574/2)/0.2</f>
        <v>0</v>
      </c>
      <c r="O574" s="1826">
        <f>(B574/2)/0.1</f>
        <v>0</v>
      </c>
      <c r="P574" s="1826">
        <f>SUM(N574:O574)</f>
        <v>0</v>
      </c>
      <c r="Q574" s="1826">
        <f t="shared" si="97"/>
        <v>-0.15000000000000002</v>
      </c>
      <c r="R574" s="1826">
        <f>P574*Q574</f>
        <v>0</v>
      </c>
      <c r="U574" s="1944"/>
      <c r="V574" s="1944"/>
      <c r="W574" s="1944"/>
      <c r="X574" s="1944"/>
      <c r="Y574" s="1944"/>
      <c r="Z574" s="1944"/>
      <c r="AA574" s="1944"/>
      <c r="AB574" s="1944"/>
      <c r="AC574" s="1944"/>
      <c r="AD574" s="1944"/>
      <c r="AE574" s="1944"/>
      <c r="AF574" s="1944"/>
      <c r="AG574" s="1944"/>
      <c r="AH574" s="1944"/>
      <c r="AI574" s="1944"/>
      <c r="AJ574" s="1944"/>
      <c r="AK574" s="1944"/>
      <c r="AL574" s="1944"/>
      <c r="AM574" s="1944"/>
      <c r="AN574" s="1944"/>
      <c r="AO574" s="1944"/>
    </row>
    <row r="575" spans="1:43" s="1303" customFormat="1">
      <c r="A575" s="1826" t="s">
        <v>175</v>
      </c>
      <c r="B575" s="1826">
        <v>52.2</v>
      </c>
      <c r="C575" s="1918">
        <f t="shared" si="90"/>
        <v>0</v>
      </c>
      <c r="D575" s="1918">
        <f t="shared" si="99"/>
        <v>0</v>
      </c>
      <c r="E575" s="1918">
        <f t="shared" si="99"/>
        <v>0</v>
      </c>
      <c r="F575" s="1918">
        <f t="shared" si="99"/>
        <v>0</v>
      </c>
      <c r="G575" s="1918">
        <f t="shared" si="99"/>
        <v>4</v>
      </c>
      <c r="H575" s="1826">
        <f t="shared" si="91"/>
        <v>0</v>
      </c>
      <c r="I575" s="1826">
        <f t="shared" si="101"/>
        <v>0</v>
      </c>
      <c r="J575" s="1826">
        <f t="shared" si="92"/>
        <v>0</v>
      </c>
      <c r="K575" s="1826">
        <f t="shared" si="100"/>
        <v>0</v>
      </c>
      <c r="L575" s="1826">
        <f t="shared" si="93"/>
        <v>208.8</v>
      </c>
      <c r="N575" s="1826">
        <f t="shared" si="94"/>
        <v>130.5</v>
      </c>
      <c r="O575" s="1826">
        <f t="shared" si="95"/>
        <v>261</v>
      </c>
      <c r="P575" s="1826">
        <f t="shared" si="96"/>
        <v>391.5</v>
      </c>
      <c r="Q575" s="1826">
        <f>Q296</f>
        <v>0.44000000000000006</v>
      </c>
      <c r="R575" s="1826">
        <f t="shared" si="98"/>
        <v>172.26000000000002</v>
      </c>
      <c r="T575" s="1825"/>
      <c r="U575" s="2716"/>
      <c r="V575" s="2716"/>
      <c r="W575" s="2716"/>
      <c r="X575" s="2716"/>
      <c r="Y575" s="1825"/>
      <c r="Z575" s="1825"/>
      <c r="AA575" s="1825"/>
      <c r="AB575" s="1825"/>
      <c r="AC575" s="1825"/>
      <c r="AD575" s="1825"/>
      <c r="AE575" s="1825"/>
      <c r="AF575" s="1825"/>
      <c r="AG575" s="1825"/>
      <c r="AH575" s="1825"/>
      <c r="AI575" s="1825"/>
      <c r="AJ575" s="1825"/>
      <c r="AK575" s="1825"/>
      <c r="AL575" s="1825"/>
      <c r="AM575" s="1825"/>
      <c r="AN575" s="1825"/>
      <c r="AO575" s="1825"/>
    </row>
    <row r="576" spans="1:43" s="1716" customFormat="1" ht="15">
      <c r="A576" s="1598"/>
      <c r="B576" s="1598"/>
      <c r="C576" s="1598"/>
      <c r="D576" s="1598"/>
      <c r="E576" s="1598"/>
      <c r="F576" s="2725" t="s">
        <v>2074</v>
      </c>
      <c r="G576" s="2726"/>
      <c r="H576" s="1596">
        <f>SUM(H560:H575)</f>
        <v>2744.7400000000002</v>
      </c>
      <c r="I576" s="1596">
        <f>SUM(I560:I575)</f>
        <v>0</v>
      </c>
      <c r="J576" s="1596">
        <f>SUM(J560:J575)</f>
        <v>0</v>
      </c>
      <c r="K576" s="1596">
        <f>SUM(K560:K575)</f>
        <v>126.71</v>
      </c>
      <c r="L576" s="1596">
        <f>SUM(L560:L575)</f>
        <v>208.8</v>
      </c>
      <c r="N576" s="2725" t="s">
        <v>1972</v>
      </c>
      <c r="O576" s="2726"/>
      <c r="P576" s="2726"/>
      <c r="Q576" s="1596">
        <f>SUM(R564,R567:R569,R571:R575)</f>
        <v>1433.0418749999999</v>
      </c>
      <c r="R576" s="2056">
        <f>Q576*0.4</f>
        <v>573.21674999999993</v>
      </c>
      <c r="T576" s="1609"/>
      <c r="V576" s="1609"/>
      <c r="W576" s="1609"/>
      <c r="X576" s="1609"/>
      <c r="Y576" s="1609"/>
      <c r="Z576" s="1609"/>
      <c r="AA576" s="1609"/>
      <c r="AB576" s="1609"/>
      <c r="AC576" s="1609"/>
      <c r="AD576" s="1609"/>
      <c r="AE576" s="1609"/>
      <c r="AF576" s="1609"/>
      <c r="AG576" s="1609"/>
      <c r="AH576" s="1609"/>
      <c r="AI576" s="1609"/>
      <c r="AJ576" s="1609"/>
      <c r="AK576" s="1609"/>
      <c r="AL576" s="1609"/>
      <c r="AM576" s="1609"/>
      <c r="AN576" s="1609"/>
      <c r="AO576" s="1609"/>
      <c r="AP576" s="1609"/>
      <c r="AQ576" s="1609"/>
    </row>
    <row r="577" spans="1:43" s="1716" customFormat="1" ht="15">
      <c r="A577" s="1598"/>
      <c r="B577" s="1598"/>
      <c r="C577" s="1598"/>
      <c r="D577" s="1598"/>
      <c r="E577" s="1598"/>
      <c r="F577" s="2725" t="s">
        <v>2075</v>
      </c>
      <c r="G577" s="2726"/>
      <c r="H577" s="1604">
        <f>H576*1.04</f>
        <v>2854.5296000000003</v>
      </c>
      <c r="I577" s="1604">
        <f>I576*0.89</f>
        <v>0</v>
      </c>
      <c r="J577" s="1604">
        <f>J576*0.62</f>
        <v>0</v>
      </c>
      <c r="K577" s="1604">
        <f>K576*0.62</f>
        <v>78.560199999999995</v>
      </c>
      <c r="L577" s="1880">
        <f>L576*0.62</f>
        <v>129.45600000000002</v>
      </c>
      <c r="N577" s="2725" t="s">
        <v>2387</v>
      </c>
      <c r="O577" s="2726"/>
      <c r="P577" s="2726"/>
      <c r="Q577" s="1596">
        <f>SUM(R560:R563,R565:R566,R570)</f>
        <v>1176.3824999999999</v>
      </c>
      <c r="R577" s="1880">
        <f>Q577*0.62</f>
        <v>729.35714999999993</v>
      </c>
      <c r="V577" s="1609"/>
      <c r="W577" s="1609"/>
      <c r="X577" s="1609"/>
      <c r="Y577" s="1609"/>
      <c r="Z577" s="1609"/>
      <c r="AA577" s="1609"/>
      <c r="AB577" s="1609"/>
      <c r="AC577" s="1609"/>
      <c r="AD577" s="1609"/>
      <c r="AE577" s="1609"/>
      <c r="AF577" s="1609"/>
      <c r="AG577" s="1609"/>
      <c r="AH577" s="1609"/>
      <c r="AI577" s="1609"/>
      <c r="AJ577" s="1609"/>
      <c r="AK577" s="1609"/>
      <c r="AL577" s="1609"/>
      <c r="AM577" s="1609"/>
      <c r="AN577" s="1609"/>
      <c r="AO577" s="1609"/>
      <c r="AP577" s="1609"/>
      <c r="AQ577" s="1609"/>
    </row>
    <row r="578" spans="1:43" s="1716" customFormat="1">
      <c r="A578" s="1598"/>
      <c r="B578" s="1598"/>
      <c r="C578" s="1598"/>
      <c r="D578" s="1598"/>
      <c r="E578" s="1598"/>
      <c r="F578" s="1598"/>
      <c r="G578" s="1598"/>
      <c r="V578" s="1609"/>
      <c r="W578" s="1609"/>
      <c r="X578" s="1609"/>
      <c r="Y578" s="1609"/>
      <c r="Z578" s="1609"/>
      <c r="AA578" s="1609"/>
      <c r="AB578" s="1609"/>
      <c r="AC578" s="1609"/>
      <c r="AD578" s="1609"/>
      <c r="AE578" s="1609"/>
      <c r="AF578" s="1609"/>
      <c r="AG578" s="1609"/>
      <c r="AH578" s="1609"/>
      <c r="AI578" s="1609"/>
      <c r="AJ578" s="1609"/>
      <c r="AK578" s="1609"/>
      <c r="AL578" s="1609"/>
      <c r="AM578" s="1609"/>
      <c r="AN578" s="1609"/>
      <c r="AO578" s="1609"/>
      <c r="AP578" s="1609"/>
      <c r="AQ578" s="1609"/>
    </row>
    <row r="579" spans="1:43" s="1716" customFormat="1">
      <c r="E579" s="1303"/>
      <c r="F579" s="1303"/>
      <c r="G579" s="1303"/>
      <c r="H579" s="1303"/>
      <c r="I579" s="1303"/>
      <c r="J579" s="1303"/>
      <c r="K579" s="1303"/>
      <c r="L579" s="1303"/>
      <c r="M579" s="1303"/>
      <c r="N579" s="1303"/>
      <c r="O579" s="1303"/>
      <c r="P579" s="1303"/>
      <c r="V579" s="1609"/>
      <c r="W579" s="1609"/>
      <c r="X579" s="1609"/>
      <c r="Y579" s="1609"/>
      <c r="Z579" s="1609"/>
      <c r="AA579" s="1609"/>
      <c r="AB579" s="1609"/>
      <c r="AC579" s="1609"/>
      <c r="AD579" s="1609"/>
      <c r="AE579" s="1609"/>
      <c r="AF579" s="1609"/>
      <c r="AG579" s="1609"/>
      <c r="AH579" s="1609"/>
      <c r="AI579" s="1609"/>
      <c r="AJ579" s="1609"/>
      <c r="AK579" s="1609"/>
      <c r="AL579" s="1609"/>
      <c r="AM579" s="1609"/>
      <c r="AN579" s="1609"/>
      <c r="AO579" s="1609"/>
      <c r="AP579" s="1609"/>
      <c r="AQ579" s="1609"/>
    </row>
    <row r="580" spans="1:43" s="1716" customFormat="1">
      <c r="A580" s="2717" t="s">
        <v>2005</v>
      </c>
      <c r="B580" s="2718"/>
      <c r="C580" s="2718"/>
      <c r="D580" s="2718"/>
      <c r="E580" s="1303"/>
      <c r="F580" s="1303"/>
      <c r="G580" s="1303"/>
      <c r="H580" s="1303"/>
      <c r="I580" s="1303"/>
      <c r="J580" s="1303"/>
      <c r="K580" s="1303"/>
      <c r="L580" s="1303"/>
      <c r="M580" s="1303"/>
      <c r="N580" s="1303"/>
      <c r="O580" s="1303"/>
      <c r="P580" s="1303"/>
      <c r="V580" s="1609"/>
      <c r="W580" s="1609"/>
      <c r="X580" s="1609"/>
      <c r="Y580" s="1609"/>
      <c r="Z580" s="1609"/>
      <c r="AA580" s="1609"/>
      <c r="AB580" s="1609"/>
      <c r="AC580" s="1609"/>
      <c r="AD580" s="1609"/>
      <c r="AE580" s="1609"/>
      <c r="AF580" s="1609"/>
      <c r="AG580" s="1609"/>
      <c r="AH580" s="1609"/>
      <c r="AI580" s="1609"/>
      <c r="AJ580" s="1609"/>
      <c r="AK580" s="1609"/>
      <c r="AL580" s="1609"/>
      <c r="AM580" s="1609"/>
      <c r="AN580" s="1609"/>
      <c r="AO580" s="1609"/>
      <c r="AP580" s="1609"/>
      <c r="AQ580" s="1609"/>
    </row>
    <row r="581" spans="1:43" s="1716" customFormat="1">
      <c r="A581" s="1717" t="s">
        <v>1796</v>
      </c>
      <c r="B581" s="1717" t="s">
        <v>2004</v>
      </c>
      <c r="C581" s="1717" t="s">
        <v>1791</v>
      </c>
      <c r="D581" s="1717" t="s">
        <v>2008</v>
      </c>
      <c r="E581" s="1303" t="s">
        <v>2368</v>
      </c>
      <c r="F581" s="1303"/>
      <c r="G581" s="1303"/>
      <c r="H581" s="1303"/>
      <c r="I581" s="1303"/>
      <c r="J581" s="1303"/>
      <c r="K581" s="1303"/>
      <c r="L581" s="1303"/>
      <c r="M581" s="1303"/>
      <c r="N581" s="1303"/>
      <c r="O581" s="1303"/>
      <c r="P581" s="1303"/>
      <c r="V581" s="1609"/>
      <c r="W581" s="1609"/>
      <c r="X581" s="1609"/>
      <c r="Y581" s="1609"/>
      <c r="Z581" s="1609"/>
      <c r="AA581" s="1609"/>
      <c r="AB581" s="1609"/>
      <c r="AC581" s="1609"/>
      <c r="AD581" s="1609"/>
      <c r="AE581" s="1609"/>
      <c r="AF581" s="1609"/>
      <c r="AG581" s="1609"/>
      <c r="AH581" s="1609"/>
      <c r="AI581" s="1609"/>
      <c r="AJ581" s="1609"/>
      <c r="AK581" s="1609"/>
      <c r="AL581" s="1609"/>
      <c r="AM581" s="1609"/>
      <c r="AN581" s="1609"/>
      <c r="AO581" s="1609"/>
      <c r="AP581" s="1609"/>
      <c r="AQ581" s="1609"/>
    </row>
    <row r="582" spans="1:43" s="1716" customFormat="1">
      <c r="A582" s="1717" t="str">
        <f t="shared" ref="A582:B596" si="102">A560</f>
        <v>B1</v>
      </c>
      <c r="B582" s="1717">
        <f t="shared" si="102"/>
        <v>28</v>
      </c>
      <c r="C582" s="1717">
        <f t="shared" ref="C582:C597" si="103">C303</f>
        <v>0.18</v>
      </c>
      <c r="D582" s="1717">
        <f>B582*C582</f>
        <v>5.04</v>
      </c>
      <c r="E582" s="1303">
        <f>$F$303*B582</f>
        <v>8.4</v>
      </c>
      <c r="F582" s="1303"/>
      <c r="G582" s="1746"/>
      <c r="H582" s="1303"/>
      <c r="I582" s="1303"/>
      <c r="J582" s="1303"/>
      <c r="K582" s="1303"/>
      <c r="L582" s="1303"/>
      <c r="M582" s="1303"/>
      <c r="N582" s="1303"/>
      <c r="O582" s="1303"/>
      <c r="P582" s="1303"/>
      <c r="V582" s="1609"/>
      <c r="W582" s="1609"/>
      <c r="X582" s="1609"/>
      <c r="Y582" s="1609"/>
      <c r="Z582" s="1609"/>
      <c r="AA582" s="1609"/>
      <c r="AB582" s="1609"/>
      <c r="AC582" s="1609"/>
      <c r="AD582" s="1609"/>
      <c r="AE582" s="1609"/>
      <c r="AF582" s="1609"/>
      <c r="AG582" s="1609"/>
      <c r="AH582" s="1609"/>
      <c r="AI582" s="1609"/>
      <c r="AJ582" s="1609"/>
      <c r="AK582" s="1609"/>
      <c r="AL582" s="1609"/>
      <c r="AM582" s="1609"/>
      <c r="AN582" s="1609"/>
      <c r="AO582" s="1609"/>
      <c r="AP582" s="1609"/>
      <c r="AQ582" s="1609"/>
    </row>
    <row r="583" spans="1:43" s="1716" customFormat="1">
      <c r="A583" s="1717" t="str">
        <f t="shared" si="102"/>
        <v>B2</v>
      </c>
      <c r="B583" s="1723">
        <f t="shared" si="102"/>
        <v>0</v>
      </c>
      <c r="C583" s="1723">
        <f t="shared" si="103"/>
        <v>0.19999999999999998</v>
      </c>
      <c r="D583" s="1717">
        <f t="shared" ref="D583:D597" si="104">B583*C583</f>
        <v>0</v>
      </c>
      <c r="E583" s="1303">
        <f>$F$304*B583</f>
        <v>0</v>
      </c>
      <c r="F583" s="1303"/>
      <c r="G583" s="1303"/>
      <c r="H583" s="1303"/>
      <c r="I583" s="1303"/>
      <c r="J583" s="1303"/>
      <c r="K583" s="1303"/>
      <c r="L583" s="1303"/>
      <c r="M583" s="1303"/>
      <c r="N583" s="1303"/>
      <c r="O583" s="1303"/>
      <c r="P583" s="1303"/>
      <c r="V583" s="1609"/>
      <c r="W583" s="1609"/>
      <c r="X583" s="1609"/>
      <c r="Y583" s="1609"/>
      <c r="Z583" s="1609"/>
      <c r="AA583" s="1609"/>
      <c r="AB583" s="1609"/>
      <c r="AC583" s="1609"/>
      <c r="AD583" s="1609"/>
      <c r="AE583" s="1609"/>
      <c r="AF583" s="1609"/>
      <c r="AG583" s="1609"/>
      <c r="AH583" s="1609"/>
      <c r="AI583" s="1609"/>
      <c r="AJ583" s="1609"/>
      <c r="AK583" s="1609"/>
      <c r="AL583" s="1609"/>
      <c r="AM583" s="1609"/>
      <c r="AN583" s="1609"/>
      <c r="AO583" s="1609"/>
      <c r="AP583" s="1609"/>
      <c r="AQ583" s="1609"/>
    </row>
    <row r="584" spans="1:43" s="1716" customFormat="1">
      <c r="A584" s="1717" t="str">
        <f t="shared" si="102"/>
        <v>B3</v>
      </c>
      <c r="B584" s="1723">
        <f t="shared" si="102"/>
        <v>18.47</v>
      </c>
      <c r="C584" s="1723">
        <f t="shared" si="103"/>
        <v>0.125</v>
      </c>
      <c r="D584" s="1717">
        <f t="shared" si="104"/>
        <v>2.3087499999999999</v>
      </c>
      <c r="E584" s="1303">
        <f>$F$305*B584</f>
        <v>4.6174999999999997</v>
      </c>
      <c r="F584" s="1303"/>
      <c r="G584" s="1303"/>
      <c r="H584" s="1303"/>
      <c r="I584" s="1303"/>
      <c r="J584" s="1303"/>
      <c r="K584" s="1303"/>
      <c r="L584" s="1303"/>
      <c r="M584" s="1303"/>
      <c r="N584" s="1303"/>
      <c r="O584" s="1303"/>
      <c r="P584" s="1303"/>
      <c r="V584" s="1609"/>
      <c r="W584" s="1609"/>
      <c r="X584" s="1609"/>
      <c r="Y584" s="1609"/>
      <c r="Z584" s="1609"/>
      <c r="AA584" s="1609"/>
      <c r="AB584" s="1609"/>
      <c r="AC584" s="1609"/>
      <c r="AD584" s="1609"/>
      <c r="AE584" s="1609"/>
      <c r="AF584" s="1609"/>
      <c r="AG584" s="1609"/>
      <c r="AH584" s="1609"/>
      <c r="AI584" s="1609"/>
      <c r="AJ584" s="1609"/>
      <c r="AK584" s="1609"/>
      <c r="AL584" s="1609"/>
      <c r="AM584" s="1609"/>
      <c r="AN584" s="1609"/>
      <c r="AO584" s="1609"/>
      <c r="AP584" s="1609"/>
      <c r="AQ584" s="1609"/>
    </row>
    <row r="585" spans="1:43" s="1716" customFormat="1">
      <c r="A585" s="1717" t="str">
        <f t="shared" si="102"/>
        <v>B4</v>
      </c>
      <c r="B585" s="1723">
        <f t="shared" si="102"/>
        <v>88.04</v>
      </c>
      <c r="C585" s="1723">
        <f t="shared" si="103"/>
        <v>8.0000000000000016E-2</v>
      </c>
      <c r="D585" s="1717">
        <f t="shared" si="104"/>
        <v>7.0432000000000015</v>
      </c>
      <c r="E585" s="1303">
        <f>$F$306*B585</f>
        <v>17.608000000000001</v>
      </c>
      <c r="F585" s="1303"/>
      <c r="G585" s="1303"/>
      <c r="H585" s="1303"/>
      <c r="I585" s="1303"/>
      <c r="J585" s="1303"/>
      <c r="K585" s="1303"/>
      <c r="L585" s="1303"/>
      <c r="M585" s="1303"/>
      <c r="N585" s="1303"/>
      <c r="O585" s="1303"/>
      <c r="P585" s="1303"/>
      <c r="V585" s="1609"/>
      <c r="W585" s="1609"/>
      <c r="X585" s="1609"/>
      <c r="Y585" s="1609"/>
      <c r="Z585" s="1609"/>
      <c r="AA585" s="1609"/>
      <c r="AB585" s="1609"/>
      <c r="AC585" s="1609"/>
      <c r="AD585" s="1609"/>
      <c r="AE585" s="1609"/>
      <c r="AF585" s="1609"/>
      <c r="AG585" s="1609"/>
      <c r="AH585" s="1609"/>
      <c r="AI585" s="1609"/>
      <c r="AJ585" s="1609"/>
      <c r="AK585" s="1609"/>
      <c r="AL585" s="1609"/>
      <c r="AM585" s="1609"/>
      <c r="AN585" s="1609"/>
      <c r="AO585" s="1609"/>
      <c r="AP585" s="1609"/>
      <c r="AQ585" s="1609"/>
    </row>
    <row r="586" spans="1:43" s="1716" customFormat="1">
      <c r="A586" s="1717" t="str">
        <f t="shared" si="102"/>
        <v>B5</v>
      </c>
      <c r="B586" s="1723">
        <f t="shared" si="102"/>
        <v>59.55</v>
      </c>
      <c r="C586" s="1723">
        <f t="shared" si="103"/>
        <v>0.06</v>
      </c>
      <c r="D586" s="1717">
        <f t="shared" si="104"/>
        <v>3.5729999999999995</v>
      </c>
      <c r="E586" s="1303">
        <f>$F$307*B586</f>
        <v>8.9324999999999992</v>
      </c>
      <c r="F586" s="1303"/>
      <c r="G586" s="1303"/>
      <c r="H586" s="1303"/>
      <c r="I586" s="1303"/>
      <c r="J586" s="1303"/>
      <c r="K586" s="1303"/>
      <c r="L586" s="1303"/>
      <c r="M586" s="1303"/>
      <c r="N586" s="1303"/>
      <c r="O586" s="1303"/>
      <c r="P586" s="1303"/>
      <c r="V586" s="1609"/>
      <c r="W586" s="1609"/>
      <c r="X586" s="1609"/>
      <c r="Y586" s="1609"/>
      <c r="Z586" s="1609"/>
      <c r="AA586" s="1609"/>
      <c r="AB586" s="1609"/>
      <c r="AC586" s="1609"/>
      <c r="AD586" s="1609"/>
      <c r="AE586" s="1609"/>
      <c r="AF586" s="1609"/>
      <c r="AG586" s="1609"/>
      <c r="AH586" s="1609"/>
      <c r="AI586" s="1609"/>
      <c r="AJ586" s="1609"/>
      <c r="AK586" s="1609"/>
      <c r="AL586" s="1609"/>
      <c r="AM586" s="1609"/>
      <c r="AN586" s="1609"/>
      <c r="AO586" s="1609"/>
      <c r="AP586" s="1609"/>
      <c r="AQ586" s="1609"/>
    </row>
    <row r="587" spans="1:43" s="1716" customFormat="1" ht="15" customHeight="1">
      <c r="A587" s="1717" t="str">
        <f t="shared" si="102"/>
        <v>B6</v>
      </c>
      <c r="B587" s="1723">
        <f t="shared" si="102"/>
        <v>0</v>
      </c>
      <c r="C587" s="1723">
        <f t="shared" si="103"/>
        <v>0.12000000000000002</v>
      </c>
      <c r="D587" s="1717">
        <f t="shared" si="104"/>
        <v>0</v>
      </c>
      <c r="E587" s="1303">
        <f>$F$308*B587</f>
        <v>0</v>
      </c>
      <c r="F587" s="1303"/>
      <c r="G587" s="1303"/>
      <c r="H587" s="1303"/>
      <c r="I587" s="1303"/>
      <c r="J587" s="1303"/>
      <c r="K587" s="1303"/>
      <c r="L587" s="1303"/>
      <c r="M587" s="1303"/>
      <c r="N587" s="1303"/>
      <c r="O587" s="1303"/>
      <c r="P587" s="1303"/>
      <c r="V587" s="1609"/>
      <c r="W587" s="1609"/>
      <c r="X587" s="1609"/>
      <c r="Y587" s="1609"/>
      <c r="Z587" s="1609"/>
      <c r="AA587" s="1609"/>
      <c r="AB587" s="1609"/>
      <c r="AC587" s="1609"/>
      <c r="AD587" s="1609"/>
      <c r="AE587" s="1609"/>
      <c r="AF587" s="1609"/>
      <c r="AG587" s="1609"/>
      <c r="AH587" s="1609"/>
      <c r="AI587" s="1609"/>
      <c r="AJ587" s="1609"/>
      <c r="AK587" s="1609"/>
      <c r="AL587" s="1609"/>
      <c r="AM587" s="1609"/>
      <c r="AN587" s="1609"/>
      <c r="AO587" s="1609"/>
      <c r="AP587" s="1609"/>
      <c r="AQ587" s="1609"/>
    </row>
    <row r="588" spans="1:43" s="1716" customFormat="1" ht="15" customHeight="1">
      <c r="A588" s="1717" t="str">
        <f t="shared" si="102"/>
        <v>B7</v>
      </c>
      <c r="B588" s="1723">
        <f t="shared" si="102"/>
        <v>0</v>
      </c>
      <c r="C588" s="1723">
        <f t="shared" si="103"/>
        <v>0.15500000000000003</v>
      </c>
      <c r="D588" s="1717">
        <f t="shared" si="104"/>
        <v>0</v>
      </c>
      <c r="E588" s="1303">
        <f>$F$309*B588</f>
        <v>0</v>
      </c>
      <c r="F588" s="1303"/>
      <c r="G588" s="1303"/>
      <c r="H588" s="1303"/>
      <c r="I588" s="1303"/>
      <c r="J588" s="1303"/>
      <c r="K588" s="1303"/>
      <c r="L588" s="1303"/>
      <c r="M588" s="1303"/>
      <c r="N588" s="1303"/>
      <c r="O588" s="1303"/>
      <c r="P588" s="1303"/>
      <c r="V588" s="1609"/>
      <c r="W588" s="1609"/>
      <c r="X588" s="1609"/>
      <c r="Y588" s="1609"/>
      <c r="Z588" s="1609"/>
      <c r="AA588" s="1609"/>
      <c r="AB588" s="1609"/>
      <c r="AC588" s="1609"/>
      <c r="AD588" s="1609"/>
      <c r="AE588" s="1609"/>
      <c r="AF588" s="1609"/>
      <c r="AG588" s="1609"/>
      <c r="AH588" s="1609"/>
      <c r="AI588" s="1609"/>
      <c r="AJ588" s="1609"/>
      <c r="AK588" s="1609"/>
      <c r="AL588" s="1609"/>
      <c r="AM588" s="1609"/>
      <c r="AN588" s="1609"/>
      <c r="AO588" s="1609"/>
      <c r="AP588" s="1609"/>
      <c r="AQ588" s="1609"/>
    </row>
    <row r="589" spans="1:43" s="1716" customFormat="1" ht="15" customHeight="1">
      <c r="A589" s="1717" t="str">
        <f t="shared" si="102"/>
        <v>B8</v>
      </c>
      <c r="B589" s="1723">
        <f t="shared" si="102"/>
        <v>41.4</v>
      </c>
      <c r="C589" s="1723">
        <f t="shared" si="103"/>
        <v>4.4999999999999998E-2</v>
      </c>
      <c r="D589" s="1717">
        <f t="shared" si="104"/>
        <v>1.8629999999999998</v>
      </c>
      <c r="E589" s="1303">
        <f>$F$310*B589</f>
        <v>6.21</v>
      </c>
      <c r="F589" s="1303"/>
      <c r="G589" s="1303"/>
      <c r="H589" s="1303"/>
      <c r="I589" s="1303"/>
      <c r="J589" s="1303"/>
      <c r="K589" s="1303"/>
      <c r="L589" s="1303"/>
      <c r="M589" s="1303"/>
      <c r="N589" s="1303"/>
      <c r="O589" s="1303"/>
      <c r="P589" s="1303"/>
      <c r="V589" s="1609"/>
      <c r="W589" s="1609"/>
      <c r="X589" s="1609"/>
      <c r="Y589" s="1609"/>
      <c r="Z589" s="1609"/>
      <c r="AA589" s="1609"/>
      <c r="AB589" s="1609"/>
      <c r="AC589" s="1609"/>
      <c r="AD589" s="1609"/>
      <c r="AE589" s="1609"/>
      <c r="AF589" s="1609"/>
      <c r="AG589" s="1609"/>
      <c r="AH589" s="1609"/>
      <c r="AI589" s="1609"/>
      <c r="AJ589" s="1609"/>
      <c r="AK589" s="1609"/>
      <c r="AL589" s="1609"/>
      <c r="AM589" s="1609"/>
      <c r="AN589" s="1609"/>
      <c r="AO589" s="1609"/>
      <c r="AP589" s="1609"/>
      <c r="AQ589" s="1609"/>
    </row>
    <row r="590" spans="1:43" s="1716" customFormat="1">
      <c r="A590" s="1717" t="str">
        <f t="shared" si="102"/>
        <v>B9</v>
      </c>
      <c r="B590" s="1723">
        <f t="shared" si="102"/>
        <v>63.354999999999997</v>
      </c>
      <c r="C590" s="1723">
        <f t="shared" si="103"/>
        <v>9.9999999999999992E-2</v>
      </c>
      <c r="D590" s="1717">
        <f t="shared" si="104"/>
        <v>6.3354999999999988</v>
      </c>
      <c r="E590" s="1303">
        <f>$F$311*B590</f>
        <v>9.5032499999999995</v>
      </c>
      <c r="F590" s="1303"/>
      <c r="G590" s="1303"/>
      <c r="H590" s="1303"/>
      <c r="I590" s="1303"/>
      <c r="J590" s="1303"/>
      <c r="K590" s="1303"/>
      <c r="L590" s="1303"/>
      <c r="M590" s="1303"/>
      <c r="N590" s="1303"/>
      <c r="O590" s="1303"/>
      <c r="P590" s="1303"/>
      <c r="V590" s="1609"/>
      <c r="W590" s="1609"/>
      <c r="X590" s="1609"/>
      <c r="Y590" s="1609"/>
      <c r="Z590" s="1609"/>
      <c r="AA590" s="1609"/>
      <c r="AB590" s="1609"/>
      <c r="AC590" s="1609"/>
      <c r="AD590" s="1609"/>
      <c r="AE590" s="1609"/>
      <c r="AF590" s="1609"/>
      <c r="AG590" s="1609"/>
      <c r="AH590" s="1609"/>
      <c r="AI590" s="1609"/>
      <c r="AJ590" s="1609"/>
      <c r="AK590" s="1609"/>
      <c r="AL590" s="1609"/>
      <c r="AM590" s="1609"/>
      <c r="AN590" s="1609"/>
      <c r="AO590" s="1609"/>
      <c r="AP590" s="1609"/>
      <c r="AQ590" s="1609"/>
    </row>
    <row r="591" spans="1:43" s="1716" customFormat="1">
      <c r="A591" s="1717" t="str">
        <f t="shared" si="102"/>
        <v>B10</v>
      </c>
      <c r="B591" s="1723">
        <f t="shared" si="102"/>
        <v>0</v>
      </c>
      <c r="C591" s="1723">
        <f t="shared" si="103"/>
        <v>0.106</v>
      </c>
      <c r="D591" s="1717">
        <f t="shared" si="104"/>
        <v>0</v>
      </c>
      <c r="E591" s="1303">
        <f>$F$312*B591</f>
        <v>0</v>
      </c>
      <c r="F591" s="1303"/>
      <c r="G591" s="1303"/>
      <c r="H591" s="1303"/>
      <c r="I591" s="1303"/>
      <c r="J591" s="1303"/>
      <c r="K591" s="1303"/>
      <c r="L591" s="1303"/>
      <c r="M591" s="1303"/>
      <c r="N591" s="1303"/>
      <c r="O591" s="1303"/>
      <c r="P591" s="1303"/>
      <c r="V591" s="1609"/>
      <c r="W591" s="2716"/>
      <c r="X591" s="2716"/>
      <c r="Y591" s="2716"/>
      <c r="Z591" s="2716"/>
      <c r="AA591" s="1609"/>
      <c r="AB591" s="1609"/>
      <c r="AC591" s="1609"/>
      <c r="AD591" s="1609"/>
      <c r="AE591" s="1609"/>
      <c r="AF591" s="1609"/>
      <c r="AG591" s="1609"/>
      <c r="AH591" s="1609"/>
      <c r="AI591" s="1609"/>
      <c r="AJ591" s="1609"/>
      <c r="AK591" s="1609"/>
      <c r="AL591" s="1609"/>
      <c r="AM591" s="1609"/>
      <c r="AN591" s="1609"/>
      <c r="AO591" s="1609"/>
      <c r="AP591" s="1609"/>
      <c r="AQ591" s="1609"/>
    </row>
    <row r="592" spans="1:43" s="1716" customFormat="1">
      <c r="A592" s="1717" t="str">
        <f t="shared" si="102"/>
        <v>B11</v>
      </c>
      <c r="B592" s="1723">
        <f t="shared" si="102"/>
        <v>0</v>
      </c>
      <c r="C592" s="1723">
        <f t="shared" si="103"/>
        <v>0.10999999999999999</v>
      </c>
      <c r="D592" s="1717">
        <f t="shared" si="104"/>
        <v>0</v>
      </c>
      <c r="E592" s="1303">
        <f>$F$313*B592</f>
        <v>0</v>
      </c>
      <c r="F592" s="1303"/>
      <c r="G592" s="1303"/>
      <c r="H592" s="1303"/>
      <c r="I592" s="1303"/>
      <c r="J592" s="1303"/>
      <c r="K592" s="1303"/>
      <c r="L592" s="1303"/>
      <c r="M592" s="1303"/>
      <c r="N592" s="1303"/>
      <c r="O592" s="1303"/>
      <c r="P592" s="1303"/>
      <c r="V592" s="1609"/>
      <c r="W592" s="1609"/>
      <c r="X592" s="1609"/>
      <c r="Y592" s="1609"/>
      <c r="Z592" s="1609"/>
      <c r="AA592" s="1609"/>
      <c r="AB592" s="1609"/>
      <c r="AC592" s="1609"/>
      <c r="AD592" s="1609"/>
      <c r="AE592" s="1609"/>
      <c r="AF592" s="1609"/>
      <c r="AG592" s="1609"/>
      <c r="AH592" s="1609"/>
      <c r="AI592" s="1609"/>
      <c r="AJ592" s="1609"/>
      <c r="AK592" s="1609"/>
      <c r="AL592" s="1609"/>
      <c r="AM592" s="1609"/>
      <c r="AN592" s="1609"/>
      <c r="AO592" s="1609"/>
      <c r="AP592" s="1609"/>
      <c r="AQ592" s="1609"/>
    </row>
    <row r="593" spans="1:43" s="1716" customFormat="1">
      <c r="A593" s="1918" t="str">
        <f t="shared" si="102"/>
        <v>B12</v>
      </c>
      <c r="B593" s="1918">
        <f t="shared" si="102"/>
        <v>0</v>
      </c>
      <c r="C593" s="1918">
        <f t="shared" si="103"/>
        <v>0</v>
      </c>
      <c r="D593" s="1918">
        <f>B593*C593</f>
        <v>0</v>
      </c>
      <c r="E593" s="1303">
        <f>$F$314*B593</f>
        <v>0</v>
      </c>
      <c r="F593" s="1303"/>
      <c r="G593" s="1303"/>
      <c r="H593" s="1303"/>
      <c r="I593" s="1303"/>
      <c r="J593" s="1303"/>
      <c r="K593" s="1303"/>
      <c r="L593" s="1303"/>
      <c r="M593" s="1303"/>
      <c r="N593" s="1303"/>
      <c r="O593" s="1303"/>
      <c r="P593" s="1303"/>
      <c r="V593" s="1919"/>
      <c r="W593" s="1919"/>
      <c r="X593" s="1919"/>
      <c r="Y593" s="1919"/>
      <c r="Z593" s="1919"/>
      <c r="AA593" s="1919"/>
      <c r="AB593" s="1919"/>
      <c r="AC593" s="1919"/>
      <c r="AD593" s="1919"/>
      <c r="AE593" s="1919"/>
      <c r="AF593" s="1919"/>
      <c r="AG593" s="1919"/>
      <c r="AH593" s="1919"/>
      <c r="AI593" s="1919"/>
      <c r="AJ593" s="1919"/>
      <c r="AK593" s="1919"/>
      <c r="AL593" s="1919"/>
      <c r="AM593" s="1919"/>
      <c r="AN593" s="1919"/>
      <c r="AO593" s="1919"/>
      <c r="AP593" s="1919"/>
      <c r="AQ593" s="1919"/>
    </row>
    <row r="594" spans="1:43" s="1716" customFormat="1">
      <c r="A594" s="1945" t="str">
        <f t="shared" si="102"/>
        <v>B13</v>
      </c>
      <c r="B594" s="1945">
        <f t="shared" si="102"/>
        <v>0</v>
      </c>
      <c r="C594" s="1945">
        <f t="shared" si="103"/>
        <v>0</v>
      </c>
      <c r="D594" s="1945">
        <f>B594*C594</f>
        <v>0</v>
      </c>
      <c r="E594" s="1303">
        <f>$F$315*B594</f>
        <v>0</v>
      </c>
      <c r="F594" s="1303"/>
      <c r="G594" s="1303"/>
      <c r="H594" s="1303"/>
      <c r="I594" s="1303"/>
      <c r="J594" s="1303"/>
      <c r="K594" s="1303"/>
      <c r="L594" s="1303"/>
      <c r="M594" s="1303"/>
      <c r="N594" s="1303"/>
      <c r="O594" s="1303"/>
      <c r="P594" s="1303"/>
      <c r="V594" s="1944"/>
      <c r="W594" s="2716"/>
      <c r="X594" s="2716"/>
      <c r="Y594" s="2716"/>
      <c r="Z594" s="2716"/>
      <c r="AA594" s="1944"/>
      <c r="AB594" s="1944"/>
      <c r="AC594" s="1944"/>
      <c r="AD594" s="1944"/>
      <c r="AE594" s="1944"/>
      <c r="AF594" s="1944"/>
      <c r="AG594" s="1944"/>
      <c r="AH594" s="1944"/>
      <c r="AI594" s="1944"/>
      <c r="AJ594" s="1944"/>
      <c r="AK594" s="1944"/>
      <c r="AL594" s="1944"/>
      <c r="AM594" s="1944"/>
      <c r="AN594" s="1944"/>
      <c r="AO594" s="1944"/>
      <c r="AP594" s="1944"/>
      <c r="AQ594" s="1944"/>
    </row>
    <row r="595" spans="1:43" s="1716" customFormat="1">
      <c r="A595" s="1945" t="str">
        <f t="shared" si="102"/>
        <v>B14</v>
      </c>
      <c r="B595" s="1945">
        <f t="shared" si="102"/>
        <v>0</v>
      </c>
      <c r="C595" s="1945">
        <f t="shared" si="103"/>
        <v>0</v>
      </c>
      <c r="D595" s="1945">
        <f>B595*C595</f>
        <v>0</v>
      </c>
      <c r="E595" s="1303">
        <f>$F$316*B595</f>
        <v>0</v>
      </c>
      <c r="F595" s="1303"/>
      <c r="G595" s="1303"/>
      <c r="H595" s="1303"/>
      <c r="I595" s="1303"/>
      <c r="J595" s="1303"/>
      <c r="K595" s="1303"/>
      <c r="L595" s="1303"/>
      <c r="M595" s="1303"/>
      <c r="N595" s="1303"/>
      <c r="O595" s="1303"/>
      <c r="P595" s="1303"/>
      <c r="V595" s="1944"/>
      <c r="W595" s="1944"/>
      <c r="X595" s="1944"/>
      <c r="Y595" s="1944"/>
      <c r="Z595" s="1944"/>
      <c r="AA595" s="1944"/>
      <c r="AB595" s="1944"/>
      <c r="AC595" s="1944"/>
      <c r="AD595" s="1944"/>
      <c r="AE595" s="1944"/>
      <c r="AF595" s="1944"/>
      <c r="AG595" s="1944"/>
      <c r="AH595" s="1944"/>
      <c r="AI595" s="1944"/>
      <c r="AJ595" s="1944"/>
      <c r="AK595" s="1944"/>
      <c r="AL595" s="1944"/>
      <c r="AM595" s="1944"/>
      <c r="AN595" s="1944"/>
      <c r="AO595" s="1944"/>
      <c r="AP595" s="1944"/>
      <c r="AQ595" s="1944"/>
    </row>
    <row r="596" spans="1:43" s="1716" customFormat="1">
      <c r="A596" s="1945" t="str">
        <f t="shared" si="102"/>
        <v>B15</v>
      </c>
      <c r="B596" s="1945">
        <f t="shared" si="102"/>
        <v>0</v>
      </c>
      <c r="C596" s="1945">
        <f t="shared" si="103"/>
        <v>0</v>
      </c>
      <c r="D596" s="1945">
        <f>B596*C596</f>
        <v>0</v>
      </c>
      <c r="E596" s="1303">
        <f>$F$317*B596</f>
        <v>0</v>
      </c>
      <c r="F596" s="1303"/>
      <c r="G596" s="1303"/>
      <c r="H596" s="1303"/>
      <c r="I596" s="1303"/>
      <c r="J596" s="1303"/>
      <c r="K596" s="1303"/>
      <c r="L596" s="1303"/>
      <c r="M596" s="1303"/>
      <c r="N596" s="1303"/>
      <c r="O596" s="1303"/>
      <c r="P596" s="1303"/>
      <c r="V596" s="1944"/>
      <c r="W596" s="1944"/>
      <c r="X596" s="1944"/>
      <c r="Y596" s="1944"/>
      <c r="Z596" s="1944"/>
      <c r="AA596" s="1944"/>
      <c r="AB596" s="1944"/>
      <c r="AC596" s="1944"/>
      <c r="AD596" s="1944"/>
      <c r="AE596" s="1944"/>
      <c r="AF596" s="1944"/>
      <c r="AG596" s="1944"/>
      <c r="AH596" s="1944"/>
      <c r="AI596" s="1944"/>
      <c r="AJ596" s="1944"/>
      <c r="AK596" s="1944"/>
      <c r="AL596" s="1944"/>
      <c r="AM596" s="1944"/>
      <c r="AN596" s="1944"/>
      <c r="AO596" s="1944"/>
      <c r="AP596" s="1944"/>
      <c r="AQ596" s="1944"/>
    </row>
    <row r="597" spans="1:43" s="1716" customFormat="1">
      <c r="A597" s="1717" t="str">
        <f>A575</f>
        <v>RB</v>
      </c>
      <c r="B597" s="1723">
        <f>B575</f>
        <v>52.2</v>
      </c>
      <c r="C597" s="1723">
        <f t="shared" si="103"/>
        <v>2.4E-2</v>
      </c>
      <c r="D597" s="1718">
        <f t="shared" si="104"/>
        <v>1.2528000000000001</v>
      </c>
      <c r="E597" s="1303">
        <f>$F$318*B597</f>
        <v>6.2640000000000002</v>
      </c>
      <c r="F597" s="1303"/>
      <c r="G597" s="1746"/>
      <c r="H597" s="1303"/>
      <c r="I597" s="1303"/>
      <c r="J597" s="1303"/>
      <c r="K597" s="1303"/>
      <c r="L597" s="1303"/>
      <c r="M597" s="1303"/>
      <c r="N597" s="1303"/>
      <c r="O597" s="1303"/>
      <c r="P597" s="1303"/>
      <c r="V597" s="1609"/>
      <c r="W597" s="1609"/>
      <c r="X597" s="1609"/>
      <c r="Y597" s="1609"/>
      <c r="Z597" s="1609"/>
      <c r="AA597" s="1609"/>
      <c r="AB597" s="1609"/>
      <c r="AC597" s="1609"/>
      <c r="AD597" s="1609"/>
      <c r="AE597" s="1609"/>
      <c r="AF597" s="1609"/>
      <c r="AG597" s="1609"/>
      <c r="AH597" s="1609"/>
      <c r="AI597" s="1609"/>
      <c r="AJ597" s="1609"/>
      <c r="AK597" s="1609"/>
      <c r="AL597" s="1609"/>
      <c r="AM597" s="1609"/>
      <c r="AN597" s="1609"/>
      <c r="AO597" s="1609"/>
      <c r="AP597" s="1609"/>
      <c r="AQ597" s="1609"/>
    </row>
    <row r="598" spans="1:43" s="1716" customFormat="1" ht="15">
      <c r="C598" s="1738" t="s">
        <v>2078</v>
      </c>
      <c r="D598" s="1603">
        <f>SUM(D582:D597)</f>
        <v>27.416250000000002</v>
      </c>
      <c r="E598" s="1303">
        <f>SUM(E582:E597)</f>
        <v>61.535250000000005</v>
      </c>
      <c r="F598" s="1303"/>
      <c r="G598" s="1303"/>
      <c r="H598" s="1303"/>
      <c r="I598" s="1303"/>
      <c r="J598" s="1303"/>
      <c r="K598" s="1303"/>
      <c r="L598" s="1303"/>
      <c r="M598" s="1303"/>
      <c r="N598" s="1303"/>
      <c r="O598" s="1303"/>
      <c r="P598" s="1303"/>
      <c r="V598" s="1609"/>
      <c r="W598" s="1609"/>
      <c r="X598" s="1609"/>
      <c r="Y598" s="1609"/>
      <c r="Z598" s="1609"/>
      <c r="AA598" s="1609"/>
      <c r="AB598" s="1609"/>
      <c r="AC598" s="1609"/>
      <c r="AD598" s="1609"/>
      <c r="AE598" s="1609"/>
      <c r="AF598" s="1609"/>
      <c r="AG598" s="1609"/>
      <c r="AH598" s="1609"/>
      <c r="AI598" s="1609"/>
      <c r="AJ598" s="1609"/>
      <c r="AK598" s="1609"/>
      <c r="AL598" s="1609"/>
      <c r="AM598" s="1609"/>
      <c r="AN598" s="1609"/>
      <c r="AO598" s="1609"/>
      <c r="AP598" s="1609"/>
      <c r="AQ598" s="1609"/>
    </row>
    <row r="599" spans="1:43" s="1716" customFormat="1">
      <c r="E599" s="1303"/>
      <c r="F599" s="1303"/>
      <c r="G599" s="1303"/>
      <c r="H599" s="1303"/>
      <c r="I599" s="1303"/>
      <c r="J599" s="1303"/>
      <c r="K599" s="1303"/>
      <c r="L599" s="1303"/>
      <c r="M599" s="1303"/>
      <c r="N599" s="1303"/>
      <c r="O599" s="1303"/>
      <c r="P599" s="1303"/>
      <c r="V599" s="1609"/>
      <c r="W599" s="1609"/>
      <c r="X599" s="1609"/>
      <c r="Y599" s="1609"/>
      <c r="Z599" s="1609"/>
      <c r="AA599" s="1609"/>
      <c r="AB599" s="1609"/>
      <c r="AC599" s="1609"/>
      <c r="AD599" s="1609"/>
      <c r="AE599" s="1609"/>
      <c r="AF599" s="1609"/>
      <c r="AG599" s="1609"/>
      <c r="AH599" s="1609"/>
      <c r="AI599" s="1609"/>
      <c r="AJ599" s="1609"/>
      <c r="AK599" s="1609"/>
      <c r="AL599" s="1609"/>
      <c r="AM599" s="1609"/>
      <c r="AN599" s="1609"/>
      <c r="AO599" s="1609"/>
      <c r="AP599" s="1609"/>
      <c r="AQ599" s="1609"/>
    </row>
    <row r="600" spans="1:43" s="1716" customFormat="1">
      <c r="A600" s="2717" t="s">
        <v>2006</v>
      </c>
      <c r="B600" s="2718"/>
      <c r="C600" s="2718"/>
      <c r="D600" s="2718"/>
      <c r="E600" s="1303"/>
      <c r="F600" s="1303"/>
      <c r="G600" s="1303"/>
      <c r="H600" s="1303"/>
      <c r="I600" s="1303"/>
      <c r="J600" s="1303"/>
      <c r="K600" s="1303"/>
      <c r="L600" s="1303"/>
      <c r="M600" s="1303"/>
      <c r="N600" s="1303"/>
      <c r="O600" s="1303"/>
      <c r="P600" s="1303"/>
      <c r="V600" s="1609"/>
      <c r="W600" s="1609"/>
      <c r="X600" s="1609"/>
      <c r="Y600" s="1609"/>
      <c r="Z600" s="1609"/>
      <c r="AA600" s="1609"/>
      <c r="AB600" s="1609"/>
      <c r="AC600" s="1609"/>
      <c r="AD600" s="1609"/>
      <c r="AE600" s="1609"/>
      <c r="AF600" s="1609"/>
      <c r="AG600" s="1609"/>
      <c r="AH600" s="1609"/>
      <c r="AI600" s="1609"/>
      <c r="AJ600" s="1609"/>
      <c r="AK600" s="1609"/>
      <c r="AL600" s="1609"/>
      <c r="AM600" s="1609"/>
      <c r="AN600" s="1609"/>
      <c r="AO600" s="1609"/>
      <c r="AP600" s="1609"/>
      <c r="AQ600" s="1609"/>
    </row>
    <row r="601" spans="1:43" s="1716" customFormat="1">
      <c r="A601" s="1717" t="s">
        <v>1796</v>
      </c>
      <c r="B601" s="1717" t="s">
        <v>2004</v>
      </c>
      <c r="C601" s="1717" t="s">
        <v>1791</v>
      </c>
      <c r="D601" s="1717" t="s">
        <v>2007</v>
      </c>
      <c r="E601" s="1303"/>
      <c r="F601" s="1303"/>
      <c r="G601" s="1303"/>
      <c r="H601" s="1303"/>
      <c r="I601" s="1303"/>
      <c r="J601" s="1303"/>
      <c r="K601" s="1303"/>
      <c r="L601" s="1303"/>
      <c r="M601" s="1303"/>
      <c r="N601" s="1303"/>
      <c r="O601" s="1303"/>
      <c r="P601" s="1303"/>
      <c r="V601" s="1609"/>
      <c r="W601" s="1609"/>
      <c r="X601" s="1609"/>
      <c r="Y601" s="1609"/>
      <c r="Z601" s="1609"/>
      <c r="AA601" s="1609"/>
      <c r="AB601" s="1609"/>
      <c r="AC601" s="1609"/>
      <c r="AD601" s="1609"/>
      <c r="AE601" s="1609"/>
      <c r="AF601" s="1609"/>
      <c r="AG601" s="1609"/>
      <c r="AH601" s="1609"/>
      <c r="AI601" s="1609"/>
      <c r="AJ601" s="1609"/>
      <c r="AK601" s="1609"/>
      <c r="AL601" s="1609"/>
      <c r="AM601" s="1609"/>
      <c r="AN601" s="1609"/>
      <c r="AO601" s="1609"/>
      <c r="AP601" s="1609"/>
      <c r="AQ601" s="1609"/>
    </row>
    <row r="602" spans="1:43" s="1716" customFormat="1">
      <c r="A602" s="1717" t="str">
        <f t="shared" ref="A602:B617" si="105">A582</f>
        <v>B1</v>
      </c>
      <c r="B602" s="1717">
        <f t="shared" si="105"/>
        <v>28</v>
      </c>
      <c r="C602" s="1717">
        <f t="shared" ref="C602:C616" si="106">C323</f>
        <v>1.5</v>
      </c>
      <c r="D602" s="1717">
        <f t="shared" ref="D602:D617" si="107">B602*C602</f>
        <v>42</v>
      </c>
      <c r="V602" s="1609"/>
      <c r="W602" s="1609"/>
      <c r="X602" s="1609"/>
      <c r="Y602" s="1609"/>
      <c r="Z602" s="1609"/>
      <c r="AA602" s="1609"/>
      <c r="AB602" s="1609"/>
      <c r="AC602" s="1609"/>
      <c r="AD602" s="1609"/>
      <c r="AE602" s="1609"/>
      <c r="AF602" s="1609"/>
      <c r="AG602" s="1609"/>
      <c r="AH602" s="1609"/>
      <c r="AI602" s="1609"/>
      <c r="AJ602" s="1609"/>
      <c r="AK602" s="1609"/>
      <c r="AL602" s="1609"/>
      <c r="AM602" s="1609"/>
      <c r="AN602" s="1609"/>
      <c r="AO602" s="1609"/>
      <c r="AP602" s="1609"/>
      <c r="AQ602" s="1609"/>
    </row>
    <row r="603" spans="1:43" s="1716" customFormat="1">
      <c r="A603" s="1717" t="str">
        <f t="shared" si="105"/>
        <v>B2</v>
      </c>
      <c r="B603" s="1717">
        <f t="shared" si="105"/>
        <v>0</v>
      </c>
      <c r="C603" s="1723">
        <f t="shared" si="106"/>
        <v>1.9000000000000001</v>
      </c>
      <c r="D603" s="1717">
        <f t="shared" si="107"/>
        <v>0</v>
      </c>
      <c r="V603" s="1609"/>
      <c r="W603" s="1609"/>
      <c r="X603" s="1609"/>
      <c r="Y603" s="1609"/>
      <c r="Z603" s="1609"/>
      <c r="AA603" s="1609"/>
      <c r="AB603" s="1609"/>
      <c r="AC603" s="1609"/>
      <c r="AD603" s="1609"/>
      <c r="AE603" s="1609"/>
      <c r="AF603" s="1609"/>
      <c r="AG603" s="1609"/>
      <c r="AH603" s="1609"/>
      <c r="AI603" s="1609"/>
      <c r="AJ603" s="1609"/>
      <c r="AK603" s="1609"/>
      <c r="AL603" s="1609"/>
      <c r="AM603" s="1609"/>
      <c r="AN603" s="1609"/>
      <c r="AO603" s="1609"/>
      <c r="AP603" s="1609"/>
      <c r="AQ603" s="1609"/>
    </row>
    <row r="604" spans="1:43" s="1716" customFormat="1">
      <c r="A604" s="1717" t="str">
        <f t="shared" si="105"/>
        <v>B3</v>
      </c>
      <c r="B604" s="1717">
        <f t="shared" si="105"/>
        <v>18.47</v>
      </c>
      <c r="C604" s="1723">
        <f t="shared" si="106"/>
        <v>1.25</v>
      </c>
      <c r="D604" s="1717">
        <f t="shared" si="107"/>
        <v>23.087499999999999</v>
      </c>
      <c r="V604" s="1609"/>
      <c r="W604" s="1609"/>
      <c r="X604" s="1609"/>
      <c r="Y604" s="1609"/>
      <c r="Z604" s="1609"/>
      <c r="AA604" s="1609"/>
      <c r="AB604" s="1609"/>
      <c r="AC604" s="1609"/>
      <c r="AD604" s="1609"/>
      <c r="AE604" s="1609"/>
      <c r="AF604" s="1609"/>
      <c r="AG604" s="1609"/>
      <c r="AH604" s="1609"/>
      <c r="AI604" s="1609"/>
      <c r="AJ604" s="1609"/>
      <c r="AK604" s="1609"/>
      <c r="AL604" s="1609"/>
      <c r="AM604" s="1609"/>
      <c r="AN604" s="1609"/>
      <c r="AO604" s="1609"/>
      <c r="AP604" s="1609"/>
      <c r="AQ604" s="1609"/>
    </row>
    <row r="605" spans="1:43" s="1716" customFormat="1">
      <c r="A605" s="1717" t="str">
        <f t="shared" si="105"/>
        <v>B4</v>
      </c>
      <c r="B605" s="1717">
        <f t="shared" si="105"/>
        <v>88.04</v>
      </c>
      <c r="C605" s="1723">
        <f t="shared" si="106"/>
        <v>1</v>
      </c>
      <c r="D605" s="1717">
        <f t="shared" si="107"/>
        <v>88.04</v>
      </c>
      <c r="V605" s="1609"/>
      <c r="W605" s="1609"/>
      <c r="X605" s="1609"/>
      <c r="Y605" s="1609"/>
      <c r="Z605" s="1609"/>
      <c r="AA605" s="1609"/>
      <c r="AB605" s="1609"/>
      <c r="AC605" s="1609"/>
      <c r="AD605" s="1609"/>
      <c r="AE605" s="1609"/>
      <c r="AF605" s="1609"/>
      <c r="AG605" s="1609"/>
      <c r="AH605" s="1609"/>
      <c r="AI605" s="1609"/>
      <c r="AJ605" s="1609"/>
      <c r="AK605" s="1609"/>
      <c r="AL605" s="1609"/>
      <c r="AM605" s="1609"/>
      <c r="AN605" s="1609"/>
      <c r="AO605" s="1609"/>
      <c r="AP605" s="1609"/>
      <c r="AQ605" s="1609"/>
    </row>
    <row r="606" spans="1:43" s="1716" customFormat="1">
      <c r="A606" s="1717" t="str">
        <f t="shared" si="105"/>
        <v>B5</v>
      </c>
      <c r="B606" s="1717">
        <f t="shared" si="105"/>
        <v>59.55</v>
      </c>
      <c r="C606" s="1723">
        <f t="shared" si="106"/>
        <v>0.95000000000000007</v>
      </c>
      <c r="D606" s="1717">
        <f t="shared" si="107"/>
        <v>56.572499999999998</v>
      </c>
      <c r="V606" s="1609"/>
      <c r="W606" s="1609"/>
      <c r="X606" s="1609"/>
      <c r="Y606" s="1609"/>
      <c r="Z606" s="1609"/>
      <c r="AA606" s="1609"/>
      <c r="AB606" s="1609"/>
      <c r="AC606" s="1609"/>
      <c r="AD606" s="1609"/>
      <c r="AE606" s="1609"/>
      <c r="AF606" s="1609"/>
      <c r="AG606" s="1609"/>
      <c r="AH606" s="1609"/>
      <c r="AI606" s="1609"/>
      <c r="AJ606" s="1609"/>
      <c r="AK606" s="1609"/>
      <c r="AL606" s="1609"/>
      <c r="AM606" s="1609"/>
      <c r="AN606" s="1609"/>
      <c r="AO606" s="1609"/>
      <c r="AP606" s="1609"/>
      <c r="AQ606" s="1609"/>
    </row>
    <row r="607" spans="1:43" s="1716" customFormat="1">
      <c r="A607" s="1717" t="str">
        <f t="shared" si="105"/>
        <v>B6</v>
      </c>
      <c r="B607" s="1717">
        <f t="shared" si="105"/>
        <v>0</v>
      </c>
      <c r="C607" s="1723">
        <f t="shared" si="106"/>
        <v>1.8</v>
      </c>
      <c r="D607" s="1717">
        <f t="shared" si="107"/>
        <v>0</v>
      </c>
      <c r="V607" s="1609"/>
      <c r="W607" s="1609"/>
      <c r="X607" s="1609"/>
      <c r="Y607" s="1609"/>
      <c r="Z607" s="1609"/>
      <c r="AA607" s="1609"/>
      <c r="AB607" s="1609"/>
      <c r="AC607" s="1609"/>
      <c r="AD607" s="1609"/>
      <c r="AE607" s="1609"/>
      <c r="AF607" s="1609"/>
      <c r="AG607" s="1609"/>
      <c r="AH607" s="1609"/>
      <c r="AI607" s="1609"/>
      <c r="AJ607" s="1609"/>
      <c r="AK607" s="1609"/>
      <c r="AL607" s="1609"/>
      <c r="AM607" s="1609"/>
      <c r="AN607" s="1609"/>
      <c r="AO607" s="1609"/>
      <c r="AP607" s="1609"/>
      <c r="AQ607" s="1609"/>
    </row>
    <row r="608" spans="1:43" s="1716" customFormat="1">
      <c r="A608" s="1717" t="str">
        <f t="shared" si="105"/>
        <v>B7</v>
      </c>
      <c r="B608" s="1717">
        <f t="shared" si="105"/>
        <v>0</v>
      </c>
      <c r="C608" s="1723">
        <f t="shared" si="106"/>
        <v>1.85</v>
      </c>
      <c r="D608" s="1717">
        <f t="shared" si="107"/>
        <v>0</v>
      </c>
      <c r="V608" s="1609"/>
      <c r="W608" s="1609"/>
      <c r="X608" s="1609"/>
      <c r="Y608" s="1609"/>
      <c r="Z608" s="1609"/>
      <c r="AA608" s="1609"/>
      <c r="AB608" s="1609"/>
      <c r="AC608" s="1609"/>
      <c r="AD608" s="1609"/>
      <c r="AE608" s="1609"/>
      <c r="AF608" s="1609"/>
      <c r="AG608" s="1609"/>
      <c r="AH608" s="1609"/>
      <c r="AI608" s="1609"/>
      <c r="AJ608" s="1609"/>
      <c r="AK608" s="1609"/>
      <c r="AL608" s="1609"/>
      <c r="AM608" s="1609"/>
      <c r="AN608" s="1609"/>
      <c r="AO608" s="1609"/>
      <c r="AP608" s="1609"/>
      <c r="AQ608" s="1609"/>
    </row>
    <row r="609" spans="1:43" s="1716" customFormat="1">
      <c r="A609" s="1717" t="str">
        <f t="shared" si="105"/>
        <v>B8</v>
      </c>
      <c r="B609" s="1717">
        <f t="shared" si="105"/>
        <v>41.4</v>
      </c>
      <c r="C609" s="1723">
        <f t="shared" si="106"/>
        <v>0.75</v>
      </c>
      <c r="D609" s="1717">
        <f t="shared" si="107"/>
        <v>31.049999999999997</v>
      </c>
      <c r="V609" s="1609"/>
      <c r="W609" s="1609"/>
      <c r="X609" s="1609"/>
      <c r="Y609" s="1609"/>
      <c r="Z609" s="1609"/>
      <c r="AA609" s="1609"/>
      <c r="AB609" s="1609"/>
      <c r="AC609" s="1609"/>
      <c r="AD609" s="1609"/>
      <c r="AE609" s="1609"/>
      <c r="AF609" s="1609"/>
      <c r="AG609" s="1609"/>
      <c r="AH609" s="1609"/>
      <c r="AI609" s="1609"/>
      <c r="AJ609" s="1609"/>
      <c r="AK609" s="1609"/>
      <c r="AL609" s="1609"/>
      <c r="AM609" s="1609"/>
      <c r="AN609" s="1609"/>
      <c r="AO609" s="1609"/>
      <c r="AP609" s="1609"/>
      <c r="AQ609" s="1609"/>
    </row>
    <row r="610" spans="1:43" s="1716" customFormat="1">
      <c r="A610" s="1717" t="str">
        <f t="shared" si="105"/>
        <v>B9</v>
      </c>
      <c r="B610" s="1717">
        <f t="shared" si="105"/>
        <v>63.354999999999997</v>
      </c>
      <c r="C610" s="1723">
        <f t="shared" si="106"/>
        <v>1.75</v>
      </c>
      <c r="D610" s="1717">
        <f t="shared" si="107"/>
        <v>110.87124999999999</v>
      </c>
      <c r="V610" s="1609"/>
      <c r="W610" s="1609"/>
      <c r="X610" s="1609"/>
      <c r="Y610" s="1609"/>
      <c r="Z610" s="1609"/>
      <c r="AA610" s="1609"/>
      <c r="AB610" s="1609"/>
      <c r="AC610" s="1609"/>
      <c r="AD610" s="1609"/>
      <c r="AE610" s="1609"/>
      <c r="AF610" s="1609"/>
      <c r="AG610" s="1609"/>
      <c r="AH610" s="1609"/>
      <c r="AI610" s="1609"/>
      <c r="AJ610" s="1609"/>
      <c r="AK610" s="1609"/>
      <c r="AL610" s="1609"/>
      <c r="AM610" s="1609"/>
      <c r="AN610" s="1609"/>
      <c r="AO610" s="1609"/>
      <c r="AP610" s="1609"/>
      <c r="AQ610" s="1609"/>
    </row>
    <row r="611" spans="1:43" s="1716" customFormat="1">
      <c r="A611" s="1717" t="str">
        <f t="shared" si="105"/>
        <v>B10</v>
      </c>
      <c r="B611" s="1717">
        <f t="shared" si="105"/>
        <v>0</v>
      </c>
      <c r="C611" s="1723">
        <f t="shared" si="106"/>
        <v>1.8699999999999999</v>
      </c>
      <c r="D611" s="1717">
        <f t="shared" si="107"/>
        <v>0</v>
      </c>
      <c r="V611" s="1609"/>
      <c r="W611" s="1609"/>
      <c r="X611" s="1609"/>
      <c r="Y611" s="1609"/>
      <c r="Z611" s="1609"/>
      <c r="AA611" s="1609"/>
      <c r="AB611" s="1609"/>
      <c r="AC611" s="1609"/>
      <c r="AD611" s="1609"/>
      <c r="AE611" s="1609"/>
      <c r="AF611" s="1609"/>
      <c r="AG611" s="1609"/>
      <c r="AH611" s="1609"/>
      <c r="AI611" s="1609"/>
      <c r="AJ611" s="1609"/>
      <c r="AK611" s="1609"/>
      <c r="AL611" s="1609"/>
      <c r="AM611" s="1609"/>
      <c r="AN611" s="1609"/>
      <c r="AO611" s="1609"/>
      <c r="AP611" s="1609"/>
      <c r="AQ611" s="1609"/>
    </row>
    <row r="612" spans="1:43" s="1716" customFormat="1">
      <c r="A612" s="1717" t="str">
        <f t="shared" si="105"/>
        <v>B11</v>
      </c>
      <c r="B612" s="1717">
        <f t="shared" si="105"/>
        <v>0</v>
      </c>
      <c r="C612" s="1723">
        <f t="shared" si="106"/>
        <v>1.5999999999999999</v>
      </c>
      <c r="D612" s="1717">
        <f t="shared" si="107"/>
        <v>0</v>
      </c>
      <c r="V612" s="1609"/>
      <c r="W612" s="1609"/>
      <c r="X612" s="1609"/>
      <c r="Y612" s="1609"/>
      <c r="Z612" s="1609"/>
      <c r="AA612" s="1609"/>
      <c r="AB612" s="1609"/>
      <c r="AC612" s="1609"/>
      <c r="AD612" s="1609"/>
      <c r="AE612" s="1609"/>
      <c r="AF612" s="1609"/>
      <c r="AG612" s="1609"/>
      <c r="AH612" s="1609"/>
      <c r="AI612" s="1609"/>
      <c r="AJ612" s="1609"/>
      <c r="AK612" s="1609"/>
      <c r="AL612" s="1609"/>
      <c r="AM612" s="1609"/>
      <c r="AN612" s="1609"/>
      <c r="AO612" s="1609"/>
      <c r="AP612" s="1609"/>
      <c r="AQ612" s="1609"/>
    </row>
    <row r="613" spans="1:43" s="1716" customFormat="1">
      <c r="A613" s="1918" t="str">
        <f t="shared" si="105"/>
        <v>B12</v>
      </c>
      <c r="B613" s="1918">
        <f t="shared" si="105"/>
        <v>0</v>
      </c>
      <c r="C613" s="1918">
        <f t="shared" si="106"/>
        <v>0</v>
      </c>
      <c r="D613" s="1918">
        <f>B613*C613</f>
        <v>0</v>
      </c>
      <c r="V613" s="1919"/>
      <c r="W613" s="1919"/>
      <c r="X613" s="1919"/>
      <c r="Y613" s="1919"/>
      <c r="Z613" s="1919"/>
      <c r="AA613" s="1919"/>
      <c r="AB613" s="1919"/>
      <c r="AC613" s="1919"/>
      <c r="AD613" s="1919"/>
      <c r="AE613" s="1919"/>
      <c r="AF613" s="1919"/>
      <c r="AG613" s="1919"/>
      <c r="AH613" s="1919"/>
      <c r="AI613" s="1919"/>
      <c r="AJ613" s="1919"/>
      <c r="AK613" s="1919"/>
      <c r="AL613" s="1919"/>
      <c r="AM613" s="1919"/>
      <c r="AN613" s="1919"/>
      <c r="AO613" s="1919"/>
      <c r="AP613" s="1919"/>
      <c r="AQ613" s="1919"/>
    </row>
    <row r="614" spans="1:43" s="1716" customFormat="1">
      <c r="A614" s="1945" t="str">
        <f t="shared" si="105"/>
        <v>B13</v>
      </c>
      <c r="B614" s="1945">
        <f t="shared" si="105"/>
        <v>0</v>
      </c>
      <c r="C614" s="1945">
        <f t="shared" si="106"/>
        <v>0</v>
      </c>
      <c r="D614" s="1945">
        <f>B614*C614</f>
        <v>0</v>
      </c>
      <c r="V614" s="1944"/>
      <c r="W614" s="1944"/>
      <c r="X614" s="1944"/>
      <c r="Y614" s="1944"/>
      <c r="Z614" s="1944"/>
      <c r="AA614" s="1944"/>
      <c r="AB614" s="1944"/>
      <c r="AC614" s="1944"/>
      <c r="AD614" s="1944"/>
      <c r="AE614" s="1944"/>
      <c r="AF614" s="1944"/>
      <c r="AG614" s="1944"/>
      <c r="AH614" s="1944"/>
      <c r="AI614" s="1944"/>
      <c r="AJ614" s="1944"/>
      <c r="AK614" s="1944"/>
      <c r="AL614" s="1944"/>
      <c r="AM614" s="1944"/>
      <c r="AN614" s="1944"/>
      <c r="AO614" s="1944"/>
      <c r="AP614" s="1944"/>
      <c r="AQ614" s="1944"/>
    </row>
    <row r="615" spans="1:43" s="1716" customFormat="1">
      <c r="A615" s="1945" t="str">
        <f t="shared" si="105"/>
        <v>B14</v>
      </c>
      <c r="B615" s="1945">
        <f t="shared" si="105"/>
        <v>0</v>
      </c>
      <c r="C615" s="1945">
        <f t="shared" si="106"/>
        <v>0</v>
      </c>
      <c r="D615" s="1945">
        <f>B615*C615</f>
        <v>0</v>
      </c>
      <c r="V615" s="1944"/>
      <c r="W615" s="1944"/>
      <c r="X615" s="1944"/>
      <c r="Y615" s="1944"/>
      <c r="Z615" s="1944"/>
      <c r="AA615" s="1944"/>
      <c r="AB615" s="1944"/>
      <c r="AC615" s="1944"/>
      <c r="AD615" s="1944"/>
      <c r="AE615" s="1944"/>
      <c r="AF615" s="1944"/>
      <c r="AG615" s="1944"/>
      <c r="AH615" s="1944"/>
      <c r="AI615" s="1944"/>
      <c r="AJ615" s="1944"/>
      <c r="AK615" s="1944"/>
      <c r="AL615" s="1944"/>
      <c r="AM615" s="1944"/>
      <c r="AN615" s="1944"/>
      <c r="AO615" s="1944"/>
      <c r="AP615" s="1944"/>
      <c r="AQ615" s="1944"/>
    </row>
    <row r="616" spans="1:43" s="1716" customFormat="1">
      <c r="A616" s="1945" t="str">
        <f t="shared" si="105"/>
        <v>B15</v>
      </c>
      <c r="B616" s="1945">
        <f t="shared" si="105"/>
        <v>0</v>
      </c>
      <c r="C616" s="1945">
        <f t="shared" si="106"/>
        <v>0</v>
      </c>
      <c r="D616" s="1945">
        <f>B616*C616</f>
        <v>0</v>
      </c>
      <c r="V616" s="1944"/>
      <c r="W616" s="1944"/>
      <c r="X616" s="1944"/>
      <c r="Y616" s="1944"/>
      <c r="Z616" s="1944"/>
      <c r="AA616" s="1944"/>
      <c r="AB616" s="1944"/>
      <c r="AC616" s="1944"/>
      <c r="AD616" s="1944"/>
      <c r="AE616" s="1944"/>
      <c r="AF616" s="1944"/>
      <c r="AG616" s="1944"/>
      <c r="AH616" s="1944"/>
      <c r="AI616" s="1944"/>
      <c r="AJ616" s="1944"/>
      <c r="AK616" s="1944"/>
      <c r="AL616" s="1944"/>
      <c r="AM616" s="1944"/>
      <c r="AN616" s="1944"/>
      <c r="AO616" s="1944"/>
      <c r="AP616" s="1944"/>
      <c r="AQ616" s="1944"/>
    </row>
    <row r="617" spans="1:43" s="1716" customFormat="1">
      <c r="A617" s="1717" t="str">
        <f t="shared" si="105"/>
        <v>RB</v>
      </c>
      <c r="B617" s="1717">
        <f t="shared" si="105"/>
        <v>52.2</v>
      </c>
      <c r="C617" s="1723">
        <f>C338</f>
        <v>0.52</v>
      </c>
      <c r="D617" s="1717">
        <f t="shared" si="107"/>
        <v>27.144000000000002</v>
      </c>
      <c r="V617" s="1609"/>
      <c r="W617" s="1609"/>
      <c r="X617" s="1609"/>
      <c r="Y617" s="1609"/>
      <c r="Z617" s="1609"/>
      <c r="AA617" s="1609"/>
      <c r="AB617" s="1609"/>
      <c r="AC617" s="1609"/>
      <c r="AD617" s="1609"/>
      <c r="AE617" s="1609"/>
      <c r="AF617" s="1609"/>
      <c r="AG617" s="1609"/>
      <c r="AH617" s="1609"/>
      <c r="AI617" s="1609"/>
      <c r="AJ617" s="1609"/>
      <c r="AK617" s="1609"/>
      <c r="AL617" s="1609"/>
      <c r="AM617" s="1609"/>
      <c r="AN617" s="1609"/>
      <c r="AO617" s="1609"/>
      <c r="AP617" s="1609"/>
      <c r="AQ617" s="1609"/>
    </row>
    <row r="618" spans="1:43" s="1716" customFormat="1" ht="15">
      <c r="C618" s="1738" t="s">
        <v>2076</v>
      </c>
      <c r="D618" s="1603">
        <f>SUM(D602:D617)</f>
        <v>378.76524999999998</v>
      </c>
      <c r="V618" s="1609"/>
      <c r="W618" s="1609"/>
      <c r="X618" s="1609"/>
      <c r="Y618" s="1609"/>
      <c r="Z618" s="1609"/>
      <c r="AA618" s="1609"/>
      <c r="AB618" s="1609"/>
      <c r="AC618" s="1609"/>
      <c r="AD618" s="1609"/>
      <c r="AE618" s="1609"/>
      <c r="AF618" s="1609"/>
      <c r="AG618" s="1609"/>
      <c r="AH618" s="1609"/>
      <c r="AI618" s="1609"/>
      <c r="AJ618" s="1609"/>
      <c r="AK618" s="1609"/>
      <c r="AL618" s="1609"/>
      <c r="AM618" s="1609"/>
      <c r="AN618" s="1609"/>
      <c r="AO618" s="1609"/>
      <c r="AP618" s="1609"/>
      <c r="AQ618" s="1609"/>
    </row>
    <row r="619" spans="1:43" s="1716" customFormat="1"/>
    <row r="620" spans="1:43" s="1933" customFormat="1" ht="15" customHeight="1">
      <c r="A620" s="2733" t="s">
        <v>2016</v>
      </c>
      <c r="B620" s="2734"/>
      <c r="C620" s="2734"/>
      <c r="D620" s="2734"/>
      <c r="E620" s="2735"/>
    </row>
    <row r="621" spans="1:43" s="1716" customFormat="1" ht="15" customHeight="1">
      <c r="A621" s="1731" t="s">
        <v>1987</v>
      </c>
      <c r="B621" s="1730" t="s">
        <v>1205</v>
      </c>
      <c r="C621" s="1731" t="s">
        <v>1111</v>
      </c>
      <c r="D621" s="1731" t="s">
        <v>1243</v>
      </c>
      <c r="E621" s="1730" t="s">
        <v>1568</v>
      </c>
    </row>
    <row r="622" spans="1:43" s="1716" customFormat="1" ht="15" customHeight="1">
      <c r="A622" s="1729" t="s">
        <v>1709</v>
      </c>
      <c r="B622" s="1719">
        <v>0</v>
      </c>
      <c r="C622" s="1719"/>
      <c r="D622" s="1719">
        <v>0.15</v>
      </c>
      <c r="E622" s="1719">
        <f>B622*C622*D622</f>
        <v>0</v>
      </c>
    </row>
    <row r="623" spans="1:43" s="1716" customFormat="1" ht="15" customHeight="1">
      <c r="A623" s="1717"/>
      <c r="B623" s="1717">
        <v>0</v>
      </c>
      <c r="C623" s="1717"/>
      <c r="D623" s="1717">
        <v>0.15</v>
      </c>
      <c r="E623" s="1717">
        <f>B623*C623*D623</f>
        <v>0</v>
      </c>
    </row>
    <row r="624" spans="1:43" s="1716" customFormat="1" ht="15" customHeight="1">
      <c r="A624" s="1717" t="s">
        <v>1710</v>
      </c>
      <c r="B624" s="1717">
        <v>0</v>
      </c>
      <c r="C624" s="1717">
        <v>0</v>
      </c>
      <c r="D624" s="1717">
        <v>0.15</v>
      </c>
      <c r="E624" s="1717">
        <f>B624*C624*D624</f>
        <v>0</v>
      </c>
    </row>
    <row r="625" spans="1:19" s="1716" customFormat="1">
      <c r="A625" s="1717"/>
      <c r="B625" s="1717">
        <v>0</v>
      </c>
      <c r="C625" s="1717">
        <v>0</v>
      </c>
      <c r="D625" s="1717">
        <v>0.15</v>
      </c>
      <c r="E625" s="1717">
        <f>B625*C625*D625</f>
        <v>0</v>
      </c>
    </row>
    <row r="626" spans="1:19" s="1716" customFormat="1" ht="15">
      <c r="D626" s="1738" t="s">
        <v>2078</v>
      </c>
      <c r="E626" s="1126">
        <f>SUM(E622:E625)</f>
        <v>0</v>
      </c>
    </row>
    <row r="627" spans="1:19" s="1716" customFormat="1"/>
    <row r="628" spans="1:19" s="1716" customFormat="1">
      <c r="A628" s="2717" t="s">
        <v>2018</v>
      </c>
      <c r="B628" s="2718"/>
      <c r="C628" s="2718"/>
      <c r="D628" s="2718"/>
      <c r="E628" s="2718"/>
      <c r="F628" s="2718"/>
      <c r="G628" s="2736"/>
    </row>
    <row r="629" spans="1:19" s="1716" customFormat="1">
      <c r="A629" s="1729" t="s">
        <v>1996</v>
      </c>
      <c r="B629" s="1719" t="s">
        <v>1205</v>
      </c>
      <c r="C629" s="1719" t="s">
        <v>1607</v>
      </c>
      <c r="D629" s="1719" t="s">
        <v>1168</v>
      </c>
      <c r="E629" s="1719" t="s">
        <v>1205</v>
      </c>
      <c r="F629" s="1719" t="s">
        <v>1243</v>
      </c>
      <c r="G629" s="1719"/>
    </row>
    <row r="630" spans="1:19" s="1716" customFormat="1">
      <c r="A630" s="2737" t="s">
        <v>2079</v>
      </c>
      <c r="B630" s="1717">
        <f>B622</f>
        <v>0</v>
      </c>
      <c r="C630" s="1717">
        <f>B630/0.2</f>
        <v>0</v>
      </c>
      <c r="D630" s="1717">
        <f>ROUNDUP(C630,0)</f>
        <v>0</v>
      </c>
      <c r="E630" s="1717">
        <f>(2*(B632-0.05))+0.2</f>
        <v>0.1</v>
      </c>
      <c r="F630" s="1717">
        <f>D630*E630</f>
        <v>0</v>
      </c>
      <c r="G630" s="1596">
        <f>F630*0.89</f>
        <v>0</v>
      </c>
      <c r="I630" s="1533"/>
      <c r="J630" s="1533"/>
      <c r="K630" s="1533"/>
      <c r="L630" s="1533"/>
    </row>
    <row r="631" spans="1:19" s="1716" customFormat="1">
      <c r="A631" s="2720"/>
      <c r="B631" s="1717"/>
      <c r="C631" s="1717"/>
      <c r="D631" s="1717"/>
      <c r="E631" s="1717"/>
      <c r="F631" s="1717"/>
      <c r="G631" s="1717"/>
      <c r="I631" s="1533"/>
      <c r="J631" s="1533"/>
      <c r="K631" s="1533"/>
      <c r="L631" s="1533"/>
    </row>
    <row r="632" spans="1:19" s="1716" customFormat="1">
      <c r="A632" s="2738"/>
      <c r="B632" s="1717">
        <v>0</v>
      </c>
      <c r="C632" s="1717">
        <f>B632/0.2</f>
        <v>0</v>
      </c>
      <c r="D632" s="1717">
        <f>ROUNDUP(C632,0)</f>
        <v>0</v>
      </c>
      <c r="E632" s="1717">
        <f>(2*(B630-0.05))+0.2</f>
        <v>0.1</v>
      </c>
      <c r="F632" s="1717">
        <f>D632*E632</f>
        <v>0</v>
      </c>
      <c r="G632" s="1596">
        <f>F632*0.4</f>
        <v>0</v>
      </c>
      <c r="L632" s="1533"/>
      <c r="S632" s="1128"/>
    </row>
    <row r="633" spans="1:19" s="1716" customFormat="1">
      <c r="F633" s="1128"/>
    </row>
    <row r="634" spans="1:19" s="1716" customFormat="1">
      <c r="A634" s="2717" t="s">
        <v>2017</v>
      </c>
      <c r="B634" s="2718"/>
      <c r="C634" s="2718"/>
      <c r="D634" s="2718"/>
      <c r="E634" s="2718"/>
      <c r="F634" s="2718"/>
      <c r="G634" s="2736"/>
    </row>
    <row r="635" spans="1:19" s="1716" customFormat="1">
      <c r="A635" s="2737" t="s">
        <v>2079</v>
      </c>
      <c r="B635" s="1719">
        <f>B623</f>
        <v>0</v>
      </c>
      <c r="C635" s="1719">
        <f>B635/0.2</f>
        <v>0</v>
      </c>
      <c r="D635" s="1719">
        <f>ROUNDUP(C635,0)</f>
        <v>0</v>
      </c>
      <c r="E635" s="1719">
        <f>(2*(B636-0.05))+0.2</f>
        <v>0.1</v>
      </c>
      <c r="F635" s="1719">
        <f>D635*E635</f>
        <v>0</v>
      </c>
      <c r="G635" s="1728">
        <f>F635*0.89</f>
        <v>0</v>
      </c>
    </row>
    <row r="636" spans="1:19" s="1716" customFormat="1">
      <c r="A636" s="2738"/>
      <c r="B636" s="1717"/>
      <c r="C636" s="1717"/>
      <c r="D636" s="1717">
        <f>ROUNDUP(C636,0)</f>
        <v>0</v>
      </c>
      <c r="E636" s="1717">
        <f>(2*(B635-0.05))+0.2</f>
        <v>0.1</v>
      </c>
      <c r="F636" s="1717">
        <f>D636*E636</f>
        <v>0</v>
      </c>
      <c r="G636" s="1596">
        <f>F636*0.4</f>
        <v>0</v>
      </c>
    </row>
    <row r="637" spans="1:19" s="1716" customFormat="1"/>
    <row r="638" spans="1:19" s="1716" customFormat="1">
      <c r="A638" s="2767" t="s">
        <v>2019</v>
      </c>
      <c r="B638" s="2768"/>
      <c r="C638" s="2768"/>
      <c r="D638" s="2768"/>
      <c r="E638" s="2768"/>
      <c r="F638" s="2768"/>
      <c r="G638" s="2769"/>
    </row>
    <row r="639" spans="1:19" s="1716" customFormat="1">
      <c r="A639" s="1719" t="s">
        <v>1996</v>
      </c>
      <c r="B639" s="1719" t="s">
        <v>1205</v>
      </c>
      <c r="C639" s="1719" t="s">
        <v>1607</v>
      </c>
      <c r="D639" s="1719" t="s">
        <v>1168</v>
      </c>
      <c r="E639" s="1719" t="s">
        <v>1205</v>
      </c>
      <c r="F639" s="1719" t="s">
        <v>1243</v>
      </c>
      <c r="G639" s="1719"/>
    </row>
    <row r="640" spans="1:19" s="1716" customFormat="1">
      <c r="A640" s="2737" t="s">
        <v>2080</v>
      </c>
      <c r="B640" s="1717">
        <f>B624</f>
        <v>0</v>
      </c>
      <c r="C640" s="1717">
        <f>B640/0.2</f>
        <v>0</v>
      </c>
      <c r="D640" s="1717">
        <f>ROUNDUP(C640,0)</f>
        <v>0</v>
      </c>
      <c r="E640" s="1717">
        <f>(2*(B642-0.05))+0.2</f>
        <v>0.1</v>
      </c>
      <c r="F640" s="1717">
        <f>D640*E640</f>
        <v>0</v>
      </c>
      <c r="G640" s="1596">
        <f>F640*0.89</f>
        <v>0</v>
      </c>
    </row>
    <row r="641" spans="1:19" s="1716" customFormat="1">
      <c r="A641" s="2720"/>
      <c r="B641" s="1717"/>
      <c r="C641" s="1717"/>
      <c r="D641" s="1717"/>
      <c r="E641" s="1717"/>
      <c r="F641" s="1717"/>
      <c r="G641" s="1717"/>
    </row>
    <row r="642" spans="1:19" s="1716" customFormat="1">
      <c r="A642" s="2738"/>
      <c r="B642" s="1717">
        <v>0</v>
      </c>
      <c r="C642" s="1717">
        <f>B642/0.2</f>
        <v>0</v>
      </c>
      <c r="D642" s="1717">
        <f>ROUNDUP(C642,0)</f>
        <v>0</v>
      </c>
      <c r="E642" s="1717">
        <f>(2*(B640-0.05))+0.2</f>
        <v>0.1</v>
      </c>
      <c r="F642" s="1717">
        <f>D642*E642</f>
        <v>0</v>
      </c>
      <c r="G642" s="1596">
        <f>F642*0.4</f>
        <v>0</v>
      </c>
      <c r="S642" s="1128"/>
    </row>
    <row r="643" spans="1:19" s="1716" customFormat="1">
      <c r="F643" s="1128"/>
    </row>
    <row r="644" spans="1:19" s="1716" customFormat="1">
      <c r="A644" s="2767" t="s">
        <v>2017</v>
      </c>
      <c r="B644" s="2768"/>
      <c r="C644" s="2768"/>
      <c r="D644" s="2768"/>
      <c r="E644" s="2768"/>
      <c r="F644" s="2768"/>
      <c r="G644" s="2769"/>
    </row>
    <row r="645" spans="1:19" s="1716" customFormat="1">
      <c r="A645" s="2719" t="s">
        <v>2080</v>
      </c>
      <c r="B645" s="1719">
        <f>B625</f>
        <v>0</v>
      </c>
      <c r="C645" s="1719">
        <f>B645/0.2</f>
        <v>0</v>
      </c>
      <c r="D645" s="1719">
        <f>ROUNDUP(C645,0)</f>
        <v>0</v>
      </c>
      <c r="E645" s="1719">
        <f>(2*(B646-0.05))+0.2</f>
        <v>0.1</v>
      </c>
      <c r="F645" s="1719">
        <f>D645*E645</f>
        <v>0</v>
      </c>
      <c r="G645" s="1728">
        <f>F645*0.89</f>
        <v>0</v>
      </c>
    </row>
    <row r="646" spans="1:19" s="1716" customFormat="1">
      <c r="A646" s="2738"/>
      <c r="B646" s="1717">
        <v>0</v>
      </c>
      <c r="C646" s="1717">
        <f>B646/0.2</f>
        <v>0</v>
      </c>
      <c r="D646" s="1717">
        <f>ROUNDUP(C646,0)</f>
        <v>0</v>
      </c>
      <c r="E646" s="1717">
        <f>(2*(B645-0.05))+0.2</f>
        <v>0.1</v>
      </c>
      <c r="F646" s="1717">
        <f>D646*E646</f>
        <v>0</v>
      </c>
      <c r="G646" s="1596">
        <f>F646*0.4</f>
        <v>0</v>
      </c>
    </row>
    <row r="647" spans="1:19" s="1716" customFormat="1" ht="15">
      <c r="E647" s="2725" t="s">
        <v>2097</v>
      </c>
      <c r="F647" s="2726"/>
      <c r="G647" s="1126">
        <f>G630+G635+G640+G645</f>
        <v>0</v>
      </c>
    </row>
    <row r="648" spans="1:19" s="1716" customFormat="1" ht="15">
      <c r="E648" s="2725" t="s">
        <v>2096</v>
      </c>
      <c r="F648" s="2726"/>
      <c r="G648" s="1126">
        <f>G632+G636+G642+G646</f>
        <v>0</v>
      </c>
    </row>
    <row r="649" spans="1:19" s="1716" customFormat="1"/>
    <row r="650" spans="1:19" s="1716" customFormat="1">
      <c r="A650" s="1731" t="s">
        <v>2047</v>
      </c>
      <c r="B650" s="1731" t="s">
        <v>2009</v>
      </c>
      <c r="C650" s="1731" t="s">
        <v>2045</v>
      </c>
      <c r="D650" s="1731" t="s">
        <v>1568</v>
      </c>
    </row>
    <row r="651" spans="1:19" s="1716" customFormat="1">
      <c r="A651" s="2719" t="s">
        <v>2079</v>
      </c>
      <c r="B651" s="1719">
        <f t="shared" ref="B651:C654" si="108">B622</f>
        <v>0</v>
      </c>
      <c r="C651" s="1719">
        <f t="shared" si="108"/>
        <v>0</v>
      </c>
      <c r="D651" s="1719">
        <f>B651*C651</f>
        <v>0</v>
      </c>
    </row>
    <row r="652" spans="1:19" s="1716" customFormat="1">
      <c r="A652" s="2738"/>
      <c r="B652" s="1717">
        <f t="shared" si="108"/>
        <v>0</v>
      </c>
      <c r="C652" s="1717">
        <f t="shared" si="108"/>
        <v>0</v>
      </c>
      <c r="D652" s="1717">
        <f>B652*C652</f>
        <v>0</v>
      </c>
    </row>
    <row r="653" spans="1:19" s="1716" customFormat="1">
      <c r="A653" s="2737" t="s">
        <v>2081</v>
      </c>
      <c r="B653" s="1717">
        <f t="shared" si="108"/>
        <v>0</v>
      </c>
      <c r="C653" s="1717">
        <f t="shared" si="108"/>
        <v>0</v>
      </c>
      <c r="D653" s="1717">
        <f>B653*C653</f>
        <v>0</v>
      </c>
    </row>
    <row r="654" spans="1:19" s="1716" customFormat="1">
      <c r="A654" s="2738"/>
      <c r="B654" s="1717">
        <f t="shared" si="108"/>
        <v>0</v>
      </c>
      <c r="C654" s="1717">
        <f t="shared" si="108"/>
        <v>0</v>
      </c>
      <c r="D654" s="1717">
        <f>B654*C654</f>
        <v>0</v>
      </c>
    </row>
    <row r="655" spans="1:19" s="1716" customFormat="1" ht="15">
      <c r="C655" s="1740" t="s">
        <v>2076</v>
      </c>
      <c r="D655" s="1597">
        <f>SUM(D651:D654)</f>
        <v>0</v>
      </c>
    </row>
    <row r="656" spans="1:19" s="1716" customFormat="1" ht="14.25" customHeight="1"/>
    <row r="657" spans="1:6" s="1716" customFormat="1">
      <c r="A657" s="2756" t="s">
        <v>2085</v>
      </c>
      <c r="B657" s="1731" t="s">
        <v>2009</v>
      </c>
      <c r="C657" s="1731" t="s">
        <v>2045</v>
      </c>
      <c r="D657" s="1731" t="s">
        <v>1568</v>
      </c>
    </row>
    <row r="658" spans="1:6" s="1716" customFormat="1">
      <c r="A658" s="2757"/>
      <c r="B658" s="1717">
        <v>0</v>
      </c>
      <c r="C658" s="1720">
        <v>0</v>
      </c>
      <c r="D658" s="1717">
        <v>0</v>
      </c>
    </row>
    <row r="659" spans="1:6" s="1716" customFormat="1" ht="15" customHeight="1">
      <c r="A659" s="2758"/>
      <c r="B659" s="2760" t="s">
        <v>2078</v>
      </c>
      <c r="C659" s="2761"/>
      <c r="D659" s="1596">
        <f>B658*C658*D658</f>
        <v>0</v>
      </c>
    </row>
    <row r="660" spans="1:6" s="1716" customFormat="1" ht="15">
      <c r="A660" s="2759"/>
      <c r="B660" s="2760" t="s">
        <v>2082</v>
      </c>
      <c r="C660" s="2761"/>
      <c r="D660" s="1597">
        <f>D659-(0.4*0.1)*0</f>
        <v>0</v>
      </c>
    </row>
    <row r="661" spans="1:6" s="1716" customFormat="1" ht="14.25" customHeight="1"/>
    <row r="662" spans="1:6" s="1716" customFormat="1">
      <c r="A662" s="2752" t="s">
        <v>2084</v>
      </c>
      <c r="B662" s="1731" t="s">
        <v>1205</v>
      </c>
      <c r="C662" s="1731" t="s">
        <v>1607</v>
      </c>
      <c r="D662" s="1731" t="s">
        <v>2093</v>
      </c>
      <c r="E662" s="1731" t="s">
        <v>1205</v>
      </c>
      <c r="F662" s="1731" t="s">
        <v>1568</v>
      </c>
    </row>
    <row r="663" spans="1:6" s="1716" customFormat="1">
      <c r="A663" s="2765"/>
      <c r="B663" s="1721">
        <f>B658</f>
        <v>0</v>
      </c>
      <c r="C663" s="1717">
        <f>B663/0.15</f>
        <v>0</v>
      </c>
      <c r="D663" s="1717">
        <f>ROUNDUP(C663,0)</f>
        <v>0</v>
      </c>
      <c r="E663" s="1717">
        <f>B664-0.05</f>
        <v>-0.05</v>
      </c>
      <c r="F663" s="1717">
        <f>D663*E663</f>
        <v>0</v>
      </c>
    </row>
    <row r="664" spans="1:6" s="1716" customFormat="1">
      <c r="A664" s="2766"/>
      <c r="B664" s="1721">
        <f>C658</f>
        <v>0</v>
      </c>
      <c r="C664" s="1717">
        <f>B664/0.15</f>
        <v>0</v>
      </c>
      <c r="D664" s="1718">
        <f>ROUNDUP(C664,0)</f>
        <v>0</v>
      </c>
      <c r="E664" s="1718">
        <f>B663-0.05</f>
        <v>-0.05</v>
      </c>
      <c r="F664" s="1718">
        <f>D664*E664</f>
        <v>0</v>
      </c>
    </row>
    <row r="665" spans="1:6" s="1716" customFormat="1" ht="15">
      <c r="A665" s="1598"/>
      <c r="B665" s="1598"/>
      <c r="C665" s="1598"/>
      <c r="D665" s="2751" t="s">
        <v>2086</v>
      </c>
      <c r="E665" s="2751"/>
      <c r="F665" s="1596">
        <f>F663*0.62</f>
        <v>0</v>
      </c>
    </row>
    <row r="666" spans="1:6" s="1716" customFormat="1" ht="15">
      <c r="A666" s="1598"/>
      <c r="B666" s="1598"/>
      <c r="C666" s="1598"/>
      <c r="D666" s="2751" t="s">
        <v>2087</v>
      </c>
      <c r="E666" s="2751"/>
      <c r="F666" s="1597">
        <f>F664*0.62</f>
        <v>0</v>
      </c>
    </row>
    <row r="667" spans="1:6" s="1716" customFormat="1"/>
    <row r="668" spans="1:6" s="1716" customFormat="1">
      <c r="A668" s="2752" t="s">
        <v>2083</v>
      </c>
      <c r="B668" s="1731" t="s">
        <v>1205</v>
      </c>
      <c r="C668" s="1731" t="s">
        <v>1111</v>
      </c>
      <c r="D668" s="1731" t="s">
        <v>1568</v>
      </c>
    </row>
    <row r="669" spans="1:6" s="1716" customFormat="1">
      <c r="A669" s="2753"/>
      <c r="B669" s="1721">
        <f>B658</f>
        <v>0</v>
      </c>
      <c r="C669" s="1717">
        <f>C658</f>
        <v>0</v>
      </c>
      <c r="D669" s="1717">
        <f>B669*C669</f>
        <v>0</v>
      </c>
    </row>
    <row r="670" spans="1:6" s="1716" customFormat="1">
      <c r="A670" s="2754"/>
      <c r="B670" s="1721">
        <f>B658</f>
        <v>0</v>
      </c>
      <c r="C670" s="1717">
        <f>D658</f>
        <v>0</v>
      </c>
      <c r="D670" s="1717">
        <f>B670*C670</f>
        <v>0</v>
      </c>
    </row>
    <row r="671" spans="1:6" s="1716" customFormat="1" ht="15">
      <c r="C671" s="1740" t="s">
        <v>2076</v>
      </c>
      <c r="D671" s="1596">
        <f>SUM(D669:D670)</f>
        <v>0</v>
      </c>
    </row>
    <row r="672" spans="1:6" s="1716" customFormat="1"/>
    <row r="673" spans="1:16" s="1716" customFormat="1">
      <c r="A673" s="2731" t="s">
        <v>2056</v>
      </c>
      <c r="B673" s="2732"/>
      <c r="C673" s="2732"/>
      <c r="D673" s="2732"/>
      <c r="E673" s="2732"/>
      <c r="F673" s="2755"/>
      <c r="G673" s="1742" t="s">
        <v>1568</v>
      </c>
      <c r="H673" s="1743"/>
      <c r="I673" s="1743"/>
      <c r="J673" s="1744"/>
      <c r="L673" s="2731" t="s">
        <v>2094</v>
      </c>
      <c r="M673" s="2732"/>
      <c r="N673" s="2732"/>
      <c r="O673" s="2732"/>
      <c r="P673" s="2732"/>
    </row>
    <row r="674" spans="1:16" s="1716" customFormat="1" ht="15">
      <c r="A674" s="1717" t="s">
        <v>2090</v>
      </c>
      <c r="B674" s="1717" t="s">
        <v>2009</v>
      </c>
      <c r="C674" s="1717" t="s">
        <v>1609</v>
      </c>
      <c r="D674" s="1717" t="s">
        <v>1679</v>
      </c>
      <c r="E674" s="1599" t="s">
        <v>1840</v>
      </c>
      <c r="F674" s="1741" t="s">
        <v>1841</v>
      </c>
      <c r="G674" s="1717" t="s">
        <v>2050</v>
      </c>
      <c r="H674" s="1717" t="s">
        <v>2051</v>
      </c>
      <c r="I674" s="1717" t="s">
        <v>2091</v>
      </c>
      <c r="J674" s="1717" t="s">
        <v>2092</v>
      </c>
      <c r="L674" s="1717" t="s">
        <v>1607</v>
      </c>
      <c r="M674" s="1717" t="s">
        <v>1611</v>
      </c>
      <c r="N674" s="1717" t="s">
        <v>1168</v>
      </c>
      <c r="O674" s="1717" t="s">
        <v>1205</v>
      </c>
      <c r="P674" s="1717" t="s">
        <v>1243</v>
      </c>
    </row>
    <row r="675" spans="1:16" s="1716" customFormat="1">
      <c r="A675" s="1717" t="s">
        <v>187</v>
      </c>
      <c r="B675" s="1717"/>
      <c r="C675" s="1717">
        <v>0</v>
      </c>
      <c r="D675" s="1717">
        <v>0</v>
      </c>
      <c r="E675" s="1717">
        <v>0</v>
      </c>
      <c r="F675" s="1720">
        <v>4</v>
      </c>
      <c r="G675" s="1717">
        <f>B675*C675</f>
        <v>0</v>
      </c>
      <c r="H675" s="1717">
        <f>B675*D675</f>
        <v>0</v>
      </c>
      <c r="I675" s="1717">
        <f>B675*E675</f>
        <v>0</v>
      </c>
      <c r="J675" s="1717">
        <f>B675*F675</f>
        <v>0</v>
      </c>
      <c r="L675" s="1717">
        <f>(B675/2)/0.2</f>
        <v>0</v>
      </c>
      <c r="M675" s="1717">
        <f>(B675/2)/0.1</f>
        <v>0</v>
      </c>
      <c r="N675" s="1717">
        <f>SUM(L675:M675)</f>
        <v>0</v>
      </c>
      <c r="O675" s="1717">
        <f>2*(0.07+0.07)</f>
        <v>0.28000000000000003</v>
      </c>
      <c r="P675" s="1717">
        <f>N675*O675</f>
        <v>0</v>
      </c>
    </row>
    <row r="676" spans="1:16" s="1716" customFormat="1" ht="15" customHeight="1">
      <c r="A676" s="1717" t="s">
        <v>173</v>
      </c>
      <c r="B676" s="1717">
        <v>0</v>
      </c>
      <c r="C676" s="1717">
        <v>0</v>
      </c>
      <c r="D676" s="1717">
        <v>0</v>
      </c>
      <c r="E676" s="1717">
        <v>0</v>
      </c>
      <c r="F676" s="1720">
        <v>4</v>
      </c>
      <c r="G676" s="1717">
        <f>B676*C676</f>
        <v>0</v>
      </c>
      <c r="H676" s="1717">
        <f>B676*D676</f>
        <v>0</v>
      </c>
      <c r="I676" s="1717">
        <f>B676*E676</f>
        <v>0</v>
      </c>
      <c r="J676" s="1717">
        <f>B676*F676</f>
        <v>0</v>
      </c>
      <c r="L676" s="1717">
        <f>(B676/2)/0.2</f>
        <v>0</v>
      </c>
      <c r="M676" s="1717">
        <f>(B676/2)/0.1</f>
        <v>0</v>
      </c>
      <c r="N676" s="1717">
        <f>SUM(L676:M676)</f>
        <v>0</v>
      </c>
      <c r="O676" s="1717"/>
      <c r="P676" s="1717">
        <f>N676*O676</f>
        <v>0</v>
      </c>
    </row>
    <row r="677" spans="1:16" s="1716" customFormat="1" ht="15" customHeight="1">
      <c r="A677" s="1598"/>
      <c r="B677" s="1598"/>
      <c r="C677" s="1598"/>
      <c r="D677" s="1598"/>
      <c r="E677" s="2725" t="s">
        <v>2074</v>
      </c>
      <c r="F677" s="2726"/>
      <c r="G677" s="1596">
        <f>SUM(G675:G676)</f>
        <v>0</v>
      </c>
      <c r="H677" s="1596">
        <f>SUM(H675:H676)</f>
        <v>0</v>
      </c>
      <c r="I677" s="1596">
        <f>SUM(I675:I676)</f>
        <v>0</v>
      </c>
      <c r="J677" s="1596">
        <f>SUM(J675:J676)</f>
        <v>0</v>
      </c>
      <c r="M677" s="2741" t="s">
        <v>2074</v>
      </c>
      <c r="N677" s="2741"/>
      <c r="O677" s="2741"/>
      <c r="P677" s="1596">
        <f>SUM(P675:P676)</f>
        <v>0</v>
      </c>
    </row>
    <row r="678" spans="1:16" s="1716" customFormat="1" ht="15">
      <c r="A678" s="1598"/>
      <c r="B678" s="1598"/>
      <c r="C678" s="1598"/>
      <c r="D678" s="1598"/>
      <c r="E678" s="2725" t="s">
        <v>2075</v>
      </c>
      <c r="F678" s="2726"/>
      <c r="G678" s="1597">
        <f>G677*1.58</f>
        <v>0</v>
      </c>
      <c r="H678" s="1597">
        <f>H677*1.04</f>
        <v>0</v>
      </c>
      <c r="I678" s="1597">
        <f>I677*0.89</f>
        <v>0</v>
      </c>
      <c r="J678" s="1800">
        <f>J677*0.62</f>
        <v>0</v>
      </c>
      <c r="M678" s="2741" t="s">
        <v>2075</v>
      </c>
      <c r="N678" s="2741"/>
      <c r="O678" s="2741"/>
      <c r="P678" s="1800">
        <f>P677*0.4</f>
        <v>0</v>
      </c>
    </row>
    <row r="679" spans="1:16" s="1716" customFormat="1">
      <c r="A679" s="1598"/>
      <c r="B679" s="1598"/>
      <c r="C679" s="1598"/>
      <c r="D679" s="1598"/>
      <c r="E679" s="1598"/>
      <c r="F679" s="1598"/>
      <c r="G679" s="1598"/>
      <c r="H679" s="1598"/>
      <c r="I679" s="1598"/>
      <c r="J679" s="1598"/>
    </row>
    <row r="680" spans="1:16" s="1716" customFormat="1">
      <c r="A680" s="2731" t="s">
        <v>2052</v>
      </c>
      <c r="B680" s="2732"/>
      <c r="C680" s="2732"/>
      <c r="D680" s="2732"/>
    </row>
    <row r="681" spans="1:16" s="1716" customFormat="1">
      <c r="A681" s="1717" t="s">
        <v>1711</v>
      </c>
      <c r="B681" s="1717" t="s">
        <v>1614</v>
      </c>
      <c r="C681" s="1717" t="s">
        <v>1615</v>
      </c>
      <c r="D681" s="1717"/>
    </row>
    <row r="682" spans="1:16" s="1716" customFormat="1">
      <c r="A682" s="1717" t="str">
        <f>A675</f>
        <v>B1</v>
      </c>
      <c r="B682" s="1717">
        <f>B675</f>
        <v>0</v>
      </c>
      <c r="C682" s="1717">
        <f>0.12*0.12</f>
        <v>1.44E-2</v>
      </c>
      <c r="D682" s="1717">
        <f>B682*C682</f>
        <v>0</v>
      </c>
    </row>
    <row r="683" spans="1:16" s="1716" customFormat="1" ht="15" customHeight="1">
      <c r="A683" s="1717" t="str">
        <f>A676</f>
        <v>B2</v>
      </c>
      <c r="B683" s="1717">
        <f>B676</f>
        <v>0</v>
      </c>
      <c r="C683" s="1717"/>
      <c r="D683" s="1717">
        <f>B683*C683</f>
        <v>0</v>
      </c>
    </row>
    <row r="684" spans="1:16" s="1716" customFormat="1" ht="15">
      <c r="C684" s="1740" t="s">
        <v>2078</v>
      </c>
      <c r="D684" s="1800">
        <f>SUM(D682:D683)</f>
        <v>0</v>
      </c>
    </row>
    <row r="685" spans="1:16" s="1716" customFormat="1"/>
    <row r="686" spans="1:16" s="1716" customFormat="1">
      <c r="A686" s="2731" t="s">
        <v>2053</v>
      </c>
      <c r="B686" s="2732"/>
      <c r="C686" s="2732"/>
      <c r="D686" s="2732"/>
    </row>
    <row r="687" spans="1:16" s="1716" customFormat="1">
      <c r="A687" s="1717" t="s">
        <v>1711</v>
      </c>
      <c r="B687" s="1717" t="s">
        <v>1614</v>
      </c>
      <c r="C687" s="1717" t="s">
        <v>1615</v>
      </c>
      <c r="D687" s="1717"/>
    </row>
    <row r="688" spans="1:16" s="1716" customFormat="1">
      <c r="A688" s="1717" t="str">
        <f>A682</f>
        <v>B1</v>
      </c>
      <c r="B688" s="1717">
        <f>B682</f>
        <v>0</v>
      </c>
      <c r="C688" s="1717">
        <f>2*(0.12+0.12)</f>
        <v>0.48</v>
      </c>
      <c r="D688" s="1717">
        <f>B688*C688</f>
        <v>0</v>
      </c>
    </row>
    <row r="689" spans="1:16" s="1716" customFormat="1">
      <c r="A689" s="1717" t="str">
        <f>A683</f>
        <v>B2</v>
      </c>
      <c r="B689" s="1717">
        <f>B683</f>
        <v>0</v>
      </c>
      <c r="C689" s="1717"/>
      <c r="D689" s="1717">
        <f>B689*C689</f>
        <v>0</v>
      </c>
    </row>
    <row r="690" spans="1:16" s="1716" customFormat="1" ht="15">
      <c r="C690" s="1740" t="s">
        <v>2076</v>
      </c>
      <c r="D690" s="1800">
        <f>SUM(D688:D689)</f>
        <v>0</v>
      </c>
    </row>
    <row r="691" spans="1:16" s="1716" customFormat="1"/>
    <row r="692" spans="1:16" s="1933" customFormat="1">
      <c r="A692" s="2762" t="s">
        <v>2054</v>
      </c>
      <c r="B692" s="2763"/>
      <c r="C692" s="2763"/>
      <c r="D692" s="2763"/>
      <c r="E692" s="2763"/>
      <c r="F692" s="2764"/>
      <c r="G692" s="2002" t="s">
        <v>1568</v>
      </c>
      <c r="H692" s="2003"/>
      <c r="I692" s="2003"/>
      <c r="J692" s="2004"/>
      <c r="L692" s="2762" t="s">
        <v>2094</v>
      </c>
      <c r="M692" s="2763"/>
      <c r="N692" s="2763"/>
      <c r="O692" s="2763"/>
      <c r="P692" s="2763"/>
    </row>
    <row r="693" spans="1:16" s="1716" customFormat="1" ht="15">
      <c r="A693" s="2000" t="s">
        <v>2130</v>
      </c>
      <c r="B693" s="2000" t="s">
        <v>2009</v>
      </c>
      <c r="C693" s="2000" t="s">
        <v>1609</v>
      </c>
      <c r="D693" s="2000" t="s">
        <v>1679</v>
      </c>
      <c r="E693" s="1599" t="s">
        <v>1840</v>
      </c>
      <c r="F693" s="1741" t="s">
        <v>1841</v>
      </c>
      <c r="G693" s="2000" t="s">
        <v>2050</v>
      </c>
      <c r="H693" s="2000" t="s">
        <v>2051</v>
      </c>
      <c r="I693" s="2000" t="s">
        <v>2091</v>
      </c>
      <c r="J693" s="2000" t="s">
        <v>2092</v>
      </c>
      <c r="L693" s="2000" t="s">
        <v>1607</v>
      </c>
      <c r="M693" s="2000" t="s">
        <v>1611</v>
      </c>
      <c r="N693" s="2000" t="s">
        <v>1168</v>
      </c>
      <c r="O693" s="2000" t="s">
        <v>1205</v>
      </c>
      <c r="P693" s="2000" t="s">
        <v>1243</v>
      </c>
    </row>
    <row r="694" spans="1:16" s="1716" customFormat="1">
      <c r="A694" s="2000" t="s">
        <v>187</v>
      </c>
      <c r="B694" s="2000"/>
      <c r="C694" s="2000">
        <v>0</v>
      </c>
      <c r="D694" s="2000">
        <v>0</v>
      </c>
      <c r="E694" s="2000">
        <v>0</v>
      </c>
      <c r="F694" s="1720">
        <v>4</v>
      </c>
      <c r="G694" s="2000">
        <f>B694*C694</f>
        <v>0</v>
      </c>
      <c r="H694" s="2000">
        <f>B694*D694</f>
        <v>0</v>
      </c>
      <c r="I694" s="2000">
        <f>B694*E694</f>
        <v>0</v>
      </c>
      <c r="J694" s="2000">
        <f>B694*F694</f>
        <v>0</v>
      </c>
      <c r="L694" s="2000">
        <f>(B694/2)/0.2</f>
        <v>0</v>
      </c>
      <c r="M694" s="2000">
        <f>(B694/2)/0.1</f>
        <v>0</v>
      </c>
      <c r="N694" s="2000">
        <f>SUM(L694:M694)</f>
        <v>0</v>
      </c>
      <c r="O694" s="2000">
        <f>(0.05+0.15)*2</f>
        <v>0.4</v>
      </c>
      <c r="P694" s="2000">
        <f>N694*O694</f>
        <v>0</v>
      </c>
    </row>
    <row r="695" spans="1:16" s="1716" customFormat="1" ht="15" customHeight="1">
      <c r="A695" s="2000" t="s">
        <v>173</v>
      </c>
      <c r="B695" s="2000"/>
      <c r="C695" s="2000">
        <v>0</v>
      </c>
      <c r="D695" s="2000">
        <v>0</v>
      </c>
      <c r="E695" s="2000">
        <v>0</v>
      </c>
      <c r="F695" s="1720">
        <v>4</v>
      </c>
      <c r="G695" s="2000">
        <f>B695*C695</f>
        <v>0</v>
      </c>
      <c r="H695" s="2000">
        <f>B695*D695</f>
        <v>0</v>
      </c>
      <c r="I695" s="2000">
        <f>B695*E695</f>
        <v>0</v>
      </c>
      <c r="J695" s="2000">
        <f>B695*F695</f>
        <v>0</v>
      </c>
      <c r="L695" s="2000">
        <f>(B695/2)/0.2</f>
        <v>0</v>
      </c>
      <c r="M695" s="2000">
        <f>(B695/2)/0.1</f>
        <v>0</v>
      </c>
      <c r="N695" s="2000">
        <f>SUM(L695:M695)</f>
        <v>0</v>
      </c>
      <c r="O695" s="2000"/>
      <c r="P695" s="2000">
        <f>N695*O695</f>
        <v>0</v>
      </c>
    </row>
    <row r="696" spans="1:16" s="1716" customFormat="1" ht="15" customHeight="1">
      <c r="A696" s="1598"/>
      <c r="B696" s="1598"/>
      <c r="C696" s="1598"/>
      <c r="D696" s="1598"/>
      <c r="E696" s="2725" t="s">
        <v>2074</v>
      </c>
      <c r="F696" s="2726"/>
      <c r="G696" s="1596">
        <f>SUM(G694:G695)</f>
        <v>0</v>
      </c>
      <c r="H696" s="1596">
        <f>SUM(H694:H695)</f>
        <v>0</v>
      </c>
      <c r="I696" s="1596">
        <f>SUM(I694:I695)</f>
        <v>0</v>
      </c>
      <c r="J696" s="1596">
        <f>SUM(J694:J695)</f>
        <v>0</v>
      </c>
      <c r="M696" s="2741" t="s">
        <v>2074</v>
      </c>
      <c r="N696" s="2741"/>
      <c r="O696" s="2741"/>
      <c r="P696" s="1596">
        <f>SUM(P694:P695)</f>
        <v>0</v>
      </c>
    </row>
    <row r="697" spans="1:16" s="1716" customFormat="1" ht="15">
      <c r="A697" s="1598"/>
      <c r="B697" s="1598"/>
      <c r="C697" s="1598"/>
      <c r="D697" s="1598"/>
      <c r="E697" s="2725" t="s">
        <v>2075</v>
      </c>
      <c r="F697" s="2726"/>
      <c r="G697" s="1597">
        <f>G696*1.58</f>
        <v>0</v>
      </c>
      <c r="H697" s="1597">
        <f>H696*1.04</f>
        <v>0</v>
      </c>
      <c r="I697" s="1597">
        <f>I696*0.89</f>
        <v>0</v>
      </c>
      <c r="J697" s="1880">
        <f>J696*0.62</f>
        <v>0</v>
      </c>
      <c r="M697" s="2741" t="s">
        <v>2075</v>
      </c>
      <c r="N697" s="2741"/>
      <c r="O697" s="2741"/>
      <c r="P697" s="1880">
        <f>P696*0.4</f>
        <v>0</v>
      </c>
    </row>
    <row r="698" spans="1:16" s="1716" customFormat="1">
      <c r="A698" s="1598"/>
      <c r="B698" s="1598"/>
      <c r="C698" s="1598"/>
      <c r="D698" s="1598"/>
      <c r="E698" s="1598"/>
      <c r="F698" s="1598"/>
      <c r="G698" s="1598"/>
      <c r="H698" s="1598"/>
      <c r="I698" s="1598"/>
      <c r="J698" s="1598"/>
    </row>
    <row r="699" spans="1:16" s="1716" customFormat="1">
      <c r="A699" s="2731" t="s">
        <v>2055</v>
      </c>
      <c r="B699" s="2732"/>
      <c r="C699" s="2732"/>
      <c r="D699" s="2732"/>
    </row>
    <row r="700" spans="1:16" s="1716" customFormat="1">
      <c r="A700" s="2000" t="s">
        <v>2130</v>
      </c>
      <c r="B700" s="2000" t="s">
        <v>1614</v>
      </c>
      <c r="C700" s="2000" t="s">
        <v>1615</v>
      </c>
      <c r="D700" s="2000"/>
    </row>
    <row r="701" spans="1:16" s="1716" customFormat="1">
      <c r="A701" s="2000" t="str">
        <f>A694</f>
        <v>B1</v>
      </c>
      <c r="B701" s="2000">
        <f>B694</f>
        <v>0</v>
      </c>
      <c r="C701" s="2000">
        <f>0.12*0.3</f>
        <v>3.5999999999999997E-2</v>
      </c>
      <c r="D701" s="2000">
        <f>B701*C701</f>
        <v>0</v>
      </c>
    </row>
    <row r="702" spans="1:16" s="1716" customFormat="1" ht="15" customHeight="1">
      <c r="A702" s="2000" t="str">
        <f>A695</f>
        <v>B2</v>
      </c>
      <c r="B702" s="2000">
        <f>B695</f>
        <v>0</v>
      </c>
      <c r="C702" s="2000">
        <f>0.33*0.1</f>
        <v>3.3000000000000002E-2</v>
      </c>
      <c r="D702" s="2000">
        <f>B702*C702</f>
        <v>0</v>
      </c>
    </row>
    <row r="703" spans="1:16" s="1716" customFormat="1" ht="15">
      <c r="C703" s="1740" t="s">
        <v>2078</v>
      </c>
      <c r="D703" s="2005">
        <f>SUM(D701:D702)</f>
        <v>0</v>
      </c>
    </row>
    <row r="704" spans="1:16" s="1716" customFormat="1"/>
    <row r="705" spans="1:15" s="1716" customFormat="1">
      <c r="A705" s="2731" t="s">
        <v>2095</v>
      </c>
      <c r="B705" s="2732"/>
      <c r="C705" s="2732"/>
      <c r="D705" s="2732"/>
    </row>
    <row r="706" spans="1:15" s="1716" customFormat="1">
      <c r="A706" s="2000" t="s">
        <v>2130</v>
      </c>
      <c r="B706" s="2000" t="s">
        <v>1614</v>
      </c>
      <c r="C706" s="2000" t="s">
        <v>1615</v>
      </c>
      <c r="D706" s="2000"/>
    </row>
    <row r="707" spans="1:15" s="1716" customFormat="1">
      <c r="A707" s="2000" t="str">
        <f>A701</f>
        <v>B1</v>
      </c>
      <c r="B707" s="2000">
        <f>B701</f>
        <v>0</v>
      </c>
      <c r="C707" s="2000">
        <f>0.12+0.3*2</f>
        <v>0.72</v>
      </c>
      <c r="D707" s="2000">
        <f>B707*C707</f>
        <v>0</v>
      </c>
    </row>
    <row r="708" spans="1:15" s="1716" customFormat="1">
      <c r="A708" s="2000" t="str">
        <f>A702</f>
        <v>B2</v>
      </c>
      <c r="B708" s="2000">
        <f>B702</f>
        <v>0</v>
      </c>
      <c r="C708" s="2000">
        <v>0.33</v>
      </c>
      <c r="D708" s="2000">
        <f>B708*C708</f>
        <v>0</v>
      </c>
    </row>
    <row r="709" spans="1:15" s="1716" customFormat="1" ht="15">
      <c r="C709" s="1740" t="s">
        <v>2076</v>
      </c>
      <c r="D709" s="2005">
        <f>SUM(D707:D708)</f>
        <v>0</v>
      </c>
    </row>
    <row r="710" spans="1:15" s="1716" customFormat="1" ht="14.25" customHeight="1"/>
    <row r="711" spans="1:15" s="1716" customFormat="1" ht="14.25" customHeight="1">
      <c r="A711" s="2742" t="s">
        <v>2395</v>
      </c>
      <c r="B711" s="2743"/>
      <c r="C711" s="2743"/>
      <c r="D711" s="2743"/>
      <c r="E711" s="2743"/>
      <c r="F711" s="2743"/>
      <c r="G711" s="2743"/>
      <c r="H711" s="2743"/>
      <c r="I711" s="2743"/>
      <c r="J711" s="2743"/>
      <c r="K711" s="2743"/>
      <c r="L711" s="2743"/>
      <c r="M711" s="2743"/>
      <c r="N711" s="2743"/>
      <c r="O711" s="2744"/>
    </row>
    <row r="712" spans="1:15" s="1716" customFormat="1" ht="14.25" customHeight="1">
      <c r="A712" s="2745"/>
      <c r="B712" s="2746"/>
      <c r="C712" s="2746"/>
      <c r="D712" s="2746"/>
      <c r="E712" s="2746"/>
      <c r="F712" s="2746"/>
      <c r="G712" s="2746"/>
      <c r="H712" s="2746"/>
      <c r="I712" s="2746"/>
      <c r="J712" s="2746"/>
      <c r="K712" s="2746"/>
      <c r="L712" s="2746"/>
      <c r="M712" s="2746"/>
      <c r="N712" s="2746"/>
      <c r="O712" s="2747"/>
    </row>
    <row r="713" spans="1:15" s="1716" customFormat="1" ht="14.25" customHeight="1">
      <c r="A713" s="2748"/>
      <c r="B713" s="2749"/>
      <c r="C713" s="2749"/>
      <c r="D713" s="2749"/>
      <c r="E713" s="2749"/>
      <c r="F713" s="2749"/>
      <c r="G713" s="2749"/>
      <c r="H713" s="2749"/>
      <c r="I713" s="2749"/>
      <c r="J713" s="2749"/>
      <c r="K713" s="2749"/>
      <c r="L713" s="2749"/>
      <c r="M713" s="2749"/>
      <c r="N713" s="2749"/>
      <c r="O713" s="2750"/>
    </row>
    <row r="714" spans="1:15" s="1716" customFormat="1"/>
    <row r="715" spans="1:15" s="1716" customFormat="1">
      <c r="A715" s="2717" t="s">
        <v>2020</v>
      </c>
      <c r="B715" s="2718"/>
      <c r="C715" s="2718"/>
      <c r="D715" s="2718"/>
      <c r="E715" s="2770"/>
    </row>
    <row r="716" spans="1:15" s="1716" customFormat="1">
      <c r="A716" s="1967" t="s">
        <v>1987</v>
      </c>
      <c r="B716" s="1967" t="s">
        <v>1608</v>
      </c>
      <c r="C716" s="1967" t="s">
        <v>2062</v>
      </c>
      <c r="D716" s="1967" t="s">
        <v>2088</v>
      </c>
      <c r="E716" s="1967" t="s">
        <v>1568</v>
      </c>
    </row>
    <row r="717" spans="1:15" s="1716" customFormat="1">
      <c r="A717" s="1974" t="s">
        <v>1704</v>
      </c>
      <c r="B717" s="1974"/>
      <c r="C717" s="1974">
        <v>0</v>
      </c>
      <c r="D717" s="1974">
        <f>$D$66</f>
        <v>0</v>
      </c>
      <c r="E717" s="1974">
        <f t="shared" ref="E717:E726" si="109">B717*C717*D717</f>
        <v>0</v>
      </c>
    </row>
    <row r="718" spans="1:15" s="1716" customFormat="1">
      <c r="A718" s="1968" t="s">
        <v>1705</v>
      </c>
      <c r="B718" s="1974"/>
      <c r="C718" s="1968">
        <v>0</v>
      </c>
      <c r="D718" s="1974">
        <f>$D$67</f>
        <v>0</v>
      </c>
      <c r="E718" s="1968">
        <f t="shared" si="109"/>
        <v>0</v>
      </c>
    </row>
    <row r="719" spans="1:15" s="1716" customFormat="1">
      <c r="A719" s="1968" t="s">
        <v>1917</v>
      </c>
      <c r="B719" s="1974"/>
      <c r="C719" s="1968">
        <v>0</v>
      </c>
      <c r="D719" s="1974">
        <f>$D$68</f>
        <v>0</v>
      </c>
      <c r="E719" s="1968">
        <f t="shared" si="109"/>
        <v>0</v>
      </c>
    </row>
    <row r="720" spans="1:15" s="1716" customFormat="1">
      <c r="A720" s="1968" t="s">
        <v>1918</v>
      </c>
      <c r="B720" s="1974"/>
      <c r="C720" s="1968"/>
      <c r="D720" s="1974">
        <f>$D$69</f>
        <v>0</v>
      </c>
      <c r="E720" s="1968">
        <f t="shared" si="109"/>
        <v>0</v>
      </c>
    </row>
    <row r="721" spans="1:17" s="1716" customFormat="1">
      <c r="A721" s="1968" t="s">
        <v>1919</v>
      </c>
      <c r="B721" s="1974"/>
      <c r="C721" s="1968">
        <v>0</v>
      </c>
      <c r="D721" s="1974">
        <f>$D$70</f>
        <v>0</v>
      </c>
      <c r="E721" s="1968">
        <f t="shared" si="109"/>
        <v>0</v>
      </c>
    </row>
    <row r="722" spans="1:17" s="1716" customFormat="1">
      <c r="A722" s="1968" t="s">
        <v>1992</v>
      </c>
      <c r="B722" s="1974"/>
      <c r="C722" s="1968">
        <v>0</v>
      </c>
      <c r="D722" s="1974">
        <f>$D$71</f>
        <v>0</v>
      </c>
      <c r="E722" s="1968">
        <f t="shared" si="109"/>
        <v>0</v>
      </c>
    </row>
    <row r="723" spans="1:17" s="1716" customFormat="1">
      <c r="A723" s="1968" t="s">
        <v>1993</v>
      </c>
      <c r="B723" s="1974"/>
      <c r="C723" s="1968">
        <v>0</v>
      </c>
      <c r="D723" s="1974">
        <f>$D$72</f>
        <v>0.15896250000000001</v>
      </c>
      <c r="E723" s="1968">
        <f t="shared" si="109"/>
        <v>0</v>
      </c>
    </row>
    <row r="724" spans="1:17" s="1716" customFormat="1">
      <c r="A724" s="1968" t="s">
        <v>1994</v>
      </c>
      <c r="B724" s="1974"/>
      <c r="C724" s="1968">
        <v>0</v>
      </c>
      <c r="D724" s="1974">
        <f>$D$73</f>
        <v>9.6162499999999998E-2</v>
      </c>
      <c r="E724" s="1968">
        <f t="shared" si="109"/>
        <v>0</v>
      </c>
    </row>
    <row r="725" spans="1:17" s="1716" customFormat="1">
      <c r="A725" s="1968" t="s">
        <v>1995</v>
      </c>
      <c r="B725" s="1974"/>
      <c r="C725" s="1968">
        <v>0</v>
      </c>
      <c r="D725" s="1974">
        <f>$D$74</f>
        <v>3.1400000000000004E-2</v>
      </c>
      <c r="E725" s="1968">
        <f t="shared" si="109"/>
        <v>0</v>
      </c>
    </row>
    <row r="726" spans="1:17" s="1716" customFormat="1">
      <c r="A726" s="1968" t="s">
        <v>1706</v>
      </c>
      <c r="B726" s="1974"/>
      <c r="C726" s="1968">
        <v>0</v>
      </c>
      <c r="D726" s="1974">
        <f>$D$75</f>
        <v>0</v>
      </c>
      <c r="E726" s="1968">
        <f t="shared" si="109"/>
        <v>0</v>
      </c>
    </row>
    <row r="727" spans="1:17" s="1716" customFormat="1" ht="14.25" customHeight="1">
      <c r="D727" s="1993" t="s">
        <v>2070</v>
      </c>
      <c r="E727" s="1994">
        <f>SUM(E717:E726)</f>
        <v>0</v>
      </c>
    </row>
    <row r="728" spans="1:17" s="1716" customFormat="1" ht="14.25" customHeight="1">
      <c r="D728" s="1995"/>
      <c r="E728" s="1996"/>
    </row>
    <row r="729" spans="1:17" s="1716" customFormat="1">
      <c r="E729" s="1303"/>
    </row>
    <row r="730" spans="1:17" s="1716" customFormat="1">
      <c r="A730" s="1968" t="s">
        <v>1707</v>
      </c>
      <c r="B730" s="1968"/>
      <c r="C730" s="1968"/>
      <c r="D730" s="1968">
        <f>$D$79</f>
        <v>1.44E-2</v>
      </c>
      <c r="E730" s="1968">
        <f>B730*C730*D730</f>
        <v>0</v>
      </c>
    </row>
    <row r="731" spans="1:17" s="1716" customFormat="1">
      <c r="A731" s="1968" t="s">
        <v>1708</v>
      </c>
      <c r="B731" s="1968"/>
      <c r="C731" s="1968">
        <v>0</v>
      </c>
      <c r="D731" s="1968">
        <f>$D$80</f>
        <v>7.1999999999999995E-2</v>
      </c>
      <c r="E731" s="1968">
        <f>B731*C731*D731</f>
        <v>0</v>
      </c>
    </row>
    <row r="732" spans="1:17" s="1716" customFormat="1" ht="30">
      <c r="D732" s="1739" t="s">
        <v>2071</v>
      </c>
      <c r="E732" s="1973">
        <f>SUM(E730:E731)</f>
        <v>0</v>
      </c>
    </row>
    <row r="733" spans="1:17" s="1716" customFormat="1"/>
    <row r="734" spans="1:17" s="1716" customFormat="1">
      <c r="A734" s="2771" t="s">
        <v>2106</v>
      </c>
      <c r="B734" s="2771"/>
      <c r="C734" s="2771"/>
      <c r="D734" s="2717" t="s">
        <v>2069</v>
      </c>
      <c r="E734" s="2718"/>
      <c r="F734" s="2718"/>
      <c r="G734" s="2736"/>
      <c r="H734" s="2717" t="s">
        <v>2068</v>
      </c>
      <c r="I734" s="2718"/>
      <c r="J734" s="2718"/>
      <c r="K734" s="2736"/>
      <c r="M734" s="2717" t="s">
        <v>1610</v>
      </c>
      <c r="N734" s="2718"/>
      <c r="O734" s="2718"/>
      <c r="P734" s="2718"/>
      <c r="Q734" s="2736"/>
    </row>
    <row r="735" spans="1:17" s="1716" customFormat="1" ht="15">
      <c r="A735" s="1974" t="s">
        <v>1796</v>
      </c>
      <c r="B735" s="1974" t="s">
        <v>1608</v>
      </c>
      <c r="C735" s="1974" t="s">
        <v>1606</v>
      </c>
      <c r="D735" s="1974" t="s">
        <v>1609</v>
      </c>
      <c r="E735" s="1974" t="s">
        <v>1679</v>
      </c>
      <c r="F735" s="1733" t="s">
        <v>1840</v>
      </c>
      <c r="G735" s="1732" t="s">
        <v>1807</v>
      </c>
      <c r="H735" s="1974" t="s">
        <v>1568</v>
      </c>
      <c r="I735" s="1974" t="s">
        <v>1568</v>
      </c>
      <c r="J735" s="1974" t="s">
        <v>1568</v>
      </c>
      <c r="K735" s="1974" t="s">
        <v>1568</v>
      </c>
      <c r="M735" s="1974" t="s">
        <v>1607</v>
      </c>
      <c r="N735" s="1974" t="s">
        <v>1611</v>
      </c>
      <c r="O735" s="1974" t="s">
        <v>1168</v>
      </c>
      <c r="P735" s="1974" t="s">
        <v>1205</v>
      </c>
      <c r="Q735" s="1974" t="s">
        <v>1243</v>
      </c>
    </row>
    <row r="736" spans="1:17" s="1716" customFormat="1">
      <c r="A736" s="1968" t="str">
        <f t="shared" ref="A736:C745" si="110">A717</f>
        <v>K1</v>
      </c>
      <c r="B736" s="1968">
        <f t="shared" si="110"/>
        <v>0</v>
      </c>
      <c r="C736" s="1968">
        <f t="shared" si="110"/>
        <v>0</v>
      </c>
      <c r="D736" s="1968">
        <f t="shared" ref="D736:G745" si="111">D85</f>
        <v>12</v>
      </c>
      <c r="E736" s="1968">
        <f t="shared" si="111"/>
        <v>0</v>
      </c>
      <c r="F736" s="1968">
        <f t="shared" si="111"/>
        <v>0</v>
      </c>
      <c r="G736" s="1968">
        <f t="shared" si="111"/>
        <v>0</v>
      </c>
      <c r="H736" s="1968">
        <f>B736*C736*D736</f>
        <v>0</v>
      </c>
      <c r="I736" s="1968">
        <f t="shared" ref="I736:I745" si="112">B736*C736*E736</f>
        <v>0</v>
      </c>
      <c r="J736" s="1968">
        <f t="shared" ref="J736:J745" si="113">B736*C736*F736</f>
        <v>0</v>
      </c>
      <c r="K736" s="1968">
        <f t="shared" ref="K736:K745" si="114">B736*C736*G736</f>
        <v>0</v>
      </c>
      <c r="M736" s="1968">
        <f t="shared" ref="M736:M745" si="115">(B736/2)/0.2</f>
        <v>0</v>
      </c>
      <c r="N736" s="1968">
        <f t="shared" ref="N736:N745" si="116">(B736/2)/0.1</f>
        <v>0</v>
      </c>
      <c r="O736" s="1968">
        <f t="shared" ref="O736:O745" si="117">SUM(M736:N736)*C736</f>
        <v>0</v>
      </c>
      <c r="P736" s="1968">
        <f t="shared" ref="P736:P745" si="118">P85</f>
        <v>-0.2</v>
      </c>
      <c r="Q736" s="1968">
        <f t="shared" ref="Q736:Q745" si="119">O736*P736</f>
        <v>0</v>
      </c>
    </row>
    <row r="737" spans="1:18" s="1716" customFormat="1">
      <c r="A737" s="1968" t="str">
        <f t="shared" si="110"/>
        <v>K2</v>
      </c>
      <c r="B737" s="1968">
        <f t="shared" si="110"/>
        <v>0</v>
      </c>
      <c r="C737" s="1968">
        <f t="shared" si="110"/>
        <v>0</v>
      </c>
      <c r="D737" s="1968">
        <f t="shared" si="111"/>
        <v>10</v>
      </c>
      <c r="E737" s="1968">
        <f t="shared" si="111"/>
        <v>0</v>
      </c>
      <c r="F737" s="1968">
        <f t="shared" si="111"/>
        <v>0</v>
      </c>
      <c r="G737" s="1968">
        <f t="shared" si="111"/>
        <v>0</v>
      </c>
      <c r="H737" s="1968">
        <f t="shared" ref="H737:H745" si="120">B737*C737*D737</f>
        <v>0</v>
      </c>
      <c r="I737" s="1968">
        <f t="shared" si="112"/>
        <v>0</v>
      </c>
      <c r="J737" s="1968">
        <f t="shared" si="113"/>
        <v>0</v>
      </c>
      <c r="K737" s="1968">
        <f t="shared" si="114"/>
        <v>0</v>
      </c>
      <c r="M737" s="1968">
        <f t="shared" si="115"/>
        <v>0</v>
      </c>
      <c r="N737" s="1968">
        <f t="shared" si="116"/>
        <v>0</v>
      </c>
      <c r="O737" s="1968">
        <f t="shared" si="117"/>
        <v>0</v>
      </c>
      <c r="P737" s="1968">
        <f t="shared" si="118"/>
        <v>-0.2</v>
      </c>
      <c r="Q737" s="1968">
        <f t="shared" si="119"/>
        <v>0</v>
      </c>
    </row>
    <row r="738" spans="1:18" s="1716" customFormat="1">
      <c r="A738" s="1968" t="str">
        <f t="shared" si="110"/>
        <v>K3</v>
      </c>
      <c r="B738" s="1968">
        <f t="shared" si="110"/>
        <v>0</v>
      </c>
      <c r="C738" s="1968">
        <f t="shared" si="110"/>
        <v>0</v>
      </c>
      <c r="D738" s="1968">
        <f t="shared" si="111"/>
        <v>10</v>
      </c>
      <c r="E738" s="1968">
        <f t="shared" si="111"/>
        <v>0</v>
      </c>
      <c r="F738" s="1968">
        <f t="shared" si="111"/>
        <v>0</v>
      </c>
      <c r="G738" s="1968">
        <f t="shared" si="111"/>
        <v>0</v>
      </c>
      <c r="H738" s="1968">
        <f t="shared" si="120"/>
        <v>0</v>
      </c>
      <c r="I738" s="1968">
        <f t="shared" si="112"/>
        <v>0</v>
      </c>
      <c r="J738" s="1968">
        <f t="shared" si="113"/>
        <v>0</v>
      </c>
      <c r="K738" s="1968">
        <f t="shared" si="114"/>
        <v>0</v>
      </c>
      <c r="M738" s="1968">
        <f t="shared" si="115"/>
        <v>0</v>
      </c>
      <c r="N738" s="1968">
        <f t="shared" si="116"/>
        <v>0</v>
      </c>
      <c r="O738" s="1968">
        <f t="shared" si="117"/>
        <v>0</v>
      </c>
      <c r="P738" s="1968">
        <f t="shared" si="118"/>
        <v>-0.2</v>
      </c>
      <c r="Q738" s="1968">
        <f t="shared" si="119"/>
        <v>0</v>
      </c>
    </row>
    <row r="739" spans="1:18" s="1716" customFormat="1">
      <c r="A739" s="1968" t="str">
        <f t="shared" si="110"/>
        <v>K4</v>
      </c>
      <c r="B739" s="1968">
        <f t="shared" si="110"/>
        <v>0</v>
      </c>
      <c r="C739" s="1968">
        <f t="shared" si="110"/>
        <v>0</v>
      </c>
      <c r="D739" s="1968">
        <f t="shared" si="111"/>
        <v>12</v>
      </c>
      <c r="E739" s="1968">
        <f t="shared" si="111"/>
        <v>0</v>
      </c>
      <c r="F739" s="1968">
        <f t="shared" si="111"/>
        <v>0</v>
      </c>
      <c r="G739" s="1968">
        <f t="shared" si="111"/>
        <v>0</v>
      </c>
      <c r="H739" s="1968">
        <f t="shared" si="120"/>
        <v>0</v>
      </c>
      <c r="I739" s="1968">
        <f t="shared" si="112"/>
        <v>0</v>
      </c>
      <c r="J739" s="1968">
        <f t="shared" si="113"/>
        <v>0</v>
      </c>
      <c r="K739" s="1968">
        <f t="shared" si="114"/>
        <v>0</v>
      </c>
      <c r="M739" s="1968">
        <f t="shared" si="115"/>
        <v>0</v>
      </c>
      <c r="N739" s="1968">
        <f t="shared" si="116"/>
        <v>0</v>
      </c>
      <c r="O739" s="1968">
        <f t="shared" si="117"/>
        <v>0</v>
      </c>
      <c r="P739" s="1968">
        <f t="shared" si="118"/>
        <v>-0.2</v>
      </c>
      <c r="Q739" s="1968">
        <f t="shared" si="119"/>
        <v>0</v>
      </c>
    </row>
    <row r="740" spans="1:18" s="1716" customFormat="1">
      <c r="A740" s="1968" t="str">
        <f t="shared" si="110"/>
        <v>K5</v>
      </c>
      <c r="B740" s="1968">
        <f t="shared" si="110"/>
        <v>0</v>
      </c>
      <c r="C740" s="1968">
        <f t="shared" si="110"/>
        <v>0</v>
      </c>
      <c r="D740" s="1968">
        <f t="shared" si="111"/>
        <v>8</v>
      </c>
      <c r="E740" s="1968">
        <f t="shared" si="111"/>
        <v>0</v>
      </c>
      <c r="F740" s="1968">
        <f t="shared" si="111"/>
        <v>0</v>
      </c>
      <c r="G740" s="1968">
        <f t="shared" si="111"/>
        <v>0</v>
      </c>
      <c r="H740" s="1968">
        <f t="shared" si="120"/>
        <v>0</v>
      </c>
      <c r="I740" s="1968">
        <f t="shared" si="112"/>
        <v>0</v>
      </c>
      <c r="J740" s="1968">
        <f t="shared" si="113"/>
        <v>0</v>
      </c>
      <c r="K740" s="1968">
        <f t="shared" si="114"/>
        <v>0</v>
      </c>
      <c r="M740" s="1968">
        <f t="shared" si="115"/>
        <v>0</v>
      </c>
      <c r="N740" s="1968">
        <f t="shared" si="116"/>
        <v>0</v>
      </c>
      <c r="O740" s="1968">
        <f t="shared" si="117"/>
        <v>0</v>
      </c>
      <c r="P740" s="1968">
        <f t="shared" si="118"/>
        <v>-0.2</v>
      </c>
      <c r="Q740" s="1968">
        <f t="shared" si="119"/>
        <v>0</v>
      </c>
    </row>
    <row r="741" spans="1:18" s="1716" customFormat="1">
      <c r="A741" s="1968" t="str">
        <f t="shared" si="110"/>
        <v>K6</v>
      </c>
      <c r="B741" s="1968">
        <f t="shared" si="110"/>
        <v>0</v>
      </c>
      <c r="C741" s="1968">
        <f t="shared" si="110"/>
        <v>0</v>
      </c>
      <c r="D741" s="1968">
        <f t="shared" si="111"/>
        <v>0</v>
      </c>
      <c r="E741" s="1968">
        <f t="shared" si="111"/>
        <v>0</v>
      </c>
      <c r="F741" s="1968">
        <f t="shared" si="111"/>
        <v>6</v>
      </c>
      <c r="G741" s="1968">
        <f t="shared" si="111"/>
        <v>0</v>
      </c>
      <c r="H741" s="1968">
        <f t="shared" si="120"/>
        <v>0</v>
      </c>
      <c r="I741" s="1968">
        <f t="shared" si="112"/>
        <v>0</v>
      </c>
      <c r="J741" s="1968">
        <f t="shared" si="113"/>
        <v>0</v>
      </c>
      <c r="K741" s="1968">
        <f t="shared" si="114"/>
        <v>0</v>
      </c>
      <c r="M741" s="1968">
        <f t="shared" si="115"/>
        <v>0</v>
      </c>
      <c r="N741" s="1968">
        <f t="shared" si="116"/>
        <v>0</v>
      </c>
      <c r="O741" s="1968">
        <f t="shared" si="117"/>
        <v>0</v>
      </c>
      <c r="P741" s="1968">
        <f t="shared" si="118"/>
        <v>-0.2</v>
      </c>
      <c r="Q741" s="1968">
        <f t="shared" si="119"/>
        <v>0</v>
      </c>
    </row>
    <row r="742" spans="1:18" s="1716" customFormat="1">
      <c r="A742" s="1968" t="str">
        <f t="shared" si="110"/>
        <v>K7</v>
      </c>
      <c r="B742" s="1968">
        <f t="shared" si="110"/>
        <v>0</v>
      </c>
      <c r="C742" s="1968">
        <f t="shared" si="110"/>
        <v>0</v>
      </c>
      <c r="D742" s="1968">
        <f t="shared" si="111"/>
        <v>10</v>
      </c>
      <c r="E742" s="1968">
        <f t="shared" si="111"/>
        <v>0</v>
      </c>
      <c r="F742" s="1968">
        <f t="shared" si="111"/>
        <v>0</v>
      </c>
      <c r="G742" s="1968">
        <f t="shared" si="111"/>
        <v>0</v>
      </c>
      <c r="H742" s="1968">
        <f t="shared" si="120"/>
        <v>0</v>
      </c>
      <c r="I742" s="1968">
        <f t="shared" si="112"/>
        <v>0</v>
      </c>
      <c r="J742" s="1968">
        <f t="shared" si="113"/>
        <v>0</v>
      </c>
      <c r="K742" s="1968">
        <f t="shared" si="114"/>
        <v>0</v>
      </c>
      <c r="M742" s="1968">
        <f t="shared" si="115"/>
        <v>0</v>
      </c>
      <c r="N742" s="1968">
        <f t="shared" si="116"/>
        <v>0</v>
      </c>
      <c r="O742" s="1968">
        <f t="shared" si="117"/>
        <v>0</v>
      </c>
      <c r="P742" s="1968">
        <f t="shared" si="118"/>
        <v>1.2560000000000002</v>
      </c>
      <c r="Q742" s="1968">
        <f t="shared" si="119"/>
        <v>0</v>
      </c>
    </row>
    <row r="743" spans="1:18" s="1716" customFormat="1">
      <c r="A743" s="1968" t="str">
        <f t="shared" si="110"/>
        <v>K8</v>
      </c>
      <c r="B743" s="1968">
        <f t="shared" si="110"/>
        <v>0</v>
      </c>
      <c r="C743" s="1968">
        <f t="shared" si="110"/>
        <v>0</v>
      </c>
      <c r="D743" s="1968">
        <f t="shared" si="111"/>
        <v>8</v>
      </c>
      <c r="E743" s="1968">
        <f t="shared" si="111"/>
        <v>0</v>
      </c>
      <c r="F743" s="1968">
        <f t="shared" si="111"/>
        <v>0</v>
      </c>
      <c r="G743" s="1968">
        <f t="shared" si="111"/>
        <v>0</v>
      </c>
      <c r="H743" s="1968">
        <f t="shared" si="120"/>
        <v>0</v>
      </c>
      <c r="I743" s="1968">
        <f t="shared" si="112"/>
        <v>0</v>
      </c>
      <c r="J743" s="1968">
        <f t="shared" si="113"/>
        <v>0</v>
      </c>
      <c r="K743" s="1968">
        <f t="shared" si="114"/>
        <v>0</v>
      </c>
      <c r="M743" s="1968">
        <f t="shared" si="115"/>
        <v>0</v>
      </c>
      <c r="N743" s="1968">
        <f t="shared" si="116"/>
        <v>0</v>
      </c>
      <c r="O743" s="1968">
        <f t="shared" si="117"/>
        <v>0</v>
      </c>
      <c r="P743" s="1968">
        <f t="shared" si="118"/>
        <v>0.94199999999999995</v>
      </c>
      <c r="Q743" s="1968">
        <f t="shared" si="119"/>
        <v>0</v>
      </c>
    </row>
    <row r="744" spans="1:18" s="1716" customFormat="1">
      <c r="A744" s="1968" t="str">
        <f t="shared" si="110"/>
        <v>K9</v>
      </c>
      <c r="B744" s="1968">
        <f t="shared" si="110"/>
        <v>0</v>
      </c>
      <c r="C744" s="1968">
        <f t="shared" si="110"/>
        <v>0</v>
      </c>
      <c r="D744" s="1968">
        <f t="shared" si="111"/>
        <v>0</v>
      </c>
      <c r="E744" s="1968">
        <f t="shared" si="111"/>
        <v>0</v>
      </c>
      <c r="F744" s="1968">
        <f t="shared" si="111"/>
        <v>5</v>
      </c>
      <c r="G744" s="1968">
        <f t="shared" si="111"/>
        <v>0</v>
      </c>
      <c r="H744" s="1968">
        <f t="shared" si="120"/>
        <v>0</v>
      </c>
      <c r="I744" s="1968">
        <f t="shared" si="112"/>
        <v>0</v>
      </c>
      <c r="J744" s="1968">
        <f t="shared" si="113"/>
        <v>0</v>
      </c>
      <c r="K744" s="1968">
        <f t="shared" si="114"/>
        <v>0</v>
      </c>
      <c r="M744" s="1968">
        <f t="shared" si="115"/>
        <v>0</v>
      </c>
      <c r="N744" s="1968">
        <f t="shared" si="116"/>
        <v>0</v>
      </c>
      <c r="O744" s="1968">
        <f t="shared" si="117"/>
        <v>0</v>
      </c>
      <c r="P744" s="1968">
        <f t="shared" si="118"/>
        <v>0.47100000000000009</v>
      </c>
      <c r="Q744" s="1968">
        <f t="shared" si="119"/>
        <v>0</v>
      </c>
    </row>
    <row r="745" spans="1:18" s="1716" customFormat="1" ht="15" customHeight="1">
      <c r="A745" s="1968" t="str">
        <f t="shared" si="110"/>
        <v>K10</v>
      </c>
      <c r="B745" s="1968">
        <f t="shared" si="110"/>
        <v>0</v>
      </c>
      <c r="C745" s="1968">
        <f t="shared" si="110"/>
        <v>0</v>
      </c>
      <c r="D745" s="1968">
        <f t="shared" si="111"/>
        <v>0</v>
      </c>
      <c r="E745" s="1968">
        <f t="shared" si="111"/>
        <v>0</v>
      </c>
      <c r="F745" s="1968">
        <f t="shared" si="111"/>
        <v>0</v>
      </c>
      <c r="G745" s="1968">
        <f t="shared" si="111"/>
        <v>0</v>
      </c>
      <c r="H745" s="1968">
        <f t="shared" si="120"/>
        <v>0</v>
      </c>
      <c r="I745" s="1968">
        <f t="shared" si="112"/>
        <v>0</v>
      </c>
      <c r="J745" s="1968">
        <f t="shared" si="113"/>
        <v>0</v>
      </c>
      <c r="K745" s="1968">
        <f t="shared" si="114"/>
        <v>0</v>
      </c>
      <c r="M745" s="1969">
        <f t="shared" si="115"/>
        <v>0</v>
      </c>
      <c r="N745" s="1969">
        <f t="shared" si="116"/>
        <v>0</v>
      </c>
      <c r="O745" s="1969">
        <f t="shared" si="117"/>
        <v>0</v>
      </c>
      <c r="P745" s="1968">
        <f t="shared" si="118"/>
        <v>-0.2</v>
      </c>
      <c r="Q745" s="1969">
        <f t="shared" si="119"/>
        <v>0</v>
      </c>
    </row>
    <row r="746" spans="1:18" s="1716" customFormat="1" ht="15" customHeight="1">
      <c r="F746" s="2725" t="s">
        <v>2074</v>
      </c>
      <c r="G746" s="2726"/>
      <c r="H746" s="1596">
        <f>SUM(H736:H745)</f>
        <v>0</v>
      </c>
      <c r="I746" s="1596">
        <f>SUM(I736:I745)</f>
        <v>0</v>
      </c>
      <c r="J746" s="1596">
        <f>SUM(J736:J745)</f>
        <v>0</v>
      </c>
      <c r="K746" s="1596">
        <f>SUM(K736:K745)</f>
        <v>0</v>
      </c>
      <c r="M746" s="2725" t="s">
        <v>1972</v>
      </c>
      <c r="N746" s="2726"/>
      <c r="O746" s="2726"/>
      <c r="P746" s="2727"/>
      <c r="Q746" s="1734">
        <f>SUM(Q739:Q745)</f>
        <v>0</v>
      </c>
      <c r="R746" s="1801">
        <f>Q746*0.4</f>
        <v>0</v>
      </c>
    </row>
    <row r="747" spans="1:18" s="1716" customFormat="1" ht="15">
      <c r="F747" s="2725" t="s">
        <v>2075</v>
      </c>
      <c r="G747" s="2726"/>
      <c r="H747" s="1973">
        <f>H746*1.58</f>
        <v>0</v>
      </c>
      <c r="I747" s="1597">
        <f>I746*1.04</f>
        <v>0</v>
      </c>
      <c r="J747" s="1973">
        <f>J746*0.89</f>
        <v>0</v>
      </c>
      <c r="K747" s="1801">
        <f>K746*0.62</f>
        <v>0</v>
      </c>
      <c r="M747" s="2725" t="s">
        <v>2387</v>
      </c>
      <c r="N747" s="2726"/>
      <c r="O747" s="2726"/>
      <c r="P747" s="2727"/>
      <c r="Q747" s="1734">
        <f>SUM(Q736:Q738)</f>
        <v>0</v>
      </c>
      <c r="R747" s="1801">
        <f>Q747*0.62</f>
        <v>0</v>
      </c>
    </row>
    <row r="748" spans="1:18" s="1716" customFormat="1">
      <c r="Q748" s="1303"/>
      <c r="R748" s="1303"/>
    </row>
    <row r="749" spans="1:18" s="1716" customFormat="1">
      <c r="A749" s="1967" t="s">
        <v>1796</v>
      </c>
      <c r="B749" s="1967" t="s">
        <v>1608</v>
      </c>
      <c r="C749" s="1967" t="s">
        <v>2062</v>
      </c>
      <c r="D749" s="1967" t="s">
        <v>1807</v>
      </c>
      <c r="E749" s="1967" t="s">
        <v>1997</v>
      </c>
      <c r="F749" s="1967" t="s">
        <v>1568</v>
      </c>
      <c r="M749" s="1968" t="s">
        <v>1607</v>
      </c>
      <c r="N749" s="1968" t="s">
        <v>1611</v>
      </c>
      <c r="O749" s="1968" t="s">
        <v>1168</v>
      </c>
      <c r="P749" s="1968" t="s">
        <v>1205</v>
      </c>
      <c r="Q749" s="1968" t="s">
        <v>1243</v>
      </c>
    </row>
    <row r="750" spans="1:18" s="1716" customFormat="1">
      <c r="A750" s="1968" t="str">
        <f t="shared" ref="A750:C751" si="121">A730</f>
        <v>KP1</v>
      </c>
      <c r="B750" s="1968">
        <f t="shared" si="121"/>
        <v>0</v>
      </c>
      <c r="C750" s="1968">
        <f t="shared" si="121"/>
        <v>0</v>
      </c>
      <c r="D750" s="1968">
        <f>D99</f>
        <v>4</v>
      </c>
      <c r="E750" s="1968"/>
      <c r="F750" s="1968">
        <f>B750*C750*D750</f>
        <v>0</v>
      </c>
      <c r="M750" s="1968">
        <f>(B750/2)/0.2</f>
        <v>0</v>
      </c>
      <c r="N750" s="1968">
        <f>(B750/2)/0.1</f>
        <v>0</v>
      </c>
      <c r="O750" s="1968">
        <f>SUM(M750:N750)*C750</f>
        <v>0</v>
      </c>
      <c r="P750" s="1968">
        <f>P99</f>
        <v>0.4</v>
      </c>
      <c r="Q750" s="1968">
        <f>O750*P750</f>
        <v>0</v>
      </c>
    </row>
    <row r="751" spans="1:18" s="1716" customFormat="1" ht="15" customHeight="1">
      <c r="A751" s="1968" t="str">
        <f t="shared" si="121"/>
        <v>KP2</v>
      </c>
      <c r="B751" s="1968">
        <f t="shared" si="121"/>
        <v>0</v>
      </c>
      <c r="C751" s="1968">
        <f t="shared" si="121"/>
        <v>0</v>
      </c>
      <c r="D751" s="1968">
        <f>D100</f>
        <v>0</v>
      </c>
      <c r="E751" s="1968">
        <v>0</v>
      </c>
      <c r="F751" s="1968">
        <f>B751*C751*D751</f>
        <v>0</v>
      </c>
      <c r="M751" s="1969">
        <f>(B751/2)/0.2</f>
        <v>0</v>
      </c>
      <c r="N751" s="1969">
        <f>(B751/2)/0.1</f>
        <v>0</v>
      </c>
      <c r="O751" s="1969">
        <f>SUM(M751:N751)*C751</f>
        <v>0</v>
      </c>
      <c r="P751" s="1968">
        <f>P100</f>
        <v>0</v>
      </c>
      <c r="Q751" s="1969">
        <f>O751*P751</f>
        <v>0</v>
      </c>
    </row>
    <row r="752" spans="1:18" s="1716" customFormat="1" ht="15" customHeight="1">
      <c r="D752" s="2725" t="s">
        <v>2074</v>
      </c>
      <c r="E752" s="2726"/>
      <c r="F752" s="1596">
        <f>SUM(F750:F751)</f>
        <v>0</v>
      </c>
      <c r="M752" s="2725" t="s">
        <v>2109</v>
      </c>
      <c r="N752" s="2726"/>
      <c r="O752" s="2726"/>
      <c r="P752" s="2727"/>
      <c r="Q752" s="1734">
        <f>SUM(Q750:Q751)</f>
        <v>0</v>
      </c>
    </row>
    <row r="753" spans="1:18" s="1716" customFormat="1" ht="15">
      <c r="D753" s="2725" t="s">
        <v>2075</v>
      </c>
      <c r="E753" s="2726"/>
      <c r="F753" s="1973">
        <f>F752*0.62</f>
        <v>0</v>
      </c>
      <c r="M753" s="2725" t="s">
        <v>2108</v>
      </c>
      <c r="N753" s="2726"/>
      <c r="O753" s="2726"/>
      <c r="P753" s="2727"/>
      <c r="Q753" s="1973">
        <f>Q752*0.4</f>
        <v>0</v>
      </c>
    </row>
    <row r="754" spans="1:18" s="1716" customFormat="1"/>
    <row r="755" spans="1:18" s="1716" customFormat="1">
      <c r="A755" s="1967" t="s">
        <v>1612</v>
      </c>
      <c r="B755" s="1967" t="s">
        <v>1608</v>
      </c>
      <c r="C755" s="1967" t="s">
        <v>2062</v>
      </c>
      <c r="D755" s="1967" t="s">
        <v>2089</v>
      </c>
      <c r="E755" s="1967" t="s">
        <v>1568</v>
      </c>
    </row>
    <row r="756" spans="1:18" s="1716" customFormat="1">
      <c r="A756" s="1974" t="str">
        <f t="shared" ref="A756:C765" si="122">A717</f>
        <v>K1</v>
      </c>
      <c r="B756" s="1974">
        <f t="shared" si="122"/>
        <v>0</v>
      </c>
      <c r="C756" s="1974">
        <f t="shared" si="122"/>
        <v>0</v>
      </c>
      <c r="D756" s="1968">
        <f t="shared" ref="D756:D765" si="123">D105</f>
        <v>0</v>
      </c>
      <c r="E756" s="1974">
        <f t="shared" ref="E756:E765" si="124">B756*C756*D756</f>
        <v>0</v>
      </c>
    </row>
    <row r="757" spans="1:18" s="1716" customFormat="1">
      <c r="A757" s="1968" t="str">
        <f t="shared" si="122"/>
        <v>K2</v>
      </c>
      <c r="B757" s="1974">
        <f t="shared" si="122"/>
        <v>0</v>
      </c>
      <c r="C757" s="1974">
        <f t="shared" si="122"/>
        <v>0</v>
      </c>
      <c r="D757" s="1968">
        <f t="shared" si="123"/>
        <v>0</v>
      </c>
      <c r="E757" s="1968">
        <f t="shared" si="124"/>
        <v>0</v>
      </c>
    </row>
    <row r="758" spans="1:18" s="1716" customFormat="1">
      <c r="A758" s="1968" t="str">
        <f t="shared" si="122"/>
        <v>K3</v>
      </c>
      <c r="B758" s="1974">
        <f t="shared" si="122"/>
        <v>0</v>
      </c>
      <c r="C758" s="1974">
        <f t="shared" si="122"/>
        <v>0</v>
      </c>
      <c r="D758" s="1968">
        <f t="shared" si="123"/>
        <v>0</v>
      </c>
      <c r="E758" s="1968">
        <f t="shared" si="124"/>
        <v>0</v>
      </c>
    </row>
    <row r="759" spans="1:18" s="1716" customFormat="1">
      <c r="A759" s="1968" t="str">
        <f t="shared" si="122"/>
        <v>K4</v>
      </c>
      <c r="B759" s="1974">
        <f t="shared" si="122"/>
        <v>0</v>
      </c>
      <c r="C759" s="1974">
        <f t="shared" si="122"/>
        <v>0</v>
      </c>
      <c r="D759" s="1968">
        <f t="shared" si="123"/>
        <v>0</v>
      </c>
      <c r="E759" s="1968">
        <f t="shared" si="124"/>
        <v>0</v>
      </c>
    </row>
    <row r="760" spans="1:18" s="1716" customFormat="1">
      <c r="A760" s="1968" t="str">
        <f t="shared" si="122"/>
        <v>K5</v>
      </c>
      <c r="B760" s="1974">
        <f t="shared" si="122"/>
        <v>0</v>
      </c>
      <c r="C760" s="1974">
        <f t="shared" si="122"/>
        <v>0</v>
      </c>
      <c r="D760" s="1968">
        <f t="shared" si="123"/>
        <v>0</v>
      </c>
      <c r="E760" s="1968">
        <f t="shared" si="124"/>
        <v>0</v>
      </c>
    </row>
    <row r="761" spans="1:18" s="1716" customFormat="1">
      <c r="A761" s="1968" t="str">
        <f t="shared" si="122"/>
        <v>K6</v>
      </c>
      <c r="B761" s="1974">
        <f t="shared" si="122"/>
        <v>0</v>
      </c>
      <c r="C761" s="1974">
        <f t="shared" si="122"/>
        <v>0</v>
      </c>
      <c r="D761" s="1968">
        <f t="shared" si="123"/>
        <v>0</v>
      </c>
      <c r="E761" s="1968">
        <f t="shared" si="124"/>
        <v>0</v>
      </c>
    </row>
    <row r="762" spans="1:18" s="1716" customFormat="1">
      <c r="A762" s="1968" t="str">
        <f t="shared" si="122"/>
        <v>K7</v>
      </c>
      <c r="B762" s="1974">
        <f t="shared" si="122"/>
        <v>0</v>
      </c>
      <c r="C762" s="1974">
        <f t="shared" si="122"/>
        <v>0</v>
      </c>
      <c r="D762" s="1968">
        <f t="shared" si="123"/>
        <v>1.413</v>
      </c>
      <c r="E762" s="1968">
        <f t="shared" si="124"/>
        <v>0</v>
      </c>
    </row>
    <row r="763" spans="1:18" s="1716" customFormat="1">
      <c r="A763" s="1968" t="str">
        <f t="shared" si="122"/>
        <v>K8</v>
      </c>
      <c r="B763" s="1974">
        <f t="shared" si="122"/>
        <v>0</v>
      </c>
      <c r="C763" s="1974">
        <f t="shared" si="122"/>
        <v>0</v>
      </c>
      <c r="D763" s="1968">
        <f t="shared" si="123"/>
        <v>1.099</v>
      </c>
      <c r="E763" s="1968">
        <f t="shared" si="124"/>
        <v>0</v>
      </c>
    </row>
    <row r="764" spans="1:18" s="1716" customFormat="1" ht="15" customHeight="1">
      <c r="A764" s="1968" t="str">
        <f t="shared" si="122"/>
        <v>K9</v>
      </c>
      <c r="B764" s="1974">
        <f t="shared" si="122"/>
        <v>0</v>
      </c>
      <c r="C764" s="1974">
        <f t="shared" si="122"/>
        <v>0</v>
      </c>
      <c r="D764" s="1968">
        <f t="shared" si="123"/>
        <v>0.62800000000000011</v>
      </c>
      <c r="E764" s="1968">
        <f t="shared" si="124"/>
        <v>0</v>
      </c>
    </row>
    <row r="765" spans="1:18" s="1716" customFormat="1" ht="15" customHeight="1">
      <c r="A765" s="1968" t="str">
        <f t="shared" si="122"/>
        <v>K10</v>
      </c>
      <c r="B765" s="1974">
        <f t="shared" si="122"/>
        <v>0</v>
      </c>
      <c r="C765" s="1974">
        <f t="shared" si="122"/>
        <v>0</v>
      </c>
      <c r="D765" s="1968">
        <f t="shared" si="123"/>
        <v>0</v>
      </c>
      <c r="E765" s="1968">
        <f t="shared" si="124"/>
        <v>0</v>
      </c>
    </row>
    <row r="766" spans="1:18" s="1716" customFormat="1" ht="14.25" customHeight="1">
      <c r="D766" s="1976" t="s">
        <v>2076</v>
      </c>
      <c r="E766" s="1980">
        <f>SUM(E756:E765)</f>
        <v>0</v>
      </c>
    </row>
    <row r="767" spans="1:18" s="1303" customFormat="1" ht="14.25" customHeight="1">
      <c r="A767" s="1716"/>
      <c r="B767" s="1716"/>
      <c r="C767" s="1716"/>
      <c r="D767" s="1978"/>
      <c r="E767" s="1980"/>
      <c r="F767" s="1716"/>
      <c r="G767" s="1716"/>
      <c r="H767" s="1716"/>
      <c r="I767" s="1716"/>
      <c r="J767" s="1716"/>
      <c r="K767" s="1716"/>
      <c r="L767" s="1716"/>
      <c r="M767" s="1716"/>
      <c r="N767" s="1716"/>
      <c r="O767" s="1716"/>
      <c r="P767" s="1716"/>
      <c r="Q767" s="1716"/>
      <c r="R767" s="1716"/>
    </row>
    <row r="768" spans="1:18" s="1716" customFormat="1">
      <c r="E768" s="1303"/>
      <c r="H768" s="1303"/>
      <c r="I768" s="1303"/>
      <c r="J768" s="1303"/>
      <c r="K768" s="1303"/>
      <c r="L768" s="1303"/>
      <c r="M768" s="1303"/>
      <c r="N768" s="1303"/>
      <c r="O768" s="1303"/>
      <c r="P768" s="1303"/>
      <c r="Q768" s="1303"/>
      <c r="R768" s="1303"/>
    </row>
    <row r="769" spans="1:43" s="1716" customFormat="1">
      <c r="A769" s="1303"/>
      <c r="B769" s="1303"/>
      <c r="C769" s="1303"/>
      <c r="D769" s="1303"/>
      <c r="E769" s="1303"/>
      <c r="F769" s="1303"/>
      <c r="G769" s="1303"/>
    </row>
    <row r="770" spans="1:43" s="1716" customFormat="1">
      <c r="A770" s="1967" t="s">
        <v>1612</v>
      </c>
      <c r="B770" s="1967" t="s">
        <v>1608</v>
      </c>
      <c r="C770" s="1967" t="s">
        <v>2062</v>
      </c>
      <c r="D770" s="1967" t="s">
        <v>2088</v>
      </c>
      <c r="E770" s="1967" t="s">
        <v>1568</v>
      </c>
    </row>
    <row r="771" spans="1:43" s="1716" customFormat="1">
      <c r="A771" s="1974" t="str">
        <f t="shared" ref="A771:C772" si="125">A750</f>
        <v>KP1</v>
      </c>
      <c r="B771" s="1974">
        <f t="shared" si="125"/>
        <v>0</v>
      </c>
      <c r="C771" s="1974">
        <f t="shared" si="125"/>
        <v>0</v>
      </c>
      <c r="D771" s="1968">
        <f>D120</f>
        <v>0.48</v>
      </c>
      <c r="E771" s="1974">
        <f>B771*C771*D771</f>
        <v>0</v>
      </c>
    </row>
    <row r="772" spans="1:43" s="1716" customFormat="1">
      <c r="A772" s="1968" t="str">
        <f t="shared" si="125"/>
        <v>KP2</v>
      </c>
      <c r="B772" s="1968">
        <f t="shared" si="125"/>
        <v>0</v>
      </c>
      <c r="C772" s="1968">
        <f t="shared" si="125"/>
        <v>0</v>
      </c>
      <c r="D772" s="1968">
        <f>D121</f>
        <v>1.44</v>
      </c>
      <c r="E772" s="1968">
        <f>B772*C772*D772</f>
        <v>0</v>
      </c>
      <c r="V772" s="1970"/>
      <c r="W772" s="1970"/>
      <c r="X772" s="1970"/>
      <c r="Y772" s="1970"/>
      <c r="Z772" s="1970"/>
      <c r="AA772" s="1970"/>
      <c r="AB772" s="1970"/>
      <c r="AC772" s="1970"/>
      <c r="AD772" s="1970"/>
      <c r="AE772" s="1970"/>
      <c r="AF772" s="1970"/>
      <c r="AG772" s="1970"/>
      <c r="AH772" s="1970"/>
      <c r="AI772" s="1970"/>
      <c r="AJ772" s="1970"/>
      <c r="AK772" s="1970"/>
      <c r="AL772" s="1970"/>
      <c r="AM772" s="1970"/>
      <c r="AN772" s="1970"/>
      <c r="AO772" s="1970"/>
      <c r="AP772" s="1970"/>
      <c r="AQ772" s="1970"/>
    </row>
    <row r="773" spans="1:43" s="1716" customFormat="1" ht="15">
      <c r="D773" s="1738" t="s">
        <v>2076</v>
      </c>
      <c r="E773" s="1973">
        <f>SUM(E771:E772)</f>
        <v>0</v>
      </c>
      <c r="V773" s="1970"/>
      <c r="W773" s="2716"/>
      <c r="X773" s="2716"/>
      <c r="Y773" s="2716"/>
      <c r="Z773" s="2716"/>
      <c r="AA773" s="2716"/>
      <c r="AB773" s="2716"/>
      <c r="AC773" s="2716"/>
      <c r="AD773" s="2716"/>
      <c r="AE773" s="1970"/>
      <c r="AF773" s="1970"/>
      <c r="AG773" s="1970"/>
      <c r="AH773" s="1970"/>
      <c r="AI773" s="1970"/>
      <c r="AJ773" s="1970"/>
      <c r="AK773" s="1970"/>
      <c r="AL773" s="1970"/>
      <c r="AM773" s="1970"/>
      <c r="AN773" s="1970"/>
      <c r="AO773" s="1970"/>
      <c r="AP773" s="1970"/>
      <c r="AQ773" s="1970"/>
    </row>
    <row r="774" spans="1:43" s="1716" customFormat="1">
      <c r="U774" s="1970"/>
      <c r="V774" s="1970"/>
      <c r="W774" s="1970"/>
      <c r="X774" s="1970"/>
      <c r="Y774" s="1745"/>
      <c r="Z774" s="1970"/>
      <c r="AA774" s="1745"/>
      <c r="AB774" s="1970"/>
      <c r="AC774" s="1970"/>
      <c r="AD774" s="1970"/>
      <c r="AE774" s="1970"/>
      <c r="AF774" s="1970"/>
      <c r="AG774" s="1970"/>
      <c r="AH774" s="1970"/>
      <c r="AI774" s="1970"/>
      <c r="AJ774" s="1970"/>
      <c r="AK774" s="1970"/>
      <c r="AL774" s="1970"/>
      <c r="AM774" s="1970"/>
      <c r="AN774" s="1970"/>
      <c r="AO774" s="1970"/>
      <c r="AP774" s="1970"/>
    </row>
    <row r="775" spans="1:43" s="1933" customFormat="1">
      <c r="A775" s="2722" t="s">
        <v>2105</v>
      </c>
      <c r="B775" s="2723"/>
      <c r="C775" s="2723"/>
      <c r="D775" s="2723"/>
      <c r="E775" s="2723"/>
      <c r="F775" s="2723"/>
      <c r="G775" s="2724"/>
      <c r="H775" s="2722" t="s">
        <v>1568</v>
      </c>
      <c r="I775" s="2723"/>
      <c r="J775" s="2723"/>
      <c r="K775" s="2723"/>
      <c r="L775" s="2724"/>
      <c r="N775" s="2722" t="s">
        <v>1610</v>
      </c>
      <c r="O775" s="2723"/>
      <c r="P775" s="2723"/>
      <c r="Q775" s="2723"/>
      <c r="R775" s="2724"/>
      <c r="U775" s="1938"/>
      <c r="V775" s="1938"/>
      <c r="W775" s="1938"/>
      <c r="X775" s="1938"/>
      <c r="Y775" s="1938"/>
      <c r="Z775" s="1938"/>
      <c r="AA775" s="1938"/>
      <c r="AB775" s="1938"/>
      <c r="AC775" s="1938"/>
      <c r="AD775" s="1938"/>
      <c r="AE775" s="1938"/>
      <c r="AF775" s="1938"/>
      <c r="AG775" s="1938"/>
      <c r="AH775" s="1938"/>
      <c r="AI775" s="1938"/>
      <c r="AJ775" s="1938"/>
      <c r="AK775" s="1938"/>
      <c r="AL775" s="1938"/>
      <c r="AM775" s="1938"/>
      <c r="AN775" s="1938"/>
      <c r="AO775" s="1938"/>
      <c r="AP775" s="1938"/>
    </row>
    <row r="776" spans="1:43" s="1303" customFormat="1" ht="15">
      <c r="A776" s="1729" t="s">
        <v>1796</v>
      </c>
      <c r="B776" s="1729" t="s">
        <v>2004</v>
      </c>
      <c r="C776" s="1729" t="s">
        <v>1609</v>
      </c>
      <c r="D776" s="1842" t="s">
        <v>2098</v>
      </c>
      <c r="E776" s="1843" t="s">
        <v>2099</v>
      </c>
      <c r="F776" s="1842" t="s">
        <v>1841</v>
      </c>
      <c r="G776" s="1729" t="s">
        <v>2107</v>
      </c>
      <c r="H776" s="1729" t="s">
        <v>2100</v>
      </c>
      <c r="I776" s="1729" t="s">
        <v>2101</v>
      </c>
      <c r="J776" s="1729" t="s">
        <v>2102</v>
      </c>
      <c r="K776" s="1729" t="s">
        <v>2103</v>
      </c>
      <c r="L776" s="1729" t="s">
        <v>2104</v>
      </c>
      <c r="N776" s="1826" t="s">
        <v>1607</v>
      </c>
      <c r="O776" s="1826" t="s">
        <v>1611</v>
      </c>
      <c r="P776" s="1826" t="s">
        <v>1168</v>
      </c>
      <c r="Q776" s="1826" t="s">
        <v>1205</v>
      </c>
      <c r="R776" s="1826" t="s">
        <v>1243</v>
      </c>
      <c r="U776" s="1970"/>
      <c r="V776" s="1970"/>
      <c r="W776" s="1970"/>
      <c r="X776" s="1970"/>
      <c r="Y776" s="1970"/>
      <c r="Z776" s="1970"/>
      <c r="AA776" s="1970"/>
      <c r="AB776" s="1970"/>
      <c r="AC776" s="1970"/>
      <c r="AD776" s="1970"/>
      <c r="AE776" s="1970"/>
      <c r="AF776" s="1970"/>
      <c r="AG776" s="1970"/>
      <c r="AH776" s="1970"/>
      <c r="AI776" s="1970"/>
      <c r="AJ776" s="1970"/>
      <c r="AK776" s="1970"/>
      <c r="AL776" s="1970"/>
      <c r="AM776" s="1970"/>
      <c r="AN776" s="1970"/>
      <c r="AO776" s="1970"/>
      <c r="AP776" s="1970"/>
    </row>
    <row r="777" spans="1:43" s="1303" customFormat="1">
      <c r="A777" s="1826" t="s">
        <v>187</v>
      </c>
      <c r="B777" s="1826"/>
      <c r="C777" s="1968">
        <f t="shared" ref="C777:G786" si="126">C281</f>
        <v>16</v>
      </c>
      <c r="D777" s="1968">
        <f t="shared" si="126"/>
        <v>0</v>
      </c>
      <c r="E777" s="1968">
        <f t="shared" si="126"/>
        <v>0</v>
      </c>
      <c r="F777" s="1968">
        <f t="shared" si="126"/>
        <v>0</v>
      </c>
      <c r="G777" s="1968">
        <f t="shared" si="126"/>
        <v>0</v>
      </c>
      <c r="H777" s="1826">
        <f>B777*C777</f>
        <v>0</v>
      </c>
      <c r="I777" s="1826">
        <f>B777*D777</f>
        <v>0</v>
      </c>
      <c r="J777" s="1826">
        <f t="shared" ref="J777:J792" si="127">B777*E777</f>
        <v>0</v>
      </c>
      <c r="K777" s="1826">
        <f>B777*F777</f>
        <v>0</v>
      </c>
      <c r="L777" s="1826">
        <f>B777*G777</f>
        <v>0</v>
      </c>
      <c r="N777" s="1826">
        <f t="shared" ref="N777:N792" si="128">(B777/2)/0.2</f>
        <v>0</v>
      </c>
      <c r="O777" s="1826">
        <f t="shared" ref="O777:O792" si="129">(B777/2)/0.1</f>
        <v>0</v>
      </c>
      <c r="P777" s="1826">
        <f t="shared" ref="P777:P792" si="130">SUM(N777:O777)</f>
        <v>0</v>
      </c>
      <c r="Q777" s="1968">
        <f t="shared" ref="Q777:Q792" si="131">Q281</f>
        <v>1.5999999999999999</v>
      </c>
      <c r="R777" s="1826">
        <f t="shared" ref="R777:R792" si="132">P777*Q777</f>
        <v>0</v>
      </c>
      <c r="U777" s="1970"/>
      <c r="V777" s="1970"/>
      <c r="W777" s="1970"/>
      <c r="X777" s="1970"/>
      <c r="Y777" s="1970"/>
      <c r="Z777" s="1970"/>
      <c r="AA777" s="1970"/>
      <c r="AB777" s="1970"/>
      <c r="AC777" s="1970"/>
      <c r="AD777" s="1970"/>
      <c r="AE777" s="1970"/>
      <c r="AF777" s="1970"/>
      <c r="AG777" s="1970"/>
      <c r="AH777" s="1970"/>
      <c r="AI777" s="1970"/>
      <c r="AJ777" s="1970"/>
      <c r="AK777" s="1970"/>
      <c r="AL777" s="1970"/>
      <c r="AM777" s="1970"/>
      <c r="AN777" s="1970"/>
      <c r="AO777" s="1970"/>
      <c r="AP777" s="1970"/>
    </row>
    <row r="778" spans="1:43" s="1303" customFormat="1">
      <c r="A778" s="1826" t="s">
        <v>173</v>
      </c>
      <c r="B778" s="1826"/>
      <c r="C778" s="1968">
        <f t="shared" si="126"/>
        <v>16</v>
      </c>
      <c r="D778" s="1968">
        <f t="shared" si="126"/>
        <v>0</v>
      </c>
      <c r="E778" s="1968">
        <f t="shared" si="126"/>
        <v>0</v>
      </c>
      <c r="F778" s="1968">
        <f t="shared" si="126"/>
        <v>1</v>
      </c>
      <c r="G778" s="1968">
        <f t="shared" si="126"/>
        <v>0</v>
      </c>
      <c r="H778" s="1826">
        <f>B778*C778</f>
        <v>0</v>
      </c>
      <c r="I778" s="1826">
        <f>B778*D778</f>
        <v>0</v>
      </c>
      <c r="J778" s="1826">
        <f t="shared" si="127"/>
        <v>0</v>
      </c>
      <c r="K778" s="1826">
        <f t="shared" ref="K778:K792" si="133">B778*F778</f>
        <v>0</v>
      </c>
      <c r="L778" s="1826">
        <f t="shared" ref="L778:L792" si="134">B778*G778</f>
        <v>0</v>
      </c>
      <c r="N778" s="1826">
        <f t="shared" si="128"/>
        <v>0</v>
      </c>
      <c r="O778" s="1826">
        <f t="shared" si="129"/>
        <v>0</v>
      </c>
      <c r="P778" s="1826">
        <f t="shared" si="130"/>
        <v>0</v>
      </c>
      <c r="Q778" s="1968">
        <f t="shared" si="131"/>
        <v>1.85</v>
      </c>
      <c r="R778" s="1826">
        <f t="shared" si="132"/>
        <v>0</v>
      </c>
      <c r="U778" s="1970"/>
      <c r="V778" s="1970"/>
      <c r="W778" s="1970"/>
      <c r="X778" s="1970"/>
      <c r="Y778" s="1970"/>
      <c r="Z778" s="1970"/>
      <c r="AA778" s="1970"/>
      <c r="AB778" s="1970"/>
      <c r="AC778" s="1970"/>
      <c r="AD778" s="1970"/>
      <c r="AE778" s="1970"/>
      <c r="AF778" s="1970"/>
      <c r="AG778" s="1970"/>
      <c r="AH778" s="1970"/>
      <c r="AI778" s="1970"/>
      <c r="AJ778" s="1970"/>
      <c r="AK778" s="1970"/>
      <c r="AL778" s="1970"/>
      <c r="AM778" s="1970"/>
      <c r="AN778" s="1970"/>
      <c r="AO778" s="1970"/>
      <c r="AP778" s="1970"/>
    </row>
    <row r="779" spans="1:43" s="1303" customFormat="1">
      <c r="A779" s="1826" t="s">
        <v>172</v>
      </c>
      <c r="B779" s="1826"/>
      <c r="C779" s="1968">
        <f t="shared" si="126"/>
        <v>10</v>
      </c>
      <c r="D779" s="1968">
        <f t="shared" si="126"/>
        <v>0</v>
      </c>
      <c r="E779" s="1968">
        <f t="shared" si="126"/>
        <v>0</v>
      </c>
      <c r="F779" s="1968">
        <f t="shared" si="126"/>
        <v>0</v>
      </c>
      <c r="G779" s="1968">
        <f t="shared" si="126"/>
        <v>0</v>
      </c>
      <c r="H779" s="1826">
        <f>B779*C779</f>
        <v>0</v>
      </c>
      <c r="I779" s="1826">
        <f>B779*D779</f>
        <v>0</v>
      </c>
      <c r="J779" s="1826">
        <f t="shared" si="127"/>
        <v>0</v>
      </c>
      <c r="K779" s="1826">
        <f t="shared" si="133"/>
        <v>0</v>
      </c>
      <c r="L779" s="1826">
        <f t="shared" si="134"/>
        <v>0</v>
      </c>
      <c r="N779" s="1826">
        <f t="shared" si="128"/>
        <v>0</v>
      </c>
      <c r="O779" s="1826">
        <f t="shared" si="129"/>
        <v>0</v>
      </c>
      <c r="P779" s="1826">
        <f t="shared" si="130"/>
        <v>0</v>
      </c>
      <c r="Q779" s="1968">
        <f t="shared" si="131"/>
        <v>1.2999999999999998</v>
      </c>
      <c r="R779" s="1826">
        <f t="shared" si="132"/>
        <v>0</v>
      </c>
      <c r="U779" s="1970"/>
      <c r="V779" s="1970"/>
      <c r="W779" s="1970"/>
      <c r="X779" s="1970"/>
      <c r="Y779" s="1970"/>
      <c r="Z779" s="1970"/>
      <c r="AA779" s="1970"/>
      <c r="AB779" s="1970"/>
      <c r="AC779" s="1970"/>
      <c r="AD779" s="1970"/>
      <c r="AE779" s="1970"/>
      <c r="AF779" s="1970"/>
      <c r="AG779" s="1970"/>
      <c r="AH779" s="1970"/>
      <c r="AI779" s="1970"/>
      <c r="AJ779" s="1970"/>
      <c r="AK779" s="1970"/>
      <c r="AL779" s="1970"/>
      <c r="AM779" s="1970"/>
      <c r="AN779" s="1970"/>
      <c r="AO779" s="1970"/>
      <c r="AP779" s="1970"/>
    </row>
    <row r="780" spans="1:43" s="1303" customFormat="1">
      <c r="A780" s="1826" t="s">
        <v>174</v>
      </c>
      <c r="B780" s="1826"/>
      <c r="C780" s="1968">
        <f t="shared" si="126"/>
        <v>10</v>
      </c>
      <c r="D780" s="1968">
        <f t="shared" si="126"/>
        <v>0</v>
      </c>
      <c r="E780" s="1968">
        <f t="shared" si="126"/>
        <v>0</v>
      </c>
      <c r="F780" s="1968">
        <f t="shared" si="126"/>
        <v>0</v>
      </c>
      <c r="G780" s="1968">
        <f t="shared" si="126"/>
        <v>0</v>
      </c>
      <c r="H780" s="1826">
        <f t="shared" ref="H780:H792" si="135">B780*C780</f>
        <v>0</v>
      </c>
      <c r="I780" s="1826">
        <f>B780*E780</f>
        <v>0</v>
      </c>
      <c r="J780" s="1826">
        <f t="shared" si="127"/>
        <v>0</v>
      </c>
      <c r="K780" s="1826">
        <f t="shared" si="133"/>
        <v>0</v>
      </c>
      <c r="L780" s="1826">
        <f t="shared" si="134"/>
        <v>0</v>
      </c>
      <c r="N780" s="1826">
        <f t="shared" si="128"/>
        <v>0</v>
      </c>
      <c r="O780" s="1826">
        <f t="shared" si="129"/>
        <v>0</v>
      </c>
      <c r="P780" s="1826">
        <f t="shared" si="130"/>
        <v>0</v>
      </c>
      <c r="Q780" s="1968">
        <f t="shared" si="131"/>
        <v>1</v>
      </c>
      <c r="R780" s="1826">
        <f t="shared" si="132"/>
        <v>0</v>
      </c>
      <c r="U780" s="1970"/>
      <c r="V780" s="1970"/>
      <c r="W780" s="1970"/>
      <c r="X780" s="1970"/>
      <c r="Y780" s="1970"/>
      <c r="Z780" s="1970"/>
      <c r="AA780" s="1970"/>
      <c r="AB780" s="1970"/>
      <c r="AC780" s="1970"/>
      <c r="AD780" s="1970"/>
      <c r="AE780" s="1970"/>
      <c r="AF780" s="1970"/>
      <c r="AG780" s="1970"/>
      <c r="AH780" s="1970"/>
      <c r="AI780" s="1970"/>
      <c r="AJ780" s="1970"/>
      <c r="AK780" s="1970"/>
      <c r="AL780" s="1970"/>
      <c r="AM780" s="1970"/>
      <c r="AN780" s="1970"/>
      <c r="AO780" s="1970"/>
      <c r="AP780" s="1970"/>
    </row>
    <row r="781" spans="1:43" s="1303" customFormat="1">
      <c r="A781" s="1826" t="s">
        <v>188</v>
      </c>
      <c r="B781" s="1826"/>
      <c r="C781" s="1968">
        <f t="shared" si="126"/>
        <v>8</v>
      </c>
      <c r="D781" s="1968">
        <f t="shared" si="126"/>
        <v>0</v>
      </c>
      <c r="E781" s="1968">
        <f t="shared" si="126"/>
        <v>0</v>
      </c>
      <c r="F781" s="1968">
        <f t="shared" si="126"/>
        <v>0</v>
      </c>
      <c r="G781" s="1968">
        <f t="shared" si="126"/>
        <v>0</v>
      </c>
      <c r="H781" s="1826">
        <f t="shared" si="135"/>
        <v>0</v>
      </c>
      <c r="I781" s="1826">
        <f>B781*E781</f>
        <v>0</v>
      </c>
      <c r="J781" s="1826">
        <f t="shared" si="127"/>
        <v>0</v>
      </c>
      <c r="K781" s="1826">
        <f t="shared" si="133"/>
        <v>0</v>
      </c>
      <c r="L781" s="1826">
        <f t="shared" si="134"/>
        <v>0</v>
      </c>
      <c r="N781" s="1826">
        <f t="shared" si="128"/>
        <v>0</v>
      </c>
      <c r="O781" s="1826">
        <f t="shared" si="129"/>
        <v>0</v>
      </c>
      <c r="P781" s="1826">
        <f t="shared" si="130"/>
        <v>0</v>
      </c>
      <c r="Q781" s="1968">
        <f t="shared" si="131"/>
        <v>0.9</v>
      </c>
      <c r="R781" s="1826">
        <f t="shared" si="132"/>
        <v>0</v>
      </c>
      <c r="U781" s="1970"/>
      <c r="V781" s="1970"/>
      <c r="W781" s="1970"/>
      <c r="X781" s="1970"/>
      <c r="Y781" s="1970"/>
      <c r="Z781" s="1970"/>
      <c r="AA781" s="1970"/>
      <c r="AB781" s="1970"/>
      <c r="AC781" s="1970"/>
      <c r="AD781" s="1970"/>
      <c r="AE781" s="1970"/>
      <c r="AF781" s="1970"/>
      <c r="AG781" s="1970"/>
      <c r="AH781" s="1970"/>
      <c r="AI781" s="1970"/>
      <c r="AJ781" s="1970"/>
      <c r="AK781" s="1970"/>
      <c r="AL781" s="1970"/>
      <c r="AM781" s="1970"/>
      <c r="AN781" s="1970"/>
      <c r="AO781" s="1970"/>
      <c r="AP781" s="1970"/>
    </row>
    <row r="782" spans="1:43" s="1303" customFormat="1">
      <c r="A782" s="1826" t="s">
        <v>1998</v>
      </c>
      <c r="B782" s="1826"/>
      <c r="C782" s="1968">
        <f t="shared" si="126"/>
        <v>10</v>
      </c>
      <c r="D782" s="1968">
        <f t="shared" si="126"/>
        <v>0</v>
      </c>
      <c r="E782" s="1968">
        <f t="shared" si="126"/>
        <v>0</v>
      </c>
      <c r="F782" s="1968">
        <f t="shared" si="126"/>
        <v>3</v>
      </c>
      <c r="G782" s="1968">
        <f t="shared" si="126"/>
        <v>0</v>
      </c>
      <c r="H782" s="1826">
        <f t="shared" si="135"/>
        <v>0</v>
      </c>
      <c r="I782" s="1826">
        <f t="shared" ref="I782:I792" si="136">B782*D782</f>
        <v>0</v>
      </c>
      <c r="J782" s="1826">
        <f t="shared" si="127"/>
        <v>0</v>
      </c>
      <c r="K782" s="1826">
        <f t="shared" si="133"/>
        <v>0</v>
      </c>
      <c r="L782" s="1826">
        <f t="shared" si="134"/>
        <v>0</v>
      </c>
      <c r="N782" s="1826">
        <f t="shared" si="128"/>
        <v>0</v>
      </c>
      <c r="O782" s="1826">
        <f t="shared" si="129"/>
        <v>0</v>
      </c>
      <c r="P782" s="1826">
        <f t="shared" si="130"/>
        <v>0</v>
      </c>
      <c r="Q782" s="1968">
        <f t="shared" si="131"/>
        <v>1.4500000000000002</v>
      </c>
      <c r="R782" s="1826">
        <f t="shared" si="132"/>
        <v>0</v>
      </c>
      <c r="U782" s="1970"/>
      <c r="V782" s="1970"/>
      <c r="W782" s="1970"/>
      <c r="X782" s="1970"/>
      <c r="Y782" s="1970"/>
      <c r="Z782" s="1970"/>
      <c r="AA782" s="1970"/>
      <c r="AB782" s="1970"/>
      <c r="AC782" s="1970"/>
      <c r="AD782" s="1970"/>
      <c r="AE782" s="1970"/>
      <c r="AF782" s="1970"/>
      <c r="AG782" s="1970"/>
      <c r="AH782" s="1970"/>
      <c r="AI782" s="1970"/>
      <c r="AJ782" s="1970"/>
      <c r="AK782" s="1970"/>
      <c r="AL782" s="1970"/>
      <c r="AM782" s="1970"/>
      <c r="AN782" s="1970"/>
      <c r="AO782" s="1970"/>
      <c r="AP782" s="1970"/>
    </row>
    <row r="783" spans="1:43" s="1303" customFormat="1">
      <c r="A783" s="1826" t="s">
        <v>1999</v>
      </c>
      <c r="B783" s="1826"/>
      <c r="C783" s="1968">
        <f t="shared" si="126"/>
        <v>10</v>
      </c>
      <c r="D783" s="1968">
        <f t="shared" si="126"/>
        <v>0</v>
      </c>
      <c r="E783" s="1968">
        <f t="shared" si="126"/>
        <v>0</v>
      </c>
      <c r="F783" s="1968">
        <f t="shared" si="126"/>
        <v>2</v>
      </c>
      <c r="G783" s="1968">
        <f t="shared" si="126"/>
        <v>0</v>
      </c>
      <c r="H783" s="1826">
        <f t="shared" si="135"/>
        <v>0</v>
      </c>
      <c r="I783" s="1826">
        <f t="shared" si="136"/>
        <v>0</v>
      </c>
      <c r="J783" s="1826">
        <f t="shared" si="127"/>
        <v>0</v>
      </c>
      <c r="K783" s="1826">
        <f t="shared" si="133"/>
        <v>0</v>
      </c>
      <c r="L783" s="1826">
        <f t="shared" si="134"/>
        <v>0</v>
      </c>
      <c r="N783" s="1826">
        <f t="shared" si="128"/>
        <v>0</v>
      </c>
      <c r="O783" s="1826">
        <f t="shared" si="129"/>
        <v>0</v>
      </c>
      <c r="P783" s="1826">
        <f t="shared" si="130"/>
        <v>0</v>
      </c>
      <c r="Q783" s="1968">
        <f t="shared" si="131"/>
        <v>1.65</v>
      </c>
      <c r="R783" s="1826">
        <f t="shared" si="132"/>
        <v>0</v>
      </c>
      <c r="U783" s="1970"/>
      <c r="V783" s="1970"/>
      <c r="W783" s="1970"/>
      <c r="X783" s="1970"/>
      <c r="Y783" s="1970"/>
      <c r="Z783" s="1970"/>
      <c r="AA783" s="1970"/>
      <c r="AB783" s="1970"/>
      <c r="AC783" s="1970"/>
      <c r="AD783" s="1970"/>
      <c r="AE783" s="1970"/>
      <c r="AF783" s="1970"/>
      <c r="AG783" s="1970"/>
      <c r="AH783" s="1970"/>
      <c r="AI783" s="1970"/>
      <c r="AJ783" s="1970"/>
      <c r="AK783" s="1970"/>
      <c r="AL783" s="1970"/>
      <c r="AM783" s="1970"/>
      <c r="AN783" s="1970"/>
      <c r="AO783" s="1970"/>
      <c r="AP783" s="1970"/>
    </row>
    <row r="784" spans="1:43" s="1303" customFormat="1">
      <c r="A784" s="1826" t="s">
        <v>2000</v>
      </c>
      <c r="B784" s="1826"/>
      <c r="C784" s="1968">
        <f t="shared" si="126"/>
        <v>6</v>
      </c>
      <c r="D784" s="1968">
        <f t="shared" si="126"/>
        <v>0</v>
      </c>
      <c r="E784" s="1968">
        <f t="shared" si="126"/>
        <v>0</v>
      </c>
      <c r="F784" s="1968">
        <f t="shared" si="126"/>
        <v>0</v>
      </c>
      <c r="G784" s="1968">
        <f t="shared" si="126"/>
        <v>0</v>
      </c>
      <c r="H784" s="1826">
        <f t="shared" si="135"/>
        <v>0</v>
      </c>
      <c r="I784" s="1826">
        <f t="shared" si="136"/>
        <v>0</v>
      </c>
      <c r="J784" s="1826">
        <f t="shared" si="127"/>
        <v>0</v>
      </c>
      <c r="K784" s="1826">
        <f t="shared" si="133"/>
        <v>0</v>
      </c>
      <c r="L784" s="1826">
        <f t="shared" si="134"/>
        <v>0</v>
      </c>
      <c r="N784" s="1826">
        <f t="shared" si="128"/>
        <v>0</v>
      </c>
      <c r="O784" s="1826">
        <f t="shared" si="129"/>
        <v>0</v>
      </c>
      <c r="P784" s="1826">
        <f t="shared" si="130"/>
        <v>0</v>
      </c>
      <c r="Q784" s="1968">
        <f t="shared" si="131"/>
        <v>0.7</v>
      </c>
      <c r="R784" s="1826">
        <f t="shared" si="132"/>
        <v>0</v>
      </c>
      <c r="U784" s="1970"/>
      <c r="V784" s="1970"/>
      <c r="W784" s="1970"/>
      <c r="X784" s="1970"/>
      <c r="Y784" s="1970"/>
      <c r="Z784" s="1970"/>
      <c r="AA784" s="1970"/>
      <c r="AB784" s="1970"/>
      <c r="AC784" s="1970"/>
      <c r="AD784" s="1970"/>
      <c r="AE784" s="1970"/>
      <c r="AF784" s="1970"/>
      <c r="AG784" s="1970"/>
      <c r="AH784" s="1970"/>
      <c r="AI784" s="1970"/>
      <c r="AJ784" s="1970"/>
      <c r="AK784" s="1970"/>
      <c r="AL784" s="1970"/>
      <c r="AM784" s="1970"/>
      <c r="AN784" s="1970"/>
      <c r="AO784" s="1970"/>
      <c r="AP784" s="1970"/>
    </row>
    <row r="785" spans="1:43" s="1303" customFormat="1">
      <c r="A785" s="1826" t="s">
        <v>2001</v>
      </c>
      <c r="B785" s="1826"/>
      <c r="C785" s="1968">
        <f t="shared" si="126"/>
        <v>8</v>
      </c>
      <c r="D785" s="1968">
        <f t="shared" si="126"/>
        <v>0</v>
      </c>
      <c r="E785" s="1968">
        <f t="shared" si="126"/>
        <v>0</v>
      </c>
      <c r="F785" s="1968">
        <f t="shared" si="126"/>
        <v>2</v>
      </c>
      <c r="G785" s="1968">
        <f t="shared" si="126"/>
        <v>0</v>
      </c>
      <c r="H785" s="1826">
        <f t="shared" si="135"/>
        <v>0</v>
      </c>
      <c r="I785" s="1826">
        <f t="shared" si="136"/>
        <v>0</v>
      </c>
      <c r="J785" s="1826">
        <f t="shared" si="127"/>
        <v>0</v>
      </c>
      <c r="K785" s="1826">
        <f t="shared" si="133"/>
        <v>0</v>
      </c>
      <c r="L785" s="1826">
        <f t="shared" si="134"/>
        <v>0</v>
      </c>
      <c r="N785" s="1826">
        <f t="shared" si="128"/>
        <v>0</v>
      </c>
      <c r="O785" s="1826">
        <f t="shared" si="129"/>
        <v>0</v>
      </c>
      <c r="P785" s="1826">
        <f t="shared" si="130"/>
        <v>0</v>
      </c>
      <c r="Q785" s="1968">
        <f t="shared" si="131"/>
        <v>1.35</v>
      </c>
      <c r="R785" s="1826">
        <f t="shared" si="132"/>
        <v>0</v>
      </c>
      <c r="U785" s="1970"/>
      <c r="V785" s="1970"/>
      <c r="W785" s="1970"/>
      <c r="X785" s="1970"/>
      <c r="Y785" s="1970"/>
      <c r="Z785" s="1970"/>
      <c r="AA785" s="1970"/>
      <c r="AB785" s="1970"/>
      <c r="AC785" s="1970"/>
      <c r="AD785" s="1970"/>
      <c r="AE785" s="1970"/>
      <c r="AF785" s="1970"/>
      <c r="AG785" s="1970"/>
      <c r="AH785" s="1970"/>
      <c r="AI785" s="1970"/>
      <c r="AJ785" s="1970"/>
      <c r="AK785" s="1970"/>
      <c r="AL785" s="1970"/>
      <c r="AM785" s="1970"/>
      <c r="AN785" s="1970"/>
      <c r="AO785" s="1970"/>
      <c r="AP785" s="1970"/>
    </row>
    <row r="786" spans="1:43" s="1303" customFormat="1">
      <c r="A786" s="1826" t="s">
        <v>2002</v>
      </c>
      <c r="B786" s="1826"/>
      <c r="C786" s="1968">
        <f t="shared" si="126"/>
        <v>8</v>
      </c>
      <c r="D786" s="1968">
        <f t="shared" si="126"/>
        <v>0</v>
      </c>
      <c r="E786" s="1968">
        <f t="shared" si="126"/>
        <v>0</v>
      </c>
      <c r="F786" s="1968">
        <f t="shared" si="126"/>
        <v>3</v>
      </c>
      <c r="G786" s="1968">
        <f t="shared" si="126"/>
        <v>0</v>
      </c>
      <c r="H786" s="1826">
        <f t="shared" si="135"/>
        <v>0</v>
      </c>
      <c r="I786" s="1826">
        <f t="shared" si="136"/>
        <v>0</v>
      </c>
      <c r="J786" s="1826">
        <f t="shared" si="127"/>
        <v>0</v>
      </c>
      <c r="K786" s="1826">
        <f t="shared" si="133"/>
        <v>0</v>
      </c>
      <c r="L786" s="1826">
        <f t="shared" si="134"/>
        <v>0</v>
      </c>
      <c r="N786" s="1826">
        <f t="shared" si="128"/>
        <v>0</v>
      </c>
      <c r="O786" s="1826">
        <f t="shared" si="129"/>
        <v>0</v>
      </c>
      <c r="P786" s="1826">
        <f t="shared" si="130"/>
        <v>0</v>
      </c>
      <c r="Q786" s="1968">
        <f t="shared" si="131"/>
        <v>1.41</v>
      </c>
      <c r="R786" s="1826">
        <f t="shared" si="132"/>
        <v>0</v>
      </c>
      <c r="U786" s="1970"/>
      <c r="V786" s="1970"/>
      <c r="W786" s="1970"/>
      <c r="X786" s="1970"/>
      <c r="Y786" s="1970"/>
      <c r="Z786" s="1970"/>
      <c r="AA786" s="1970"/>
      <c r="AB786" s="1970"/>
      <c r="AC786" s="1970"/>
      <c r="AD786" s="1970"/>
      <c r="AE786" s="1970"/>
      <c r="AF786" s="1970"/>
      <c r="AG786" s="1970"/>
      <c r="AH786" s="1970"/>
      <c r="AI786" s="1970"/>
      <c r="AJ786" s="1970"/>
      <c r="AK786" s="1970"/>
      <c r="AL786" s="1970"/>
      <c r="AM786" s="1970"/>
      <c r="AN786" s="1970"/>
      <c r="AO786" s="1970"/>
      <c r="AP786" s="1970"/>
    </row>
    <row r="787" spans="1:43" s="1303" customFormat="1" ht="15" customHeight="1">
      <c r="A787" s="1826" t="s">
        <v>2003</v>
      </c>
      <c r="B787" s="1826"/>
      <c r="C787" s="1968">
        <f t="shared" ref="C787:G792" si="137">C291</f>
        <v>10</v>
      </c>
      <c r="D787" s="1968">
        <f t="shared" si="137"/>
        <v>0</v>
      </c>
      <c r="E787" s="1968">
        <f t="shared" si="137"/>
        <v>0</v>
      </c>
      <c r="F787" s="1968">
        <f t="shared" si="137"/>
        <v>3</v>
      </c>
      <c r="G787" s="1968">
        <f t="shared" si="137"/>
        <v>0</v>
      </c>
      <c r="H787" s="1826">
        <f t="shared" si="135"/>
        <v>0</v>
      </c>
      <c r="I787" s="1826">
        <f t="shared" si="136"/>
        <v>0</v>
      </c>
      <c r="J787" s="1826">
        <f t="shared" si="127"/>
        <v>0</v>
      </c>
      <c r="K787" s="1826">
        <f t="shared" si="133"/>
        <v>0</v>
      </c>
      <c r="L787" s="1826">
        <f t="shared" si="134"/>
        <v>0</v>
      </c>
      <c r="N787" s="1826">
        <f t="shared" si="128"/>
        <v>0</v>
      </c>
      <c r="O787" s="1826">
        <f t="shared" si="129"/>
        <v>0</v>
      </c>
      <c r="P787" s="1826">
        <f t="shared" si="130"/>
        <v>0</v>
      </c>
      <c r="Q787" s="1968">
        <f t="shared" si="131"/>
        <v>1.3499999999999999</v>
      </c>
      <c r="R787" s="1826">
        <f t="shared" si="132"/>
        <v>0</v>
      </c>
      <c r="U787" s="1970"/>
      <c r="V787" s="1970"/>
      <c r="W787" s="1970"/>
      <c r="X787" s="1970"/>
      <c r="Y787" s="1970"/>
      <c r="Z787" s="1970"/>
      <c r="AA787" s="1970"/>
      <c r="AB787" s="1970"/>
      <c r="AC787" s="1970"/>
      <c r="AD787" s="1970"/>
      <c r="AE787" s="1970"/>
      <c r="AF787" s="1970"/>
      <c r="AG787" s="1970"/>
      <c r="AH787" s="1970"/>
      <c r="AI787" s="1970"/>
      <c r="AJ787" s="1970"/>
      <c r="AK787" s="1970"/>
      <c r="AL787" s="1970"/>
      <c r="AM787" s="1970"/>
      <c r="AN787" s="1970"/>
      <c r="AO787" s="1970"/>
    </row>
    <row r="788" spans="1:43" s="1303" customFormat="1" ht="15" customHeight="1">
      <c r="A788" s="1826" t="s">
        <v>2251</v>
      </c>
      <c r="B788" s="1826"/>
      <c r="C788" s="1968">
        <f t="shared" si="137"/>
        <v>0</v>
      </c>
      <c r="D788" s="1968">
        <f t="shared" si="137"/>
        <v>0</v>
      </c>
      <c r="E788" s="1968">
        <f t="shared" si="137"/>
        <v>0</v>
      </c>
      <c r="F788" s="1968">
        <f t="shared" si="137"/>
        <v>0</v>
      </c>
      <c r="G788" s="1968">
        <f t="shared" si="137"/>
        <v>0</v>
      </c>
      <c r="H788" s="1826">
        <f t="shared" si="135"/>
        <v>0</v>
      </c>
      <c r="I788" s="1826">
        <f t="shared" si="136"/>
        <v>0</v>
      </c>
      <c r="J788" s="1826">
        <f t="shared" si="127"/>
        <v>0</v>
      </c>
      <c r="K788" s="1826">
        <f t="shared" si="133"/>
        <v>0</v>
      </c>
      <c r="L788" s="1826">
        <f t="shared" si="134"/>
        <v>0</v>
      </c>
      <c r="N788" s="1826">
        <f t="shared" si="128"/>
        <v>0</v>
      </c>
      <c r="O788" s="1826">
        <f t="shared" si="129"/>
        <v>0</v>
      </c>
      <c r="P788" s="1826">
        <f t="shared" si="130"/>
        <v>0</v>
      </c>
      <c r="Q788" s="1968">
        <f t="shared" si="131"/>
        <v>-0.2</v>
      </c>
      <c r="R788" s="1826">
        <f t="shared" si="132"/>
        <v>0</v>
      </c>
      <c r="U788" s="1970"/>
      <c r="V788" s="1970"/>
      <c r="W788" s="1970"/>
      <c r="X788" s="1970"/>
      <c r="Y788" s="1970"/>
      <c r="Z788" s="1970"/>
      <c r="AA788" s="1970"/>
      <c r="AB788" s="1970"/>
      <c r="AC788" s="1970"/>
      <c r="AD788" s="1970"/>
      <c r="AE788" s="1970"/>
      <c r="AF788" s="1970"/>
      <c r="AG788" s="1970"/>
      <c r="AH788" s="1970"/>
      <c r="AI788" s="1970"/>
      <c r="AJ788" s="1970"/>
      <c r="AK788" s="1970"/>
      <c r="AL788" s="1970"/>
      <c r="AM788" s="1970"/>
      <c r="AN788" s="1970"/>
      <c r="AO788" s="1970"/>
    </row>
    <row r="789" spans="1:43" s="1303" customFormat="1">
      <c r="A789" s="1826" t="s">
        <v>2273</v>
      </c>
      <c r="B789" s="1826"/>
      <c r="C789" s="1968">
        <f t="shared" si="137"/>
        <v>0</v>
      </c>
      <c r="D789" s="1968">
        <f t="shared" si="137"/>
        <v>0</v>
      </c>
      <c r="E789" s="1968">
        <f t="shared" si="137"/>
        <v>0</v>
      </c>
      <c r="F789" s="1968">
        <f t="shared" si="137"/>
        <v>0</v>
      </c>
      <c r="G789" s="1968">
        <f t="shared" si="137"/>
        <v>0</v>
      </c>
      <c r="H789" s="1826">
        <f t="shared" si="135"/>
        <v>0</v>
      </c>
      <c r="I789" s="1826">
        <f t="shared" si="136"/>
        <v>0</v>
      </c>
      <c r="J789" s="1826">
        <f t="shared" si="127"/>
        <v>0</v>
      </c>
      <c r="K789" s="1826">
        <f t="shared" si="133"/>
        <v>0</v>
      </c>
      <c r="L789" s="1826">
        <f t="shared" si="134"/>
        <v>0</v>
      </c>
      <c r="N789" s="1826">
        <f t="shared" si="128"/>
        <v>0</v>
      </c>
      <c r="O789" s="1826">
        <f t="shared" si="129"/>
        <v>0</v>
      </c>
      <c r="P789" s="1826">
        <f t="shared" si="130"/>
        <v>0</v>
      </c>
      <c r="Q789" s="1968">
        <f t="shared" si="131"/>
        <v>-0.2</v>
      </c>
      <c r="R789" s="1826">
        <f t="shared" si="132"/>
        <v>0</v>
      </c>
      <c r="U789" s="1970"/>
      <c r="V789" s="1970"/>
      <c r="W789" s="1970"/>
      <c r="X789" s="1970"/>
      <c r="Y789" s="1970"/>
      <c r="Z789" s="1970"/>
      <c r="AA789" s="1970"/>
      <c r="AB789" s="1970"/>
      <c r="AC789" s="1970"/>
      <c r="AD789" s="1970"/>
      <c r="AE789" s="1970"/>
      <c r="AF789" s="1970"/>
      <c r="AG789" s="1970"/>
      <c r="AH789" s="1970"/>
      <c r="AI789" s="1970"/>
      <c r="AJ789" s="1970"/>
      <c r="AK789" s="1970"/>
      <c r="AL789" s="1970"/>
      <c r="AM789" s="1970"/>
      <c r="AN789" s="1970"/>
      <c r="AO789" s="1970"/>
      <c r="AP789" s="1970"/>
    </row>
    <row r="790" spans="1:43" s="1303" customFormat="1" ht="15" customHeight="1">
      <c r="A790" s="1826" t="s">
        <v>2274</v>
      </c>
      <c r="B790" s="1826"/>
      <c r="C790" s="1968">
        <f t="shared" si="137"/>
        <v>0</v>
      </c>
      <c r="D790" s="1968">
        <f t="shared" si="137"/>
        <v>0</v>
      </c>
      <c r="E790" s="1968">
        <f t="shared" si="137"/>
        <v>0</v>
      </c>
      <c r="F790" s="1968">
        <f t="shared" si="137"/>
        <v>0</v>
      </c>
      <c r="G790" s="1968">
        <f t="shared" si="137"/>
        <v>0</v>
      </c>
      <c r="H790" s="1826">
        <f t="shared" si="135"/>
        <v>0</v>
      </c>
      <c r="I790" s="1826">
        <f t="shared" si="136"/>
        <v>0</v>
      </c>
      <c r="J790" s="1826">
        <f t="shared" si="127"/>
        <v>0</v>
      </c>
      <c r="K790" s="1826">
        <f t="shared" si="133"/>
        <v>0</v>
      </c>
      <c r="L790" s="1826">
        <f t="shared" si="134"/>
        <v>0</v>
      </c>
      <c r="N790" s="1826">
        <f t="shared" si="128"/>
        <v>0</v>
      </c>
      <c r="O790" s="1826">
        <f t="shared" si="129"/>
        <v>0</v>
      </c>
      <c r="P790" s="1826">
        <f t="shared" si="130"/>
        <v>0</v>
      </c>
      <c r="Q790" s="1968">
        <f t="shared" si="131"/>
        <v>-0.2</v>
      </c>
      <c r="R790" s="1826">
        <f t="shared" si="132"/>
        <v>0</v>
      </c>
      <c r="U790" s="1970"/>
      <c r="V790" s="1970"/>
      <c r="W790" s="1970"/>
      <c r="X790" s="1970"/>
      <c r="Y790" s="1970"/>
      <c r="Z790" s="1970"/>
      <c r="AA790" s="1970"/>
      <c r="AB790" s="1970"/>
      <c r="AC790" s="1970"/>
      <c r="AD790" s="1970"/>
      <c r="AE790" s="1970"/>
      <c r="AF790" s="1970"/>
      <c r="AG790" s="1970"/>
      <c r="AH790" s="1970"/>
      <c r="AI790" s="1970"/>
      <c r="AJ790" s="1970"/>
      <c r="AK790" s="1970"/>
      <c r="AL790" s="1970"/>
      <c r="AM790" s="1970"/>
      <c r="AN790" s="1970"/>
      <c r="AO790" s="1970"/>
    </row>
    <row r="791" spans="1:43" s="1303" customFormat="1" ht="15" customHeight="1">
      <c r="A791" s="1826" t="s">
        <v>2275</v>
      </c>
      <c r="B791" s="1826"/>
      <c r="C791" s="1968">
        <f t="shared" si="137"/>
        <v>0</v>
      </c>
      <c r="D791" s="1968">
        <f t="shared" si="137"/>
        <v>0</v>
      </c>
      <c r="E791" s="1968">
        <f t="shared" si="137"/>
        <v>0</v>
      </c>
      <c r="F791" s="1968">
        <f t="shared" si="137"/>
        <v>0</v>
      </c>
      <c r="G791" s="1968">
        <f t="shared" si="137"/>
        <v>0</v>
      </c>
      <c r="H791" s="1826">
        <f t="shared" si="135"/>
        <v>0</v>
      </c>
      <c r="I791" s="1826">
        <f t="shared" si="136"/>
        <v>0</v>
      </c>
      <c r="J791" s="1826">
        <f t="shared" si="127"/>
        <v>0</v>
      </c>
      <c r="K791" s="1826">
        <f t="shared" si="133"/>
        <v>0</v>
      </c>
      <c r="L791" s="1826">
        <f t="shared" si="134"/>
        <v>0</v>
      </c>
      <c r="N791" s="1826">
        <f t="shared" si="128"/>
        <v>0</v>
      </c>
      <c r="O791" s="1826">
        <f t="shared" si="129"/>
        <v>0</v>
      </c>
      <c r="P791" s="1826">
        <f t="shared" si="130"/>
        <v>0</v>
      </c>
      <c r="Q791" s="1968">
        <f t="shared" si="131"/>
        <v>-0.15000000000000002</v>
      </c>
      <c r="R791" s="1826">
        <f t="shared" si="132"/>
        <v>0</v>
      </c>
      <c r="U791" s="1970"/>
      <c r="V791" s="1970"/>
      <c r="W791" s="1970"/>
      <c r="X791" s="1970"/>
      <c r="Y791" s="1970"/>
      <c r="Z791" s="1970"/>
      <c r="AA791" s="1970"/>
      <c r="AB791" s="1970"/>
      <c r="AC791" s="1970"/>
      <c r="AD791" s="1970"/>
      <c r="AE791" s="1970"/>
      <c r="AF791" s="1970"/>
      <c r="AG791" s="1970"/>
      <c r="AH791" s="1970"/>
      <c r="AI791" s="1970"/>
      <c r="AJ791" s="1970"/>
      <c r="AK791" s="1970"/>
      <c r="AL791" s="1970"/>
      <c r="AM791" s="1970"/>
      <c r="AN791" s="1970"/>
      <c r="AO791" s="1970"/>
    </row>
    <row r="792" spans="1:43" s="1303" customFormat="1">
      <c r="A792" s="1826" t="s">
        <v>175</v>
      </c>
      <c r="B792" s="1826"/>
      <c r="C792" s="1968">
        <f t="shared" si="137"/>
        <v>0</v>
      </c>
      <c r="D792" s="1968">
        <f t="shared" si="137"/>
        <v>0</v>
      </c>
      <c r="E792" s="1968">
        <f t="shared" si="137"/>
        <v>0</v>
      </c>
      <c r="F792" s="1968">
        <f t="shared" si="137"/>
        <v>0</v>
      </c>
      <c r="G792" s="1968">
        <f t="shared" si="137"/>
        <v>4</v>
      </c>
      <c r="H792" s="1826">
        <f t="shared" si="135"/>
        <v>0</v>
      </c>
      <c r="I792" s="1826">
        <f t="shared" si="136"/>
        <v>0</v>
      </c>
      <c r="J792" s="1826">
        <f t="shared" si="127"/>
        <v>0</v>
      </c>
      <c r="K792" s="1826">
        <f t="shared" si="133"/>
        <v>0</v>
      </c>
      <c r="L792" s="1826">
        <f t="shared" si="134"/>
        <v>0</v>
      </c>
      <c r="N792" s="1826">
        <f t="shared" si="128"/>
        <v>0</v>
      </c>
      <c r="O792" s="1826">
        <f t="shared" si="129"/>
        <v>0</v>
      </c>
      <c r="P792" s="1826">
        <f t="shared" si="130"/>
        <v>0</v>
      </c>
      <c r="Q792" s="1968">
        <f t="shared" si="131"/>
        <v>0.44000000000000006</v>
      </c>
      <c r="R792" s="1826">
        <f t="shared" si="132"/>
        <v>0</v>
      </c>
      <c r="T792" s="1970"/>
      <c r="U792" s="2716"/>
      <c r="V792" s="2716"/>
      <c r="W792" s="2716"/>
      <c r="X792" s="2716"/>
      <c r="Y792" s="1970"/>
      <c r="Z792" s="1970"/>
      <c r="AA792" s="1970"/>
      <c r="AB792" s="1970"/>
      <c r="AC792" s="1970"/>
      <c r="AD792" s="1970"/>
      <c r="AE792" s="1970"/>
      <c r="AF792" s="1970"/>
      <c r="AG792" s="1970"/>
      <c r="AH792" s="1970"/>
      <c r="AI792" s="1970"/>
      <c r="AJ792" s="1970"/>
      <c r="AK792" s="1970"/>
      <c r="AL792" s="1970"/>
      <c r="AM792" s="1970"/>
      <c r="AN792" s="1970"/>
      <c r="AO792" s="1970"/>
    </row>
    <row r="793" spans="1:43" s="1716" customFormat="1" ht="15">
      <c r="A793" s="1598"/>
      <c r="B793" s="1598"/>
      <c r="C793" s="1598"/>
      <c r="D793" s="1598"/>
      <c r="E793" s="1598"/>
      <c r="F793" s="2725" t="s">
        <v>2074</v>
      </c>
      <c r="G793" s="2726"/>
      <c r="H793" s="1596">
        <f>SUM(H777:H792)</f>
        <v>0</v>
      </c>
      <c r="I793" s="1596">
        <f>SUM(I777:I792)</f>
        <v>0</v>
      </c>
      <c r="J793" s="1596">
        <f>SUM(J777:J792)</f>
        <v>0</v>
      </c>
      <c r="K793" s="1596">
        <f>SUM(K777:K792)</f>
        <v>0</v>
      </c>
      <c r="L793" s="1596">
        <f>SUM(L777:L792)</f>
        <v>0</v>
      </c>
      <c r="N793" s="2725" t="s">
        <v>1972</v>
      </c>
      <c r="O793" s="2726"/>
      <c r="P793" s="2726"/>
      <c r="Q793" s="1596">
        <f>SUM(R781,R784:R786,R788:R792)</f>
        <v>0</v>
      </c>
      <c r="R793" s="2056">
        <f>Q793*0.4</f>
        <v>0</v>
      </c>
      <c r="T793" s="1970"/>
      <c r="V793" s="1970"/>
      <c r="W793" s="1970"/>
      <c r="X793" s="1970"/>
      <c r="Y793" s="1970"/>
      <c r="Z793" s="1970"/>
      <c r="AA793" s="1970"/>
      <c r="AB793" s="1970"/>
      <c r="AC793" s="1970"/>
      <c r="AD793" s="1970"/>
      <c r="AE793" s="1970"/>
      <c r="AF793" s="1970"/>
      <c r="AG793" s="1970"/>
      <c r="AH793" s="1970"/>
      <c r="AI793" s="1970"/>
      <c r="AJ793" s="1970"/>
      <c r="AK793" s="1970"/>
      <c r="AL793" s="1970"/>
      <c r="AM793" s="1970"/>
      <c r="AN793" s="1970"/>
      <c r="AO793" s="1970"/>
      <c r="AP793" s="1970"/>
      <c r="AQ793" s="1970"/>
    </row>
    <row r="794" spans="1:43" s="1716" customFormat="1" ht="15">
      <c r="A794" s="1598"/>
      <c r="B794" s="1598"/>
      <c r="C794" s="1598"/>
      <c r="D794" s="1598"/>
      <c r="E794" s="1598"/>
      <c r="F794" s="2725" t="s">
        <v>2075</v>
      </c>
      <c r="G794" s="2726"/>
      <c r="H794" s="1604">
        <f>H793*1.04</f>
        <v>0</v>
      </c>
      <c r="I794" s="1604">
        <f>I793*0.89</f>
        <v>0</v>
      </c>
      <c r="J794" s="1604">
        <f>J793*0.62</f>
        <v>0</v>
      </c>
      <c r="K794" s="1604">
        <f>K793*0.62</f>
        <v>0</v>
      </c>
      <c r="L794" s="1880">
        <f>L793*0.62</f>
        <v>0</v>
      </c>
      <c r="N794" s="2725" t="s">
        <v>2387</v>
      </c>
      <c r="O794" s="2726"/>
      <c r="P794" s="2726"/>
      <c r="Q794" s="1596">
        <f>SUM(R777:R780,R782:R783,R787)</f>
        <v>0</v>
      </c>
      <c r="R794" s="1880">
        <f>Q794*0.62</f>
        <v>0</v>
      </c>
      <c r="V794" s="1970"/>
      <c r="W794" s="1970"/>
      <c r="X794" s="1970"/>
      <c r="Y794" s="1970"/>
      <c r="Z794" s="1970"/>
      <c r="AA794" s="1970"/>
      <c r="AB794" s="1970"/>
      <c r="AC794" s="1970"/>
      <c r="AD794" s="1970"/>
      <c r="AE794" s="1970"/>
      <c r="AF794" s="1970"/>
      <c r="AG794" s="1970"/>
      <c r="AH794" s="1970"/>
      <c r="AI794" s="1970"/>
      <c r="AJ794" s="1970"/>
      <c r="AK794" s="1970"/>
      <c r="AL794" s="1970"/>
      <c r="AM794" s="1970"/>
      <c r="AN794" s="1970"/>
      <c r="AO794" s="1970"/>
      <c r="AP794" s="1970"/>
      <c r="AQ794" s="1970"/>
    </row>
    <row r="795" spans="1:43" s="1716" customFormat="1">
      <c r="A795" s="1598"/>
      <c r="B795" s="1598"/>
      <c r="C795" s="1598"/>
      <c r="D795" s="1598"/>
      <c r="E795" s="1598"/>
      <c r="F795" s="1598"/>
      <c r="G795" s="1598"/>
      <c r="V795" s="1970"/>
      <c r="W795" s="1970"/>
      <c r="X795" s="1970"/>
      <c r="Y795" s="1970"/>
      <c r="Z795" s="1970"/>
      <c r="AA795" s="1970"/>
      <c r="AB795" s="1970"/>
      <c r="AC795" s="1970"/>
      <c r="AD795" s="1970"/>
      <c r="AE795" s="1970"/>
      <c r="AF795" s="1970"/>
      <c r="AG795" s="1970"/>
      <c r="AH795" s="1970"/>
      <c r="AI795" s="1970"/>
      <c r="AJ795" s="1970"/>
      <c r="AK795" s="1970"/>
      <c r="AL795" s="1970"/>
      <c r="AM795" s="1970"/>
      <c r="AN795" s="1970"/>
      <c r="AO795" s="1970"/>
      <c r="AP795" s="1970"/>
      <c r="AQ795" s="1970"/>
    </row>
    <row r="796" spans="1:43" s="1716" customFormat="1">
      <c r="E796" s="1303"/>
      <c r="F796" s="1303"/>
      <c r="G796" s="1303"/>
      <c r="H796" s="1303"/>
      <c r="I796" s="1303"/>
      <c r="J796" s="1303"/>
      <c r="K796" s="1303"/>
      <c r="L796" s="1303"/>
      <c r="M796" s="1303"/>
      <c r="N796" s="1303"/>
      <c r="O796" s="1303"/>
      <c r="P796" s="1303"/>
      <c r="V796" s="1970"/>
      <c r="W796" s="1970"/>
      <c r="X796" s="1970"/>
      <c r="Y796" s="1970"/>
      <c r="Z796" s="1970"/>
      <c r="AA796" s="1970"/>
      <c r="AB796" s="1970"/>
      <c r="AC796" s="1970"/>
      <c r="AD796" s="1970"/>
      <c r="AE796" s="1970"/>
      <c r="AF796" s="1970"/>
      <c r="AG796" s="1970"/>
      <c r="AH796" s="1970"/>
      <c r="AI796" s="1970"/>
      <c r="AJ796" s="1970"/>
      <c r="AK796" s="1970"/>
      <c r="AL796" s="1970"/>
      <c r="AM796" s="1970"/>
      <c r="AN796" s="1970"/>
      <c r="AO796" s="1970"/>
      <c r="AP796" s="1970"/>
      <c r="AQ796" s="1970"/>
    </row>
    <row r="797" spans="1:43" s="1716" customFormat="1">
      <c r="A797" s="2717" t="s">
        <v>2005</v>
      </c>
      <c r="B797" s="2718"/>
      <c r="C797" s="2718"/>
      <c r="D797" s="2718"/>
      <c r="E797" s="1303"/>
      <c r="F797" s="1303"/>
      <c r="G797" s="1303"/>
      <c r="H797" s="1303"/>
      <c r="I797" s="1303"/>
      <c r="J797" s="1303"/>
      <c r="K797" s="1303"/>
      <c r="L797" s="1303"/>
      <c r="M797" s="1303"/>
      <c r="N797" s="1303"/>
      <c r="O797" s="1303"/>
      <c r="P797" s="1303"/>
      <c r="V797" s="1970"/>
      <c r="W797" s="1970"/>
      <c r="X797" s="1970"/>
      <c r="Y797" s="1970"/>
      <c r="Z797" s="1970"/>
      <c r="AA797" s="1970"/>
      <c r="AB797" s="1970"/>
      <c r="AC797" s="1970"/>
      <c r="AD797" s="1970"/>
      <c r="AE797" s="1970"/>
      <c r="AF797" s="1970"/>
      <c r="AG797" s="1970"/>
      <c r="AH797" s="1970"/>
      <c r="AI797" s="1970"/>
      <c r="AJ797" s="1970"/>
      <c r="AK797" s="1970"/>
      <c r="AL797" s="1970"/>
      <c r="AM797" s="1970"/>
      <c r="AN797" s="1970"/>
      <c r="AO797" s="1970"/>
      <c r="AP797" s="1970"/>
      <c r="AQ797" s="1970"/>
    </row>
    <row r="798" spans="1:43" s="1716" customFormat="1">
      <c r="A798" s="1968" t="s">
        <v>1796</v>
      </c>
      <c r="B798" s="1968" t="s">
        <v>2004</v>
      </c>
      <c r="C798" s="1968" t="s">
        <v>1791</v>
      </c>
      <c r="D798" s="1968" t="s">
        <v>2008</v>
      </c>
      <c r="E798" s="1303" t="s">
        <v>2368</v>
      </c>
      <c r="F798" s="1303"/>
      <c r="G798" s="1303"/>
      <c r="H798" s="1303"/>
      <c r="I798" s="1303"/>
      <c r="J798" s="1303"/>
      <c r="K798" s="1303"/>
      <c r="L798" s="1303"/>
      <c r="M798" s="1303"/>
      <c r="N798" s="1303"/>
      <c r="O798" s="1303"/>
      <c r="P798" s="1303"/>
      <c r="V798" s="1970"/>
      <c r="W798" s="1970"/>
      <c r="X798" s="1970"/>
      <c r="Y798" s="1970"/>
      <c r="Z798" s="1970"/>
      <c r="AA798" s="1970"/>
      <c r="AB798" s="1970"/>
      <c r="AC798" s="1970"/>
      <c r="AD798" s="1970"/>
      <c r="AE798" s="1970"/>
      <c r="AF798" s="1970"/>
      <c r="AG798" s="1970"/>
      <c r="AH798" s="1970"/>
      <c r="AI798" s="1970"/>
      <c r="AJ798" s="1970"/>
      <c r="AK798" s="1970"/>
      <c r="AL798" s="1970"/>
      <c r="AM798" s="1970"/>
      <c r="AN798" s="1970"/>
      <c r="AO798" s="1970"/>
      <c r="AP798" s="1970"/>
      <c r="AQ798" s="1970"/>
    </row>
    <row r="799" spans="1:43" s="1716" customFormat="1">
      <c r="A799" s="1968" t="str">
        <f t="shared" ref="A799:B814" si="138">A777</f>
        <v>B1</v>
      </c>
      <c r="B799" s="1968">
        <f t="shared" si="138"/>
        <v>0</v>
      </c>
      <c r="C799" s="1968">
        <f t="shared" ref="C799:C814" si="139">C303</f>
        <v>0.18</v>
      </c>
      <c r="D799" s="1968">
        <f>B799*C799</f>
        <v>0</v>
      </c>
      <c r="E799" s="1303">
        <f>$F$303*B799</f>
        <v>0</v>
      </c>
      <c r="F799" s="1303"/>
      <c r="G799" s="1746"/>
      <c r="H799" s="1303"/>
      <c r="I799" s="1303"/>
      <c r="J799" s="1303"/>
      <c r="K799" s="1303"/>
      <c r="L799" s="1303"/>
      <c r="M799" s="1303"/>
      <c r="N799" s="1303"/>
      <c r="O799" s="1303"/>
      <c r="P799" s="1303"/>
      <c r="V799" s="1970"/>
      <c r="W799" s="1970"/>
      <c r="X799" s="1970"/>
      <c r="Y799" s="1970"/>
      <c r="Z799" s="1970"/>
      <c r="AA799" s="1970"/>
      <c r="AB799" s="1970"/>
      <c r="AC799" s="1970"/>
      <c r="AD799" s="1970"/>
      <c r="AE799" s="1970"/>
      <c r="AF799" s="1970"/>
      <c r="AG799" s="1970"/>
      <c r="AH799" s="1970"/>
      <c r="AI799" s="1970"/>
      <c r="AJ799" s="1970"/>
      <c r="AK799" s="1970"/>
      <c r="AL799" s="1970"/>
      <c r="AM799" s="1970"/>
      <c r="AN799" s="1970"/>
      <c r="AO799" s="1970"/>
      <c r="AP799" s="1970"/>
      <c r="AQ799" s="1970"/>
    </row>
    <row r="800" spans="1:43" s="1716" customFormat="1">
      <c r="A800" s="1968" t="str">
        <f t="shared" si="138"/>
        <v>B2</v>
      </c>
      <c r="B800" s="1968">
        <f t="shared" si="138"/>
        <v>0</v>
      </c>
      <c r="C800" s="1968">
        <f t="shared" si="139"/>
        <v>0.19999999999999998</v>
      </c>
      <c r="D800" s="1968">
        <f t="shared" ref="D800:D814" si="140">B800*C800</f>
        <v>0</v>
      </c>
      <c r="E800" s="1303">
        <f>$F$304*B800</f>
        <v>0</v>
      </c>
      <c r="F800" s="1303"/>
      <c r="G800" s="1303"/>
      <c r="H800" s="1303"/>
      <c r="I800" s="1303"/>
      <c r="J800" s="1303"/>
      <c r="K800" s="1303"/>
      <c r="L800" s="1303"/>
      <c r="M800" s="1303"/>
      <c r="N800" s="1303"/>
      <c r="O800" s="1303"/>
      <c r="P800" s="1303"/>
      <c r="V800" s="1970"/>
      <c r="W800" s="1970"/>
      <c r="X800" s="1970"/>
      <c r="Y800" s="1970"/>
      <c r="Z800" s="1970"/>
      <c r="AA800" s="1970"/>
      <c r="AB800" s="1970"/>
      <c r="AC800" s="1970"/>
      <c r="AD800" s="1970"/>
      <c r="AE800" s="1970"/>
      <c r="AF800" s="1970"/>
      <c r="AG800" s="1970"/>
      <c r="AH800" s="1970"/>
      <c r="AI800" s="1970"/>
      <c r="AJ800" s="1970"/>
      <c r="AK800" s="1970"/>
      <c r="AL800" s="1970"/>
      <c r="AM800" s="1970"/>
      <c r="AN800" s="1970"/>
      <c r="AO800" s="1970"/>
      <c r="AP800" s="1970"/>
      <c r="AQ800" s="1970"/>
    </row>
    <row r="801" spans="1:43" s="1716" customFormat="1">
      <c r="A801" s="1968" t="str">
        <f t="shared" si="138"/>
        <v>B3</v>
      </c>
      <c r="B801" s="1968">
        <f t="shared" si="138"/>
        <v>0</v>
      </c>
      <c r="C801" s="1968">
        <f t="shared" si="139"/>
        <v>0.125</v>
      </c>
      <c r="D801" s="1968">
        <f t="shared" si="140"/>
        <v>0</v>
      </c>
      <c r="E801" s="1303">
        <f>$F$305*B801</f>
        <v>0</v>
      </c>
      <c r="F801" s="1303"/>
      <c r="G801" s="1303"/>
      <c r="H801" s="1303"/>
      <c r="I801" s="1303"/>
      <c r="J801" s="1303"/>
      <c r="K801" s="1303"/>
      <c r="L801" s="1303"/>
      <c r="M801" s="1303"/>
      <c r="N801" s="1303"/>
      <c r="O801" s="1303"/>
      <c r="P801" s="1303"/>
      <c r="V801" s="1970"/>
      <c r="W801" s="1970"/>
      <c r="X801" s="1970"/>
      <c r="Y801" s="1970"/>
      <c r="Z801" s="1970"/>
      <c r="AA801" s="1970"/>
      <c r="AB801" s="1970"/>
      <c r="AC801" s="1970"/>
      <c r="AD801" s="1970"/>
      <c r="AE801" s="1970"/>
      <c r="AF801" s="1970"/>
      <c r="AG801" s="1970"/>
      <c r="AH801" s="1970"/>
      <c r="AI801" s="1970"/>
      <c r="AJ801" s="1970"/>
      <c r="AK801" s="1970"/>
      <c r="AL801" s="1970"/>
      <c r="AM801" s="1970"/>
      <c r="AN801" s="1970"/>
      <c r="AO801" s="1970"/>
      <c r="AP801" s="1970"/>
      <c r="AQ801" s="1970"/>
    </row>
    <row r="802" spans="1:43" s="1716" customFormat="1">
      <c r="A802" s="1968" t="str">
        <f t="shared" si="138"/>
        <v>B4</v>
      </c>
      <c r="B802" s="1968">
        <f t="shared" si="138"/>
        <v>0</v>
      </c>
      <c r="C802" s="1968">
        <f t="shared" si="139"/>
        <v>8.0000000000000016E-2</v>
      </c>
      <c r="D802" s="1968">
        <f t="shared" si="140"/>
        <v>0</v>
      </c>
      <c r="E802" s="1303">
        <f>$F$306*B802</f>
        <v>0</v>
      </c>
      <c r="F802" s="1303"/>
      <c r="G802" s="1303"/>
      <c r="H802" s="1303"/>
      <c r="I802" s="1303"/>
      <c r="J802" s="1303"/>
      <c r="K802" s="1303"/>
      <c r="L802" s="1303"/>
      <c r="M802" s="1303"/>
      <c r="N802" s="1303"/>
      <c r="O802" s="1303"/>
      <c r="P802" s="1303"/>
      <c r="V802" s="1970"/>
      <c r="W802" s="1970"/>
      <c r="X802" s="1970"/>
      <c r="Y802" s="1970"/>
      <c r="Z802" s="1970"/>
      <c r="AA802" s="1970"/>
      <c r="AB802" s="1970"/>
      <c r="AC802" s="1970"/>
      <c r="AD802" s="1970"/>
      <c r="AE802" s="1970"/>
      <c r="AF802" s="1970"/>
      <c r="AG802" s="1970"/>
      <c r="AH802" s="1970"/>
      <c r="AI802" s="1970"/>
      <c r="AJ802" s="1970"/>
      <c r="AK802" s="1970"/>
      <c r="AL802" s="1970"/>
      <c r="AM802" s="1970"/>
      <c r="AN802" s="1970"/>
      <c r="AO802" s="1970"/>
      <c r="AP802" s="1970"/>
      <c r="AQ802" s="1970"/>
    </row>
    <row r="803" spans="1:43" s="1716" customFormat="1">
      <c r="A803" s="1968" t="str">
        <f t="shared" si="138"/>
        <v>B5</v>
      </c>
      <c r="B803" s="1968">
        <f t="shared" si="138"/>
        <v>0</v>
      </c>
      <c r="C803" s="1968">
        <f t="shared" si="139"/>
        <v>0.06</v>
      </c>
      <c r="D803" s="1968">
        <f t="shared" si="140"/>
        <v>0</v>
      </c>
      <c r="E803" s="1303">
        <f>$F$307*B803</f>
        <v>0</v>
      </c>
      <c r="F803" s="1303"/>
      <c r="G803" s="1303"/>
      <c r="H803" s="1303"/>
      <c r="I803" s="1303"/>
      <c r="J803" s="1303"/>
      <c r="K803" s="1303"/>
      <c r="L803" s="1303"/>
      <c r="M803" s="1303"/>
      <c r="N803" s="1303"/>
      <c r="O803" s="1303"/>
      <c r="P803" s="1303"/>
      <c r="V803" s="1970"/>
      <c r="W803" s="1970"/>
      <c r="X803" s="1970"/>
      <c r="Y803" s="1970"/>
      <c r="Z803" s="1970"/>
      <c r="AA803" s="1970"/>
      <c r="AB803" s="1970"/>
      <c r="AC803" s="1970"/>
      <c r="AD803" s="1970"/>
      <c r="AE803" s="1970"/>
      <c r="AF803" s="1970"/>
      <c r="AG803" s="1970"/>
      <c r="AH803" s="1970"/>
      <c r="AI803" s="1970"/>
      <c r="AJ803" s="1970"/>
      <c r="AK803" s="1970"/>
      <c r="AL803" s="1970"/>
      <c r="AM803" s="1970"/>
      <c r="AN803" s="1970"/>
      <c r="AO803" s="1970"/>
      <c r="AP803" s="1970"/>
      <c r="AQ803" s="1970"/>
    </row>
    <row r="804" spans="1:43" s="1716" customFormat="1" ht="15" customHeight="1">
      <c r="A804" s="1968" t="str">
        <f t="shared" si="138"/>
        <v>B6</v>
      </c>
      <c r="B804" s="1968">
        <f t="shared" si="138"/>
        <v>0</v>
      </c>
      <c r="C804" s="1968">
        <f t="shared" si="139"/>
        <v>0.12000000000000002</v>
      </c>
      <c r="D804" s="1968">
        <f t="shared" si="140"/>
        <v>0</v>
      </c>
      <c r="E804" s="1303">
        <f>$F$308*B804</f>
        <v>0</v>
      </c>
      <c r="F804" s="1303"/>
      <c r="G804" s="1303"/>
      <c r="H804" s="1303"/>
      <c r="I804" s="1303"/>
      <c r="J804" s="1303"/>
      <c r="K804" s="1303"/>
      <c r="L804" s="1303"/>
      <c r="M804" s="1303"/>
      <c r="N804" s="1303"/>
      <c r="O804" s="1303"/>
      <c r="P804" s="1303"/>
      <c r="V804" s="1970"/>
      <c r="W804" s="1970"/>
      <c r="X804" s="1970"/>
      <c r="Y804" s="1970"/>
      <c r="Z804" s="1970"/>
      <c r="AA804" s="1970"/>
      <c r="AB804" s="1970"/>
      <c r="AC804" s="1970"/>
      <c r="AD804" s="1970"/>
      <c r="AE804" s="1970"/>
      <c r="AF804" s="1970"/>
      <c r="AG804" s="1970"/>
      <c r="AH804" s="1970"/>
      <c r="AI804" s="1970"/>
      <c r="AJ804" s="1970"/>
      <c r="AK804" s="1970"/>
      <c r="AL804" s="1970"/>
      <c r="AM804" s="1970"/>
      <c r="AN804" s="1970"/>
      <c r="AO804" s="1970"/>
      <c r="AP804" s="1970"/>
      <c r="AQ804" s="1970"/>
    </row>
    <row r="805" spans="1:43" s="1716" customFormat="1" ht="15" customHeight="1">
      <c r="A805" s="1968" t="str">
        <f t="shared" si="138"/>
        <v>B7</v>
      </c>
      <c r="B805" s="1968">
        <f t="shared" si="138"/>
        <v>0</v>
      </c>
      <c r="C805" s="1968">
        <f t="shared" si="139"/>
        <v>0.15500000000000003</v>
      </c>
      <c r="D805" s="1968">
        <f t="shared" si="140"/>
        <v>0</v>
      </c>
      <c r="E805" s="1303">
        <f>$F$309*B805</f>
        <v>0</v>
      </c>
      <c r="F805" s="1303"/>
      <c r="G805" s="1303"/>
      <c r="H805" s="1303"/>
      <c r="I805" s="1303"/>
      <c r="J805" s="1303"/>
      <c r="K805" s="1303"/>
      <c r="L805" s="1303"/>
      <c r="M805" s="1303"/>
      <c r="N805" s="1303"/>
      <c r="O805" s="1303"/>
      <c r="P805" s="1303"/>
      <c r="V805" s="1970"/>
      <c r="W805" s="1970"/>
      <c r="X805" s="1970"/>
      <c r="Y805" s="1970"/>
      <c r="Z805" s="1970"/>
      <c r="AA805" s="1970"/>
      <c r="AB805" s="1970"/>
      <c r="AC805" s="1970"/>
      <c r="AD805" s="1970"/>
      <c r="AE805" s="1970"/>
      <c r="AF805" s="1970"/>
      <c r="AG805" s="1970"/>
      <c r="AH805" s="1970"/>
      <c r="AI805" s="1970"/>
      <c r="AJ805" s="1970"/>
      <c r="AK805" s="1970"/>
      <c r="AL805" s="1970"/>
      <c r="AM805" s="1970"/>
      <c r="AN805" s="1970"/>
      <c r="AO805" s="1970"/>
      <c r="AP805" s="1970"/>
      <c r="AQ805" s="1970"/>
    </row>
    <row r="806" spans="1:43" s="1716" customFormat="1" ht="15" customHeight="1">
      <c r="A806" s="1968" t="str">
        <f t="shared" si="138"/>
        <v>B8</v>
      </c>
      <c r="B806" s="1968">
        <f t="shared" si="138"/>
        <v>0</v>
      </c>
      <c r="C806" s="1968">
        <f t="shared" si="139"/>
        <v>4.4999999999999998E-2</v>
      </c>
      <c r="D806" s="1968">
        <f t="shared" si="140"/>
        <v>0</v>
      </c>
      <c r="E806" s="1303">
        <f>$F$310*B806</f>
        <v>0</v>
      </c>
      <c r="F806" s="1303"/>
      <c r="G806" s="1303"/>
      <c r="H806" s="1303"/>
      <c r="I806" s="1303"/>
      <c r="J806" s="1303"/>
      <c r="K806" s="1303"/>
      <c r="L806" s="1303"/>
      <c r="M806" s="1303"/>
      <c r="N806" s="1303"/>
      <c r="O806" s="1303"/>
      <c r="P806" s="1303"/>
      <c r="V806" s="1970"/>
      <c r="W806" s="1970"/>
      <c r="X806" s="1970"/>
      <c r="Y806" s="1970"/>
      <c r="Z806" s="1970"/>
      <c r="AA806" s="1970"/>
      <c r="AB806" s="1970"/>
      <c r="AC806" s="1970"/>
      <c r="AD806" s="1970"/>
      <c r="AE806" s="1970"/>
      <c r="AF806" s="1970"/>
      <c r="AG806" s="1970"/>
      <c r="AH806" s="1970"/>
      <c r="AI806" s="1970"/>
      <c r="AJ806" s="1970"/>
      <c r="AK806" s="1970"/>
      <c r="AL806" s="1970"/>
      <c r="AM806" s="1970"/>
      <c r="AN806" s="1970"/>
      <c r="AO806" s="1970"/>
      <c r="AP806" s="1970"/>
      <c r="AQ806" s="1970"/>
    </row>
    <row r="807" spans="1:43" s="1716" customFormat="1">
      <c r="A807" s="1968" t="str">
        <f t="shared" si="138"/>
        <v>B9</v>
      </c>
      <c r="B807" s="1968">
        <f t="shared" si="138"/>
        <v>0</v>
      </c>
      <c r="C807" s="1968">
        <f t="shared" si="139"/>
        <v>9.9999999999999992E-2</v>
      </c>
      <c r="D807" s="1968">
        <f t="shared" si="140"/>
        <v>0</v>
      </c>
      <c r="E807" s="1303">
        <f>$F$311*B807</f>
        <v>0</v>
      </c>
      <c r="F807" s="1303"/>
      <c r="G807" s="1303"/>
      <c r="H807" s="1303"/>
      <c r="I807" s="1303"/>
      <c r="J807" s="1303"/>
      <c r="K807" s="1303"/>
      <c r="L807" s="1303"/>
      <c r="M807" s="1303"/>
      <c r="N807" s="1303"/>
      <c r="O807" s="1303"/>
      <c r="P807" s="1303"/>
      <c r="V807" s="1970"/>
      <c r="W807" s="1970"/>
      <c r="X807" s="1970"/>
      <c r="Y807" s="1970"/>
      <c r="Z807" s="1970"/>
      <c r="AA807" s="1970"/>
      <c r="AB807" s="1970"/>
      <c r="AC807" s="1970"/>
      <c r="AD807" s="1970"/>
      <c r="AE807" s="1970"/>
      <c r="AF807" s="1970"/>
      <c r="AG807" s="1970"/>
      <c r="AH807" s="1970"/>
      <c r="AI807" s="1970"/>
      <c r="AJ807" s="1970"/>
      <c r="AK807" s="1970"/>
      <c r="AL807" s="1970"/>
      <c r="AM807" s="1970"/>
      <c r="AN807" s="1970"/>
      <c r="AO807" s="1970"/>
      <c r="AP807" s="1970"/>
      <c r="AQ807" s="1970"/>
    </row>
    <row r="808" spans="1:43" s="1716" customFormat="1">
      <c r="A808" s="1968" t="str">
        <f t="shared" si="138"/>
        <v>B10</v>
      </c>
      <c r="B808" s="1968">
        <f t="shared" si="138"/>
        <v>0</v>
      </c>
      <c r="C808" s="1968">
        <f t="shared" si="139"/>
        <v>0.106</v>
      </c>
      <c r="D808" s="1968">
        <f t="shared" si="140"/>
        <v>0</v>
      </c>
      <c r="E808" s="1303">
        <f>$F$312*B808</f>
        <v>0</v>
      </c>
      <c r="F808" s="1303"/>
      <c r="G808" s="1303"/>
      <c r="H808" s="1303"/>
      <c r="I808" s="1303"/>
      <c r="J808" s="1303"/>
      <c r="K808" s="1303"/>
      <c r="L808" s="1303"/>
      <c r="M808" s="1303"/>
      <c r="N808" s="1303"/>
      <c r="O808" s="1303"/>
      <c r="P808" s="1303"/>
      <c r="V808" s="1970"/>
      <c r="W808" s="2716"/>
      <c r="X808" s="2716"/>
      <c r="Y808" s="2716"/>
      <c r="Z808" s="2716"/>
      <c r="AA808" s="1970"/>
      <c r="AB808" s="1970"/>
      <c r="AC808" s="1970"/>
      <c r="AD808" s="1970"/>
      <c r="AE808" s="1970"/>
      <c r="AF808" s="1970"/>
      <c r="AG808" s="1970"/>
      <c r="AH808" s="1970"/>
      <c r="AI808" s="1970"/>
      <c r="AJ808" s="1970"/>
      <c r="AK808" s="1970"/>
      <c r="AL808" s="1970"/>
      <c r="AM808" s="1970"/>
      <c r="AN808" s="1970"/>
      <c r="AO808" s="1970"/>
      <c r="AP808" s="1970"/>
      <c r="AQ808" s="1970"/>
    </row>
    <row r="809" spans="1:43" s="1716" customFormat="1">
      <c r="A809" s="1968" t="str">
        <f t="shared" si="138"/>
        <v>B11</v>
      </c>
      <c r="B809" s="1968">
        <f t="shared" si="138"/>
        <v>0</v>
      </c>
      <c r="C809" s="1968">
        <f t="shared" si="139"/>
        <v>0.10999999999999999</v>
      </c>
      <c r="D809" s="1968">
        <f t="shared" si="140"/>
        <v>0</v>
      </c>
      <c r="E809" s="1303">
        <f>$F$313*B809</f>
        <v>0</v>
      </c>
      <c r="F809" s="1303"/>
      <c r="G809" s="1303"/>
      <c r="H809" s="1303"/>
      <c r="I809" s="1303"/>
      <c r="J809" s="1303"/>
      <c r="K809" s="1303"/>
      <c r="L809" s="1303"/>
      <c r="M809" s="1303"/>
      <c r="N809" s="1303"/>
      <c r="O809" s="1303"/>
      <c r="P809" s="1303"/>
      <c r="V809" s="1970"/>
      <c r="W809" s="1970"/>
      <c r="X809" s="1970"/>
      <c r="Y809" s="1970"/>
      <c r="Z809" s="1970"/>
      <c r="AA809" s="1970"/>
      <c r="AB809" s="1970"/>
      <c r="AC809" s="1970"/>
      <c r="AD809" s="1970"/>
      <c r="AE809" s="1970"/>
      <c r="AF809" s="1970"/>
      <c r="AG809" s="1970"/>
      <c r="AH809" s="1970"/>
      <c r="AI809" s="1970"/>
      <c r="AJ809" s="1970"/>
      <c r="AK809" s="1970"/>
      <c r="AL809" s="1970"/>
      <c r="AM809" s="1970"/>
      <c r="AN809" s="1970"/>
      <c r="AO809" s="1970"/>
      <c r="AP809" s="1970"/>
      <c r="AQ809" s="1970"/>
    </row>
    <row r="810" spans="1:43" s="1716" customFormat="1">
      <c r="A810" s="1968" t="str">
        <f t="shared" si="138"/>
        <v>B12</v>
      </c>
      <c r="B810" s="1968">
        <f t="shared" si="138"/>
        <v>0</v>
      </c>
      <c r="C810" s="1968">
        <f t="shared" si="139"/>
        <v>0</v>
      </c>
      <c r="D810" s="1968">
        <f t="shared" si="140"/>
        <v>0</v>
      </c>
      <c r="E810" s="1303">
        <f>$F$314*B810</f>
        <v>0</v>
      </c>
      <c r="F810" s="1303"/>
      <c r="G810" s="1303"/>
      <c r="H810" s="1303"/>
      <c r="I810" s="1303"/>
      <c r="J810" s="1303"/>
      <c r="K810" s="1303"/>
      <c r="L810" s="1303"/>
      <c r="M810" s="1303"/>
      <c r="N810" s="1303"/>
      <c r="O810" s="1303"/>
      <c r="P810" s="1303"/>
      <c r="V810" s="1970"/>
      <c r="W810" s="1970"/>
      <c r="X810" s="1970"/>
      <c r="Y810" s="1970"/>
      <c r="Z810" s="1970"/>
      <c r="AA810" s="1970"/>
      <c r="AB810" s="1970"/>
      <c r="AC810" s="1970"/>
      <c r="AD810" s="1970"/>
      <c r="AE810" s="1970"/>
      <c r="AF810" s="1970"/>
      <c r="AG810" s="1970"/>
      <c r="AH810" s="1970"/>
      <c r="AI810" s="1970"/>
      <c r="AJ810" s="1970"/>
      <c r="AK810" s="1970"/>
      <c r="AL810" s="1970"/>
      <c r="AM810" s="1970"/>
      <c r="AN810" s="1970"/>
      <c r="AO810" s="1970"/>
      <c r="AP810" s="1970"/>
      <c r="AQ810" s="1970"/>
    </row>
    <row r="811" spans="1:43" s="1716" customFormat="1">
      <c r="A811" s="1968" t="str">
        <f t="shared" si="138"/>
        <v>B13</v>
      </c>
      <c r="B811" s="1968">
        <f t="shared" si="138"/>
        <v>0</v>
      </c>
      <c r="C811" s="1968">
        <f t="shared" si="139"/>
        <v>0</v>
      </c>
      <c r="D811" s="1968">
        <f t="shared" si="140"/>
        <v>0</v>
      </c>
      <c r="E811" s="1303">
        <f>$F$315*B811</f>
        <v>0</v>
      </c>
      <c r="F811" s="1303"/>
      <c r="G811" s="1303"/>
      <c r="H811" s="1303"/>
      <c r="I811" s="1303"/>
      <c r="J811" s="1303"/>
      <c r="K811" s="1303"/>
      <c r="L811" s="1303"/>
      <c r="M811" s="1303"/>
      <c r="N811" s="1303"/>
      <c r="O811" s="1303"/>
      <c r="P811" s="1303"/>
      <c r="V811" s="1970"/>
      <c r="W811" s="2716"/>
      <c r="X811" s="2716"/>
      <c r="Y811" s="2716"/>
      <c r="Z811" s="2716"/>
      <c r="AA811" s="1970"/>
      <c r="AB811" s="1970"/>
      <c r="AC811" s="1970"/>
      <c r="AD811" s="1970"/>
      <c r="AE811" s="1970"/>
      <c r="AF811" s="1970"/>
      <c r="AG811" s="1970"/>
      <c r="AH811" s="1970"/>
      <c r="AI811" s="1970"/>
      <c r="AJ811" s="1970"/>
      <c r="AK811" s="1970"/>
      <c r="AL811" s="1970"/>
      <c r="AM811" s="1970"/>
      <c r="AN811" s="1970"/>
      <c r="AO811" s="1970"/>
      <c r="AP811" s="1970"/>
      <c r="AQ811" s="1970"/>
    </row>
    <row r="812" spans="1:43" s="1716" customFormat="1">
      <c r="A812" s="1968" t="str">
        <f t="shared" si="138"/>
        <v>B14</v>
      </c>
      <c r="B812" s="1968">
        <f t="shared" si="138"/>
        <v>0</v>
      </c>
      <c r="C812" s="1968">
        <f t="shared" si="139"/>
        <v>0</v>
      </c>
      <c r="D812" s="1968">
        <f t="shared" si="140"/>
        <v>0</v>
      </c>
      <c r="E812" s="1303">
        <f>$F$316*B812</f>
        <v>0</v>
      </c>
      <c r="F812" s="1303"/>
      <c r="G812" s="1303"/>
      <c r="H812" s="1303"/>
      <c r="I812" s="1303"/>
      <c r="J812" s="1303"/>
      <c r="K812" s="1303"/>
      <c r="L812" s="1303"/>
      <c r="M812" s="1303"/>
      <c r="N812" s="1303"/>
      <c r="O812" s="1303"/>
      <c r="P812" s="1303"/>
      <c r="V812" s="1970"/>
      <c r="W812" s="1970"/>
      <c r="X812" s="1970"/>
      <c r="Y812" s="1970"/>
      <c r="Z812" s="1970"/>
      <c r="AA812" s="1970"/>
      <c r="AB812" s="1970"/>
      <c r="AC812" s="1970"/>
      <c r="AD812" s="1970"/>
      <c r="AE812" s="1970"/>
      <c r="AF812" s="1970"/>
      <c r="AG812" s="1970"/>
      <c r="AH812" s="1970"/>
      <c r="AI812" s="1970"/>
      <c r="AJ812" s="1970"/>
      <c r="AK812" s="1970"/>
      <c r="AL812" s="1970"/>
      <c r="AM812" s="1970"/>
      <c r="AN812" s="1970"/>
      <c r="AO812" s="1970"/>
      <c r="AP812" s="1970"/>
      <c r="AQ812" s="1970"/>
    </row>
    <row r="813" spans="1:43" s="1716" customFormat="1">
      <c r="A813" s="1968" t="str">
        <f t="shared" si="138"/>
        <v>B15</v>
      </c>
      <c r="B813" s="1968">
        <f t="shared" si="138"/>
        <v>0</v>
      </c>
      <c r="C813" s="1968">
        <f t="shared" si="139"/>
        <v>0</v>
      </c>
      <c r="D813" s="1968">
        <f t="shared" si="140"/>
        <v>0</v>
      </c>
      <c r="E813" s="1303">
        <f>$F$317*B813</f>
        <v>0</v>
      </c>
      <c r="F813" s="1303"/>
      <c r="G813" s="1303"/>
      <c r="H813" s="1303"/>
      <c r="I813" s="1303"/>
      <c r="J813" s="1303"/>
      <c r="K813" s="1303"/>
      <c r="L813" s="1303"/>
      <c r="M813" s="1303"/>
      <c r="N813" s="1303"/>
      <c r="O813" s="1303"/>
      <c r="P813" s="1303"/>
      <c r="V813" s="1970"/>
      <c r="W813" s="1970"/>
      <c r="X813" s="1970"/>
      <c r="Y813" s="1970"/>
      <c r="Z813" s="1970"/>
      <c r="AA813" s="1970"/>
      <c r="AB813" s="1970"/>
      <c r="AC813" s="1970"/>
      <c r="AD813" s="1970"/>
      <c r="AE813" s="1970"/>
      <c r="AF813" s="1970"/>
      <c r="AG813" s="1970"/>
      <c r="AH813" s="1970"/>
      <c r="AI813" s="1970"/>
      <c r="AJ813" s="1970"/>
      <c r="AK813" s="1970"/>
      <c r="AL813" s="1970"/>
      <c r="AM813" s="1970"/>
      <c r="AN813" s="1970"/>
      <c r="AO813" s="1970"/>
      <c r="AP813" s="1970"/>
      <c r="AQ813" s="1970"/>
    </row>
    <row r="814" spans="1:43" s="1716" customFormat="1">
      <c r="A814" s="1968" t="str">
        <f t="shared" si="138"/>
        <v>RB</v>
      </c>
      <c r="B814" s="1968">
        <f t="shared" si="138"/>
        <v>0</v>
      </c>
      <c r="C814" s="1968">
        <f t="shared" si="139"/>
        <v>2.4E-2</v>
      </c>
      <c r="D814" s="1969">
        <f t="shared" si="140"/>
        <v>0</v>
      </c>
      <c r="E814" s="1303">
        <f>$F$318*B814</f>
        <v>0</v>
      </c>
      <c r="F814" s="1303"/>
      <c r="G814" s="1746"/>
      <c r="H814" s="1303"/>
      <c r="I814" s="1303"/>
      <c r="J814" s="1303"/>
      <c r="K814" s="1303"/>
      <c r="L814" s="1303"/>
      <c r="M814" s="1303"/>
      <c r="N814" s="1303"/>
      <c r="O814" s="1303"/>
      <c r="P814" s="1303"/>
      <c r="V814" s="1970"/>
      <c r="W814" s="1970"/>
      <c r="X814" s="1970"/>
      <c r="Y814" s="1970"/>
      <c r="Z814" s="1970"/>
      <c r="AA814" s="1970"/>
      <c r="AB814" s="1970"/>
      <c r="AC814" s="1970"/>
      <c r="AD814" s="1970"/>
      <c r="AE814" s="1970"/>
      <c r="AF814" s="1970"/>
      <c r="AG814" s="1970"/>
      <c r="AH814" s="1970"/>
      <c r="AI814" s="1970"/>
      <c r="AJ814" s="1970"/>
      <c r="AK814" s="1970"/>
      <c r="AL814" s="1970"/>
      <c r="AM814" s="1970"/>
      <c r="AN814" s="1970"/>
      <c r="AO814" s="1970"/>
      <c r="AP814" s="1970"/>
      <c r="AQ814" s="1970"/>
    </row>
    <row r="815" spans="1:43" s="1716" customFormat="1" ht="15">
      <c r="C815" s="1738" t="s">
        <v>2078</v>
      </c>
      <c r="D815" s="1603">
        <f>SUM(D799:D814)</f>
        <v>0</v>
      </c>
      <c r="E815" s="1303">
        <f>SUM(E799:E813)</f>
        <v>0</v>
      </c>
      <c r="F815" s="1303"/>
      <c r="G815" s="1303"/>
      <c r="H815" s="1303"/>
      <c r="I815" s="1303"/>
      <c r="J815" s="1303"/>
      <c r="K815" s="1303"/>
      <c r="L815" s="1303"/>
      <c r="M815" s="1303"/>
      <c r="N815" s="1303"/>
      <c r="O815" s="1303"/>
      <c r="P815" s="1303"/>
      <c r="V815" s="1970"/>
      <c r="W815" s="1970"/>
      <c r="X815" s="1970"/>
      <c r="Y815" s="1970"/>
      <c r="Z815" s="1970"/>
      <c r="AA815" s="1970"/>
      <c r="AB815" s="1970"/>
      <c r="AC815" s="1970"/>
      <c r="AD815" s="1970"/>
      <c r="AE815" s="1970"/>
      <c r="AF815" s="1970"/>
      <c r="AG815" s="1970"/>
      <c r="AH815" s="1970"/>
      <c r="AI815" s="1970"/>
      <c r="AJ815" s="1970"/>
      <c r="AK815" s="1970"/>
      <c r="AL815" s="1970"/>
      <c r="AM815" s="1970"/>
      <c r="AN815" s="1970"/>
      <c r="AO815" s="1970"/>
      <c r="AP815" s="1970"/>
      <c r="AQ815" s="1970"/>
    </row>
    <row r="816" spans="1:43" s="1716" customFormat="1">
      <c r="E816" s="1303"/>
      <c r="F816" s="1303"/>
      <c r="G816" s="1303"/>
      <c r="H816" s="1303"/>
      <c r="I816" s="1303"/>
      <c r="J816" s="1303"/>
      <c r="K816" s="1303"/>
      <c r="L816" s="1303"/>
      <c r="M816" s="1303"/>
      <c r="N816" s="1303"/>
      <c r="O816" s="1303"/>
      <c r="P816" s="1303"/>
      <c r="V816" s="1970"/>
      <c r="W816" s="1970"/>
      <c r="X816" s="1970"/>
      <c r="Y816" s="1970"/>
      <c r="Z816" s="1970"/>
      <c r="AA816" s="1970"/>
      <c r="AB816" s="1970"/>
      <c r="AC816" s="1970"/>
      <c r="AD816" s="1970"/>
      <c r="AE816" s="1970"/>
      <c r="AF816" s="1970"/>
      <c r="AG816" s="1970"/>
      <c r="AH816" s="1970"/>
      <c r="AI816" s="1970"/>
      <c r="AJ816" s="1970"/>
      <c r="AK816" s="1970"/>
      <c r="AL816" s="1970"/>
      <c r="AM816" s="1970"/>
      <c r="AN816" s="1970"/>
      <c r="AO816" s="1970"/>
      <c r="AP816" s="1970"/>
      <c r="AQ816" s="1970"/>
    </row>
    <row r="817" spans="1:43" s="1716" customFormat="1">
      <c r="A817" s="2717" t="s">
        <v>2006</v>
      </c>
      <c r="B817" s="2718"/>
      <c r="C817" s="2718"/>
      <c r="D817" s="2718"/>
      <c r="E817" s="1303"/>
      <c r="F817" s="1303"/>
      <c r="G817" s="1303"/>
      <c r="H817" s="1303"/>
      <c r="I817" s="1303"/>
      <c r="J817" s="1303"/>
      <c r="K817" s="1303"/>
      <c r="L817" s="1303"/>
      <c r="M817" s="1303"/>
      <c r="N817" s="1303"/>
      <c r="O817" s="1303"/>
      <c r="P817" s="1303"/>
      <c r="V817" s="1970"/>
      <c r="W817" s="1970"/>
      <c r="X817" s="1970"/>
      <c r="Y817" s="1970"/>
      <c r="Z817" s="1970"/>
      <c r="AA817" s="1970"/>
      <c r="AB817" s="1970"/>
      <c r="AC817" s="1970"/>
      <c r="AD817" s="1970"/>
      <c r="AE817" s="1970"/>
      <c r="AF817" s="1970"/>
      <c r="AG817" s="1970"/>
      <c r="AH817" s="1970"/>
      <c r="AI817" s="1970"/>
      <c r="AJ817" s="1970"/>
      <c r="AK817" s="1970"/>
      <c r="AL817" s="1970"/>
      <c r="AM817" s="1970"/>
      <c r="AN817" s="1970"/>
      <c r="AO817" s="1970"/>
      <c r="AP817" s="1970"/>
      <c r="AQ817" s="1970"/>
    </row>
    <row r="818" spans="1:43" s="1716" customFormat="1">
      <c r="A818" s="1968" t="s">
        <v>1796</v>
      </c>
      <c r="B818" s="1968" t="s">
        <v>2004</v>
      </c>
      <c r="C818" s="1968" t="s">
        <v>1791</v>
      </c>
      <c r="D818" s="1968" t="s">
        <v>2007</v>
      </c>
      <c r="E818" s="1303"/>
      <c r="F818" s="1303"/>
      <c r="G818" s="1303"/>
      <c r="H818" s="1303"/>
      <c r="I818" s="1303"/>
      <c r="J818" s="1303"/>
      <c r="K818" s="1303"/>
      <c r="L818" s="1303"/>
      <c r="M818" s="1303"/>
      <c r="N818" s="1303"/>
      <c r="O818" s="1303"/>
      <c r="P818" s="1303"/>
      <c r="V818" s="1970"/>
      <c r="W818" s="1970"/>
      <c r="X818" s="1970"/>
      <c r="Y818" s="1970"/>
      <c r="Z818" s="1970"/>
      <c r="AA818" s="1970"/>
      <c r="AB818" s="1970"/>
      <c r="AC818" s="1970"/>
      <c r="AD818" s="1970"/>
      <c r="AE818" s="1970"/>
      <c r="AF818" s="1970"/>
      <c r="AG818" s="1970"/>
      <c r="AH818" s="1970"/>
      <c r="AI818" s="1970"/>
      <c r="AJ818" s="1970"/>
      <c r="AK818" s="1970"/>
      <c r="AL818" s="1970"/>
      <c r="AM818" s="1970"/>
      <c r="AN818" s="1970"/>
      <c r="AO818" s="1970"/>
      <c r="AP818" s="1970"/>
      <c r="AQ818" s="1970"/>
    </row>
    <row r="819" spans="1:43" s="1716" customFormat="1">
      <c r="A819" s="1968" t="str">
        <f t="shared" ref="A819:B834" si="141">A799</f>
        <v>B1</v>
      </c>
      <c r="B819" s="1968">
        <f t="shared" si="141"/>
        <v>0</v>
      </c>
      <c r="C819" s="1968">
        <f t="shared" ref="C819:C834" si="142">C323</f>
        <v>1.5</v>
      </c>
      <c r="D819" s="1968">
        <f t="shared" ref="D819:D834" si="143">B819*C819</f>
        <v>0</v>
      </c>
      <c r="V819" s="1970"/>
      <c r="W819" s="1970"/>
      <c r="X819" s="1970"/>
      <c r="Y819" s="1970"/>
      <c r="Z819" s="1970"/>
      <c r="AA819" s="1970"/>
      <c r="AB819" s="1970"/>
      <c r="AC819" s="1970"/>
      <c r="AD819" s="1970"/>
      <c r="AE819" s="1970"/>
      <c r="AF819" s="1970"/>
      <c r="AG819" s="1970"/>
      <c r="AH819" s="1970"/>
      <c r="AI819" s="1970"/>
      <c r="AJ819" s="1970"/>
      <c r="AK819" s="1970"/>
      <c r="AL819" s="1970"/>
      <c r="AM819" s="1970"/>
      <c r="AN819" s="1970"/>
      <c r="AO819" s="1970"/>
      <c r="AP819" s="1970"/>
      <c r="AQ819" s="1970"/>
    </row>
    <row r="820" spans="1:43" s="1716" customFormat="1">
      <c r="A820" s="1968" t="str">
        <f t="shared" si="141"/>
        <v>B2</v>
      </c>
      <c r="B820" s="1968">
        <f t="shared" si="141"/>
        <v>0</v>
      </c>
      <c r="C820" s="1968">
        <f t="shared" si="142"/>
        <v>1.9000000000000001</v>
      </c>
      <c r="D820" s="1968">
        <f t="shared" si="143"/>
        <v>0</v>
      </c>
      <c r="V820" s="1970"/>
      <c r="W820" s="1970"/>
      <c r="X820" s="1970"/>
      <c r="Y820" s="1970"/>
      <c r="Z820" s="1970"/>
      <c r="AA820" s="1970"/>
      <c r="AB820" s="1970"/>
      <c r="AC820" s="1970"/>
      <c r="AD820" s="1970"/>
      <c r="AE820" s="1970"/>
      <c r="AF820" s="1970"/>
      <c r="AG820" s="1970"/>
      <c r="AH820" s="1970"/>
      <c r="AI820" s="1970"/>
      <c r="AJ820" s="1970"/>
      <c r="AK820" s="1970"/>
      <c r="AL820" s="1970"/>
      <c r="AM820" s="1970"/>
      <c r="AN820" s="1970"/>
      <c r="AO820" s="1970"/>
      <c r="AP820" s="1970"/>
      <c r="AQ820" s="1970"/>
    </row>
    <row r="821" spans="1:43" s="1716" customFormat="1">
      <c r="A821" s="1968" t="str">
        <f t="shared" si="141"/>
        <v>B3</v>
      </c>
      <c r="B821" s="1968">
        <f t="shared" si="141"/>
        <v>0</v>
      </c>
      <c r="C821" s="1968">
        <f t="shared" si="142"/>
        <v>1.25</v>
      </c>
      <c r="D821" s="1968">
        <f t="shared" si="143"/>
        <v>0</v>
      </c>
      <c r="V821" s="1970"/>
      <c r="W821" s="1970"/>
      <c r="X821" s="1970"/>
      <c r="Y821" s="1970"/>
      <c r="Z821" s="1970"/>
      <c r="AA821" s="1970"/>
      <c r="AB821" s="1970"/>
      <c r="AC821" s="1970"/>
      <c r="AD821" s="1970"/>
      <c r="AE821" s="1970"/>
      <c r="AF821" s="1970"/>
      <c r="AG821" s="1970"/>
      <c r="AH821" s="1970"/>
      <c r="AI821" s="1970"/>
      <c r="AJ821" s="1970"/>
      <c r="AK821" s="1970"/>
      <c r="AL821" s="1970"/>
      <c r="AM821" s="1970"/>
      <c r="AN821" s="1970"/>
      <c r="AO821" s="1970"/>
      <c r="AP821" s="1970"/>
      <c r="AQ821" s="1970"/>
    </row>
    <row r="822" spans="1:43" s="1716" customFormat="1">
      <c r="A822" s="1968" t="str">
        <f t="shared" si="141"/>
        <v>B4</v>
      </c>
      <c r="B822" s="1968">
        <f t="shared" si="141"/>
        <v>0</v>
      </c>
      <c r="C822" s="1968">
        <f t="shared" si="142"/>
        <v>1</v>
      </c>
      <c r="D822" s="1968">
        <f t="shared" si="143"/>
        <v>0</v>
      </c>
      <c r="V822" s="1970"/>
      <c r="W822" s="1970"/>
      <c r="X822" s="1970"/>
      <c r="Y822" s="1970"/>
      <c r="Z822" s="1970"/>
      <c r="AA822" s="1970"/>
      <c r="AB822" s="1970"/>
      <c r="AC822" s="1970"/>
      <c r="AD822" s="1970"/>
      <c r="AE822" s="1970"/>
      <c r="AF822" s="1970"/>
      <c r="AG822" s="1970"/>
      <c r="AH822" s="1970"/>
      <c r="AI822" s="1970"/>
      <c r="AJ822" s="1970"/>
      <c r="AK822" s="1970"/>
      <c r="AL822" s="1970"/>
      <c r="AM822" s="1970"/>
      <c r="AN822" s="1970"/>
      <c r="AO822" s="1970"/>
      <c r="AP822" s="1970"/>
      <c r="AQ822" s="1970"/>
    </row>
    <row r="823" spans="1:43" s="1716" customFormat="1">
      <c r="A823" s="1968" t="str">
        <f t="shared" si="141"/>
        <v>B5</v>
      </c>
      <c r="B823" s="1968">
        <f t="shared" si="141"/>
        <v>0</v>
      </c>
      <c r="C823" s="1968">
        <f t="shared" si="142"/>
        <v>0.95000000000000007</v>
      </c>
      <c r="D823" s="1968">
        <f t="shared" si="143"/>
        <v>0</v>
      </c>
      <c r="V823" s="1970"/>
      <c r="W823" s="1970"/>
      <c r="X823" s="1970"/>
      <c r="Y823" s="1970"/>
      <c r="Z823" s="1970"/>
      <c r="AA823" s="1970"/>
      <c r="AB823" s="1970"/>
      <c r="AC823" s="1970"/>
      <c r="AD823" s="1970"/>
      <c r="AE823" s="1970"/>
      <c r="AF823" s="1970"/>
      <c r="AG823" s="1970"/>
      <c r="AH823" s="1970"/>
      <c r="AI823" s="1970"/>
      <c r="AJ823" s="1970"/>
      <c r="AK823" s="1970"/>
      <c r="AL823" s="1970"/>
      <c r="AM823" s="1970"/>
      <c r="AN823" s="1970"/>
      <c r="AO823" s="1970"/>
      <c r="AP823" s="1970"/>
      <c r="AQ823" s="1970"/>
    </row>
    <row r="824" spans="1:43" s="1716" customFormat="1">
      <c r="A824" s="1968" t="str">
        <f t="shared" si="141"/>
        <v>B6</v>
      </c>
      <c r="B824" s="1968">
        <f t="shared" si="141"/>
        <v>0</v>
      </c>
      <c r="C824" s="1968">
        <f t="shared" si="142"/>
        <v>1.8</v>
      </c>
      <c r="D824" s="1968">
        <f t="shared" si="143"/>
        <v>0</v>
      </c>
      <c r="V824" s="1970"/>
      <c r="W824" s="1970"/>
      <c r="X824" s="1970"/>
      <c r="Y824" s="1970"/>
      <c r="Z824" s="1970"/>
      <c r="AA824" s="1970"/>
      <c r="AB824" s="1970"/>
      <c r="AC824" s="1970"/>
      <c r="AD824" s="1970"/>
      <c r="AE824" s="1970"/>
      <c r="AF824" s="1970"/>
      <c r="AG824" s="1970"/>
      <c r="AH824" s="1970"/>
      <c r="AI824" s="1970"/>
      <c r="AJ824" s="1970"/>
      <c r="AK824" s="1970"/>
      <c r="AL824" s="1970"/>
      <c r="AM824" s="1970"/>
      <c r="AN824" s="1970"/>
      <c r="AO824" s="1970"/>
      <c r="AP824" s="1970"/>
      <c r="AQ824" s="1970"/>
    </row>
    <row r="825" spans="1:43" s="1716" customFormat="1">
      <c r="A825" s="1968" t="str">
        <f t="shared" si="141"/>
        <v>B7</v>
      </c>
      <c r="B825" s="1968">
        <f t="shared" si="141"/>
        <v>0</v>
      </c>
      <c r="C825" s="1968">
        <f t="shared" si="142"/>
        <v>1.85</v>
      </c>
      <c r="D825" s="1968">
        <f t="shared" si="143"/>
        <v>0</v>
      </c>
      <c r="V825" s="1970"/>
      <c r="W825" s="1970"/>
      <c r="X825" s="1970"/>
      <c r="Y825" s="1970"/>
      <c r="Z825" s="1970"/>
      <c r="AA825" s="1970"/>
      <c r="AB825" s="1970"/>
      <c r="AC825" s="1970"/>
      <c r="AD825" s="1970"/>
      <c r="AE825" s="1970"/>
      <c r="AF825" s="1970"/>
      <c r="AG825" s="1970"/>
      <c r="AH825" s="1970"/>
      <c r="AI825" s="1970"/>
      <c r="AJ825" s="1970"/>
      <c r="AK825" s="1970"/>
      <c r="AL825" s="1970"/>
      <c r="AM825" s="1970"/>
      <c r="AN825" s="1970"/>
      <c r="AO825" s="1970"/>
      <c r="AP825" s="1970"/>
      <c r="AQ825" s="1970"/>
    </row>
    <row r="826" spans="1:43" s="1716" customFormat="1">
      <c r="A826" s="1968" t="str">
        <f t="shared" si="141"/>
        <v>B8</v>
      </c>
      <c r="B826" s="1968">
        <f t="shared" si="141"/>
        <v>0</v>
      </c>
      <c r="C826" s="1968">
        <f t="shared" si="142"/>
        <v>0.75</v>
      </c>
      <c r="D826" s="1968">
        <f t="shared" si="143"/>
        <v>0</v>
      </c>
      <c r="V826" s="1970"/>
      <c r="W826" s="1970"/>
      <c r="X826" s="1970"/>
      <c r="Y826" s="1970"/>
      <c r="Z826" s="1970"/>
      <c r="AA826" s="1970"/>
      <c r="AB826" s="1970"/>
      <c r="AC826" s="1970"/>
      <c r="AD826" s="1970"/>
      <c r="AE826" s="1970"/>
      <c r="AF826" s="1970"/>
      <c r="AG826" s="1970"/>
      <c r="AH826" s="1970"/>
      <c r="AI826" s="1970"/>
      <c r="AJ826" s="1970"/>
      <c r="AK826" s="1970"/>
      <c r="AL826" s="1970"/>
      <c r="AM826" s="1970"/>
      <c r="AN826" s="1970"/>
      <c r="AO826" s="1970"/>
      <c r="AP826" s="1970"/>
      <c r="AQ826" s="1970"/>
    </row>
    <row r="827" spans="1:43" s="1716" customFormat="1">
      <c r="A827" s="1968" t="str">
        <f t="shared" si="141"/>
        <v>B9</v>
      </c>
      <c r="B827" s="1968">
        <f t="shared" si="141"/>
        <v>0</v>
      </c>
      <c r="C827" s="1968">
        <f t="shared" si="142"/>
        <v>1.75</v>
      </c>
      <c r="D827" s="1968">
        <f t="shared" si="143"/>
        <v>0</v>
      </c>
      <c r="V827" s="1970"/>
      <c r="W827" s="1970"/>
      <c r="X827" s="1970"/>
      <c r="Y827" s="1970"/>
      <c r="Z827" s="1970"/>
      <c r="AA827" s="1970"/>
      <c r="AB827" s="1970"/>
      <c r="AC827" s="1970"/>
      <c r="AD827" s="1970"/>
      <c r="AE827" s="1970"/>
      <c r="AF827" s="1970"/>
      <c r="AG827" s="1970"/>
      <c r="AH827" s="1970"/>
      <c r="AI827" s="1970"/>
      <c r="AJ827" s="1970"/>
      <c r="AK827" s="1970"/>
      <c r="AL827" s="1970"/>
      <c r="AM827" s="1970"/>
      <c r="AN827" s="1970"/>
      <c r="AO827" s="1970"/>
      <c r="AP827" s="1970"/>
      <c r="AQ827" s="1970"/>
    </row>
    <row r="828" spans="1:43" s="1716" customFormat="1">
      <c r="A828" s="1968" t="str">
        <f t="shared" si="141"/>
        <v>B10</v>
      </c>
      <c r="B828" s="1968">
        <f t="shared" si="141"/>
        <v>0</v>
      </c>
      <c r="C828" s="1968">
        <f t="shared" si="142"/>
        <v>1.8699999999999999</v>
      </c>
      <c r="D828" s="1968">
        <f t="shared" si="143"/>
        <v>0</v>
      </c>
      <c r="V828" s="1970"/>
      <c r="W828" s="1970"/>
      <c r="X828" s="1970"/>
      <c r="Y828" s="1970"/>
      <c r="Z828" s="1970"/>
      <c r="AA828" s="1970"/>
      <c r="AB828" s="1970"/>
      <c r="AC828" s="1970"/>
      <c r="AD828" s="1970"/>
      <c r="AE828" s="1970"/>
      <c r="AF828" s="1970"/>
      <c r="AG828" s="1970"/>
      <c r="AH828" s="1970"/>
      <c r="AI828" s="1970"/>
      <c r="AJ828" s="1970"/>
      <c r="AK828" s="1970"/>
      <c r="AL828" s="1970"/>
      <c r="AM828" s="1970"/>
      <c r="AN828" s="1970"/>
      <c r="AO828" s="1970"/>
      <c r="AP828" s="1970"/>
      <c r="AQ828" s="1970"/>
    </row>
    <row r="829" spans="1:43" s="1716" customFormat="1">
      <c r="A829" s="1968" t="str">
        <f t="shared" si="141"/>
        <v>B11</v>
      </c>
      <c r="B829" s="1968">
        <f t="shared" si="141"/>
        <v>0</v>
      </c>
      <c r="C829" s="1968">
        <f t="shared" si="142"/>
        <v>1.5999999999999999</v>
      </c>
      <c r="D829" s="1968">
        <f t="shared" si="143"/>
        <v>0</v>
      </c>
      <c r="V829" s="1970"/>
      <c r="W829" s="1970"/>
      <c r="X829" s="1970"/>
      <c r="Y829" s="1970"/>
      <c r="Z829" s="1970"/>
      <c r="AA829" s="1970"/>
      <c r="AB829" s="1970"/>
      <c r="AC829" s="1970"/>
      <c r="AD829" s="1970"/>
      <c r="AE829" s="1970"/>
      <c r="AF829" s="1970"/>
      <c r="AG829" s="1970"/>
      <c r="AH829" s="1970"/>
      <c r="AI829" s="1970"/>
      <c r="AJ829" s="1970"/>
      <c r="AK829" s="1970"/>
      <c r="AL829" s="1970"/>
      <c r="AM829" s="1970"/>
      <c r="AN829" s="1970"/>
      <c r="AO829" s="1970"/>
      <c r="AP829" s="1970"/>
      <c r="AQ829" s="1970"/>
    </row>
    <row r="830" spans="1:43" s="1716" customFormat="1">
      <c r="A830" s="1968" t="str">
        <f t="shared" si="141"/>
        <v>B12</v>
      </c>
      <c r="B830" s="1968">
        <f t="shared" si="141"/>
        <v>0</v>
      </c>
      <c r="C830" s="1968">
        <f t="shared" si="142"/>
        <v>0</v>
      </c>
      <c r="D830" s="1968">
        <f t="shared" si="143"/>
        <v>0</v>
      </c>
      <c r="V830" s="1970"/>
      <c r="W830" s="1970"/>
      <c r="X830" s="1970"/>
      <c r="Y830" s="1970"/>
      <c r="Z830" s="1970"/>
      <c r="AA830" s="1970"/>
      <c r="AB830" s="1970"/>
      <c r="AC830" s="1970"/>
      <c r="AD830" s="1970"/>
      <c r="AE830" s="1970"/>
      <c r="AF830" s="1970"/>
      <c r="AG830" s="1970"/>
      <c r="AH830" s="1970"/>
      <c r="AI830" s="1970"/>
      <c r="AJ830" s="1970"/>
      <c r="AK830" s="1970"/>
      <c r="AL830" s="1970"/>
      <c r="AM830" s="1970"/>
      <c r="AN830" s="1970"/>
      <c r="AO830" s="1970"/>
      <c r="AP830" s="1970"/>
      <c r="AQ830" s="1970"/>
    </row>
    <row r="831" spans="1:43" s="1716" customFormat="1">
      <c r="A831" s="1968" t="str">
        <f t="shared" si="141"/>
        <v>B13</v>
      </c>
      <c r="B831" s="1968">
        <f t="shared" si="141"/>
        <v>0</v>
      </c>
      <c r="C831" s="1968">
        <f t="shared" si="142"/>
        <v>0</v>
      </c>
      <c r="D831" s="1968">
        <f t="shared" si="143"/>
        <v>0</v>
      </c>
      <c r="V831" s="1970"/>
      <c r="W831" s="1970"/>
      <c r="X831" s="1970"/>
      <c r="Y831" s="1970"/>
      <c r="Z831" s="1970"/>
      <c r="AA831" s="1970"/>
      <c r="AB831" s="1970"/>
      <c r="AC831" s="1970"/>
      <c r="AD831" s="1970"/>
      <c r="AE831" s="1970"/>
      <c r="AF831" s="1970"/>
      <c r="AG831" s="1970"/>
      <c r="AH831" s="1970"/>
      <c r="AI831" s="1970"/>
      <c r="AJ831" s="1970"/>
      <c r="AK831" s="1970"/>
      <c r="AL831" s="1970"/>
      <c r="AM831" s="1970"/>
      <c r="AN831" s="1970"/>
      <c r="AO831" s="1970"/>
      <c r="AP831" s="1970"/>
      <c r="AQ831" s="1970"/>
    </row>
    <row r="832" spans="1:43" s="1716" customFormat="1">
      <c r="A832" s="1968" t="str">
        <f t="shared" si="141"/>
        <v>B14</v>
      </c>
      <c r="B832" s="1968">
        <f t="shared" si="141"/>
        <v>0</v>
      </c>
      <c r="C832" s="1968">
        <f t="shared" si="142"/>
        <v>0</v>
      </c>
      <c r="D832" s="1968">
        <f t="shared" si="143"/>
        <v>0</v>
      </c>
      <c r="V832" s="1970"/>
      <c r="W832" s="1970"/>
      <c r="X832" s="1970"/>
      <c r="Y832" s="1970"/>
      <c r="Z832" s="1970"/>
      <c r="AA832" s="1970"/>
      <c r="AB832" s="1970"/>
      <c r="AC832" s="1970"/>
      <c r="AD832" s="1970"/>
      <c r="AE832" s="1970"/>
      <c r="AF832" s="1970"/>
      <c r="AG832" s="1970"/>
      <c r="AH832" s="1970"/>
      <c r="AI832" s="1970"/>
      <c r="AJ832" s="1970"/>
      <c r="AK832" s="1970"/>
      <c r="AL832" s="1970"/>
      <c r="AM832" s="1970"/>
      <c r="AN832" s="1970"/>
      <c r="AO832" s="1970"/>
      <c r="AP832" s="1970"/>
      <c r="AQ832" s="1970"/>
    </row>
    <row r="833" spans="1:43" s="1716" customFormat="1">
      <c r="A833" s="1968" t="str">
        <f t="shared" si="141"/>
        <v>B15</v>
      </c>
      <c r="B833" s="1968">
        <f t="shared" si="141"/>
        <v>0</v>
      </c>
      <c r="C833" s="1968">
        <f t="shared" si="142"/>
        <v>0</v>
      </c>
      <c r="D833" s="1968">
        <f t="shared" si="143"/>
        <v>0</v>
      </c>
      <c r="V833" s="1970"/>
      <c r="W833" s="1970"/>
      <c r="X833" s="1970"/>
      <c r="Y833" s="1970"/>
      <c r="Z833" s="1970"/>
      <c r="AA833" s="1970"/>
      <c r="AB833" s="1970"/>
      <c r="AC833" s="1970"/>
      <c r="AD833" s="1970"/>
      <c r="AE833" s="1970"/>
      <c r="AF833" s="1970"/>
      <c r="AG833" s="1970"/>
      <c r="AH833" s="1970"/>
      <c r="AI833" s="1970"/>
      <c r="AJ833" s="1970"/>
      <c r="AK833" s="1970"/>
      <c r="AL833" s="1970"/>
      <c r="AM833" s="1970"/>
      <c r="AN833" s="1970"/>
      <c r="AO833" s="1970"/>
      <c r="AP833" s="1970"/>
      <c r="AQ833" s="1970"/>
    </row>
    <row r="834" spans="1:43" s="1716" customFormat="1">
      <c r="A834" s="1968" t="str">
        <f t="shared" si="141"/>
        <v>RB</v>
      </c>
      <c r="B834" s="1968">
        <f t="shared" si="141"/>
        <v>0</v>
      </c>
      <c r="C834" s="1968">
        <f t="shared" si="142"/>
        <v>0.52</v>
      </c>
      <c r="D834" s="1968">
        <f t="shared" si="143"/>
        <v>0</v>
      </c>
      <c r="V834" s="1970"/>
      <c r="W834" s="1970"/>
      <c r="X834" s="1970"/>
      <c r="Y834" s="1970"/>
      <c r="Z834" s="1970"/>
      <c r="AA834" s="1970"/>
      <c r="AB834" s="1970"/>
      <c r="AC834" s="1970"/>
      <c r="AD834" s="1970"/>
      <c r="AE834" s="1970"/>
      <c r="AF834" s="1970"/>
      <c r="AG834" s="1970"/>
      <c r="AH834" s="1970"/>
      <c r="AI834" s="1970"/>
      <c r="AJ834" s="1970"/>
      <c r="AK834" s="1970"/>
      <c r="AL834" s="1970"/>
      <c r="AM834" s="1970"/>
      <c r="AN834" s="1970"/>
      <c r="AO834" s="1970"/>
      <c r="AP834" s="1970"/>
      <c r="AQ834" s="1970"/>
    </row>
    <row r="835" spans="1:43" s="1716" customFormat="1" ht="15">
      <c r="C835" s="1738" t="s">
        <v>2076</v>
      </c>
      <c r="D835" s="1603">
        <f>SUM(D819:D834)</f>
        <v>0</v>
      </c>
      <c r="V835" s="1970"/>
      <c r="W835" s="1970"/>
      <c r="X835" s="1970"/>
      <c r="Y835" s="1970"/>
      <c r="Z835" s="1970"/>
      <c r="AA835" s="1970"/>
      <c r="AB835" s="1970"/>
      <c r="AC835" s="1970"/>
      <c r="AD835" s="1970"/>
      <c r="AE835" s="1970"/>
      <c r="AF835" s="1970"/>
      <c r="AG835" s="1970"/>
      <c r="AH835" s="1970"/>
      <c r="AI835" s="1970"/>
      <c r="AJ835" s="1970"/>
      <c r="AK835" s="1970"/>
      <c r="AL835" s="1970"/>
      <c r="AM835" s="1970"/>
      <c r="AN835" s="1970"/>
      <c r="AO835" s="1970"/>
      <c r="AP835" s="1970"/>
      <c r="AQ835" s="1970"/>
    </row>
    <row r="836" spans="1:43" s="1716" customFormat="1"/>
    <row r="837" spans="1:43" s="1933" customFormat="1" ht="15" customHeight="1">
      <c r="A837" s="2733" t="s">
        <v>2016</v>
      </c>
      <c r="B837" s="2734"/>
      <c r="C837" s="2734"/>
      <c r="D837" s="2734"/>
      <c r="E837" s="2735"/>
    </row>
    <row r="838" spans="1:43" s="1716" customFormat="1" ht="15" customHeight="1">
      <c r="A838" s="1967" t="s">
        <v>1987</v>
      </c>
      <c r="B838" s="1966" t="s">
        <v>1205</v>
      </c>
      <c r="C838" s="1967" t="s">
        <v>1111</v>
      </c>
      <c r="D838" s="1967" t="s">
        <v>1243</v>
      </c>
      <c r="E838" s="1966" t="s">
        <v>1568</v>
      </c>
    </row>
    <row r="839" spans="1:43" s="1716" customFormat="1" ht="15" customHeight="1">
      <c r="A839" s="1729" t="s">
        <v>1709</v>
      </c>
      <c r="B839" s="1974">
        <v>0</v>
      </c>
      <c r="C839" s="1974"/>
      <c r="D839" s="1974">
        <v>0.15</v>
      </c>
      <c r="E839" s="1974">
        <f>B839*C839*D839</f>
        <v>0</v>
      </c>
    </row>
    <row r="840" spans="1:43" s="1716" customFormat="1" ht="15" customHeight="1">
      <c r="A840" s="1968"/>
      <c r="B840" s="1968">
        <v>0</v>
      </c>
      <c r="C840" s="1968"/>
      <c r="D840" s="1968">
        <v>0.15</v>
      </c>
      <c r="E840" s="1968">
        <f>B840*C840*D840</f>
        <v>0</v>
      </c>
    </row>
    <row r="841" spans="1:43" s="1716" customFormat="1" ht="15" customHeight="1">
      <c r="A841" s="1968" t="s">
        <v>1710</v>
      </c>
      <c r="B841" s="1968">
        <v>0</v>
      </c>
      <c r="C841" s="1968">
        <v>0</v>
      </c>
      <c r="D841" s="1968">
        <v>0.15</v>
      </c>
      <c r="E841" s="1968">
        <f>B841*C841*D841</f>
        <v>0</v>
      </c>
    </row>
    <row r="842" spans="1:43" s="1716" customFormat="1">
      <c r="A842" s="1968"/>
      <c r="B842" s="1968">
        <v>0</v>
      </c>
      <c r="C842" s="1968">
        <v>0</v>
      </c>
      <c r="D842" s="1968">
        <v>0.15</v>
      </c>
      <c r="E842" s="1968">
        <f>B842*C842*D842</f>
        <v>0</v>
      </c>
    </row>
    <row r="843" spans="1:43" s="1716" customFormat="1" ht="15">
      <c r="D843" s="1738" t="s">
        <v>2078</v>
      </c>
      <c r="E843" s="1126">
        <f>SUM(E839:E842)</f>
        <v>0</v>
      </c>
    </row>
    <row r="844" spans="1:43" s="1716" customFormat="1"/>
    <row r="845" spans="1:43" s="1716" customFormat="1">
      <c r="A845" s="2717" t="s">
        <v>2018</v>
      </c>
      <c r="B845" s="2718"/>
      <c r="C845" s="2718"/>
      <c r="D845" s="2718"/>
      <c r="E845" s="2718"/>
      <c r="F845" s="2718"/>
      <c r="G845" s="2736"/>
    </row>
    <row r="846" spans="1:43" s="1716" customFormat="1">
      <c r="A846" s="1729" t="s">
        <v>1996</v>
      </c>
      <c r="B846" s="1974" t="s">
        <v>1205</v>
      </c>
      <c r="C846" s="1974" t="s">
        <v>1607</v>
      </c>
      <c r="D846" s="1974" t="s">
        <v>1168</v>
      </c>
      <c r="E846" s="1974" t="s">
        <v>1205</v>
      </c>
      <c r="F846" s="1974" t="s">
        <v>1243</v>
      </c>
      <c r="G846" s="1974"/>
    </row>
    <row r="847" spans="1:43" s="1716" customFormat="1">
      <c r="A847" s="2737" t="s">
        <v>2079</v>
      </c>
      <c r="B847" s="1968">
        <f>B839</f>
        <v>0</v>
      </c>
      <c r="C847" s="1968">
        <f>B847/0.2</f>
        <v>0</v>
      </c>
      <c r="D847" s="1968">
        <f>ROUNDUP(C847,0)</f>
        <v>0</v>
      </c>
      <c r="E847" s="1968">
        <f>(2*(B849-0.05))+0.2</f>
        <v>0.1</v>
      </c>
      <c r="F847" s="1968">
        <f>D847*E847</f>
        <v>0</v>
      </c>
      <c r="G847" s="1596">
        <f>F847*0.89</f>
        <v>0</v>
      </c>
      <c r="I847" s="1533"/>
      <c r="J847" s="1533"/>
      <c r="K847" s="1533"/>
      <c r="L847" s="1533"/>
    </row>
    <row r="848" spans="1:43" s="1716" customFormat="1">
      <c r="A848" s="2720"/>
      <c r="B848" s="1968"/>
      <c r="C848" s="1968"/>
      <c r="D848" s="1968"/>
      <c r="E848" s="1968"/>
      <c r="F848" s="1968"/>
      <c r="G848" s="1968"/>
      <c r="I848" s="1533"/>
      <c r="J848" s="1533"/>
      <c r="K848" s="1533"/>
      <c r="L848" s="1533"/>
    </row>
    <row r="849" spans="1:19" s="1716" customFormat="1">
      <c r="A849" s="2738"/>
      <c r="B849" s="1968">
        <v>0</v>
      </c>
      <c r="C849" s="1968">
        <f>B849/0.2</f>
        <v>0</v>
      </c>
      <c r="D849" s="1968">
        <f>ROUNDUP(C849,0)</f>
        <v>0</v>
      </c>
      <c r="E849" s="1968">
        <f>(2*(B847-0.05))+0.2</f>
        <v>0.1</v>
      </c>
      <c r="F849" s="1968">
        <f>D849*E849</f>
        <v>0</v>
      </c>
      <c r="G849" s="1596">
        <f>F849*0.4</f>
        <v>0</v>
      </c>
      <c r="L849" s="1533"/>
      <c r="S849" s="1128"/>
    </row>
    <row r="850" spans="1:19" s="1716" customFormat="1">
      <c r="F850" s="1128"/>
    </row>
    <row r="851" spans="1:19" s="1716" customFormat="1">
      <c r="A851" s="2717" t="s">
        <v>2017</v>
      </c>
      <c r="B851" s="2718"/>
      <c r="C851" s="2718"/>
      <c r="D851" s="2718"/>
      <c r="E851" s="2718"/>
      <c r="F851" s="2718"/>
      <c r="G851" s="2736"/>
    </row>
    <row r="852" spans="1:19" s="1716" customFormat="1">
      <c r="A852" s="2737" t="s">
        <v>2079</v>
      </c>
      <c r="B852" s="1974">
        <f>B840</f>
        <v>0</v>
      </c>
      <c r="C852" s="1974">
        <f>B852/0.2</f>
        <v>0</v>
      </c>
      <c r="D852" s="1974">
        <f>ROUNDUP(C852,0)</f>
        <v>0</v>
      </c>
      <c r="E852" s="1974">
        <f>(2*(B853-0.05))+0.2</f>
        <v>0.1</v>
      </c>
      <c r="F852" s="1974">
        <f>D852*E852</f>
        <v>0</v>
      </c>
      <c r="G852" s="1728">
        <f>F852*0.89</f>
        <v>0</v>
      </c>
    </row>
    <row r="853" spans="1:19" s="1716" customFormat="1">
      <c r="A853" s="2738"/>
      <c r="B853" s="1968"/>
      <c r="C853" s="1968"/>
      <c r="D853" s="1968">
        <f>ROUNDUP(C853,0)</f>
        <v>0</v>
      </c>
      <c r="E853" s="1968">
        <f>(2*(B852-0.05))+0.2</f>
        <v>0.1</v>
      </c>
      <c r="F853" s="1968">
        <f>D853*E853</f>
        <v>0</v>
      </c>
      <c r="G853" s="1596">
        <f>F853*0.4</f>
        <v>0</v>
      </c>
    </row>
    <row r="854" spans="1:19" s="1716" customFormat="1"/>
    <row r="855" spans="1:19" s="1716" customFormat="1">
      <c r="A855" s="2767" t="s">
        <v>2019</v>
      </c>
      <c r="B855" s="2768"/>
      <c r="C855" s="2768"/>
      <c r="D855" s="2768"/>
      <c r="E855" s="2768"/>
      <c r="F855" s="2768"/>
      <c r="G855" s="2769"/>
    </row>
    <row r="856" spans="1:19" s="1716" customFormat="1">
      <c r="A856" s="1974" t="s">
        <v>1996</v>
      </c>
      <c r="B856" s="1974" t="s">
        <v>1205</v>
      </c>
      <c r="C856" s="1974" t="s">
        <v>1607</v>
      </c>
      <c r="D856" s="1974" t="s">
        <v>1168</v>
      </c>
      <c r="E856" s="1974" t="s">
        <v>1205</v>
      </c>
      <c r="F856" s="1974" t="s">
        <v>1243</v>
      </c>
      <c r="G856" s="1974"/>
    </row>
    <row r="857" spans="1:19" s="1716" customFormat="1">
      <c r="A857" s="2737" t="s">
        <v>2080</v>
      </c>
      <c r="B857" s="1968">
        <f>B841</f>
        <v>0</v>
      </c>
      <c r="C857" s="1968">
        <f>B857/0.2</f>
        <v>0</v>
      </c>
      <c r="D857" s="1968">
        <f>ROUNDUP(C857,0)</f>
        <v>0</v>
      </c>
      <c r="E857" s="1968">
        <f>(2*(B859-0.05))+0.2</f>
        <v>0.1</v>
      </c>
      <c r="F857" s="1968">
        <f>D857*E857</f>
        <v>0</v>
      </c>
      <c r="G857" s="1596">
        <f>F857*0.89</f>
        <v>0</v>
      </c>
    </row>
    <row r="858" spans="1:19" s="1716" customFormat="1">
      <c r="A858" s="2720"/>
      <c r="B858" s="1968"/>
      <c r="C858" s="1968"/>
      <c r="D858" s="1968"/>
      <c r="E858" s="1968"/>
      <c r="F858" s="1968"/>
      <c r="G858" s="1968"/>
    </row>
    <row r="859" spans="1:19" s="1716" customFormat="1">
      <c r="A859" s="2738"/>
      <c r="B859" s="1968">
        <v>0</v>
      </c>
      <c r="C859" s="1968">
        <f>B859/0.2</f>
        <v>0</v>
      </c>
      <c r="D859" s="1968">
        <f>ROUNDUP(C859,0)</f>
        <v>0</v>
      </c>
      <c r="E859" s="1968">
        <f>(2*(B857-0.05))+0.2</f>
        <v>0.1</v>
      </c>
      <c r="F859" s="1968">
        <f>D859*E859</f>
        <v>0</v>
      </c>
      <c r="G859" s="1596">
        <f>F859*0.4</f>
        <v>0</v>
      </c>
      <c r="S859" s="1128"/>
    </row>
    <row r="860" spans="1:19" s="1716" customFormat="1">
      <c r="F860" s="1128"/>
    </row>
    <row r="861" spans="1:19" s="1716" customFormat="1">
      <c r="A861" s="2767" t="s">
        <v>2017</v>
      </c>
      <c r="B861" s="2768"/>
      <c r="C861" s="2768"/>
      <c r="D861" s="2768"/>
      <c r="E861" s="2768"/>
      <c r="F861" s="2768"/>
      <c r="G861" s="2769"/>
    </row>
    <row r="862" spans="1:19" s="1716" customFormat="1">
      <c r="A862" s="2719" t="s">
        <v>2080</v>
      </c>
      <c r="B862" s="1974">
        <f>B842</f>
        <v>0</v>
      </c>
      <c r="C862" s="1974">
        <f>B862/0.2</f>
        <v>0</v>
      </c>
      <c r="D862" s="1974">
        <f>ROUNDUP(C862,0)</f>
        <v>0</v>
      </c>
      <c r="E862" s="1974">
        <f>(2*(B863-0.05))+0.2</f>
        <v>0.1</v>
      </c>
      <c r="F862" s="1974">
        <f>D862*E862</f>
        <v>0</v>
      </c>
      <c r="G862" s="1728">
        <f>F862*0.89</f>
        <v>0</v>
      </c>
    </row>
    <row r="863" spans="1:19" s="1716" customFormat="1">
      <c r="A863" s="2738"/>
      <c r="B863" s="1968">
        <v>0</v>
      </c>
      <c r="C863" s="1968">
        <f>B863/0.2</f>
        <v>0</v>
      </c>
      <c r="D863" s="1968">
        <f>ROUNDUP(C863,0)</f>
        <v>0</v>
      </c>
      <c r="E863" s="1968">
        <f>(2*(B862-0.05))+0.2</f>
        <v>0.1</v>
      </c>
      <c r="F863" s="1968">
        <f>D863*E863</f>
        <v>0</v>
      </c>
      <c r="G863" s="1596">
        <f>F863*0.4</f>
        <v>0</v>
      </c>
    </row>
    <row r="864" spans="1:19" s="1716" customFormat="1" ht="15">
      <c r="E864" s="2725" t="s">
        <v>2097</v>
      </c>
      <c r="F864" s="2726"/>
      <c r="G864" s="1126">
        <f>G847+G852+G857+G862</f>
        <v>0</v>
      </c>
    </row>
    <row r="865" spans="1:7" s="1716" customFormat="1" ht="15">
      <c r="E865" s="2725" t="s">
        <v>2096</v>
      </c>
      <c r="F865" s="2726"/>
      <c r="G865" s="1126">
        <f>G849+G853+G859+G863</f>
        <v>0</v>
      </c>
    </row>
    <row r="866" spans="1:7" s="1716" customFormat="1"/>
    <row r="867" spans="1:7" s="1716" customFormat="1">
      <c r="A867" s="1967" t="s">
        <v>2047</v>
      </c>
      <c r="B867" s="1967" t="s">
        <v>2009</v>
      </c>
      <c r="C867" s="1967" t="s">
        <v>2045</v>
      </c>
      <c r="D867" s="1967" t="s">
        <v>1568</v>
      </c>
    </row>
    <row r="868" spans="1:7" s="1716" customFormat="1">
      <c r="A868" s="2719" t="s">
        <v>2079</v>
      </c>
      <c r="B868" s="1974">
        <f t="shared" ref="B868:C871" si="144">B839</f>
        <v>0</v>
      </c>
      <c r="C868" s="1974">
        <f t="shared" si="144"/>
        <v>0</v>
      </c>
      <c r="D868" s="1974">
        <f>B868*C868</f>
        <v>0</v>
      </c>
    </row>
    <row r="869" spans="1:7" s="1716" customFormat="1">
      <c r="A869" s="2738"/>
      <c r="B869" s="1968">
        <f t="shared" si="144"/>
        <v>0</v>
      </c>
      <c r="C869" s="1968">
        <f t="shared" si="144"/>
        <v>0</v>
      </c>
      <c r="D869" s="1968">
        <f>B869*C869</f>
        <v>0</v>
      </c>
    </row>
    <row r="870" spans="1:7" s="1716" customFormat="1">
      <c r="A870" s="2737" t="s">
        <v>2081</v>
      </c>
      <c r="B870" s="1968">
        <f t="shared" si="144"/>
        <v>0</v>
      </c>
      <c r="C870" s="1968">
        <f t="shared" si="144"/>
        <v>0</v>
      </c>
      <c r="D870" s="1968">
        <f>B870*C870</f>
        <v>0</v>
      </c>
    </row>
    <row r="871" spans="1:7" s="1716" customFormat="1">
      <c r="A871" s="2738"/>
      <c r="B871" s="1968">
        <f t="shared" si="144"/>
        <v>0</v>
      </c>
      <c r="C871" s="1968">
        <f t="shared" si="144"/>
        <v>0</v>
      </c>
      <c r="D871" s="1968">
        <f>B871*C871</f>
        <v>0</v>
      </c>
    </row>
    <row r="872" spans="1:7" s="1716" customFormat="1" ht="15">
      <c r="C872" s="1740" t="s">
        <v>2076</v>
      </c>
      <c r="D872" s="1597">
        <f>SUM(D868:D871)</f>
        <v>0</v>
      </c>
    </row>
    <row r="873" spans="1:7" s="1716" customFormat="1" ht="14.25" customHeight="1"/>
    <row r="874" spans="1:7" s="1716" customFormat="1">
      <c r="A874" s="2756" t="s">
        <v>2085</v>
      </c>
      <c r="B874" s="1967" t="s">
        <v>2009</v>
      </c>
      <c r="C874" s="1967" t="s">
        <v>2045</v>
      </c>
      <c r="D874" s="1967" t="s">
        <v>1568</v>
      </c>
    </row>
    <row r="875" spans="1:7" s="1716" customFormat="1">
      <c r="A875" s="2757"/>
      <c r="B875" s="1968">
        <v>0</v>
      </c>
      <c r="C875" s="1720">
        <v>0</v>
      </c>
      <c r="D875" s="1968">
        <v>0</v>
      </c>
    </row>
    <row r="876" spans="1:7" s="1716" customFormat="1" ht="15" customHeight="1">
      <c r="A876" s="2758"/>
      <c r="B876" s="2760" t="s">
        <v>2078</v>
      </c>
      <c r="C876" s="2761"/>
      <c r="D876" s="1596">
        <f>B875*C875*D875</f>
        <v>0</v>
      </c>
    </row>
    <row r="877" spans="1:7" s="1716" customFormat="1" ht="15">
      <c r="A877" s="2759"/>
      <c r="B877" s="2760" t="s">
        <v>2082</v>
      </c>
      <c r="C877" s="2761"/>
      <c r="D877" s="1597">
        <f>D876-(0.4*0.1)*0</f>
        <v>0</v>
      </c>
    </row>
    <row r="878" spans="1:7" s="1716" customFormat="1" ht="14.25" customHeight="1"/>
    <row r="879" spans="1:7" s="1716" customFormat="1">
      <c r="A879" s="2752" t="s">
        <v>2084</v>
      </c>
      <c r="B879" s="1967" t="s">
        <v>1205</v>
      </c>
      <c r="C879" s="1967" t="s">
        <v>1607</v>
      </c>
      <c r="D879" s="1967" t="s">
        <v>2093</v>
      </c>
      <c r="E879" s="1967" t="s">
        <v>1205</v>
      </c>
      <c r="F879" s="1967" t="s">
        <v>1568</v>
      </c>
    </row>
    <row r="880" spans="1:7" s="1716" customFormat="1">
      <c r="A880" s="2765"/>
      <c r="B880" s="1721">
        <f>B875</f>
        <v>0</v>
      </c>
      <c r="C880" s="1968">
        <f>B880/0.15</f>
        <v>0</v>
      </c>
      <c r="D880" s="1968">
        <f>ROUNDUP(C880,0)</f>
        <v>0</v>
      </c>
      <c r="E880" s="1968">
        <f>B881-0.05</f>
        <v>-0.05</v>
      </c>
      <c r="F880" s="1968">
        <f>D880*E880</f>
        <v>0</v>
      </c>
    </row>
    <row r="881" spans="1:16" s="1716" customFormat="1">
      <c r="A881" s="2766"/>
      <c r="B881" s="1721">
        <f>C875</f>
        <v>0</v>
      </c>
      <c r="C881" s="1968">
        <f>B881/0.15</f>
        <v>0</v>
      </c>
      <c r="D881" s="1969">
        <f>ROUNDUP(C881,0)</f>
        <v>0</v>
      </c>
      <c r="E881" s="1969">
        <f>B880-0.05</f>
        <v>-0.05</v>
      </c>
      <c r="F881" s="1969">
        <f>D881*E881</f>
        <v>0</v>
      </c>
    </row>
    <row r="882" spans="1:16" s="1716" customFormat="1" ht="15">
      <c r="A882" s="1598"/>
      <c r="B882" s="1598"/>
      <c r="C882" s="1598"/>
      <c r="D882" s="2751" t="s">
        <v>2086</v>
      </c>
      <c r="E882" s="2751"/>
      <c r="F882" s="1596">
        <f>F880*0.62</f>
        <v>0</v>
      </c>
    </row>
    <row r="883" spans="1:16" s="1716" customFormat="1" ht="15">
      <c r="A883" s="1598"/>
      <c r="B883" s="1598"/>
      <c r="C883" s="1598"/>
      <c r="D883" s="2751" t="s">
        <v>2087</v>
      </c>
      <c r="E883" s="2751"/>
      <c r="F883" s="1597">
        <f>F881*0.62</f>
        <v>0</v>
      </c>
    </row>
    <row r="884" spans="1:16" s="1716" customFormat="1"/>
    <row r="885" spans="1:16" s="1716" customFormat="1">
      <c r="A885" s="2752" t="s">
        <v>2083</v>
      </c>
      <c r="B885" s="1967" t="s">
        <v>1205</v>
      </c>
      <c r="C885" s="1967" t="s">
        <v>1111</v>
      </c>
      <c r="D885" s="1967" t="s">
        <v>1568</v>
      </c>
    </row>
    <row r="886" spans="1:16" s="1716" customFormat="1">
      <c r="A886" s="2753"/>
      <c r="B886" s="1721">
        <f>B875</f>
        <v>0</v>
      </c>
      <c r="C886" s="1968">
        <f>C875</f>
        <v>0</v>
      </c>
      <c r="D886" s="1968">
        <f>B886*C886</f>
        <v>0</v>
      </c>
    </row>
    <row r="887" spans="1:16" s="1716" customFormat="1">
      <c r="A887" s="2754"/>
      <c r="B887" s="1721">
        <f>B875</f>
        <v>0</v>
      </c>
      <c r="C887" s="1968">
        <f>D875</f>
        <v>0</v>
      </c>
      <c r="D887" s="1968">
        <f>B887*C887</f>
        <v>0</v>
      </c>
    </row>
    <row r="888" spans="1:16" s="1716" customFormat="1" ht="15">
      <c r="C888" s="1740" t="s">
        <v>2076</v>
      </c>
      <c r="D888" s="1596">
        <f>SUM(D886:D887)</f>
        <v>0</v>
      </c>
    </row>
    <row r="889" spans="1:16" s="1716" customFormat="1"/>
    <row r="890" spans="1:16" s="1716" customFormat="1">
      <c r="A890" s="2731" t="s">
        <v>2056</v>
      </c>
      <c r="B890" s="2732"/>
      <c r="C890" s="2732"/>
      <c r="D890" s="2732"/>
      <c r="E890" s="2732"/>
      <c r="F890" s="2755"/>
      <c r="G890" s="1971" t="s">
        <v>1568</v>
      </c>
      <c r="H890" s="1972"/>
      <c r="I890" s="1972"/>
      <c r="J890" s="1975"/>
      <c r="L890" s="2731" t="s">
        <v>2094</v>
      </c>
      <c r="M890" s="2732"/>
      <c r="N890" s="2732"/>
      <c r="O890" s="2732"/>
      <c r="P890" s="2732"/>
    </row>
    <row r="891" spans="1:16" s="1716" customFormat="1" ht="15">
      <c r="A891" s="1968" t="s">
        <v>2090</v>
      </c>
      <c r="B891" s="1968" t="s">
        <v>2009</v>
      </c>
      <c r="C891" s="1968" t="s">
        <v>1609</v>
      </c>
      <c r="D891" s="1968" t="s">
        <v>1679</v>
      </c>
      <c r="E891" s="1599" t="s">
        <v>1840</v>
      </c>
      <c r="F891" s="1741" t="s">
        <v>1841</v>
      </c>
      <c r="G891" s="1968" t="s">
        <v>2050</v>
      </c>
      <c r="H891" s="1968" t="s">
        <v>2051</v>
      </c>
      <c r="I891" s="1968" t="s">
        <v>2091</v>
      </c>
      <c r="J891" s="1968" t="s">
        <v>2092</v>
      </c>
      <c r="L891" s="1968" t="s">
        <v>1607</v>
      </c>
      <c r="M891" s="1968" t="s">
        <v>1611</v>
      </c>
      <c r="N891" s="1968" t="s">
        <v>1168</v>
      </c>
      <c r="O891" s="1968" t="s">
        <v>1205</v>
      </c>
      <c r="P891" s="1968" t="s">
        <v>1243</v>
      </c>
    </row>
    <row r="892" spans="1:16" s="1716" customFormat="1">
      <c r="A892" s="1968" t="s">
        <v>187</v>
      </c>
      <c r="B892" s="1968"/>
      <c r="C892" s="1968">
        <v>0</v>
      </c>
      <c r="D892" s="1968">
        <v>0</v>
      </c>
      <c r="E892" s="1968">
        <v>0</v>
      </c>
      <c r="F892" s="1720">
        <v>4</v>
      </c>
      <c r="G892" s="1968">
        <f>B892*C892</f>
        <v>0</v>
      </c>
      <c r="H892" s="1968">
        <f>B892*D892</f>
        <v>0</v>
      </c>
      <c r="I892" s="1968">
        <f>B892*E892</f>
        <v>0</v>
      </c>
      <c r="J892" s="1968">
        <f>B892*F892</f>
        <v>0</v>
      </c>
      <c r="L892" s="1968">
        <f>(B892/2)/0.2</f>
        <v>0</v>
      </c>
      <c r="M892" s="1968">
        <f>(B892/2)/0.1</f>
        <v>0</v>
      </c>
      <c r="N892" s="1968">
        <f>SUM(L892:M892)</f>
        <v>0</v>
      </c>
      <c r="O892" s="1968">
        <f>2*(0.07+0.15)</f>
        <v>0.44</v>
      </c>
      <c r="P892" s="1968">
        <f>N892*O892</f>
        <v>0</v>
      </c>
    </row>
    <row r="893" spans="1:16" s="1716" customFormat="1" ht="15" customHeight="1">
      <c r="A893" s="1968" t="s">
        <v>173</v>
      </c>
      <c r="B893" s="1968">
        <v>0</v>
      </c>
      <c r="C893" s="1968">
        <v>0</v>
      </c>
      <c r="D893" s="1968">
        <v>0</v>
      </c>
      <c r="E893" s="1968">
        <v>0</v>
      </c>
      <c r="F893" s="1720">
        <v>4</v>
      </c>
      <c r="G893" s="1968">
        <f>B893*C893</f>
        <v>0</v>
      </c>
      <c r="H893" s="1968">
        <f>B893*D893</f>
        <v>0</v>
      </c>
      <c r="I893" s="1968">
        <f>B893*E893</f>
        <v>0</v>
      </c>
      <c r="J893" s="1968">
        <f>B893*F893</f>
        <v>0</v>
      </c>
      <c r="L893" s="1968">
        <f>(B893/2)/0.2</f>
        <v>0</v>
      </c>
      <c r="M893" s="1968">
        <f>(B893/2)/0.1</f>
        <v>0</v>
      </c>
      <c r="N893" s="1968">
        <f>SUM(L893:M893)</f>
        <v>0</v>
      </c>
      <c r="O893" s="1968">
        <f>2*(0.07+0.07)</f>
        <v>0.28000000000000003</v>
      </c>
      <c r="P893" s="1968">
        <f>N893*O893</f>
        <v>0</v>
      </c>
    </row>
    <row r="894" spans="1:16" s="1716" customFormat="1" ht="15" customHeight="1">
      <c r="A894" s="1598"/>
      <c r="B894" s="1598"/>
      <c r="C894" s="1598"/>
      <c r="D894" s="1598"/>
      <c r="E894" s="2725" t="s">
        <v>2074</v>
      </c>
      <c r="F894" s="2726"/>
      <c r="G894" s="1596">
        <f>SUM(G892:G893)</f>
        <v>0</v>
      </c>
      <c r="H894" s="1596">
        <f>SUM(H892:H893)</f>
        <v>0</v>
      </c>
      <c r="I894" s="1596">
        <f>SUM(I892:I893)</f>
        <v>0</v>
      </c>
      <c r="J894" s="1596">
        <f>SUM(J892:J893)</f>
        <v>0</v>
      </c>
      <c r="M894" s="2741" t="s">
        <v>2074</v>
      </c>
      <c r="N894" s="2741"/>
      <c r="O894" s="2741"/>
      <c r="P894" s="1596">
        <f>SUM(P892:P893)</f>
        <v>0</v>
      </c>
    </row>
    <row r="895" spans="1:16" s="1716" customFormat="1" ht="15">
      <c r="A895" s="1598"/>
      <c r="B895" s="1598"/>
      <c r="C895" s="1598"/>
      <c r="D895" s="1598"/>
      <c r="E895" s="2725" t="s">
        <v>2075</v>
      </c>
      <c r="F895" s="2726"/>
      <c r="G895" s="1597">
        <f>G894*1.58</f>
        <v>0</v>
      </c>
      <c r="H895" s="1597">
        <f>H894*1.04</f>
        <v>0</v>
      </c>
      <c r="I895" s="1597">
        <f>I894*0.89</f>
        <v>0</v>
      </c>
      <c r="J895" s="1973">
        <f>J894*0.62</f>
        <v>0</v>
      </c>
      <c r="M895" s="2741" t="s">
        <v>2075</v>
      </c>
      <c r="N895" s="2741"/>
      <c r="O895" s="2741"/>
      <c r="P895" s="1973">
        <f>P894*0.4</f>
        <v>0</v>
      </c>
    </row>
    <row r="896" spans="1:16" s="1716" customFormat="1">
      <c r="A896" s="1598"/>
      <c r="B896" s="1598"/>
      <c r="C896" s="1598"/>
      <c r="D896" s="1598"/>
      <c r="E896" s="1598"/>
      <c r="F896" s="1598"/>
      <c r="G896" s="1598"/>
      <c r="H896" s="1598"/>
      <c r="I896" s="1598"/>
      <c r="J896" s="1598"/>
    </row>
    <row r="897" spans="1:16" s="1716" customFormat="1">
      <c r="A897" s="2731" t="s">
        <v>2052</v>
      </c>
      <c r="B897" s="2732"/>
      <c r="C897" s="2732"/>
      <c r="D897" s="2732"/>
    </row>
    <row r="898" spans="1:16" s="1716" customFormat="1">
      <c r="A898" s="1968" t="s">
        <v>1711</v>
      </c>
      <c r="B898" s="1968" t="s">
        <v>1614</v>
      </c>
      <c r="C898" s="1968" t="s">
        <v>1615</v>
      </c>
      <c r="D898" s="1968"/>
    </row>
    <row r="899" spans="1:16" s="1716" customFormat="1">
      <c r="A899" s="1968" t="str">
        <f>A892</f>
        <v>B1</v>
      </c>
      <c r="B899" s="1968">
        <f>B892</f>
        <v>0</v>
      </c>
      <c r="C899" s="1968">
        <f>0.12*0.2</f>
        <v>2.4E-2</v>
      </c>
      <c r="D899" s="1968">
        <f>B899*C899</f>
        <v>0</v>
      </c>
    </row>
    <row r="900" spans="1:16" s="1716" customFormat="1" ht="15" customHeight="1">
      <c r="A900" s="1968" t="str">
        <f>A893</f>
        <v>B2</v>
      </c>
      <c r="B900" s="1968">
        <f>B893</f>
        <v>0</v>
      </c>
      <c r="C900" s="1968">
        <f>0.12*0.12</f>
        <v>1.44E-2</v>
      </c>
      <c r="D900" s="1968">
        <f>B900*C900</f>
        <v>0</v>
      </c>
    </row>
    <row r="901" spans="1:16" s="1716" customFormat="1" ht="15">
      <c r="C901" s="1740" t="s">
        <v>2078</v>
      </c>
      <c r="D901" s="1973">
        <f>SUM(D899:D900)</f>
        <v>0</v>
      </c>
    </row>
    <row r="902" spans="1:16" s="1716" customFormat="1"/>
    <row r="903" spans="1:16" s="1716" customFormat="1">
      <c r="A903" s="2731" t="s">
        <v>2053</v>
      </c>
      <c r="B903" s="2732"/>
      <c r="C903" s="2732"/>
      <c r="D903" s="2732"/>
    </row>
    <row r="904" spans="1:16" s="1716" customFormat="1">
      <c r="A904" s="1968" t="s">
        <v>1711</v>
      </c>
      <c r="B904" s="1968" t="s">
        <v>1614</v>
      </c>
      <c r="C904" s="1968" t="s">
        <v>1615</v>
      </c>
      <c r="D904" s="1968"/>
    </row>
    <row r="905" spans="1:16" s="1716" customFormat="1">
      <c r="A905" s="1968" t="str">
        <f>A899</f>
        <v>B1</v>
      </c>
      <c r="B905" s="1968">
        <f>B899</f>
        <v>0</v>
      </c>
      <c r="C905" s="1968">
        <f>0.12+0.2*2</f>
        <v>0.52</v>
      </c>
      <c r="D905" s="1968">
        <f>B905*C905</f>
        <v>0</v>
      </c>
    </row>
    <row r="906" spans="1:16" s="1716" customFormat="1">
      <c r="A906" s="1968" t="str">
        <f>A900</f>
        <v>B2</v>
      </c>
      <c r="B906" s="1968">
        <f>B900</f>
        <v>0</v>
      </c>
      <c r="C906" s="1968">
        <f>0.12*4</f>
        <v>0.48</v>
      </c>
      <c r="D906" s="1968">
        <f>B906*C906</f>
        <v>0</v>
      </c>
    </row>
    <row r="907" spans="1:16" s="1716" customFormat="1" ht="15">
      <c r="C907" s="1740" t="s">
        <v>2076</v>
      </c>
      <c r="D907" s="1973">
        <f>SUM(D905:D906)</f>
        <v>0</v>
      </c>
    </row>
    <row r="908" spans="1:16" s="1716" customFormat="1"/>
    <row r="909" spans="1:16" s="1716" customFormat="1">
      <c r="A909" s="2731" t="s">
        <v>2054</v>
      </c>
      <c r="B909" s="2732"/>
      <c r="C909" s="2732"/>
      <c r="D909" s="2732"/>
      <c r="E909" s="2732"/>
      <c r="F909" s="2755"/>
      <c r="G909" s="1971" t="s">
        <v>1568</v>
      </c>
      <c r="H909" s="1972"/>
      <c r="I909" s="1972"/>
      <c r="J909" s="1975"/>
      <c r="L909" s="2731" t="s">
        <v>2094</v>
      </c>
      <c r="M909" s="2732"/>
      <c r="N909" s="2732"/>
      <c r="O909" s="2732"/>
      <c r="P909" s="2732"/>
    </row>
    <row r="910" spans="1:16" s="1716" customFormat="1" ht="15">
      <c r="A910" s="1968" t="s">
        <v>2130</v>
      </c>
      <c r="B910" s="1968" t="s">
        <v>2009</v>
      </c>
      <c r="C910" s="1968" t="s">
        <v>1609</v>
      </c>
      <c r="D910" s="1968" t="s">
        <v>1679</v>
      </c>
      <c r="E910" s="1599" t="s">
        <v>1840</v>
      </c>
      <c r="F910" s="1741" t="s">
        <v>1841</v>
      </c>
      <c r="G910" s="1968" t="s">
        <v>2050</v>
      </c>
      <c r="H910" s="1968" t="s">
        <v>2051</v>
      </c>
      <c r="I910" s="1968" t="s">
        <v>2091</v>
      </c>
      <c r="J910" s="1968" t="s">
        <v>2092</v>
      </c>
      <c r="L910" s="1968" t="s">
        <v>1607</v>
      </c>
      <c r="M910" s="1968" t="s">
        <v>1611</v>
      </c>
      <c r="N910" s="1968" t="s">
        <v>1168</v>
      </c>
      <c r="O910" s="1968" t="s">
        <v>1205</v>
      </c>
      <c r="P910" s="1968" t="s">
        <v>1243</v>
      </c>
    </row>
    <row r="911" spans="1:16" s="1716" customFormat="1">
      <c r="A911" s="1968" t="s">
        <v>187</v>
      </c>
      <c r="B911" s="1968"/>
      <c r="C911" s="1968">
        <v>0</v>
      </c>
      <c r="D911" s="1968">
        <v>0</v>
      </c>
      <c r="E911" s="1968">
        <v>0</v>
      </c>
      <c r="F911" s="1720">
        <v>4</v>
      </c>
      <c r="G911" s="1968">
        <f>B911*C911</f>
        <v>0</v>
      </c>
      <c r="H911" s="1968">
        <f>B911*D911</f>
        <v>0</v>
      </c>
      <c r="I911" s="1968">
        <f>B911*E911</f>
        <v>0</v>
      </c>
      <c r="J911" s="1968">
        <f>B911*F911</f>
        <v>0</v>
      </c>
      <c r="L911" s="1968">
        <f>(B911/2)/0.2</f>
        <v>0</v>
      </c>
      <c r="M911" s="1968">
        <f>(B911/2)/0.1</f>
        <v>0</v>
      </c>
      <c r="N911" s="1968">
        <f>SUM(L911:M911)</f>
        <v>0</v>
      </c>
      <c r="O911" s="1968">
        <f>2*(0.07+0.15)</f>
        <v>0.44</v>
      </c>
      <c r="P911" s="1968">
        <f>N911*O911</f>
        <v>0</v>
      </c>
    </row>
    <row r="912" spans="1:16" s="1716" customFormat="1" ht="15" customHeight="1">
      <c r="A912" s="1968" t="s">
        <v>173</v>
      </c>
      <c r="B912" s="1968">
        <v>0</v>
      </c>
      <c r="C912" s="1968">
        <v>0</v>
      </c>
      <c r="D912" s="1968">
        <v>0</v>
      </c>
      <c r="E912" s="1968">
        <v>0</v>
      </c>
      <c r="F912" s="1720">
        <v>4</v>
      </c>
      <c r="G912" s="1968">
        <f>B912*C912</f>
        <v>0</v>
      </c>
      <c r="H912" s="1968">
        <f>B912*D912</f>
        <v>0</v>
      </c>
      <c r="I912" s="1968">
        <f>B912*E912</f>
        <v>0</v>
      </c>
      <c r="J912" s="1968">
        <f>B912*F912</f>
        <v>0</v>
      </c>
      <c r="L912" s="1968">
        <f>(B912/2)/0.2</f>
        <v>0</v>
      </c>
      <c r="M912" s="1968">
        <f>(B912/2)/0.1</f>
        <v>0</v>
      </c>
      <c r="N912" s="1968">
        <f>SUM(L912:M912)</f>
        <v>0</v>
      </c>
      <c r="O912" s="1968">
        <f>2*(0.07+0.07)</f>
        <v>0.28000000000000003</v>
      </c>
      <c r="P912" s="1968">
        <f>N912*O912</f>
        <v>0</v>
      </c>
    </row>
    <row r="913" spans="1:16" s="1716" customFormat="1" ht="15" customHeight="1">
      <c r="A913" s="1598"/>
      <c r="B913" s="1598"/>
      <c r="C913" s="1598"/>
      <c r="D913" s="1598"/>
      <c r="E913" s="2725" t="s">
        <v>2074</v>
      </c>
      <c r="F913" s="2726"/>
      <c r="G913" s="1596">
        <f>SUM(G911:G912)</f>
        <v>0</v>
      </c>
      <c r="H913" s="1596">
        <f>SUM(H911:H912)</f>
        <v>0</v>
      </c>
      <c r="I913" s="1596">
        <f>SUM(I911:I912)</f>
        <v>0</v>
      </c>
      <c r="J913" s="1596">
        <f>SUM(J911:J912)</f>
        <v>0</v>
      </c>
      <c r="M913" s="2741" t="s">
        <v>2074</v>
      </c>
      <c r="N913" s="2741"/>
      <c r="O913" s="2741"/>
      <c r="P913" s="1596">
        <f>SUM(P911:P912)</f>
        <v>0</v>
      </c>
    </row>
    <row r="914" spans="1:16" s="1716" customFormat="1" ht="15">
      <c r="A914" s="1598"/>
      <c r="B914" s="1598"/>
      <c r="C914" s="1598"/>
      <c r="D914" s="1598"/>
      <c r="E914" s="2725" t="s">
        <v>2075</v>
      </c>
      <c r="F914" s="2726"/>
      <c r="G914" s="1597">
        <f>G913*1.58</f>
        <v>0</v>
      </c>
      <c r="H914" s="1597">
        <f>H913*1.04</f>
        <v>0</v>
      </c>
      <c r="I914" s="1597">
        <f>I913*0.89</f>
        <v>0</v>
      </c>
      <c r="J914" s="1597">
        <f>J913*0.62</f>
        <v>0</v>
      </c>
      <c r="M914" s="2741" t="s">
        <v>2075</v>
      </c>
      <c r="N914" s="2741"/>
      <c r="O914" s="2741"/>
      <c r="P914" s="1597">
        <f>P913*0.4</f>
        <v>0</v>
      </c>
    </row>
    <row r="915" spans="1:16" s="1716" customFormat="1">
      <c r="A915" s="1598"/>
      <c r="B915" s="1598"/>
      <c r="C915" s="1598"/>
      <c r="D915" s="1598"/>
      <c r="E915" s="1598"/>
      <c r="F915" s="1598"/>
      <c r="G915" s="1598"/>
      <c r="H915" s="1598"/>
      <c r="I915" s="1598"/>
      <c r="J915" s="1598"/>
    </row>
    <row r="916" spans="1:16" s="1716" customFormat="1">
      <c r="A916" s="2731" t="s">
        <v>2055</v>
      </c>
      <c r="B916" s="2732"/>
      <c r="C916" s="2732"/>
      <c r="D916" s="2732"/>
    </row>
    <row r="917" spans="1:16" s="1716" customFormat="1">
      <c r="A917" s="1968" t="s">
        <v>2130</v>
      </c>
      <c r="B917" s="1968" t="s">
        <v>1614</v>
      </c>
      <c r="C917" s="1968" t="s">
        <v>1615</v>
      </c>
      <c r="D917" s="1968"/>
    </row>
    <row r="918" spans="1:16" s="1716" customFormat="1">
      <c r="A918" s="1968" t="str">
        <f>A911</f>
        <v>B1</v>
      </c>
      <c r="B918" s="1968">
        <f>B911</f>
        <v>0</v>
      </c>
      <c r="C918" s="1968">
        <f>0.12*0.2</f>
        <v>2.4E-2</v>
      </c>
      <c r="D918" s="1968">
        <f>B918*C918</f>
        <v>0</v>
      </c>
    </row>
    <row r="919" spans="1:16" s="1716" customFormat="1" ht="15" customHeight="1">
      <c r="A919" s="1968" t="str">
        <f>A912</f>
        <v>B2</v>
      </c>
      <c r="B919" s="1968">
        <f>B912</f>
        <v>0</v>
      </c>
      <c r="C919" s="1968">
        <f>0.12*0.12</f>
        <v>1.44E-2</v>
      </c>
      <c r="D919" s="1968">
        <f>B919*C919</f>
        <v>0</v>
      </c>
    </row>
    <row r="920" spans="1:16" s="1716" customFormat="1" ht="15">
      <c r="C920" s="1740" t="s">
        <v>2078</v>
      </c>
      <c r="D920" s="1597">
        <f>SUM(D918:D919)</f>
        <v>0</v>
      </c>
    </row>
    <row r="921" spans="1:16" s="1716" customFormat="1"/>
    <row r="922" spans="1:16" s="1716" customFormat="1">
      <c r="A922" s="2731" t="s">
        <v>2095</v>
      </c>
      <c r="B922" s="2732"/>
      <c r="C922" s="2732"/>
      <c r="D922" s="2732"/>
    </row>
    <row r="923" spans="1:16" s="1716" customFormat="1">
      <c r="A923" s="1968" t="s">
        <v>2130</v>
      </c>
      <c r="B923" s="1968" t="s">
        <v>1614</v>
      </c>
      <c r="C923" s="1968" t="s">
        <v>1615</v>
      </c>
      <c r="D923" s="1968"/>
    </row>
    <row r="924" spans="1:16" s="1716" customFormat="1">
      <c r="A924" s="1968" t="str">
        <f>A918</f>
        <v>B1</v>
      </c>
      <c r="B924" s="1968">
        <f>B918</f>
        <v>0</v>
      </c>
      <c r="C924" s="1968">
        <f>0.12+0.2*2</f>
        <v>0.52</v>
      </c>
      <c r="D924" s="1968">
        <f>B924*C924</f>
        <v>0</v>
      </c>
    </row>
    <row r="925" spans="1:16" s="1716" customFormat="1">
      <c r="A925" s="1968" t="str">
        <f>A919</f>
        <v>B2</v>
      </c>
      <c r="B925" s="1968">
        <f>B919</f>
        <v>0</v>
      </c>
      <c r="C925" s="1968">
        <f>0.12*4</f>
        <v>0.48</v>
      </c>
      <c r="D925" s="1968">
        <f>B925*C925</f>
        <v>0</v>
      </c>
    </row>
    <row r="926" spans="1:16" s="1716" customFormat="1" ht="15">
      <c r="C926" s="1740" t="s">
        <v>2076</v>
      </c>
      <c r="D926" s="1597">
        <f>SUM(D924:D925)</f>
        <v>0</v>
      </c>
    </row>
    <row r="927" spans="1:16" s="1716" customFormat="1" ht="14.25" customHeight="1"/>
    <row r="928" spans="1:16" s="1716" customFormat="1" ht="14.25" customHeight="1">
      <c r="A928" s="2775" t="s">
        <v>1616</v>
      </c>
      <c r="B928" s="2776"/>
      <c r="C928" s="2776"/>
      <c r="D928" s="2776"/>
      <c r="E928" s="2776"/>
      <c r="F928" s="2776"/>
      <c r="G928" s="2776"/>
      <c r="H928" s="2776"/>
      <c r="I928" s="2776"/>
      <c r="J928" s="2776"/>
      <c r="K928" s="2776"/>
      <c r="L928" s="2776"/>
      <c r="M928" s="2776"/>
      <c r="N928" s="2776"/>
      <c r="O928" s="2777"/>
    </row>
    <row r="929" spans="1:16" s="1716" customFormat="1">
      <c r="A929" s="2778"/>
      <c r="B929" s="2779"/>
      <c r="C929" s="2779"/>
      <c r="D929" s="2779"/>
      <c r="E929" s="2779"/>
      <c r="F929" s="2779"/>
      <c r="G929" s="2779"/>
      <c r="H929" s="2779"/>
      <c r="I929" s="2779"/>
      <c r="J929" s="2779"/>
      <c r="K929" s="2779"/>
      <c r="L929" s="2779"/>
      <c r="M929" s="2779"/>
      <c r="N929" s="2779"/>
      <c r="O929" s="2780"/>
    </row>
    <row r="930" spans="1:16" s="1716" customFormat="1">
      <c r="A930" s="2781"/>
      <c r="B930" s="2782"/>
      <c r="C930" s="2782"/>
      <c r="D930" s="2782"/>
      <c r="E930" s="2782"/>
      <c r="F930" s="2782"/>
      <c r="G930" s="2782"/>
      <c r="H930" s="2782"/>
      <c r="I930" s="2782"/>
      <c r="J930" s="2782"/>
      <c r="K930" s="2782"/>
      <c r="L930" s="2782"/>
      <c r="M930" s="2782"/>
      <c r="N930" s="2782"/>
      <c r="O930" s="2783"/>
    </row>
    <row r="931" spans="1:16" s="1716" customFormat="1" ht="15.75">
      <c r="A931" s="1130"/>
      <c r="B931" s="1130"/>
      <c r="C931" s="1130"/>
      <c r="D931" s="1130"/>
      <c r="E931" s="1130"/>
      <c r="F931" s="1130"/>
      <c r="G931" s="1130"/>
      <c r="H931" s="1130"/>
      <c r="I931" s="1130"/>
      <c r="J931" s="1130"/>
      <c r="K931" s="1130"/>
      <c r="L931" s="1130"/>
      <c r="M931" s="1130"/>
    </row>
    <row r="932" spans="1:16" s="1129" customFormat="1" ht="15.75">
      <c r="A932" s="1130"/>
      <c r="B932" s="1130"/>
      <c r="C932" s="1130"/>
      <c r="D932" s="1699" t="s">
        <v>2040</v>
      </c>
      <c r="E932" s="1699" t="s">
        <v>1791</v>
      </c>
      <c r="F932" s="1699" t="s">
        <v>2041</v>
      </c>
      <c r="G932" s="1130"/>
      <c r="H932" s="1130"/>
      <c r="I932" s="1130"/>
      <c r="J932" s="1130"/>
      <c r="K932" s="1130"/>
      <c r="L932" s="1130"/>
      <c r="M932" s="1130"/>
      <c r="N932" s="1130"/>
      <c r="O932" s="1130"/>
    </row>
    <row r="933" spans="1:16" s="1716" customFormat="1">
      <c r="E933" s="1125"/>
    </row>
    <row r="934" spans="1:16" ht="15.75">
      <c r="A934" s="1130"/>
      <c r="B934" s="1130"/>
      <c r="C934" s="1132"/>
      <c r="D934" s="1130"/>
      <c r="E934" s="1132"/>
      <c r="F934" s="1130"/>
      <c r="G934" s="1130"/>
      <c r="H934" s="1130"/>
      <c r="I934" s="1130"/>
      <c r="J934" s="1130"/>
      <c r="K934" s="1130"/>
      <c r="L934" s="1130"/>
      <c r="M934" s="1130"/>
      <c r="N934" s="1130"/>
      <c r="O934" s="1130"/>
      <c r="P934" s="1129"/>
    </row>
    <row r="935" spans="1:16" ht="15.75">
      <c r="A935" s="1130" t="s">
        <v>2394</v>
      </c>
      <c r="B935" s="1654">
        <f>D935*E935</f>
        <v>3.4470000000000001</v>
      </c>
      <c r="C935" s="1131">
        <f>B935/0.12</f>
        <v>28.725000000000001</v>
      </c>
      <c r="D935" s="1648">
        <v>0.1</v>
      </c>
      <c r="E935" s="1988">
        <f>43.57-$E$319</f>
        <v>34.47</v>
      </c>
      <c r="F935" s="1649">
        <f>D935*E935</f>
        <v>3.4470000000000001</v>
      </c>
      <c r="G935" s="1130"/>
      <c r="H935" s="1130"/>
      <c r="I935" s="1130"/>
      <c r="J935" s="1130"/>
      <c r="K935" s="1130"/>
      <c r="L935" s="1130"/>
      <c r="M935" s="1130"/>
      <c r="N935" s="1130"/>
      <c r="O935" s="1130"/>
      <c r="P935" s="1129"/>
    </row>
    <row r="936" spans="1:16" ht="15.75">
      <c r="A936" s="1130" t="s">
        <v>1613</v>
      </c>
      <c r="B936" s="1654">
        <f>D936*E936</f>
        <v>26.742239999999999</v>
      </c>
      <c r="C936" s="1130">
        <f>B936/0.1</f>
        <v>267.42239999999998</v>
      </c>
      <c r="D936" s="1648">
        <v>0.12</v>
      </c>
      <c r="E936" s="1988">
        <f>281.5-$E$381</f>
        <v>222.852</v>
      </c>
      <c r="F936" s="1649">
        <f>D936*E936</f>
        <v>26.742239999999999</v>
      </c>
      <c r="G936" s="1130"/>
      <c r="H936" s="1130"/>
      <c r="I936" s="1130"/>
      <c r="J936" s="1130"/>
      <c r="K936" s="1130"/>
      <c r="L936" s="1130"/>
      <c r="M936" s="1130"/>
      <c r="N936" s="1130"/>
      <c r="O936" s="1130"/>
      <c r="P936" s="1129"/>
    </row>
    <row r="937" spans="1:16">
      <c r="E937" s="1125"/>
    </row>
    <row r="938" spans="1:16" ht="14.25" customHeight="1">
      <c r="A938" s="1130" t="s">
        <v>2315</v>
      </c>
      <c r="B938" s="1130"/>
      <c r="C938" s="1132"/>
      <c r="E938" s="1125"/>
    </row>
    <row r="939" spans="1:16" ht="14.25" customHeight="1">
      <c r="A939" s="1130" t="s">
        <v>1617</v>
      </c>
      <c r="B939" s="1654">
        <f>D939*E939</f>
        <v>17.239769999999996</v>
      </c>
      <c r="C939" s="1131">
        <f>B939/0.12</f>
        <v>143.66474999999997</v>
      </c>
      <c r="D939" s="1648">
        <v>0.12</v>
      </c>
      <c r="E939" s="1988">
        <f>205.2-$E$598</f>
        <v>143.66474999999997</v>
      </c>
      <c r="F939" s="1649">
        <f>D939*E939</f>
        <v>17.239769999999996</v>
      </c>
    </row>
    <row r="940" spans="1:16" ht="14.25" customHeight="1">
      <c r="A940" s="1130" t="s">
        <v>1618</v>
      </c>
      <c r="B940" s="1654">
        <f>D940*E940</f>
        <v>0</v>
      </c>
      <c r="C940" s="1130">
        <f>B940/0.1</f>
        <v>0</v>
      </c>
      <c r="D940" s="1648">
        <v>0.1</v>
      </c>
      <c r="E940" s="1601"/>
      <c r="F940" s="1649">
        <f>D940*E940</f>
        <v>0</v>
      </c>
    </row>
    <row r="941" spans="1:16">
      <c r="E941" s="1125"/>
    </row>
    <row r="942" spans="1:16" s="1716" customFormat="1" ht="14.25" customHeight="1">
      <c r="A942" s="1130" t="s">
        <v>28</v>
      </c>
      <c r="B942" s="1130"/>
      <c r="C942" s="1132"/>
      <c r="E942" s="1125"/>
    </row>
    <row r="943" spans="1:16" s="1716" customFormat="1" ht="14.25" customHeight="1">
      <c r="A943" s="1130" t="s">
        <v>1617</v>
      </c>
      <c r="B943" s="1654">
        <f>D943*E943</f>
        <v>0</v>
      </c>
      <c r="C943" s="1131">
        <f>B943/0.12</f>
        <v>0</v>
      </c>
      <c r="D943" s="1968">
        <v>0.12</v>
      </c>
      <c r="E943" s="1988">
        <f>0-$E$815</f>
        <v>0</v>
      </c>
      <c r="F943" s="1649">
        <f>D943*E943</f>
        <v>0</v>
      </c>
    </row>
    <row r="944" spans="1:16" s="1716" customFormat="1" ht="14.25" customHeight="1">
      <c r="A944" s="1130" t="s">
        <v>1618</v>
      </c>
      <c r="B944" s="1654">
        <f>D944*E944</f>
        <v>0</v>
      </c>
      <c r="C944" s="1130">
        <f>B944/0.1</f>
        <v>0</v>
      </c>
      <c r="D944" s="1968">
        <v>0.1</v>
      </c>
      <c r="E944" s="1601"/>
      <c r="F944" s="1649">
        <f>D944*E944</f>
        <v>0</v>
      </c>
    </row>
    <row r="945" spans="1:15" s="1716" customFormat="1"/>
    <row r="947" spans="1:15" s="1716" customFormat="1" ht="14.25" customHeight="1">
      <c r="A947" s="2775" t="s">
        <v>2042</v>
      </c>
      <c r="B947" s="2776"/>
      <c r="C947" s="2776"/>
      <c r="D947" s="2776"/>
      <c r="E947" s="2776"/>
      <c r="F947" s="2776"/>
      <c r="G947" s="2776"/>
      <c r="H947" s="2776"/>
      <c r="I947" s="2776"/>
      <c r="J947" s="2776"/>
      <c r="K947" s="2776"/>
      <c r="L947" s="2776"/>
      <c r="M947" s="2776"/>
      <c r="N947" s="2776"/>
      <c r="O947" s="2777"/>
    </row>
    <row r="948" spans="1:15" s="1716" customFormat="1">
      <c r="A948" s="2778"/>
      <c r="B948" s="2779"/>
      <c r="C948" s="2779"/>
      <c r="D948" s="2779"/>
      <c r="E948" s="2779"/>
      <c r="F948" s="2779"/>
      <c r="G948" s="2779"/>
      <c r="H948" s="2779"/>
      <c r="I948" s="2779"/>
      <c r="J948" s="2779"/>
      <c r="K948" s="2779"/>
      <c r="L948" s="2779"/>
      <c r="M948" s="2779"/>
      <c r="N948" s="2779"/>
      <c r="O948" s="2780"/>
    </row>
    <row r="949" spans="1:15" s="1716" customFormat="1">
      <c r="A949" s="2781"/>
      <c r="B949" s="2782"/>
      <c r="C949" s="2782"/>
      <c r="D949" s="2782"/>
      <c r="E949" s="2782"/>
      <c r="F949" s="2782"/>
      <c r="G949" s="2782"/>
      <c r="H949" s="2782"/>
      <c r="I949" s="2782"/>
      <c r="J949" s="2782"/>
      <c r="K949" s="2782"/>
      <c r="L949" s="2782"/>
      <c r="M949" s="2782"/>
      <c r="N949" s="2782"/>
      <c r="O949" s="2783"/>
    </row>
    <row r="950" spans="1:15" ht="15.75">
      <c r="A950" s="1130"/>
      <c r="B950" s="1130"/>
      <c r="C950" s="1130"/>
      <c r="D950" s="1130"/>
      <c r="E950" s="1130"/>
      <c r="F950" s="1130"/>
      <c r="G950" s="1130"/>
      <c r="H950" s="1130"/>
      <c r="I950" s="1130"/>
      <c r="J950" s="1130"/>
      <c r="K950" s="1130"/>
      <c r="L950" s="1130"/>
      <c r="M950" s="1130"/>
    </row>
    <row r="951" spans="1:15">
      <c r="A951" s="1652"/>
      <c r="B951" s="1652" t="s">
        <v>1597</v>
      </c>
      <c r="C951" s="1652"/>
      <c r="D951" s="1652" t="s">
        <v>1598</v>
      </c>
      <c r="E951" s="1652" t="s">
        <v>1599</v>
      </c>
      <c r="F951" s="1652" t="s">
        <v>1168</v>
      </c>
      <c r="G951" s="1652" t="s">
        <v>1568</v>
      </c>
      <c r="H951" s="1652" t="s">
        <v>1609</v>
      </c>
      <c r="I951" s="1652"/>
      <c r="J951" s="1652"/>
      <c r="K951" s="1652"/>
      <c r="L951" s="1652"/>
      <c r="M951" s="1652"/>
    </row>
    <row r="952" spans="1:15">
      <c r="A952" s="1652" t="s">
        <v>1413</v>
      </c>
      <c r="B952" s="1652">
        <v>0</v>
      </c>
      <c r="C952" s="1124">
        <f>B952/15</f>
        <v>0</v>
      </c>
      <c r="D952" s="1652">
        <f>ROUNDUP(C952,0)</f>
        <v>0</v>
      </c>
      <c r="E952" s="1652">
        <f>(B954/100)+0.15+0.15</f>
        <v>0.3</v>
      </c>
      <c r="F952" s="1652">
        <f>D952*E952</f>
        <v>0</v>
      </c>
      <c r="G952" s="1125">
        <f>F952*H952</f>
        <v>0</v>
      </c>
      <c r="H952" s="1651">
        <v>2</v>
      </c>
      <c r="I952" s="1652"/>
      <c r="J952" s="1652"/>
      <c r="K952" s="1652"/>
      <c r="L952" s="1652"/>
      <c r="M952" s="1652"/>
    </row>
    <row r="953" spans="1:15">
      <c r="A953" s="1652"/>
      <c r="B953" s="1652" t="s">
        <v>1600</v>
      </c>
      <c r="C953" s="1652"/>
      <c r="D953" s="1652" t="s">
        <v>1601</v>
      </c>
      <c r="E953" s="1652" t="s">
        <v>1602</v>
      </c>
      <c r="F953" s="1652" t="s">
        <v>1168</v>
      </c>
      <c r="G953" s="1652"/>
      <c r="H953" s="1652"/>
      <c r="I953" s="1652"/>
      <c r="J953" s="1652"/>
      <c r="K953" s="1125"/>
      <c r="L953" s="1652"/>
      <c r="M953" s="1652"/>
    </row>
    <row r="954" spans="1:15">
      <c r="A954" s="1652"/>
      <c r="B954" s="1652">
        <v>0</v>
      </c>
      <c r="C954" s="1124">
        <f>B954/15</f>
        <v>0</v>
      </c>
      <c r="D954" s="1652">
        <f>ROUNDUP(C954,0)</f>
        <v>0</v>
      </c>
      <c r="E954" s="1652">
        <f>(B952/100)+0.15+0.15</f>
        <v>0.3</v>
      </c>
      <c r="F954" s="1652">
        <f>D954*E954</f>
        <v>0</v>
      </c>
      <c r="G954" s="1125">
        <f>F954*H952</f>
        <v>0</v>
      </c>
      <c r="H954" s="1652"/>
      <c r="I954" s="1652"/>
      <c r="J954" s="1652"/>
      <c r="K954" s="1652"/>
      <c r="L954" s="1652"/>
      <c r="M954" s="1652"/>
    </row>
    <row r="955" spans="1:15">
      <c r="A955" s="1652"/>
      <c r="B955" s="1652"/>
      <c r="C955" s="1652"/>
      <c r="D955" s="1652"/>
      <c r="E955" s="1652"/>
      <c r="F955" s="1652"/>
      <c r="G955" s="1655">
        <f>SUM(G952:G954)</f>
        <v>0</v>
      </c>
      <c r="H955" s="1656">
        <f>G955*1.58</f>
        <v>0</v>
      </c>
      <c r="I955" s="1652"/>
      <c r="J955" s="1652"/>
      <c r="K955" s="1652"/>
      <c r="L955" s="1652"/>
      <c r="M955" s="1652"/>
    </row>
    <row r="956" spans="1:15">
      <c r="A956" s="1652"/>
      <c r="B956" s="1652" t="str">
        <f>B951</f>
        <v>PANJANG X</v>
      </c>
      <c r="C956" s="1652"/>
      <c r="D956" s="1652" t="s">
        <v>1598</v>
      </c>
      <c r="E956" s="1652" t="s">
        <v>1599</v>
      </c>
      <c r="F956" s="1652" t="s">
        <v>1168</v>
      </c>
      <c r="G956" s="1652"/>
      <c r="H956" s="1652"/>
      <c r="I956" s="1652"/>
      <c r="J956" s="1652"/>
      <c r="K956" s="1124"/>
      <c r="L956" s="1652"/>
      <c r="M956" s="1652"/>
    </row>
    <row r="957" spans="1:15">
      <c r="A957" s="1652" t="s">
        <v>1413</v>
      </c>
      <c r="B957" s="1652">
        <v>0</v>
      </c>
      <c r="C957" s="1124">
        <f>B957/15</f>
        <v>0</v>
      </c>
      <c r="D957" s="1652">
        <f>ROUNDUP(C957,0)</f>
        <v>0</v>
      </c>
      <c r="E957" s="1652">
        <f>(B959/100)+0.15+0.15</f>
        <v>0.3</v>
      </c>
      <c r="F957" s="1652">
        <f>D957*E957</f>
        <v>0</v>
      </c>
      <c r="G957" s="1125">
        <f>F957*H957</f>
        <v>0</v>
      </c>
      <c r="H957" s="1651">
        <v>2</v>
      </c>
      <c r="I957" s="1652"/>
      <c r="J957" s="1652"/>
      <c r="K957" s="1652"/>
      <c r="L957" s="1652"/>
      <c r="M957" s="1652"/>
    </row>
    <row r="958" spans="1:15">
      <c r="A958" s="1652"/>
      <c r="B958" s="1652" t="str">
        <f>B953</f>
        <v>PANJANG Y</v>
      </c>
      <c r="C958" s="1652"/>
      <c r="D958" s="1652" t="s">
        <v>1601</v>
      </c>
      <c r="E958" s="1652" t="s">
        <v>1602</v>
      </c>
      <c r="F958" s="1652" t="s">
        <v>1168</v>
      </c>
      <c r="G958" s="1652"/>
      <c r="H958" s="1652"/>
      <c r="I958" s="1652"/>
      <c r="J958" s="1652"/>
      <c r="K958" s="1652"/>
      <c r="L958" s="1652"/>
      <c r="M958" s="1652"/>
    </row>
    <row r="959" spans="1:15">
      <c r="A959" s="1652"/>
      <c r="B959" s="1652">
        <v>0</v>
      </c>
      <c r="C959" s="1124">
        <f>B959/15</f>
        <v>0</v>
      </c>
      <c r="D959" s="1652">
        <f>ROUNDUP(C959,0)</f>
        <v>0</v>
      </c>
      <c r="E959" s="1652">
        <f>(B957/100)+0.15+0.15</f>
        <v>0.3</v>
      </c>
      <c r="F959" s="1652">
        <f>D959*E959</f>
        <v>0</v>
      </c>
      <c r="G959" s="1125">
        <f>F959*H957</f>
        <v>0</v>
      </c>
      <c r="H959" s="1652"/>
      <c r="I959" s="1652"/>
      <c r="J959" s="1652"/>
      <c r="K959" s="1124"/>
      <c r="L959" s="1652"/>
      <c r="M959" s="1652"/>
    </row>
    <row r="960" spans="1:15">
      <c r="A960" s="1652"/>
      <c r="B960" s="1652"/>
      <c r="C960" s="1652"/>
      <c r="D960" s="1652"/>
      <c r="E960" s="1652"/>
      <c r="F960" s="1652"/>
      <c r="G960" s="1655">
        <f>SUM(G957:G959)</f>
        <v>0</v>
      </c>
      <c r="H960" s="1656">
        <f>G960*1.58</f>
        <v>0</v>
      </c>
      <c r="I960" s="1652"/>
      <c r="J960" s="1652"/>
      <c r="K960" s="1652"/>
      <c r="L960" s="1652"/>
      <c r="M960" s="1652"/>
    </row>
    <row r="961" spans="1:13">
      <c r="A961" s="1652"/>
      <c r="B961" s="1652" t="str">
        <f>B956</f>
        <v>PANJANG X</v>
      </c>
      <c r="C961" s="1652"/>
      <c r="D961" s="1652" t="s">
        <v>1598</v>
      </c>
      <c r="E961" s="1652" t="s">
        <v>1599</v>
      </c>
      <c r="F961" s="1652" t="s">
        <v>1168</v>
      </c>
      <c r="G961" s="1652"/>
      <c r="H961" s="1652"/>
      <c r="I961" s="1652"/>
      <c r="J961" s="1652"/>
      <c r="K961" s="1124"/>
      <c r="L961" s="1652"/>
      <c r="M961" s="1652"/>
    </row>
    <row r="962" spans="1:13">
      <c r="A962" s="1652" t="s">
        <v>1413</v>
      </c>
      <c r="B962" s="1652">
        <v>0</v>
      </c>
      <c r="C962" s="1124">
        <f>B962/15</f>
        <v>0</v>
      </c>
      <c r="D962" s="1652">
        <f>ROUNDUP(C962,0)</f>
        <v>0</v>
      </c>
      <c r="E962" s="1652">
        <f>(B964/100)+0.15+0.15</f>
        <v>0.3</v>
      </c>
      <c r="F962" s="1652">
        <f>D962*E962</f>
        <v>0</v>
      </c>
      <c r="G962" s="1125">
        <f>F962*H962</f>
        <v>0</v>
      </c>
      <c r="H962" s="1651">
        <v>2</v>
      </c>
      <c r="I962" s="1652"/>
      <c r="J962" s="1652"/>
      <c r="K962" s="1652"/>
      <c r="L962" s="1652"/>
      <c r="M962" s="1652"/>
    </row>
    <row r="963" spans="1:13">
      <c r="A963" s="1652"/>
      <c r="B963" s="1652" t="str">
        <f>B958</f>
        <v>PANJANG Y</v>
      </c>
      <c r="C963" s="1652"/>
      <c r="D963" s="1652" t="s">
        <v>1601</v>
      </c>
      <c r="E963" s="1652" t="s">
        <v>1602</v>
      </c>
      <c r="F963" s="1652" t="s">
        <v>1168</v>
      </c>
      <c r="G963" s="1652"/>
      <c r="H963" s="1652"/>
      <c r="I963" s="1652"/>
      <c r="J963" s="1652"/>
      <c r="K963" s="1652"/>
      <c r="L963" s="1652"/>
      <c r="M963" s="1652"/>
    </row>
    <row r="964" spans="1:13">
      <c r="A964" s="1652"/>
      <c r="B964" s="1652">
        <v>0</v>
      </c>
      <c r="C964" s="1124">
        <f>B964/15</f>
        <v>0</v>
      </c>
      <c r="D964" s="1652">
        <f>ROUNDUP(C964,0)</f>
        <v>0</v>
      </c>
      <c r="E964" s="1652">
        <f>(B962/100)+0.15+0.15</f>
        <v>0.3</v>
      </c>
      <c r="F964" s="1652">
        <f>D964*E964</f>
        <v>0</v>
      </c>
      <c r="G964" s="1125">
        <f>F964*H962</f>
        <v>0</v>
      </c>
      <c r="H964" s="1652"/>
      <c r="I964" s="1652"/>
      <c r="J964" s="1652"/>
      <c r="K964" s="1124"/>
      <c r="L964" s="1652"/>
      <c r="M964" s="1652"/>
    </row>
    <row r="965" spans="1:13">
      <c r="A965" s="1652"/>
      <c r="B965" s="1652"/>
      <c r="C965" s="1652"/>
      <c r="D965" s="1652"/>
      <c r="E965" s="1652"/>
      <c r="F965" s="1652"/>
      <c r="G965" s="1655">
        <f>SUM(G962:G964)</f>
        <v>0</v>
      </c>
      <c r="H965" s="1656">
        <f>G965*1.58</f>
        <v>0</v>
      </c>
      <c r="I965" s="1652"/>
      <c r="J965" s="1652"/>
      <c r="K965" s="1652"/>
      <c r="L965" s="1652"/>
      <c r="M965" s="1652"/>
    </row>
    <row r="966" spans="1:13">
      <c r="A966" s="1652"/>
      <c r="B966" s="1652"/>
      <c r="C966" s="1652"/>
      <c r="D966" s="1652"/>
      <c r="E966" s="1652"/>
      <c r="F966" s="1652"/>
      <c r="G966" s="1652"/>
      <c r="H966" s="1657">
        <f>H955+H960+H965</f>
        <v>0</v>
      </c>
      <c r="I966" s="1652" t="s">
        <v>47</v>
      </c>
      <c r="J966" s="1652"/>
      <c r="K966" s="1652"/>
      <c r="L966" s="1652"/>
      <c r="M966" s="1652"/>
    </row>
    <row r="967" spans="1:13">
      <c r="A967" s="1652"/>
      <c r="B967" s="1652"/>
      <c r="C967" s="1652"/>
      <c r="D967" s="1652"/>
      <c r="E967" s="1652"/>
      <c r="F967" s="1652"/>
      <c r="G967" s="1652"/>
      <c r="H967" s="1125"/>
      <c r="I967" s="1652"/>
      <c r="J967" s="1652"/>
      <c r="K967" s="1652"/>
      <c r="L967" s="1652"/>
      <c r="M967" s="1652"/>
    </row>
    <row r="968" spans="1:13">
      <c r="A968" s="1652"/>
      <c r="B968" s="1652" t="str">
        <f>B956</f>
        <v>PANJANG X</v>
      </c>
      <c r="C968" s="1652"/>
      <c r="D968" s="1652" t="s">
        <v>1598</v>
      </c>
      <c r="E968" s="1652" t="s">
        <v>1599</v>
      </c>
      <c r="F968" s="1652" t="s">
        <v>1168</v>
      </c>
      <c r="G968" s="1652"/>
      <c r="H968" s="1652"/>
      <c r="I968" s="1652"/>
      <c r="J968" s="1652"/>
      <c r="K968" s="1124"/>
      <c r="L968" s="1652"/>
      <c r="M968" s="1652"/>
    </row>
    <row r="969" spans="1:13">
      <c r="A969" s="1652" t="s">
        <v>2043</v>
      </c>
      <c r="B969" s="1652">
        <v>0</v>
      </c>
      <c r="C969" s="1124">
        <f>B969/15</f>
        <v>0</v>
      </c>
      <c r="D969" s="1652">
        <f>ROUNDUP(C969,0)</f>
        <v>0</v>
      </c>
      <c r="E969" s="1652">
        <f>(B971/100)+0.15+0.15</f>
        <v>0.3</v>
      </c>
      <c r="F969" s="1652">
        <f>D969*E969</f>
        <v>0</v>
      </c>
      <c r="G969" s="1125">
        <f>F969*H969</f>
        <v>0</v>
      </c>
      <c r="H969" s="1651">
        <v>1</v>
      </c>
      <c r="I969" s="1652"/>
      <c r="J969" s="1652"/>
      <c r="K969" s="1652"/>
      <c r="L969" s="1652"/>
      <c r="M969" s="1652"/>
    </row>
    <row r="970" spans="1:13">
      <c r="A970" s="1652"/>
      <c r="B970" s="1652" t="str">
        <f>B958</f>
        <v>PANJANG Y</v>
      </c>
      <c r="C970" s="1652"/>
      <c r="D970" s="1652" t="s">
        <v>1601</v>
      </c>
      <c r="E970" s="1652" t="s">
        <v>1602</v>
      </c>
      <c r="F970" s="1652" t="s">
        <v>1168</v>
      </c>
      <c r="G970" s="1652"/>
      <c r="H970" s="1652"/>
      <c r="I970" s="1652"/>
      <c r="J970" s="1652"/>
      <c r="K970" s="1652"/>
      <c r="L970" s="1652"/>
      <c r="M970" s="1652"/>
    </row>
    <row r="971" spans="1:13">
      <c r="A971" s="1652"/>
      <c r="B971" s="1652">
        <v>0</v>
      </c>
      <c r="C971" s="1124">
        <f>B971/15</f>
        <v>0</v>
      </c>
      <c r="D971" s="1652">
        <f>ROUNDUP(C971,0)</f>
        <v>0</v>
      </c>
      <c r="E971" s="1652">
        <f>(B969/100)+0.15+0.15</f>
        <v>0.3</v>
      </c>
      <c r="F971" s="1652">
        <f>D971*E971</f>
        <v>0</v>
      </c>
      <c r="G971" s="1125">
        <f>F971*H969</f>
        <v>0</v>
      </c>
      <c r="H971" s="1652"/>
      <c r="I971" s="1652"/>
      <c r="J971" s="1652"/>
      <c r="K971" s="1124"/>
      <c r="L971" s="1652"/>
      <c r="M971" s="1652"/>
    </row>
    <row r="972" spans="1:13">
      <c r="A972" s="1652"/>
      <c r="B972" s="1652"/>
      <c r="C972" s="1652"/>
      <c r="D972" s="1652"/>
      <c r="E972" s="1652"/>
      <c r="F972" s="1652"/>
      <c r="G972" s="1655">
        <f>SUM(G969:G971)</f>
        <v>0</v>
      </c>
      <c r="H972" s="1656">
        <f>G972*1.58</f>
        <v>0</v>
      </c>
      <c r="I972" s="1652"/>
      <c r="J972" s="1652"/>
      <c r="K972" s="1652"/>
      <c r="L972" s="1652"/>
      <c r="M972" s="1652"/>
    </row>
    <row r="973" spans="1:13" s="1716" customFormat="1">
      <c r="B973" s="1716" t="str">
        <f>B961</f>
        <v>PANJANG X</v>
      </c>
      <c r="D973" s="1716" t="s">
        <v>1598</v>
      </c>
      <c r="E973" s="1716" t="s">
        <v>1599</v>
      </c>
      <c r="F973" s="1716" t="s">
        <v>1168</v>
      </c>
      <c r="K973" s="1124"/>
    </row>
    <row r="974" spans="1:13" s="1716" customFormat="1">
      <c r="A974" s="1716" t="s">
        <v>2043</v>
      </c>
      <c r="B974" s="1716">
        <v>0</v>
      </c>
      <c r="C974" s="1124">
        <f>B974/15</f>
        <v>0</v>
      </c>
      <c r="D974" s="1716">
        <f>ROUNDUP(C974,0)</f>
        <v>0</v>
      </c>
      <c r="E974" s="1716">
        <f>(B976/100)+0.15+0.15</f>
        <v>0.3</v>
      </c>
      <c r="F974" s="1716">
        <f>D974*E974</f>
        <v>0</v>
      </c>
      <c r="G974" s="1125">
        <f>F974*H974</f>
        <v>0</v>
      </c>
      <c r="H974" s="1651">
        <v>1</v>
      </c>
    </row>
    <row r="975" spans="1:13" s="1716" customFormat="1">
      <c r="B975" s="1716" t="str">
        <f>B963</f>
        <v>PANJANG Y</v>
      </c>
      <c r="D975" s="1716" t="s">
        <v>1601</v>
      </c>
      <c r="E975" s="1716" t="s">
        <v>1602</v>
      </c>
      <c r="F975" s="1716" t="s">
        <v>1168</v>
      </c>
    </row>
    <row r="976" spans="1:13" s="1716" customFormat="1">
      <c r="B976" s="1716">
        <v>0</v>
      </c>
      <c r="C976" s="1124">
        <f>B976/15</f>
        <v>0</v>
      </c>
      <c r="D976" s="1716">
        <f>ROUNDUP(C976,0)</f>
        <v>0</v>
      </c>
      <c r="E976" s="1716">
        <f>(B974/100)+0.15+0.15</f>
        <v>0.3</v>
      </c>
      <c r="F976" s="1716">
        <f>D976*E976</f>
        <v>0</v>
      </c>
      <c r="G976" s="1125">
        <f>F976*H974</f>
        <v>0</v>
      </c>
      <c r="K976" s="1124"/>
    </row>
    <row r="977" spans="1:13" s="1716" customFormat="1">
      <c r="G977" s="1655">
        <f>SUM(G974:G976)</f>
        <v>0</v>
      </c>
      <c r="H977" s="1656">
        <f>G977*1.58</f>
        <v>0</v>
      </c>
    </row>
    <row r="978" spans="1:13">
      <c r="A978" s="1652"/>
      <c r="B978" s="1652"/>
      <c r="C978" s="1652"/>
      <c r="D978" s="1652"/>
      <c r="E978" s="1652"/>
      <c r="F978" s="1652"/>
      <c r="G978" s="1652"/>
      <c r="H978" s="1657">
        <f>H972+H977</f>
        <v>0</v>
      </c>
      <c r="I978" s="1652" t="s">
        <v>47</v>
      </c>
      <c r="J978" s="1652"/>
      <c r="K978" s="1652"/>
      <c r="L978" s="1652"/>
      <c r="M978" s="1652"/>
    </row>
    <row r="979" spans="1:13">
      <c r="B979" s="1298">
        <v>0</v>
      </c>
      <c r="C979" s="1298">
        <v>0.2</v>
      </c>
      <c r="D979" s="1298">
        <f>B979*C979</f>
        <v>0</v>
      </c>
    </row>
    <row r="981" spans="1:13">
      <c r="D981" s="1298">
        <f>13.752*100</f>
        <v>1375.2</v>
      </c>
    </row>
    <row r="982" spans="1:13">
      <c r="F982" s="1298" t="s">
        <v>2306</v>
      </c>
    </row>
    <row r="983" spans="1:13">
      <c r="A983" s="2773" t="s">
        <v>2046</v>
      </c>
      <c r="B983" s="2774"/>
      <c r="C983" s="2774"/>
      <c r="D983" s="2774"/>
      <c r="E983" s="1672"/>
      <c r="F983" s="1672"/>
    </row>
    <row r="984" spans="1:13">
      <c r="A984" s="1673" t="s">
        <v>2040</v>
      </c>
      <c r="B984" s="1673" t="s">
        <v>1791</v>
      </c>
      <c r="C984" s="1673" t="s">
        <v>1608</v>
      </c>
      <c r="D984" s="1674" t="s">
        <v>213</v>
      </c>
    </row>
    <row r="985" spans="1:13">
      <c r="A985" s="1664">
        <v>0.2</v>
      </c>
      <c r="B985" s="1664"/>
      <c r="C985" s="1664"/>
      <c r="D985" s="1664">
        <f>A985*B985</f>
        <v>0</v>
      </c>
    </row>
    <row r="986" spans="1:13">
      <c r="A986" s="1664">
        <v>0.2</v>
      </c>
      <c r="B986" s="1664"/>
      <c r="C986" s="1664"/>
      <c r="D986" s="1956">
        <f>A986*B986</f>
        <v>0</v>
      </c>
    </row>
    <row r="987" spans="1:13">
      <c r="A987" s="1664">
        <v>0</v>
      </c>
      <c r="B987" s="1664"/>
      <c r="C987" s="1664"/>
      <c r="D987" s="1956">
        <f>A987*B987</f>
        <v>0</v>
      </c>
    </row>
    <row r="988" spans="1:13">
      <c r="A988" s="1664"/>
      <c r="B988" s="1664"/>
      <c r="C988" s="1664"/>
      <c r="D988" s="1664"/>
    </row>
    <row r="989" spans="1:13">
      <c r="A989" s="1664"/>
      <c r="B989" s="1664"/>
      <c r="C989" s="1664"/>
      <c r="D989" s="1664"/>
    </row>
    <row r="990" spans="1:13">
      <c r="A990" s="1716"/>
      <c r="B990" s="1716"/>
      <c r="C990" s="1716"/>
      <c r="D990" s="1962">
        <f>SUM(D985:D989)</f>
        <v>0</v>
      </c>
      <c r="E990" s="1963" t="s">
        <v>100</v>
      </c>
    </row>
    <row r="992" spans="1:13">
      <c r="A992" s="2772" t="s">
        <v>2384</v>
      </c>
      <c r="B992" s="2772"/>
      <c r="C992" s="2772"/>
      <c r="D992" s="1672"/>
    </row>
    <row r="993" spans="1:4">
      <c r="A993" s="1674" t="s">
        <v>2009</v>
      </c>
      <c r="B993" s="1674" t="s">
        <v>1608</v>
      </c>
      <c r="C993" s="1674" t="s">
        <v>213</v>
      </c>
    </row>
    <row r="994" spans="1:4">
      <c r="A994" s="1664"/>
      <c r="B994" s="1664"/>
      <c r="C994" s="1664">
        <f>B994*A994</f>
        <v>0</v>
      </c>
    </row>
    <row r="995" spans="1:4">
      <c r="A995" s="1664"/>
      <c r="B995" s="1664"/>
      <c r="C995" s="2048">
        <f>B995*A995</f>
        <v>0</v>
      </c>
    </row>
    <row r="996" spans="1:4">
      <c r="A996" s="1664"/>
      <c r="B996" s="1664"/>
      <c r="C996" s="1664">
        <v>0</v>
      </c>
      <c r="D996" s="1963"/>
    </row>
    <row r="997" spans="1:4">
      <c r="A997" s="1716"/>
      <c r="B997" s="1716"/>
      <c r="C997" s="1962">
        <f>SUM(C994:C996)</f>
        <v>0</v>
      </c>
      <c r="D997" s="1963" t="s">
        <v>147</v>
      </c>
    </row>
    <row r="998" spans="1:4">
      <c r="A998" s="1716"/>
      <c r="B998" s="1716"/>
      <c r="C998" s="1716"/>
      <c r="D998" s="1963"/>
    </row>
    <row r="999" spans="1:4">
      <c r="A999" s="2772" t="s">
        <v>2048</v>
      </c>
      <c r="B999" s="2772"/>
      <c r="C999" s="2772"/>
      <c r="D999" s="1963"/>
    </row>
    <row r="1000" spans="1:4">
      <c r="A1000" s="1674" t="s">
        <v>1791</v>
      </c>
      <c r="B1000" s="1674" t="s">
        <v>2040</v>
      </c>
      <c r="C1000" s="1674" t="s">
        <v>213</v>
      </c>
      <c r="D1000" s="1963"/>
    </row>
    <row r="1001" spans="1:4">
      <c r="A1001" s="1664">
        <f>B969*B971</f>
        <v>0</v>
      </c>
      <c r="B1001" s="1664"/>
      <c r="C1001" s="1664">
        <f>A1001*B1001</f>
        <v>0</v>
      </c>
      <c r="D1001" s="1963"/>
    </row>
    <row r="1002" spans="1:4">
      <c r="A1002" s="1664">
        <v>0</v>
      </c>
      <c r="B1002" s="1664"/>
      <c r="C1002" s="1956">
        <f>A1002*B1002</f>
        <v>0</v>
      </c>
      <c r="D1002" s="1963"/>
    </row>
    <row r="1003" spans="1:4">
      <c r="A1003" s="1664"/>
      <c r="B1003" s="1664"/>
      <c r="C1003" s="1664"/>
      <c r="D1003" s="1963"/>
    </row>
    <row r="1004" spans="1:4">
      <c r="C1004" s="1962">
        <f>SUM(C1001:C1002)</f>
        <v>0</v>
      </c>
      <c r="D1004" s="1963" t="s">
        <v>100</v>
      </c>
    </row>
  </sheetData>
  <mergeCells count="285">
    <mergeCell ref="A922:D922"/>
    <mergeCell ref="W377:Z377"/>
    <mergeCell ref="I33:I36"/>
    <mergeCell ref="K33:K36"/>
    <mergeCell ref="A897:D897"/>
    <mergeCell ref="A903:D903"/>
    <mergeCell ref="A909:F909"/>
    <mergeCell ref="L909:P909"/>
    <mergeCell ref="E913:F913"/>
    <mergeCell ref="M913:O913"/>
    <mergeCell ref="E914:F914"/>
    <mergeCell ref="M914:O914"/>
    <mergeCell ref="A916:D916"/>
    <mergeCell ref="A879:A881"/>
    <mergeCell ref="D882:E882"/>
    <mergeCell ref="D883:E883"/>
    <mergeCell ref="A885:A887"/>
    <mergeCell ref="A890:F890"/>
    <mergeCell ref="L890:P890"/>
    <mergeCell ref="E894:F894"/>
    <mergeCell ref="M894:O894"/>
    <mergeCell ref="E895:F895"/>
    <mergeCell ref="M895:O895"/>
    <mergeCell ref="A857:A859"/>
    <mergeCell ref="A861:G861"/>
    <mergeCell ref="A862:A863"/>
    <mergeCell ref="E864:F864"/>
    <mergeCell ref="E865:F865"/>
    <mergeCell ref="A868:A869"/>
    <mergeCell ref="A870:A871"/>
    <mergeCell ref="A874:A875"/>
    <mergeCell ref="A876:A877"/>
    <mergeCell ref="B876:C876"/>
    <mergeCell ref="B877:C877"/>
    <mergeCell ref="W808:Z808"/>
    <mergeCell ref="W811:Z811"/>
    <mergeCell ref="A817:D817"/>
    <mergeCell ref="A837:E837"/>
    <mergeCell ref="A845:G845"/>
    <mergeCell ref="A847:A849"/>
    <mergeCell ref="A851:G851"/>
    <mergeCell ref="A852:A853"/>
    <mergeCell ref="A855:G855"/>
    <mergeCell ref="A775:G775"/>
    <mergeCell ref="H775:L775"/>
    <mergeCell ref="N775:R775"/>
    <mergeCell ref="U792:X792"/>
    <mergeCell ref="F793:G793"/>
    <mergeCell ref="N793:P793"/>
    <mergeCell ref="F794:G794"/>
    <mergeCell ref="N794:P794"/>
    <mergeCell ref="A797:D797"/>
    <mergeCell ref="F747:G747"/>
    <mergeCell ref="M747:P747"/>
    <mergeCell ref="D752:E752"/>
    <mergeCell ref="M752:P752"/>
    <mergeCell ref="D753:E753"/>
    <mergeCell ref="M753:P753"/>
    <mergeCell ref="W773:AD773"/>
    <mergeCell ref="A711:O713"/>
    <mergeCell ref="A715:E715"/>
    <mergeCell ref="A734:C734"/>
    <mergeCell ref="D734:G734"/>
    <mergeCell ref="H734:K734"/>
    <mergeCell ref="M734:Q734"/>
    <mergeCell ref="F746:G746"/>
    <mergeCell ref="M746:P746"/>
    <mergeCell ref="A54:C54"/>
    <mergeCell ref="A55:C55"/>
    <mergeCell ref="A49:D49"/>
    <mergeCell ref="D83:G83"/>
    <mergeCell ref="A57:D57"/>
    <mergeCell ref="A62:C62"/>
    <mergeCell ref="A83:C83"/>
    <mergeCell ref="M83:Q83"/>
    <mergeCell ref="H83:K83"/>
    <mergeCell ref="A64:E64"/>
    <mergeCell ref="F49:I49"/>
    <mergeCell ref="F54:H54"/>
    <mergeCell ref="F55:H55"/>
    <mergeCell ref="Q50:Q53"/>
    <mergeCell ref="G64:H64"/>
    <mergeCell ref="A3:J3"/>
    <mergeCell ref="A29:G29"/>
    <mergeCell ref="C33:C36"/>
    <mergeCell ref="E33:E36"/>
    <mergeCell ref="A41:D41"/>
    <mergeCell ref="G33:G36"/>
    <mergeCell ref="A31:J31"/>
    <mergeCell ref="A37:I37"/>
    <mergeCell ref="A46:C46"/>
    <mergeCell ref="W277:AD277"/>
    <mergeCell ref="U296:X296"/>
    <mergeCell ref="W312:Z312"/>
    <mergeCell ref="A301:D301"/>
    <mergeCell ref="A321:D321"/>
    <mergeCell ref="A203:D203"/>
    <mergeCell ref="M238:Q238"/>
    <mergeCell ref="C231:D231"/>
    <mergeCell ref="F297:G297"/>
    <mergeCell ref="F298:G298"/>
    <mergeCell ref="N297:P297"/>
    <mergeCell ref="N298:P298"/>
    <mergeCell ref="A279:G279"/>
    <mergeCell ref="H279:L279"/>
    <mergeCell ref="N279:R279"/>
    <mergeCell ref="A209:D209"/>
    <mergeCell ref="D256:E256"/>
    <mergeCell ref="D257:E257"/>
    <mergeCell ref="M257:P257"/>
    <mergeCell ref="A215:O217"/>
    <mergeCell ref="H238:K238"/>
    <mergeCell ref="M250:P250"/>
    <mergeCell ref="M251:P251"/>
    <mergeCell ref="M256:P256"/>
    <mergeCell ref="A999:C999"/>
    <mergeCell ref="A983:D983"/>
    <mergeCell ref="A992:C992"/>
    <mergeCell ref="E431:F431"/>
    <mergeCell ref="A434:A435"/>
    <mergeCell ref="A436:A437"/>
    <mergeCell ref="E480:F480"/>
    <mergeCell ref="A558:G558"/>
    <mergeCell ref="E152:F152"/>
    <mergeCell ref="B443:C443"/>
    <mergeCell ref="A445:A447"/>
    <mergeCell ref="A456:F456"/>
    <mergeCell ref="A928:O930"/>
    <mergeCell ref="A947:O949"/>
    <mergeCell ref="A498:E498"/>
    <mergeCell ref="A517:C517"/>
    <mergeCell ref="D517:G517"/>
    <mergeCell ref="H517:K517"/>
    <mergeCell ref="M517:Q517"/>
    <mergeCell ref="F529:G529"/>
    <mergeCell ref="M529:P529"/>
    <mergeCell ref="F530:G530"/>
    <mergeCell ref="L196:P196"/>
    <mergeCell ref="M200:O200"/>
    <mergeCell ref="A134:A136"/>
    <mergeCell ref="A144:A146"/>
    <mergeCell ref="A139:A140"/>
    <mergeCell ref="A418:A419"/>
    <mergeCell ref="A423:A425"/>
    <mergeCell ref="A427:G427"/>
    <mergeCell ref="A428:A429"/>
    <mergeCell ref="E430:F430"/>
    <mergeCell ref="A421:G421"/>
    <mergeCell ref="A363:D363"/>
    <mergeCell ref="D238:G238"/>
    <mergeCell ref="A138:G138"/>
    <mergeCell ref="A184:D184"/>
    <mergeCell ref="A155:A156"/>
    <mergeCell ref="A157:A158"/>
    <mergeCell ref="B163:C163"/>
    <mergeCell ref="B164:C164"/>
    <mergeCell ref="E151:F151"/>
    <mergeCell ref="A148:G148"/>
    <mergeCell ref="A417:G417"/>
    <mergeCell ref="A190:D190"/>
    <mergeCell ref="A196:F196"/>
    <mergeCell ref="E200:F200"/>
    <mergeCell ref="E201:F201"/>
    <mergeCell ref="F250:G250"/>
    <mergeCell ref="F251:G251"/>
    <mergeCell ref="A219:E219"/>
    <mergeCell ref="A238:C238"/>
    <mergeCell ref="M201:O201"/>
    <mergeCell ref="F95:G95"/>
    <mergeCell ref="F96:G96"/>
    <mergeCell ref="L177:P177"/>
    <mergeCell ref="M181:O181"/>
    <mergeCell ref="M182:O182"/>
    <mergeCell ref="D169:E169"/>
    <mergeCell ref="D170:E170"/>
    <mergeCell ref="E181:F181"/>
    <mergeCell ref="E182:F182"/>
    <mergeCell ref="A177:F177"/>
    <mergeCell ref="A172:A174"/>
    <mergeCell ref="A166:A168"/>
    <mergeCell ref="M101:P101"/>
    <mergeCell ref="M95:P95"/>
    <mergeCell ref="M96:P96"/>
    <mergeCell ref="A142:G142"/>
    <mergeCell ref="A161:A162"/>
    <mergeCell ref="A163:A164"/>
    <mergeCell ref="A149:A150"/>
    <mergeCell ref="D101:E101"/>
    <mergeCell ref="A124:E124"/>
    <mergeCell ref="A132:G132"/>
    <mergeCell ref="D102:E102"/>
    <mergeCell ref="M102:P102"/>
    <mergeCell ref="A482:D482"/>
    <mergeCell ref="E460:F460"/>
    <mergeCell ref="M460:O460"/>
    <mergeCell ref="E461:F461"/>
    <mergeCell ref="M461:O461"/>
    <mergeCell ref="A440:A441"/>
    <mergeCell ref="A442:A443"/>
    <mergeCell ref="A463:D463"/>
    <mergeCell ref="A469:D469"/>
    <mergeCell ref="A475:F475"/>
    <mergeCell ref="L475:P475"/>
    <mergeCell ref="E479:F479"/>
    <mergeCell ref="M479:O479"/>
    <mergeCell ref="D448:E448"/>
    <mergeCell ref="D449:E449"/>
    <mergeCell ref="A451:A453"/>
    <mergeCell ref="L456:P456"/>
    <mergeCell ref="M480:O480"/>
    <mergeCell ref="B442:C442"/>
    <mergeCell ref="M535:P535"/>
    <mergeCell ref="F576:G576"/>
    <mergeCell ref="N576:P576"/>
    <mergeCell ref="F577:G577"/>
    <mergeCell ref="N577:P577"/>
    <mergeCell ref="A580:D580"/>
    <mergeCell ref="A662:A664"/>
    <mergeCell ref="A645:A646"/>
    <mergeCell ref="E647:F647"/>
    <mergeCell ref="A653:A654"/>
    <mergeCell ref="A634:G634"/>
    <mergeCell ref="A635:A636"/>
    <mergeCell ref="A638:G638"/>
    <mergeCell ref="A640:A642"/>
    <mergeCell ref="A644:G644"/>
    <mergeCell ref="H558:L558"/>
    <mergeCell ref="N558:R558"/>
    <mergeCell ref="W591:Z591"/>
    <mergeCell ref="A600:D600"/>
    <mergeCell ref="A620:E620"/>
    <mergeCell ref="A628:G628"/>
    <mergeCell ref="A630:A632"/>
    <mergeCell ref="A692:F692"/>
    <mergeCell ref="L692:P692"/>
    <mergeCell ref="E696:F696"/>
    <mergeCell ref="M696:O696"/>
    <mergeCell ref="E697:F697"/>
    <mergeCell ref="M697:O697"/>
    <mergeCell ref="A699:D699"/>
    <mergeCell ref="A705:D705"/>
    <mergeCell ref="A494:O496"/>
    <mergeCell ref="A686:D686"/>
    <mergeCell ref="E677:F677"/>
    <mergeCell ref="M677:O677"/>
    <mergeCell ref="E678:F678"/>
    <mergeCell ref="M678:O678"/>
    <mergeCell ref="A680:D680"/>
    <mergeCell ref="D665:E665"/>
    <mergeCell ref="D666:E666"/>
    <mergeCell ref="A668:A670"/>
    <mergeCell ref="A673:F673"/>
    <mergeCell ref="L673:P673"/>
    <mergeCell ref="A657:A658"/>
    <mergeCell ref="A659:A660"/>
    <mergeCell ref="B659:C659"/>
    <mergeCell ref="B660:C660"/>
    <mergeCell ref="E648:F648"/>
    <mergeCell ref="A651:A652"/>
    <mergeCell ref="M530:P530"/>
    <mergeCell ref="D535:E535"/>
    <mergeCell ref="W374:Z374"/>
    <mergeCell ref="A383:D383"/>
    <mergeCell ref="W315:Z315"/>
    <mergeCell ref="W594:Z594"/>
    <mergeCell ref="R50:R53"/>
    <mergeCell ref="A341:G341"/>
    <mergeCell ref="H341:L341"/>
    <mergeCell ref="N341:R341"/>
    <mergeCell ref="U358:X358"/>
    <mergeCell ref="F359:G359"/>
    <mergeCell ref="N359:P359"/>
    <mergeCell ref="F360:G360"/>
    <mergeCell ref="N360:P360"/>
    <mergeCell ref="D536:E536"/>
    <mergeCell ref="M536:P536"/>
    <mergeCell ref="D549:D550"/>
    <mergeCell ref="E549:E550"/>
    <mergeCell ref="W556:AD556"/>
    <mergeCell ref="U575:X575"/>
    <mergeCell ref="A488:D488"/>
    <mergeCell ref="A403:E403"/>
    <mergeCell ref="A411:G411"/>
    <mergeCell ref="A413:A415"/>
    <mergeCell ref="F301:G301"/>
  </mergeCells>
  <phoneticPr fontId="66" type="noConversion"/>
  <hyperlinks>
    <hyperlink ref="B43" location="'PEK. GALIAN TANAH + URURGAN'!C18" display="'PEK. GALIAN TANAH + URURGAN'!C18" xr:uid="{00000000-0004-0000-0A00-000000000000}"/>
    <hyperlink ref="B44" location="'PEK. GALIAN TANAH + URURGAN'!F18" display="'PEK. GALIAN TANAH + URURGAN'!F18" xr:uid="{00000000-0004-0000-0A00-000001000000}"/>
    <hyperlink ref="B45" location="'PEK. GALIAN TANAH + URURGAN'!I18" display="'PEK. GALIAN TANAH + URURGAN'!I18" xr:uid="{00000000-0004-0000-0A00-000002000000}"/>
    <hyperlink ref="C43" location="'PEK. GALIAN TANAH + URURGAN'!C20" display="'PEK. GALIAN TANAH + URURGAN'!C20" xr:uid="{00000000-0004-0000-0A00-000003000000}"/>
    <hyperlink ref="C44" location="'PEK. GALIAN TANAH + URURGAN'!F21" display="'PEK. GALIAN TANAH + URURGAN'!F21" xr:uid="{00000000-0004-0000-0A00-000004000000}"/>
    <hyperlink ref="C45" location="'PEK. GALIAN TANAH + URURGAN'!I18" display="'PEK. GALIAN TANAH + URURGAN'!I18" xr:uid="{00000000-0004-0000-0A00-000005000000}"/>
    <hyperlink ref="G5" location="'PEK. GALIAN TANAH + URURGAN'!C8" display="'PEK. GALIAN TANAH + URURGAN'!C8" xr:uid="{00000000-0004-0000-0A00-000006000000}"/>
    <hyperlink ref="G7" location="'PEK. GALIAN TANAH + URURGAN'!C8" display="'PEK. GALIAN TANAH + URURGAN'!C8" xr:uid="{00000000-0004-0000-0A00-000007000000}"/>
    <hyperlink ref="G10" location="'PEK. GALIAN TANAH + URURGAN'!F8" display="'PEK. GALIAN TANAH + URURGAN'!F8" xr:uid="{00000000-0004-0000-0A00-000008000000}"/>
    <hyperlink ref="G12" location="'PEK. GALIAN TANAH + URURGAN'!F8" display="'PEK. GALIAN TANAH + URURGAN'!F8" xr:uid="{00000000-0004-0000-0A00-000009000000}"/>
    <hyperlink ref="G15" location="'PEK. GALIAN TANAH + URURGAN'!I8" display="'PEK. GALIAN TANAH + URURGAN'!I8" xr:uid="{00000000-0004-0000-0A00-00000A000000}"/>
    <hyperlink ref="G17" location="'PEK. GALIAN TANAH + URURGAN'!I8" display="'PEK. GALIAN TANAH + URURGAN'!I8" xr:uid="{00000000-0004-0000-0A00-00000B000000}"/>
    <hyperlink ref="G20" location="'HITUNGAN BESI DAN BETON'!L8" display="'HITUNGAN BESI DAN BETON'!L8" xr:uid="{00000000-0004-0000-0A00-00000C000000}"/>
    <hyperlink ref="G22" location="'PEK. GALIAN TANAH + URURGAN'!L8" display="'PEK. GALIAN TANAH + URURGAN'!L8" xr:uid="{00000000-0004-0000-0A00-00000D000000}"/>
    <hyperlink ref="G25" location="'PEK. GALIAN TANAH + URURGAN'!O8" display="'PEK. GALIAN TANAH + URURGAN'!O8" xr:uid="{00000000-0004-0000-0A00-00000E000000}"/>
    <hyperlink ref="G27" location="'PEK. GALIAN TANAH + URURGAN'!O8" display="'PEK. GALIAN TANAH + URURGAN'!O8" xr:uid="{00000000-0004-0000-0A00-00000F000000}"/>
    <hyperlink ref="B51" location="'PEK. GALIAN TANAH + URURGAN'!C18" display="'PEK. GALIAN TANAH + URURGAN'!C18" xr:uid="{00000000-0004-0000-0A00-000010000000}"/>
    <hyperlink ref="B52" location="'PEK. GALIAN TANAH + URURGAN'!F18" display="'PEK. GALIAN TANAH + URURGAN'!F18" xr:uid="{00000000-0004-0000-0A00-000011000000}"/>
    <hyperlink ref="B53" location="'PEK. GALIAN TANAH + URURGAN'!I18" display="'PEK. GALIAN TANAH + URURGAN'!I18" xr:uid="{00000000-0004-0000-0A00-000012000000}"/>
    <hyperlink ref="N51" location="'PEK. GALIAN TANAH + URURGAN'!C19" display="'PEK. GALIAN TANAH + URURGAN'!C19" xr:uid="{00000000-0004-0000-0A00-000013000000}"/>
    <hyperlink ref="N52" location="'PEK. GALIAN TANAH + URURGAN'!F19" display="'PEK. GALIAN TANAH + URURGAN'!F19" xr:uid="{00000000-0004-0000-0A00-000014000000}"/>
    <hyperlink ref="N53" location="'PEK. GALIAN TANAH + URURGAN'!I19" display="'PEK. GALIAN TANAH + URURGAN'!I19" xr:uid="{00000000-0004-0000-0A00-000015000000}"/>
    <hyperlink ref="B59" location="'PEK. GALIAN TANAH + URURGAN'!C18" display="'PEK. GALIAN TANAH + URURGAN'!C18" xr:uid="{00000000-0004-0000-0A00-000016000000}"/>
    <hyperlink ref="B60" location="'PEK. GALIAN TANAH + URURGAN'!F18" display="'PEK. GALIAN TANAH + URURGAN'!F18" xr:uid="{00000000-0004-0000-0A00-000017000000}"/>
    <hyperlink ref="B61" location="'PEK. GALIAN TANAH + URURGAN'!I18" display="'PEK. GALIAN TANAH + URURGAN'!I18" xr:uid="{00000000-0004-0000-0A00-000018000000}"/>
    <hyperlink ref="C59" location="'PEK. GALIAN TANAH + URURGAN'!C21" display="'PEK. GALIAN TANAH + URURGAN'!C21" xr:uid="{00000000-0004-0000-0A00-000019000000}"/>
    <hyperlink ref="C60" location="'PEK. GALIAN TANAH + URURGAN'!F21" display="'PEK. GALIAN TANAH + URURGAN'!F21" xr:uid="{00000000-0004-0000-0A00-00001A000000}"/>
    <hyperlink ref="C61" location="'PEK. GALIAN TANAH + URURGAN'!I20" display="'PEK. GALIAN TANAH + URURGAN'!I20" xr:uid="{00000000-0004-0000-0A00-00001B000000}"/>
    <hyperlink ref="J37" location="BOQ!H47" display="BOQ!H47" xr:uid="{00000000-0004-0000-0A00-00001C000000}"/>
    <hyperlink ref="H29" location="BOQ!H49" display="BOQ!H49" xr:uid="{00000000-0004-0000-0A00-00001D000000}"/>
    <hyperlink ref="I29" location="BOQ!H49" display="BOQ!H49" xr:uid="{00000000-0004-0000-0A00-00001E000000}"/>
    <hyperlink ref="J29" location="BOQ!H49" display="BOQ!H49" xr:uid="{00000000-0004-0000-0A00-00001F000000}"/>
    <hyperlink ref="D46" location="BOQ!H53" display="BOQ!H53" xr:uid="{00000000-0004-0000-0A00-000020000000}"/>
    <hyperlink ref="D55" location="BOQ!H55" display="BOQ!H55" xr:uid="{00000000-0004-0000-0A00-000021000000}"/>
    <hyperlink ref="R54" location="BOQ!H56" display="BOQ!H56" xr:uid="{00000000-0004-0000-0A00-000022000000}"/>
    <hyperlink ref="D62" location="BOQ!H57" display="BOQ!H57" xr:uid="{00000000-0004-0000-0A00-000023000000}"/>
    <hyperlink ref="R95" location="BOQ!H62" display="BOQ!H62" xr:uid="{00000000-0004-0000-0A00-000024000000}"/>
    <hyperlink ref="J96" location="BOQ!H62" display="BOQ!H62" xr:uid="{00000000-0004-0000-0A00-000025000000}"/>
    <hyperlink ref="E115:E116" location="BOQ!H63" display="BOQ!H63" xr:uid="{00000000-0004-0000-0A00-000026000000}"/>
    <hyperlink ref="E81" location="BOQ!H65" display="BOQ!H65" xr:uid="{00000000-0004-0000-0A00-000027000000}"/>
    <hyperlink ref="F102" location="BOQ!H67" display="BOQ!H67" xr:uid="{00000000-0004-0000-0A00-000028000000}"/>
    <hyperlink ref="Q102" location="BOQ!H68" display="BOQ!H68" xr:uid="{00000000-0004-0000-0A00-000029000000}"/>
    <hyperlink ref="E122" location="BOQ!H69" display="BOQ!H69" xr:uid="{00000000-0004-0000-0A00-00002A000000}"/>
    <hyperlink ref="E130" location="BOQ!H71" display="BOQ!H71" xr:uid="{00000000-0004-0000-0A00-00002B000000}"/>
    <hyperlink ref="G152" location="BOQ!H74" display="BOQ!H74" xr:uid="{00000000-0004-0000-0A00-00002C000000}"/>
    <hyperlink ref="G151" location="BOQ!H73" display="BOQ!H73" xr:uid="{00000000-0004-0000-0A00-00002D000000}"/>
    <hyperlink ref="D159" location="BOQ!H75" display="BOQ!H75" xr:uid="{00000000-0004-0000-0A00-00002E000000}"/>
    <hyperlink ref="D164" location="BOQ!H77" display="BOQ!H77" xr:uid="{00000000-0004-0000-0A00-00002F000000}"/>
    <hyperlink ref="F169" location="BOQ!H79" display="BOQ!H79" xr:uid="{00000000-0004-0000-0A00-000030000000}"/>
    <hyperlink ref="F170" location="BOQ!H80" display="BOQ!H80" xr:uid="{00000000-0004-0000-0A00-000031000000}"/>
    <hyperlink ref="D175" location="BOQ!H81" display="BOQ!H81" xr:uid="{00000000-0004-0000-0A00-000032000000}"/>
    <hyperlink ref="J182" location="BOQ!H85" display="BOQ!H85" xr:uid="{00000000-0004-0000-0A00-000033000000}"/>
    <hyperlink ref="P182" location="BOQ!H86" display="BOQ!H86" xr:uid="{00000000-0004-0000-0A00-000034000000}"/>
    <hyperlink ref="D194" location="BOQ!H87" display="BOQ!H87" xr:uid="{00000000-0004-0000-0A00-000035000000}"/>
    <hyperlink ref="J201" location="BOQ!H91" display="BOQ!H91" xr:uid="{00000000-0004-0000-0A00-000036000000}"/>
    <hyperlink ref="P201" location="BOQ!H92" display="BOQ!H92" xr:uid="{00000000-0004-0000-0A00-000037000000}"/>
    <hyperlink ref="D213" location="BOQ!H93" display="BOQ!H93" xr:uid="{00000000-0004-0000-0A00-000038000000}"/>
    <hyperlink ref="E231" location="BOQ!H97" display="BOQ!H97" xr:uid="{00000000-0004-0000-0A00-000039000000}"/>
    <hyperlink ref="J251" location="BOQ!H101" display="BOQ!H101" xr:uid="{00000000-0004-0000-0A00-00003A000000}"/>
    <hyperlink ref="E270:E271" location="BOQ!H101" display="BOQ!H101" xr:uid="{00000000-0004-0000-0A00-00003B000000}"/>
    <hyperlink ref="E236" location="BOQ!H103" display="BOQ!H103" xr:uid="{00000000-0004-0000-0A00-00003C000000}"/>
    <hyperlink ref="F257" location="BOQ!H105" display="BOQ!H105" xr:uid="{00000000-0004-0000-0A00-00003D000000}"/>
    <hyperlink ref="Q257" location="BOQ!H106" display="BOQ!H106" xr:uid="{00000000-0004-0000-0A00-00003E000000}"/>
    <hyperlink ref="E277" location="BOQ!H107" display="BOQ!H107" xr:uid="{00000000-0004-0000-0A00-00003F000000}"/>
    <hyperlink ref="E409" location="BOQ!H109" display="BOQ!H109" xr:uid="{00000000-0004-0000-0A00-000040000000}"/>
    <hyperlink ref="G430" location="BOQ!H111" display="BOQ!H111" xr:uid="{00000000-0004-0000-0A00-000041000000}"/>
    <hyperlink ref="G431" location="BOQ!H112" display="BOQ!H112" xr:uid="{00000000-0004-0000-0A00-000042000000}"/>
    <hyperlink ref="D438" location="BOQ!H113" display="BOQ!H113" xr:uid="{00000000-0004-0000-0A00-000043000000}"/>
    <hyperlink ref="D319" location="BOQ!H115" display="BOQ!H115" xr:uid="{00000000-0004-0000-0A00-000044000000}"/>
    <hyperlink ref="J298" location="BOQ!H117" display="BOQ!H117" xr:uid="{00000000-0004-0000-0A00-000045000000}"/>
    <hyperlink ref="L298" location="BOQ!H118" display="BOQ!H118" xr:uid="{00000000-0004-0000-0A00-000046000000}"/>
    <hyperlink ref="R297" location="BOQ!H119" display="BOQ!H119" xr:uid="{00000000-0004-0000-0A00-000047000000}"/>
    <hyperlink ref="R298" location="BOQ!H120" display="BOQ!H120" xr:uid="{00000000-0004-0000-0A00-000048000000}"/>
    <hyperlink ref="D339" location="BOQ!H121" display="BOQ!H121" xr:uid="{00000000-0004-0000-0A00-000049000000}"/>
    <hyperlink ref="D467" location="BOQ!H127" display="BOQ!H127" xr:uid="{00000000-0004-0000-0A00-00004A000000}"/>
    <hyperlink ref="J461" location="BOQ!H129" display="BOQ!H129" xr:uid="{00000000-0004-0000-0A00-00004B000000}"/>
    <hyperlink ref="P461" location="BOQ!H130" display="BOQ!H130" xr:uid="{00000000-0004-0000-0A00-00004C000000}"/>
    <hyperlink ref="D473" location="BOQ!H131" display="BOQ!H131" xr:uid="{00000000-0004-0000-0A00-00004D000000}"/>
    <hyperlink ref="D486" location="BOQ!H133" display="BOQ!H133" xr:uid="{00000000-0004-0000-0A00-00004E000000}"/>
    <hyperlink ref="J480" location="BOQ!H135" display="BOQ!H135" xr:uid="{00000000-0004-0000-0A00-00004F000000}"/>
    <hyperlink ref="P480" location="BOQ!H136" display="BOQ!H136" xr:uid="{00000000-0004-0000-0A00-000050000000}"/>
    <hyperlink ref="D492" location="BOQ!H137" display="BOQ!H137" xr:uid="{00000000-0004-0000-0A00-000051000000}"/>
    <hyperlink ref="H96" location="BOQ!H61" display="BOQ!H61" xr:uid="{00000000-0004-0000-0A00-000052000000}"/>
    <hyperlink ref="H251" location="BOQ!H100" display="BOQ!H100" xr:uid="{00000000-0004-0000-0A00-000053000000}"/>
    <hyperlink ref="H530" location="BOQ!H145" display="BOQ!H145" xr:uid="{00000000-0004-0000-0A00-000054000000}"/>
    <hyperlink ref="J530" location="BOQ!H146" display="BOQ!H146" xr:uid="{00000000-0004-0000-0A00-000055000000}"/>
    <hyperlink ref="E549:E550" location="BOQ!H148" display="BOQ!H148" xr:uid="{00000000-0004-0000-0A00-000056000000}"/>
    <hyperlink ref="E515" location="BOQ!H150" display="BOQ!H150" xr:uid="{00000000-0004-0000-0A00-000057000000}"/>
    <hyperlink ref="F536" location="BOQ!H152" display="BOQ!H152" xr:uid="{00000000-0004-0000-0A00-000058000000}"/>
    <hyperlink ref="Q536" location="BOQ!H153" display="BOQ!H153" xr:uid="{00000000-0004-0000-0A00-000059000000}"/>
    <hyperlink ref="E556" location="BOQ!H154" display="BOQ!H154" xr:uid="{00000000-0004-0000-0A00-00005A000000}"/>
    <hyperlink ref="D684" location="BOQ!H174" display="BOQ!H174" xr:uid="{00000000-0004-0000-0A00-00005B000000}"/>
    <hyperlink ref="J678" location="BOQ!H176" display="BOQ!H176" xr:uid="{00000000-0004-0000-0A00-00005C000000}"/>
    <hyperlink ref="P678" location="BOQ!H177" display="BOQ!H177" xr:uid="{00000000-0004-0000-0A00-00005D000000}"/>
    <hyperlink ref="D690" location="BOQ!H178" display="BOQ!H178" xr:uid="{00000000-0004-0000-0A00-00005E000000}"/>
    <hyperlink ref="G51" location="'PEK. GALIAN TANAH + URURGAN'!C18" display="'PEK. GALIAN TANAH + URURGAN'!C18" xr:uid="{00000000-0004-0000-0A00-00005F000000}"/>
    <hyperlink ref="G52" location="'PEK. GALIAN TANAH + URURGAN'!F18" display="'PEK. GALIAN TANAH + URURGAN'!F18" xr:uid="{00000000-0004-0000-0A00-000060000000}"/>
    <hyperlink ref="G53" location="'PEK. GALIAN TANAH + URURGAN'!I18" display="'PEK. GALIAN TANAH + URURGAN'!I18" xr:uid="{00000000-0004-0000-0A00-000061000000}"/>
    <hyperlink ref="I55" location="BOQ!H55" display="BOQ!H55" xr:uid="{00000000-0004-0000-0A00-000062000000}"/>
    <hyperlink ref="D381" location="BOQ!H115" display="BOQ!H115" xr:uid="{00000000-0004-0000-0A00-000063000000}"/>
    <hyperlink ref="J360" location="BOQ!H117" display="BOQ!H117" xr:uid="{00000000-0004-0000-0A00-000064000000}"/>
    <hyperlink ref="D401" location="BOQ!H121" display="BOQ!H121" xr:uid="{00000000-0004-0000-0A00-000065000000}"/>
    <hyperlink ref="H747" location="BOQ!H145" display="BOQ!H145" xr:uid="{00000000-0004-0000-0A00-000066000000}"/>
    <hyperlink ref="J747" location="BOQ!H146" display="BOQ!H146" xr:uid="{00000000-0004-0000-0A00-000067000000}"/>
    <hyperlink ref="E766:E767" location="BOQ!H148" display="BOQ!H148" xr:uid="{00000000-0004-0000-0A00-000068000000}"/>
    <hyperlink ref="E732" location="BOQ!H150" display="BOQ!H150" xr:uid="{00000000-0004-0000-0A00-000069000000}"/>
    <hyperlink ref="F753" location="BOQ!H152" display="BOQ!H152" xr:uid="{00000000-0004-0000-0A00-00006A000000}"/>
    <hyperlink ref="Q753" location="BOQ!H153" display="BOQ!H153" xr:uid="{00000000-0004-0000-0A00-00006B000000}"/>
    <hyperlink ref="E773" location="BOQ!H154" display="BOQ!H154" xr:uid="{00000000-0004-0000-0A00-00006C000000}"/>
    <hyperlink ref="D901" location="BOQ!H174" display="BOQ!H174" xr:uid="{00000000-0004-0000-0A00-00006D000000}"/>
    <hyperlink ref="J895" location="BOQ!H176" display="BOQ!H176" xr:uid="{00000000-0004-0000-0A00-00006E000000}"/>
    <hyperlink ref="P895" location="BOQ!H177" display="BOQ!H177" xr:uid="{00000000-0004-0000-0A00-00006F000000}"/>
    <hyperlink ref="D907" location="BOQ!H178" display="BOQ!H178" xr:uid="{00000000-0004-0000-0A00-000070000000}"/>
    <hyperlink ref="D703" location="BOQ!H133" display="BOQ!H133" xr:uid="{00000000-0004-0000-0A00-000071000000}"/>
    <hyperlink ref="J697" location="BOQ!H135" display="BOQ!H135" xr:uid="{00000000-0004-0000-0A00-000072000000}"/>
    <hyperlink ref="P697" location="BOQ!H136" display="BOQ!H136" xr:uid="{00000000-0004-0000-0A00-000073000000}"/>
    <hyperlink ref="D709" location="BOQ!H137" display="BOQ!H137" xr:uid="{00000000-0004-0000-0A00-000074000000}"/>
    <hyperlink ref="R250" location="BOQ!H62" display="BOQ!H62" xr:uid="{00000000-0004-0000-0A00-000075000000}"/>
    <hyperlink ref="R529" location="BOQ!H62" display="BOQ!H62" xr:uid="{00000000-0004-0000-0A00-000076000000}"/>
    <hyperlink ref="R746" location="BOQ!H62" display="BOQ!H62" xr:uid="{00000000-0004-0000-0A00-000077000000}"/>
    <hyperlink ref="L360" location="BOQ!H118" display="BOQ!H118" xr:uid="{00000000-0004-0000-0A00-000078000000}"/>
    <hyperlink ref="R359" location="BOQ!H119" display="BOQ!H119" xr:uid="{00000000-0004-0000-0A00-000079000000}"/>
    <hyperlink ref="R360" location="BOQ!H120" display="BOQ!H120" xr:uid="{00000000-0004-0000-0A00-00007A000000}"/>
    <hyperlink ref="L577" location="BOQ!H118" display="BOQ!H118" xr:uid="{00000000-0004-0000-0A00-00007B000000}"/>
    <hyperlink ref="R576" location="BOQ!H119" display="BOQ!H119" xr:uid="{00000000-0004-0000-0A00-00007C000000}"/>
    <hyperlink ref="R577" location="BOQ!H120" display="BOQ!H120" xr:uid="{00000000-0004-0000-0A00-00007D000000}"/>
    <hyperlink ref="L794" location="BOQ!H118" display="BOQ!H118" xr:uid="{00000000-0004-0000-0A00-00007E000000}"/>
    <hyperlink ref="R793" location="BOQ!H119" display="BOQ!H119" xr:uid="{00000000-0004-0000-0A00-00007F000000}"/>
    <hyperlink ref="R794" location="BOQ!H120" display="BOQ!H120" xr:uid="{00000000-0004-0000-0A00-000080000000}"/>
  </hyperlinks>
  <pageMargins left="0.7" right="0.7" top="0.75" bottom="0.75" header="0.3" footer="0.3"/>
  <pageSetup orientation="portrait" r:id="rId1"/>
  <ignoredErrors>
    <ignoredError sqref="D33 F33" formula="1"/>
  </ignoredErrors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6">
    <tabColor rgb="FFFF0000"/>
  </sheetPr>
  <dimension ref="A1:AQ1933"/>
  <sheetViews>
    <sheetView showGridLines="0" topLeftCell="A31" zoomScaleNormal="100" workbookViewId="0">
      <pane xSplit="1" topLeftCell="B1" activePane="topRight" state="frozen"/>
      <selection pane="topRight" activeCell="P13" sqref="P13"/>
    </sheetView>
  </sheetViews>
  <sheetFormatPr defaultColWidth="14.42578125" defaultRowHeight="14.25"/>
  <cols>
    <col min="1" max="1" width="9.28515625" style="2086" customWidth="1"/>
    <col min="2" max="16384" width="14.42578125" style="2086"/>
  </cols>
  <sheetData>
    <row r="1" spans="1:14" s="2287" customFormat="1">
      <c r="D1" s="2497"/>
      <c r="E1" s="2497"/>
      <c r="F1" s="2497"/>
      <c r="G1" s="2497"/>
      <c r="H1" s="2497"/>
      <c r="I1" s="2497"/>
      <c r="J1" s="2497"/>
    </row>
    <row r="2" spans="1:14" s="2287" customFormat="1" ht="15" thickBot="1">
      <c r="A2" s="2086" t="s">
        <v>1926</v>
      </c>
      <c r="B2" s="2086"/>
      <c r="C2" s="2086"/>
      <c r="D2" s="2497"/>
      <c r="E2" s="2581" t="s">
        <v>2944</v>
      </c>
      <c r="F2" s="2497"/>
      <c r="G2" s="2497"/>
      <c r="H2" s="2497"/>
      <c r="I2" s="2497"/>
      <c r="J2" s="2497"/>
    </row>
    <row r="3" spans="1:14" s="2287" customFormat="1" ht="24.75" customHeight="1" thickTop="1" thickBot="1">
      <c r="A3" s="2293"/>
      <c r="B3" s="2293" t="s">
        <v>1609</v>
      </c>
      <c r="C3" s="2293" t="s">
        <v>2542</v>
      </c>
      <c r="D3" s="2497"/>
      <c r="E3" s="2595" t="s">
        <v>2663</v>
      </c>
      <c r="F3" s="2595" t="s">
        <v>2664</v>
      </c>
      <c r="G3" s="2595" t="s">
        <v>2665</v>
      </c>
      <c r="H3" s="2580" t="s">
        <v>2666</v>
      </c>
      <c r="I3" s="2580" t="s">
        <v>2667</v>
      </c>
      <c r="J3" s="2580" t="s">
        <v>2668</v>
      </c>
    </row>
    <row r="4" spans="1:14" s="2287" customFormat="1" ht="15" thickTop="1">
      <c r="A4" s="2293" t="s">
        <v>1701</v>
      </c>
      <c r="B4" s="2133">
        <v>8</v>
      </c>
      <c r="C4" s="2133">
        <v>0.1</v>
      </c>
      <c r="D4" s="2497"/>
      <c r="E4" s="2497"/>
      <c r="F4" s="2497"/>
      <c r="G4" s="2497"/>
      <c r="H4" s="2497"/>
      <c r="I4" s="2497"/>
      <c r="J4" s="2497"/>
    </row>
    <row r="5" spans="1:14" s="2287" customFormat="1">
      <c r="A5" s="2293" t="s">
        <v>1702</v>
      </c>
      <c r="B5" s="2133">
        <v>4</v>
      </c>
      <c r="C5" s="2133">
        <v>0.1</v>
      </c>
      <c r="D5" s="2497"/>
      <c r="E5" s="2497"/>
      <c r="F5" s="2497"/>
      <c r="G5" s="2497"/>
      <c r="H5" s="2497"/>
      <c r="I5" s="2497"/>
      <c r="J5" s="2497"/>
    </row>
    <row r="6" spans="1:14" s="2287" customFormat="1">
      <c r="A6" s="2293" t="s">
        <v>1703</v>
      </c>
      <c r="B6" s="2133"/>
      <c r="C6" s="2133"/>
    </row>
    <row r="7" spans="1:14" s="2287" customFormat="1">
      <c r="H7" s="2103" t="s">
        <v>2669</v>
      </c>
      <c r="I7" s="2385">
        <v>90.17</v>
      </c>
      <c r="J7" s="2385"/>
      <c r="K7" s="2385"/>
      <c r="L7" s="2385"/>
      <c r="M7" s="2385"/>
      <c r="N7" s="2385"/>
    </row>
    <row r="8" spans="1:14" s="2287" customFormat="1">
      <c r="A8" s="2287" t="s">
        <v>2543</v>
      </c>
      <c r="H8" s="2103" t="s">
        <v>2943</v>
      </c>
      <c r="I8" s="2385">
        <v>5.15</v>
      </c>
      <c r="J8" s="2385"/>
      <c r="K8" s="2385"/>
      <c r="L8" s="2385"/>
      <c r="M8" s="2385"/>
      <c r="N8" s="2385"/>
    </row>
    <row r="9" spans="1:14" s="2287" customFormat="1">
      <c r="A9" s="2293"/>
      <c r="B9" s="2293" t="s">
        <v>2009</v>
      </c>
      <c r="C9" s="2293" t="s">
        <v>2045</v>
      </c>
      <c r="D9" s="2293" t="s">
        <v>1610</v>
      </c>
      <c r="E9" s="2293" t="s">
        <v>1609</v>
      </c>
      <c r="F9" s="2293" t="s">
        <v>1679</v>
      </c>
      <c r="G9" s="2293" t="s">
        <v>2544</v>
      </c>
      <c r="H9" s="2293" t="s">
        <v>1807</v>
      </c>
      <c r="I9" s="2293" t="s">
        <v>1797</v>
      </c>
      <c r="J9" s="2293">
        <v>2</v>
      </c>
      <c r="K9" s="2293">
        <v>3</v>
      </c>
      <c r="L9" s="2293">
        <v>4</v>
      </c>
      <c r="M9" s="2293">
        <v>5</v>
      </c>
      <c r="N9" s="2293" t="s">
        <v>2545</v>
      </c>
    </row>
    <row r="10" spans="1:14" s="2287" customFormat="1" ht="15">
      <c r="A10" s="2293" t="s">
        <v>1704</v>
      </c>
      <c r="B10" s="2303">
        <v>0.55000000000000004</v>
      </c>
      <c r="C10" s="2303">
        <v>0.55000000000000004</v>
      </c>
      <c r="D10" s="2303">
        <v>10</v>
      </c>
      <c r="E10" s="2303">
        <v>8</v>
      </c>
      <c r="F10" s="2303"/>
      <c r="G10" s="2303"/>
      <c r="H10" s="2303"/>
      <c r="I10" s="2384">
        <v>16</v>
      </c>
      <c r="J10" s="2384"/>
      <c r="K10" s="2384"/>
      <c r="L10" s="2384"/>
      <c r="M10" s="2384"/>
      <c r="N10" s="2384"/>
    </row>
    <row r="11" spans="1:14" s="2287" customFormat="1" ht="15">
      <c r="A11" s="2293" t="s">
        <v>1705</v>
      </c>
      <c r="B11" s="2303"/>
      <c r="C11" s="2303"/>
      <c r="D11" s="2303"/>
      <c r="E11" s="2303"/>
      <c r="F11" s="2303"/>
      <c r="G11" s="2303"/>
      <c r="H11" s="2303"/>
      <c r="I11" s="2384"/>
      <c r="J11" s="2384"/>
      <c r="K11" s="2384"/>
      <c r="L11" s="2384"/>
      <c r="M11" s="2384"/>
      <c r="N11" s="2384"/>
    </row>
    <row r="12" spans="1:14" s="2287" customFormat="1" ht="15">
      <c r="A12" s="2293" t="s">
        <v>1917</v>
      </c>
      <c r="B12" s="2303">
        <v>0.4</v>
      </c>
      <c r="C12" s="2303">
        <v>0.2</v>
      </c>
      <c r="D12" s="2303">
        <v>10</v>
      </c>
      <c r="E12" s="2303">
        <v>10</v>
      </c>
      <c r="F12" s="2303"/>
      <c r="G12" s="2303"/>
      <c r="H12" s="2303"/>
      <c r="I12" s="2384">
        <v>8</v>
      </c>
      <c r="J12" s="2384"/>
      <c r="K12" s="2384"/>
      <c r="L12" s="2384"/>
      <c r="M12" s="2384"/>
      <c r="N12" s="2384"/>
    </row>
    <row r="13" spans="1:14" s="2287" customFormat="1" ht="15">
      <c r="A13" s="2293" t="s">
        <v>1918</v>
      </c>
      <c r="B13" s="2303">
        <v>0.4</v>
      </c>
      <c r="C13" s="2303">
        <v>0.15</v>
      </c>
      <c r="D13" s="2303">
        <v>10</v>
      </c>
      <c r="E13" s="2303">
        <v>8</v>
      </c>
      <c r="F13" s="2303"/>
      <c r="G13" s="2303"/>
      <c r="H13" s="2303"/>
      <c r="I13" s="2384">
        <v>42</v>
      </c>
      <c r="J13" s="2384"/>
      <c r="K13" s="2384"/>
      <c r="L13" s="2384"/>
      <c r="M13" s="2384"/>
      <c r="N13" s="2384"/>
    </row>
    <row r="14" spans="1:14" s="2287" customFormat="1" ht="15">
      <c r="A14" s="2293" t="s">
        <v>1919</v>
      </c>
      <c r="B14" s="2303">
        <v>0.3</v>
      </c>
      <c r="C14" s="2303">
        <v>0.15</v>
      </c>
      <c r="D14" s="2303">
        <v>10</v>
      </c>
      <c r="E14" s="2303"/>
      <c r="F14" s="2303"/>
      <c r="G14" s="2303">
        <v>6</v>
      </c>
      <c r="H14" s="2303"/>
      <c r="I14" s="2384">
        <v>24</v>
      </c>
      <c r="J14" s="2384"/>
      <c r="K14" s="2384"/>
      <c r="L14" s="2384"/>
      <c r="M14" s="2384"/>
      <c r="N14" s="2384"/>
    </row>
    <row r="15" spans="1:14" s="2287" customFormat="1" ht="15">
      <c r="A15" s="2293" t="s">
        <v>1992</v>
      </c>
      <c r="B15" s="2303">
        <v>0.25</v>
      </c>
      <c r="C15" s="2303">
        <v>0.25</v>
      </c>
      <c r="D15" s="2303">
        <v>10</v>
      </c>
      <c r="E15" s="2303"/>
      <c r="F15" s="2303"/>
      <c r="G15" s="2303">
        <v>8</v>
      </c>
      <c r="H15" s="2303"/>
      <c r="I15" s="2384">
        <v>5</v>
      </c>
      <c r="J15" s="2384"/>
      <c r="K15" s="2384"/>
      <c r="L15" s="2384"/>
      <c r="M15" s="2384"/>
      <c r="N15" s="2384"/>
    </row>
    <row r="16" spans="1:14" s="2287" customFormat="1" ht="15">
      <c r="A16" s="2293" t="s">
        <v>1993</v>
      </c>
      <c r="B16" s="2303">
        <v>0.25</v>
      </c>
      <c r="C16" s="2303">
        <v>0.15</v>
      </c>
      <c r="D16" s="2303">
        <v>10</v>
      </c>
      <c r="E16" s="2303"/>
      <c r="F16" s="2303"/>
      <c r="G16" s="2303">
        <v>6</v>
      </c>
      <c r="H16" s="2303"/>
      <c r="I16" s="2384">
        <v>40</v>
      </c>
      <c r="J16" s="2384"/>
      <c r="K16" s="2384"/>
      <c r="L16" s="2384"/>
      <c r="M16" s="2384"/>
      <c r="N16" s="2384"/>
    </row>
    <row r="17" spans="1:18" s="2287" customFormat="1" ht="15">
      <c r="A17" s="2293" t="s">
        <v>1994</v>
      </c>
      <c r="B17" s="2303"/>
      <c r="C17" s="2303"/>
      <c r="D17" s="2303"/>
      <c r="E17" s="2303"/>
      <c r="F17" s="2303"/>
      <c r="G17" s="2303"/>
      <c r="H17" s="2303"/>
      <c r="I17" s="2384"/>
      <c r="J17" s="2384"/>
      <c r="K17" s="2384"/>
      <c r="L17" s="2384"/>
      <c r="M17" s="2384"/>
      <c r="N17" s="2384"/>
    </row>
    <row r="18" spans="1:18" s="2287" customFormat="1" ht="15">
      <c r="A18" s="2293" t="s">
        <v>1995</v>
      </c>
      <c r="B18" s="2303"/>
      <c r="C18" s="2303"/>
      <c r="D18" s="2303"/>
      <c r="E18" s="2303"/>
      <c r="F18" s="2303"/>
      <c r="G18" s="2303"/>
      <c r="H18" s="2303"/>
      <c r="I18" s="2384"/>
      <c r="J18" s="2384"/>
      <c r="K18" s="2384"/>
      <c r="L18" s="2384"/>
      <c r="M18" s="2384"/>
      <c r="N18" s="2384"/>
    </row>
    <row r="19" spans="1:18" s="2287" customFormat="1" ht="15">
      <c r="A19" s="2293" t="s">
        <v>1706</v>
      </c>
      <c r="B19" s="2303"/>
      <c r="C19" s="2303"/>
      <c r="D19" s="2303"/>
      <c r="E19" s="2303"/>
      <c r="F19" s="2303"/>
      <c r="G19" s="2303"/>
      <c r="H19" s="2303"/>
      <c r="I19" s="2384"/>
      <c r="J19" s="2384"/>
      <c r="K19" s="2384"/>
      <c r="L19" s="2384"/>
      <c r="M19" s="2384"/>
      <c r="N19" s="2384"/>
    </row>
    <row r="20" spans="1:18" s="2287" customFormat="1" ht="15">
      <c r="A20" s="2293" t="s">
        <v>2451</v>
      </c>
      <c r="B20" s="2303"/>
      <c r="C20" s="2303"/>
      <c r="D20" s="2303"/>
      <c r="E20" s="2303"/>
      <c r="F20" s="2303"/>
      <c r="G20" s="2303"/>
      <c r="H20" s="2303"/>
      <c r="I20" s="2384"/>
      <c r="J20" s="2384"/>
      <c r="K20" s="2384"/>
      <c r="L20" s="2384"/>
      <c r="M20" s="2384"/>
      <c r="N20" s="2384"/>
    </row>
    <row r="21" spans="1:18" s="2287" customFormat="1" ht="15">
      <c r="A21" s="2293" t="s">
        <v>2452</v>
      </c>
      <c r="B21" s="2303"/>
      <c r="C21" s="2303"/>
      <c r="D21" s="2303"/>
      <c r="E21" s="2303"/>
      <c r="F21" s="2303"/>
      <c r="G21" s="2303"/>
      <c r="H21" s="2303"/>
      <c r="I21" s="2384"/>
      <c r="J21" s="2384"/>
      <c r="K21" s="2384"/>
      <c r="L21" s="2384"/>
      <c r="M21" s="2384"/>
      <c r="N21" s="2384"/>
    </row>
    <row r="22" spans="1:18" s="2287" customFormat="1" ht="15">
      <c r="A22" s="2293" t="s">
        <v>2453</v>
      </c>
      <c r="B22" s="2303"/>
      <c r="C22" s="2303"/>
      <c r="D22" s="2303"/>
      <c r="E22" s="2303"/>
      <c r="F22" s="2303"/>
      <c r="G22" s="2303"/>
      <c r="H22" s="2303"/>
      <c r="I22" s="2384"/>
      <c r="J22" s="2384"/>
      <c r="K22" s="2384"/>
      <c r="L22" s="2384"/>
      <c r="M22" s="2384"/>
      <c r="N22" s="2384"/>
    </row>
    <row r="23" spans="1:18" s="2287" customFormat="1" ht="15">
      <c r="A23" s="2293" t="s">
        <v>2454</v>
      </c>
      <c r="B23" s="2303"/>
      <c r="C23" s="2303"/>
      <c r="D23" s="2303"/>
      <c r="E23" s="2303"/>
      <c r="F23" s="2303"/>
      <c r="G23" s="2303"/>
      <c r="H23" s="2303"/>
      <c r="I23" s="2384"/>
      <c r="J23" s="2384"/>
      <c r="K23" s="2384"/>
      <c r="L23" s="2384"/>
      <c r="M23" s="2384"/>
      <c r="N23" s="2384"/>
    </row>
    <row r="24" spans="1:18" s="2287" customFormat="1" ht="15">
      <c r="A24" s="2293" t="s">
        <v>2455</v>
      </c>
      <c r="B24" s="2303"/>
      <c r="C24" s="2303"/>
      <c r="D24" s="2303"/>
      <c r="E24" s="2303"/>
      <c r="F24" s="2303"/>
      <c r="G24" s="2303"/>
      <c r="H24" s="2303"/>
      <c r="I24" s="2384"/>
      <c r="J24" s="2384"/>
      <c r="K24" s="2384"/>
      <c r="L24" s="2384"/>
      <c r="M24" s="2384"/>
      <c r="N24" s="2384"/>
    </row>
    <row r="25" spans="1:18" s="2287" customFormat="1" ht="15">
      <c r="A25" s="2293" t="s">
        <v>2456</v>
      </c>
      <c r="B25" s="2303"/>
      <c r="C25" s="2303"/>
      <c r="D25" s="2303"/>
      <c r="E25" s="2303"/>
      <c r="F25" s="2303"/>
      <c r="G25" s="2303"/>
      <c r="H25" s="2303"/>
      <c r="I25" s="2384"/>
      <c r="J25" s="2384"/>
      <c r="K25" s="2384"/>
      <c r="L25" s="2384"/>
      <c r="M25" s="2384"/>
      <c r="N25" s="2384"/>
    </row>
    <row r="26" spans="1:18" s="2287" customFormat="1" ht="15">
      <c r="A26" s="2293" t="s">
        <v>2457</v>
      </c>
      <c r="B26" s="2303"/>
      <c r="C26" s="2303"/>
      <c r="D26" s="2303"/>
      <c r="E26" s="2303"/>
      <c r="F26" s="2303"/>
      <c r="G26" s="2303"/>
      <c r="H26" s="2303"/>
      <c r="I26" s="2384"/>
      <c r="J26" s="2384"/>
      <c r="K26" s="2384"/>
      <c r="L26" s="2384"/>
      <c r="M26" s="2384"/>
      <c r="N26" s="2384"/>
    </row>
    <row r="27" spans="1:18" s="2287" customFormat="1" ht="15">
      <c r="A27" s="2293" t="s">
        <v>2458</v>
      </c>
      <c r="B27" s="2303"/>
      <c r="C27" s="2303"/>
      <c r="D27" s="2303"/>
      <c r="E27" s="2303"/>
      <c r="F27" s="2303"/>
      <c r="G27" s="2303"/>
      <c r="H27" s="2303"/>
      <c r="I27" s="2384"/>
      <c r="J27" s="2384"/>
      <c r="K27" s="2384"/>
      <c r="L27" s="2384"/>
      <c r="M27" s="2384"/>
      <c r="N27" s="2384"/>
    </row>
    <row r="28" spans="1:18" s="2287" customFormat="1" ht="15">
      <c r="A28" s="2293" t="s">
        <v>1707</v>
      </c>
      <c r="B28" s="2303">
        <v>0.13</v>
      </c>
      <c r="C28" s="2303">
        <v>0.13</v>
      </c>
      <c r="D28" s="2303">
        <v>8</v>
      </c>
      <c r="E28" s="2303"/>
      <c r="F28" s="2303"/>
      <c r="G28" s="2303"/>
      <c r="H28" s="2303">
        <v>4</v>
      </c>
      <c r="I28" s="2384">
        <v>79</v>
      </c>
      <c r="J28" s="2384"/>
      <c r="K28" s="2384"/>
      <c r="L28" s="2384"/>
      <c r="M28" s="2384"/>
      <c r="N28" s="2384">
        <v>69</v>
      </c>
    </row>
    <row r="29" spans="1:18" s="2287" customFormat="1" ht="15">
      <c r="A29" s="2293" t="s">
        <v>1708</v>
      </c>
      <c r="B29" s="2303"/>
      <c r="C29" s="2303"/>
      <c r="D29" s="2303"/>
      <c r="E29" s="2303"/>
      <c r="F29" s="2303"/>
      <c r="G29" s="2303"/>
      <c r="H29" s="2303"/>
      <c r="I29" s="2384"/>
      <c r="J29" s="2384"/>
      <c r="K29" s="2384"/>
      <c r="L29" s="2384"/>
      <c r="M29" s="2384"/>
      <c r="N29" s="2384"/>
    </row>
    <row r="30" spans="1:18" s="2287" customFormat="1"/>
    <row r="31" spans="1:18" s="2287" customFormat="1">
      <c r="A31" s="2287" t="s">
        <v>2546</v>
      </c>
    </row>
    <row r="32" spans="1:18" s="2287" customFormat="1">
      <c r="A32" s="2293"/>
      <c r="B32" s="2293" t="s">
        <v>2045</v>
      </c>
      <c r="C32" s="2293" t="s">
        <v>1608</v>
      </c>
      <c r="D32" s="2293" t="s">
        <v>2548</v>
      </c>
      <c r="E32" s="2293" t="s">
        <v>2549</v>
      </c>
      <c r="F32" s="2293" t="s">
        <v>2550</v>
      </c>
      <c r="G32" s="2293" t="s">
        <v>1610</v>
      </c>
      <c r="H32" s="2293" t="s">
        <v>1609</v>
      </c>
      <c r="I32" s="2293" t="s">
        <v>2098</v>
      </c>
      <c r="J32" s="2293" t="s">
        <v>2099</v>
      </c>
      <c r="K32" s="2293" t="s">
        <v>2547</v>
      </c>
      <c r="L32" s="2293" t="s">
        <v>2107</v>
      </c>
      <c r="M32" s="2293" t="s">
        <v>2813</v>
      </c>
      <c r="N32" s="2293">
        <v>2</v>
      </c>
      <c r="O32" s="2293">
        <v>3</v>
      </c>
      <c r="P32" s="2293">
        <v>4</v>
      </c>
      <c r="Q32" s="2293">
        <v>5</v>
      </c>
      <c r="R32" s="2293" t="s">
        <v>2545</v>
      </c>
    </row>
    <row r="33" spans="1:18" s="2287" customFormat="1" ht="15">
      <c r="A33" s="2293" t="s">
        <v>187</v>
      </c>
      <c r="B33" s="2304">
        <v>0.2</v>
      </c>
      <c r="C33" s="2304">
        <v>0.4</v>
      </c>
      <c r="D33" s="2304"/>
      <c r="E33" s="2304"/>
      <c r="F33" s="2304"/>
      <c r="G33" s="2304">
        <v>10</v>
      </c>
      <c r="H33" s="2304">
        <v>10</v>
      </c>
      <c r="I33" s="2304"/>
      <c r="J33" s="2304"/>
      <c r="K33" s="2304"/>
      <c r="L33" s="2304"/>
      <c r="M33" s="2383">
        <v>318</v>
      </c>
      <c r="N33" s="2383"/>
      <c r="O33" s="2383"/>
      <c r="P33" s="2383"/>
      <c r="Q33" s="2383"/>
      <c r="R33" s="2383"/>
    </row>
    <row r="34" spans="1:18" s="2287" customFormat="1" ht="15">
      <c r="A34" s="2293" t="s">
        <v>173</v>
      </c>
      <c r="B34" s="2304">
        <v>0.15</v>
      </c>
      <c r="C34" s="2304">
        <v>0.55000000000000004</v>
      </c>
      <c r="D34" s="2304">
        <v>0.1</v>
      </c>
      <c r="E34" s="2304">
        <v>0.15</v>
      </c>
      <c r="F34" s="2304">
        <f>C34-E34</f>
        <v>0.4</v>
      </c>
      <c r="G34" s="2304">
        <v>10</v>
      </c>
      <c r="H34" s="2304">
        <v>10</v>
      </c>
      <c r="I34" s="2304"/>
      <c r="J34" s="2304"/>
      <c r="K34" s="2304">
        <v>1</v>
      </c>
      <c r="L34" s="2304"/>
      <c r="M34" s="2383">
        <v>133</v>
      </c>
      <c r="N34" s="2383"/>
      <c r="O34" s="2383"/>
      <c r="P34" s="2383"/>
      <c r="Q34" s="2383"/>
      <c r="R34" s="2383"/>
    </row>
    <row r="35" spans="1:18" s="2287" customFormat="1" ht="15">
      <c r="A35" s="2293" t="s">
        <v>172</v>
      </c>
      <c r="B35" s="2304">
        <v>0.15</v>
      </c>
      <c r="C35" s="2304">
        <v>0.8</v>
      </c>
      <c r="D35" s="2304">
        <v>0.1</v>
      </c>
      <c r="E35" s="2304">
        <v>0.4</v>
      </c>
      <c r="F35" s="2304">
        <f>C35-E35</f>
        <v>0.4</v>
      </c>
      <c r="G35" s="2304">
        <v>10</v>
      </c>
      <c r="H35" s="2304">
        <v>10</v>
      </c>
      <c r="I35" s="2304"/>
      <c r="J35" s="2304"/>
      <c r="K35" s="2304">
        <v>3</v>
      </c>
      <c r="L35" s="2304"/>
      <c r="M35" s="2383">
        <v>2</v>
      </c>
      <c r="N35" s="2383"/>
      <c r="O35" s="2383"/>
      <c r="P35" s="2383"/>
      <c r="Q35" s="2383"/>
      <c r="R35" s="2383"/>
    </row>
    <row r="36" spans="1:18" s="2287" customFormat="1" ht="15">
      <c r="A36" s="2293" t="s">
        <v>174</v>
      </c>
      <c r="B36" s="2304">
        <v>0.15</v>
      </c>
      <c r="C36" s="2304">
        <v>0.3</v>
      </c>
      <c r="D36" s="2304">
        <v>0.15</v>
      </c>
      <c r="E36" s="2304"/>
      <c r="F36" s="2304"/>
      <c r="G36" s="2304">
        <v>10</v>
      </c>
      <c r="H36" s="2304">
        <v>6</v>
      </c>
      <c r="I36" s="2304"/>
      <c r="J36" s="2304"/>
      <c r="K36" s="2304">
        <v>4</v>
      </c>
      <c r="L36" s="2304"/>
      <c r="M36" s="2383">
        <v>101</v>
      </c>
      <c r="N36" s="2383"/>
      <c r="O36" s="2383"/>
      <c r="P36" s="2383"/>
      <c r="Q36" s="2383"/>
      <c r="R36" s="2383"/>
    </row>
    <row r="37" spans="1:18" s="2287" customFormat="1" ht="15">
      <c r="A37" s="2293" t="s">
        <v>188</v>
      </c>
      <c r="B37" s="2304"/>
      <c r="C37" s="2304"/>
      <c r="D37" s="2304"/>
      <c r="E37" s="2304"/>
      <c r="F37" s="2304"/>
      <c r="G37" s="2304"/>
      <c r="H37" s="2304"/>
      <c r="I37" s="2304"/>
      <c r="J37" s="2304"/>
      <c r="K37" s="2304"/>
      <c r="L37" s="2304"/>
      <c r="M37" s="2383"/>
      <c r="N37" s="2383"/>
      <c r="O37" s="2383"/>
      <c r="P37" s="2383"/>
      <c r="Q37" s="2383"/>
      <c r="R37" s="2383"/>
    </row>
    <row r="38" spans="1:18" s="2287" customFormat="1" ht="15">
      <c r="A38" s="2293" t="s">
        <v>1998</v>
      </c>
      <c r="B38" s="2304"/>
      <c r="C38" s="2304"/>
      <c r="D38" s="2304"/>
      <c r="E38" s="2304"/>
      <c r="F38" s="2304"/>
      <c r="G38" s="2304"/>
      <c r="H38" s="2304"/>
      <c r="I38" s="2304"/>
      <c r="J38" s="2304"/>
      <c r="K38" s="2304"/>
      <c r="L38" s="2304"/>
      <c r="M38" s="2383"/>
      <c r="N38" s="2383"/>
      <c r="O38" s="2383"/>
      <c r="P38" s="2383"/>
      <c r="Q38" s="2383"/>
      <c r="R38" s="2383"/>
    </row>
    <row r="39" spans="1:18" s="2287" customFormat="1" ht="15">
      <c r="A39" s="2293" t="s">
        <v>1999</v>
      </c>
      <c r="B39" s="2304"/>
      <c r="C39" s="2304"/>
      <c r="D39" s="2304"/>
      <c r="E39" s="2304"/>
      <c r="F39" s="2304"/>
      <c r="G39" s="2304"/>
      <c r="H39" s="2304"/>
      <c r="I39" s="2304"/>
      <c r="J39" s="2304"/>
      <c r="K39" s="2304"/>
      <c r="L39" s="2304"/>
      <c r="M39" s="2383"/>
      <c r="N39" s="2383"/>
      <c r="O39" s="2383"/>
      <c r="P39" s="2383"/>
      <c r="Q39" s="2383"/>
      <c r="R39" s="2383"/>
    </row>
    <row r="40" spans="1:18" s="2287" customFormat="1" ht="15">
      <c r="A40" s="2293" t="s">
        <v>2000</v>
      </c>
      <c r="B40" s="2304"/>
      <c r="C40" s="2304"/>
      <c r="D40" s="2304"/>
      <c r="E40" s="2304"/>
      <c r="F40" s="2304"/>
      <c r="G40" s="2304"/>
      <c r="H40" s="2304"/>
      <c r="I40" s="2304"/>
      <c r="J40" s="2304"/>
      <c r="K40" s="2304"/>
      <c r="L40" s="2304"/>
      <c r="M40" s="2383"/>
      <c r="N40" s="2383"/>
      <c r="O40" s="2383"/>
      <c r="P40" s="2383"/>
      <c r="Q40" s="2383"/>
      <c r="R40" s="2383"/>
    </row>
    <row r="41" spans="1:18" s="2287" customFormat="1" ht="15">
      <c r="A41" s="2293" t="s">
        <v>2001</v>
      </c>
      <c r="B41" s="2304"/>
      <c r="C41" s="2304"/>
      <c r="D41" s="2304"/>
      <c r="E41" s="2304"/>
      <c r="F41" s="2304"/>
      <c r="G41" s="2304"/>
      <c r="H41" s="2304"/>
      <c r="I41" s="2304"/>
      <c r="J41" s="2304"/>
      <c r="K41" s="2304"/>
      <c r="L41" s="2304"/>
      <c r="M41" s="2383"/>
      <c r="N41" s="2383"/>
      <c r="O41" s="2383"/>
      <c r="P41" s="2383"/>
      <c r="Q41" s="2383"/>
      <c r="R41" s="2383"/>
    </row>
    <row r="42" spans="1:18" s="2287" customFormat="1" ht="15">
      <c r="A42" s="2293" t="s">
        <v>2002</v>
      </c>
      <c r="B42" s="2304"/>
      <c r="C42" s="2304"/>
      <c r="D42" s="2304"/>
      <c r="E42" s="2304"/>
      <c r="F42" s="2304"/>
      <c r="G42" s="2304"/>
      <c r="H42" s="2304"/>
      <c r="I42" s="2304"/>
      <c r="J42" s="2304"/>
      <c r="K42" s="2304"/>
      <c r="L42" s="2304"/>
      <c r="M42" s="2383"/>
      <c r="N42" s="2383"/>
      <c r="O42" s="2383"/>
      <c r="P42" s="2383"/>
      <c r="Q42" s="2383"/>
      <c r="R42" s="2383"/>
    </row>
    <row r="43" spans="1:18" s="2287" customFormat="1" ht="15">
      <c r="A43" s="2293" t="s">
        <v>2003</v>
      </c>
      <c r="B43" s="2304"/>
      <c r="C43" s="2304"/>
      <c r="D43" s="2304"/>
      <c r="E43" s="2304"/>
      <c r="F43" s="2304"/>
      <c r="G43" s="2304"/>
      <c r="H43" s="2304"/>
      <c r="I43" s="2304"/>
      <c r="J43" s="2304"/>
      <c r="K43" s="2304"/>
      <c r="L43" s="2304"/>
      <c r="M43" s="2383"/>
      <c r="N43" s="2383"/>
      <c r="O43" s="2383"/>
      <c r="P43" s="2383"/>
      <c r="Q43" s="2383"/>
      <c r="R43" s="2383"/>
    </row>
    <row r="44" spans="1:18" s="2287" customFormat="1" ht="15">
      <c r="A44" s="2293" t="s">
        <v>2251</v>
      </c>
      <c r="B44" s="2304"/>
      <c r="C44" s="2304"/>
      <c r="D44" s="2304"/>
      <c r="E44" s="2304"/>
      <c r="F44" s="2304"/>
      <c r="G44" s="2304"/>
      <c r="H44" s="2304"/>
      <c r="I44" s="2304"/>
      <c r="J44" s="2304"/>
      <c r="K44" s="2304"/>
      <c r="L44" s="2304"/>
      <c r="M44" s="2383"/>
      <c r="N44" s="2383"/>
      <c r="O44" s="2383"/>
      <c r="P44" s="2383"/>
      <c r="Q44" s="2383"/>
      <c r="R44" s="2383"/>
    </row>
    <row r="45" spans="1:18" s="2287" customFormat="1" ht="15">
      <c r="A45" s="2293" t="s">
        <v>2273</v>
      </c>
      <c r="B45" s="2304"/>
      <c r="C45" s="2304"/>
      <c r="D45" s="2304"/>
      <c r="E45" s="2304"/>
      <c r="F45" s="2304"/>
      <c r="G45" s="2304"/>
      <c r="H45" s="2304"/>
      <c r="I45" s="2304"/>
      <c r="J45" s="2304"/>
      <c r="K45" s="2304"/>
      <c r="L45" s="2304"/>
      <c r="M45" s="2383"/>
      <c r="N45" s="2383"/>
      <c r="O45" s="2383"/>
      <c r="P45" s="2383"/>
      <c r="Q45" s="2383"/>
      <c r="R45" s="2383"/>
    </row>
    <row r="46" spans="1:18" s="2287" customFormat="1" ht="15">
      <c r="A46" s="2293" t="s">
        <v>2274</v>
      </c>
      <c r="B46" s="2304"/>
      <c r="C46" s="2304"/>
      <c r="D46" s="2304"/>
      <c r="E46" s="2304"/>
      <c r="F46" s="2304"/>
      <c r="G46" s="2304"/>
      <c r="H46" s="2304"/>
      <c r="I46" s="2304"/>
      <c r="J46" s="2304"/>
      <c r="K46" s="2304"/>
      <c r="L46" s="2304"/>
      <c r="M46" s="2383"/>
      <c r="N46" s="2383"/>
      <c r="O46" s="2383"/>
      <c r="P46" s="2383"/>
      <c r="Q46" s="2383"/>
      <c r="R46" s="2383"/>
    </row>
    <row r="47" spans="1:18" s="2287" customFormat="1" ht="15">
      <c r="A47" s="2293" t="s">
        <v>2275</v>
      </c>
      <c r="B47" s="2304"/>
      <c r="C47" s="2304"/>
      <c r="D47" s="2304"/>
      <c r="E47" s="2304"/>
      <c r="F47" s="2304"/>
      <c r="G47" s="2304"/>
      <c r="H47" s="2304"/>
      <c r="I47" s="2304"/>
      <c r="J47" s="2304"/>
      <c r="K47" s="2304"/>
      <c r="L47" s="2304"/>
      <c r="M47" s="2383"/>
      <c r="N47" s="2383"/>
      <c r="O47" s="2383"/>
      <c r="P47" s="2383"/>
      <c r="Q47" s="2383"/>
      <c r="R47" s="2383"/>
    </row>
    <row r="48" spans="1:18" s="2532" customFormat="1" ht="15">
      <c r="A48" s="2293" t="s">
        <v>2851</v>
      </c>
      <c r="B48" s="2304"/>
      <c r="C48" s="2304"/>
      <c r="D48" s="2304"/>
      <c r="E48" s="2304"/>
      <c r="F48" s="2304"/>
      <c r="G48" s="2304"/>
      <c r="H48" s="2304"/>
      <c r="I48" s="2304"/>
      <c r="J48" s="2304"/>
      <c r="K48" s="2304"/>
      <c r="L48" s="2304"/>
      <c r="M48" s="2383"/>
      <c r="N48" s="2383"/>
      <c r="O48" s="2383"/>
      <c r="P48" s="2383"/>
      <c r="Q48" s="2383"/>
      <c r="R48" s="2383"/>
    </row>
    <row r="49" spans="1:18" s="2532" customFormat="1" ht="15">
      <c r="A49" s="2293" t="s">
        <v>2852</v>
      </c>
      <c r="B49" s="2304"/>
      <c r="C49" s="2304"/>
      <c r="D49" s="2304"/>
      <c r="E49" s="2304"/>
      <c r="F49" s="2304"/>
      <c r="G49" s="2304"/>
      <c r="H49" s="2304"/>
      <c r="I49" s="2304"/>
      <c r="J49" s="2304"/>
      <c r="K49" s="2304"/>
      <c r="L49" s="2304"/>
      <c r="M49" s="2383"/>
      <c r="N49" s="2383"/>
      <c r="O49" s="2383"/>
      <c r="P49" s="2383"/>
      <c r="Q49" s="2383"/>
      <c r="R49" s="2383"/>
    </row>
    <row r="50" spans="1:18" s="2532" customFormat="1" ht="15">
      <c r="A50" s="2293" t="s">
        <v>2853</v>
      </c>
      <c r="B50" s="2304"/>
      <c r="C50" s="2304"/>
      <c r="D50" s="2304"/>
      <c r="E50" s="2304"/>
      <c r="F50" s="2304"/>
      <c r="G50" s="2304"/>
      <c r="H50" s="2304"/>
      <c r="I50" s="2304"/>
      <c r="J50" s="2304"/>
      <c r="K50" s="2304"/>
      <c r="L50" s="2304"/>
      <c r="M50" s="2383"/>
      <c r="N50" s="2383"/>
      <c r="O50" s="2383"/>
      <c r="P50" s="2383"/>
      <c r="Q50" s="2383"/>
      <c r="R50" s="2383"/>
    </row>
    <row r="51" spans="1:18" s="2532" customFormat="1" ht="15">
      <c r="A51" s="2293" t="s">
        <v>2854</v>
      </c>
      <c r="B51" s="2304"/>
      <c r="C51" s="2304"/>
      <c r="D51" s="2304"/>
      <c r="E51" s="2304"/>
      <c r="F51" s="2304"/>
      <c r="G51" s="2304"/>
      <c r="H51" s="2304"/>
      <c r="I51" s="2304"/>
      <c r="J51" s="2304"/>
      <c r="K51" s="2304"/>
      <c r="L51" s="2304"/>
      <c r="M51" s="2383"/>
      <c r="N51" s="2383"/>
      <c r="O51" s="2383"/>
      <c r="P51" s="2383"/>
      <c r="Q51" s="2383"/>
      <c r="R51" s="2383"/>
    </row>
    <row r="52" spans="1:18" s="2532" customFormat="1" ht="15">
      <c r="A52" s="2293" t="s">
        <v>2855</v>
      </c>
      <c r="B52" s="2304"/>
      <c r="C52" s="2304"/>
      <c r="D52" s="2304"/>
      <c r="E52" s="2304"/>
      <c r="F52" s="2304"/>
      <c r="G52" s="2304"/>
      <c r="H52" s="2304"/>
      <c r="I52" s="2304"/>
      <c r="J52" s="2304"/>
      <c r="K52" s="2304"/>
      <c r="L52" s="2304"/>
      <c r="M52" s="2383"/>
      <c r="N52" s="2383"/>
      <c r="O52" s="2383"/>
      <c r="P52" s="2383"/>
      <c r="Q52" s="2383"/>
      <c r="R52" s="2383"/>
    </row>
    <row r="53" spans="1:18" s="2287" customFormat="1" ht="15">
      <c r="A53" s="2293" t="s">
        <v>175</v>
      </c>
      <c r="B53" s="2304">
        <v>0.15</v>
      </c>
      <c r="C53" s="2304">
        <v>0.2</v>
      </c>
      <c r="D53" s="2304">
        <v>0.15</v>
      </c>
      <c r="E53" s="2304"/>
      <c r="F53" s="2304"/>
      <c r="G53" s="2304">
        <v>8</v>
      </c>
      <c r="H53" s="2304"/>
      <c r="I53" s="2304"/>
      <c r="J53" s="2304"/>
      <c r="K53" s="2304">
        <v>4</v>
      </c>
      <c r="L53" s="2304"/>
      <c r="M53" s="2383">
        <v>33.700000000000003</v>
      </c>
      <c r="N53" s="2383"/>
      <c r="O53" s="2383"/>
      <c r="P53" s="2383"/>
      <c r="Q53" s="2383"/>
      <c r="R53" s="2383"/>
    </row>
    <row r="54" spans="1:18" s="2287" customFormat="1">
      <c r="L54" s="2287" t="s">
        <v>2634</v>
      </c>
      <c r="M54" s="2385"/>
      <c r="N54" s="2385"/>
      <c r="O54" s="2385"/>
      <c r="P54" s="2385"/>
      <c r="Q54" s="2385"/>
      <c r="R54" s="2385"/>
    </row>
    <row r="55" spans="1:18" s="2287" customFormat="1">
      <c r="L55" s="2287" t="s">
        <v>2635</v>
      </c>
      <c r="M55" s="2385"/>
      <c r="N55" s="2385"/>
      <c r="O55" s="2385"/>
      <c r="P55" s="2385"/>
      <c r="Q55" s="2385"/>
      <c r="R55" s="2385"/>
    </row>
    <row r="56" spans="1:18" s="2287" customFormat="1">
      <c r="R56" s="2402"/>
    </row>
    <row r="57" spans="1:18" s="2493" customFormat="1">
      <c r="A57" s="2493" t="s">
        <v>2130</v>
      </c>
      <c r="N57" s="2493">
        <f>(3.98+16.04)*10/12</f>
        <v>16.683333333333334</v>
      </c>
    </row>
    <row r="58" spans="1:18" s="2493" customFormat="1">
      <c r="A58" s="2494"/>
      <c r="B58" s="2494" t="s">
        <v>2045</v>
      </c>
      <c r="C58" s="2494" t="s">
        <v>1608</v>
      </c>
      <c r="D58" s="2494" t="s">
        <v>1797</v>
      </c>
      <c r="E58" s="2494" t="s">
        <v>1613</v>
      </c>
      <c r="F58" s="2494" t="s">
        <v>2399</v>
      </c>
      <c r="G58" s="2494" t="s">
        <v>2620</v>
      </c>
      <c r="H58" s="2494" t="s">
        <v>2545</v>
      </c>
    </row>
    <row r="59" spans="1:18" s="2493" customFormat="1" ht="15">
      <c r="A59" s="2494" t="s">
        <v>187</v>
      </c>
      <c r="B59" s="2495">
        <v>0.15</v>
      </c>
      <c r="C59" s="2495">
        <v>0.25</v>
      </c>
      <c r="D59" s="2496">
        <v>43.14</v>
      </c>
      <c r="E59" s="2496"/>
      <c r="F59" s="2496"/>
      <c r="G59" s="2496"/>
      <c r="H59" s="2496"/>
      <c r="J59" s="2493">
        <f>$B$59*$C$59</f>
        <v>3.7499999999999999E-2</v>
      </c>
      <c r="K59" s="2493">
        <f>$B$59+$C$59*2</f>
        <v>0.65</v>
      </c>
    </row>
    <row r="60" spans="1:18" s="2493" customFormat="1" ht="15">
      <c r="A60" s="2494" t="s">
        <v>173</v>
      </c>
      <c r="B60" s="2495"/>
      <c r="C60" s="2495"/>
      <c r="D60" s="2496"/>
      <c r="E60" s="2496"/>
      <c r="F60" s="2496"/>
      <c r="G60" s="2496"/>
      <c r="H60" s="2496"/>
    </row>
    <row r="61" spans="1:18" s="2493" customFormat="1" ht="15">
      <c r="A61" s="2494" t="s">
        <v>172</v>
      </c>
      <c r="B61" s="2495"/>
      <c r="C61" s="2495"/>
      <c r="D61" s="2496"/>
      <c r="E61" s="2496"/>
      <c r="F61" s="2496"/>
      <c r="G61" s="2496"/>
      <c r="H61" s="2496"/>
    </row>
    <row r="62" spans="1:18" s="2493" customFormat="1" ht="15">
      <c r="A62" s="2494" t="s">
        <v>174</v>
      </c>
      <c r="B62" s="2495"/>
      <c r="C62" s="2495"/>
      <c r="D62" s="2496"/>
      <c r="E62" s="2496"/>
      <c r="F62" s="2496"/>
      <c r="G62" s="2496"/>
      <c r="H62" s="2496"/>
    </row>
    <row r="63" spans="1:18" s="2493" customFormat="1" ht="15">
      <c r="A63" s="2494" t="s">
        <v>188</v>
      </c>
      <c r="B63" s="2495"/>
      <c r="C63" s="2495"/>
      <c r="D63" s="2496"/>
      <c r="E63" s="2496"/>
      <c r="F63" s="2496"/>
      <c r="G63" s="2496"/>
      <c r="H63" s="2496"/>
    </row>
    <row r="64" spans="1:18" s="2287" customFormat="1"/>
    <row r="66" spans="1:19" ht="20.25">
      <c r="A66" s="2847" t="s">
        <v>1975</v>
      </c>
      <c r="B66" s="2848"/>
      <c r="C66" s="2848"/>
      <c r="D66" s="2848"/>
      <c r="E66" s="2848"/>
      <c r="F66" s="2848"/>
      <c r="G66" s="2848"/>
      <c r="H66" s="2848"/>
      <c r="I66" s="2848"/>
      <c r="J66" s="2849"/>
      <c r="O66" s="2086" t="s">
        <v>47</v>
      </c>
    </row>
    <row r="67" spans="1:19" ht="15">
      <c r="A67" s="2087"/>
      <c r="B67" s="2087" t="s">
        <v>1597</v>
      </c>
      <c r="C67" s="2087"/>
      <c r="D67" s="2087" t="s">
        <v>1957</v>
      </c>
      <c r="E67" s="2087" t="s">
        <v>1955</v>
      </c>
      <c r="F67" s="2087" t="s">
        <v>1959</v>
      </c>
      <c r="G67" s="2087" t="s">
        <v>1562</v>
      </c>
      <c r="H67" s="2087" t="s">
        <v>1609</v>
      </c>
      <c r="I67" s="2088" t="s">
        <v>2428</v>
      </c>
      <c r="J67" s="2088" t="s">
        <v>1679</v>
      </c>
      <c r="K67" s="2089"/>
      <c r="N67" s="2086" t="s">
        <v>1609</v>
      </c>
      <c r="O67" s="2086">
        <v>1.58</v>
      </c>
    </row>
    <row r="68" spans="1:19">
      <c r="A68" s="2090" t="s">
        <v>153</v>
      </c>
      <c r="B68" s="2090">
        <f>('PONDASI DAN SLOOF'!$C$6-0.1)*100</f>
        <v>70</v>
      </c>
      <c r="C68" s="2091">
        <f>B68/15</f>
        <v>4.666666666666667</v>
      </c>
      <c r="D68" s="2090">
        <f>ROUNDUP(C68,0)</f>
        <v>5</v>
      </c>
      <c r="E68" s="2090">
        <f>(B70/100)+0.45+0.45</f>
        <v>1.5999999999999999</v>
      </c>
      <c r="F68" s="2090">
        <f>D68*E68</f>
        <v>7.9999999999999991</v>
      </c>
      <c r="G68" s="2092">
        <f>F68*'PONDASI DAN SLOOF'!$C$9</f>
        <v>367.99999999999994</v>
      </c>
      <c r="H68" s="2090"/>
      <c r="I68" s="2090"/>
      <c r="J68" s="2090"/>
      <c r="N68" s="2086" t="s">
        <v>1679</v>
      </c>
      <c r="O68" s="2086">
        <v>1.04</v>
      </c>
    </row>
    <row r="69" spans="1:19">
      <c r="A69" s="2090"/>
      <c r="B69" s="2090" t="s">
        <v>1600</v>
      </c>
      <c r="C69" s="2090"/>
      <c r="D69" s="2090" t="s">
        <v>1958</v>
      </c>
      <c r="E69" s="2090" t="s">
        <v>1956</v>
      </c>
      <c r="F69" s="2090" t="s">
        <v>1960</v>
      </c>
      <c r="G69" s="2090"/>
      <c r="H69" s="2090"/>
      <c r="I69" s="2090"/>
      <c r="J69" s="2090"/>
      <c r="M69" s="2093"/>
      <c r="N69" s="2086" t="s">
        <v>1807</v>
      </c>
      <c r="O69" s="2086">
        <v>0.61699999999999999</v>
      </c>
      <c r="S69" s="2094"/>
    </row>
    <row r="70" spans="1:19">
      <c r="A70" s="2090"/>
      <c r="B70" s="2090">
        <f>('PONDASI DAN SLOOF'!$C$7-0.1)*100</f>
        <v>70</v>
      </c>
      <c r="C70" s="2091">
        <f>B70/15</f>
        <v>4.666666666666667</v>
      </c>
      <c r="D70" s="2090">
        <f>ROUNDUP(C70,0)</f>
        <v>5</v>
      </c>
      <c r="E70" s="2090">
        <f>(B68/100)+0.45+0.45</f>
        <v>1.5999999999999999</v>
      </c>
      <c r="F70" s="2090">
        <f>D70*E70</f>
        <v>7.9999999999999991</v>
      </c>
      <c r="G70" s="2092">
        <f>F70*'PONDASI DAN SLOOF'!$C$9</f>
        <v>367.99999999999994</v>
      </c>
      <c r="H70" s="2090"/>
      <c r="I70" s="2090"/>
      <c r="J70" s="2090"/>
      <c r="N70" s="2086" t="s">
        <v>2388</v>
      </c>
      <c r="O70" s="2086">
        <v>0.88800000000000001</v>
      </c>
    </row>
    <row r="71" spans="1:19">
      <c r="A71" s="2090"/>
      <c r="B71" s="2090"/>
      <c r="C71" s="2090"/>
      <c r="D71" s="2090"/>
      <c r="E71" s="2090"/>
      <c r="F71" s="2090"/>
      <c r="G71" s="2092">
        <f>SUM(G68:G70)</f>
        <v>735.99999999999989</v>
      </c>
      <c r="H71" s="2092">
        <f>G71*1.58</f>
        <v>1162.8799999999999</v>
      </c>
      <c r="I71" s="2092">
        <f>G71*0.89*0</f>
        <v>0</v>
      </c>
      <c r="J71" s="2092">
        <f>G71*1.04*0</f>
        <v>0</v>
      </c>
      <c r="K71" s="2093"/>
      <c r="N71" s="2086" t="s">
        <v>2277</v>
      </c>
      <c r="O71" s="2086">
        <v>0.61699999999999999</v>
      </c>
    </row>
    <row r="72" spans="1:19">
      <c r="A72" s="2090"/>
      <c r="B72" s="2090" t="str">
        <f>B67</f>
        <v>PANJANG X</v>
      </c>
      <c r="C72" s="2090"/>
      <c r="D72" s="2090" t="s">
        <v>1598</v>
      </c>
      <c r="E72" s="2090" t="s">
        <v>1599</v>
      </c>
      <c r="F72" s="2090" t="s">
        <v>1168</v>
      </c>
      <c r="G72" s="2090"/>
      <c r="H72" s="2090"/>
      <c r="I72" s="2090"/>
      <c r="J72" s="2090"/>
      <c r="M72" s="2094"/>
      <c r="N72" s="2086" t="s">
        <v>2389</v>
      </c>
      <c r="O72" s="2086">
        <v>0.39500000000000002</v>
      </c>
      <c r="S72" s="2093"/>
    </row>
    <row r="73" spans="1:19">
      <c r="A73" s="2090" t="s">
        <v>155</v>
      </c>
      <c r="B73" s="2090">
        <f>('PONDASI DAN SLOOF'!$F$6-0.1)*100</f>
        <v>50</v>
      </c>
      <c r="C73" s="2091">
        <f>B73/15</f>
        <v>3.3333333333333335</v>
      </c>
      <c r="D73" s="2090">
        <f>ROUNDUP(C73,0)</f>
        <v>4</v>
      </c>
      <c r="E73" s="2090">
        <f>(B75/100)+0.45+0.45</f>
        <v>1.4</v>
      </c>
      <c r="F73" s="2090">
        <f>D73*E73</f>
        <v>5.6</v>
      </c>
      <c r="G73" s="2092">
        <f>F73*'PONDASI DAN SLOOF'!$F$9</f>
        <v>84</v>
      </c>
      <c r="H73" s="2090"/>
      <c r="I73" s="2090"/>
      <c r="J73" s="2090"/>
    </row>
    <row r="74" spans="1:19">
      <c r="A74" s="2090"/>
      <c r="B74" s="2090" t="str">
        <f>B69</f>
        <v>PANJANG Y</v>
      </c>
      <c r="C74" s="2090"/>
      <c r="D74" s="2090" t="s">
        <v>1601</v>
      </c>
      <c r="E74" s="2090" t="s">
        <v>1602</v>
      </c>
      <c r="F74" s="2090" t="s">
        <v>1168</v>
      </c>
      <c r="G74" s="2090"/>
      <c r="H74" s="2090"/>
      <c r="I74" s="2090"/>
      <c r="J74" s="2090"/>
    </row>
    <row r="75" spans="1:19">
      <c r="A75" s="2090"/>
      <c r="B75" s="2090">
        <f>('PONDASI DAN SLOOF'!$F$7-0.1)*100</f>
        <v>50</v>
      </c>
      <c r="C75" s="2091">
        <f>B75/15</f>
        <v>3.3333333333333335</v>
      </c>
      <c r="D75" s="2090">
        <f>ROUNDUP(C75,0)</f>
        <v>4</v>
      </c>
      <c r="E75" s="2090">
        <f>(B73/100)+0.45+0.45</f>
        <v>1.4</v>
      </c>
      <c r="F75" s="2090">
        <f>D75*E75</f>
        <v>5.6</v>
      </c>
      <c r="G75" s="2092">
        <f>F75*'PONDASI DAN SLOOF'!$F$9</f>
        <v>84</v>
      </c>
      <c r="H75" s="2090"/>
      <c r="I75" s="2090"/>
      <c r="J75" s="2090"/>
      <c r="M75" s="2094"/>
      <c r="S75" s="2093"/>
    </row>
    <row r="76" spans="1:19">
      <c r="A76" s="2090"/>
      <c r="B76" s="2090"/>
      <c r="C76" s="2090"/>
      <c r="D76" s="2090"/>
      <c r="E76" s="2090"/>
      <c r="F76" s="2090"/>
      <c r="G76" s="2092">
        <f>SUM(G73:G75)</f>
        <v>168</v>
      </c>
      <c r="H76" s="2092">
        <f>G76*1.58</f>
        <v>265.44</v>
      </c>
      <c r="I76" s="2092">
        <f>G76*0.89*0</f>
        <v>0</v>
      </c>
      <c r="J76" s="2092">
        <f>G76*1.04*0</f>
        <v>0</v>
      </c>
      <c r="K76" s="2093"/>
    </row>
    <row r="77" spans="1:19">
      <c r="A77" s="2090"/>
      <c r="B77" s="2090" t="str">
        <f>B72</f>
        <v>PANJANG X</v>
      </c>
      <c r="C77" s="2090"/>
      <c r="D77" s="2090" t="s">
        <v>1598</v>
      </c>
      <c r="E77" s="2090" t="s">
        <v>1599</v>
      </c>
      <c r="F77" s="2090" t="s">
        <v>1168</v>
      </c>
      <c r="G77" s="2090"/>
      <c r="H77" s="2090"/>
      <c r="I77" s="2090"/>
      <c r="J77" s="2090"/>
      <c r="M77" s="2094"/>
      <c r="S77" s="2093"/>
    </row>
    <row r="78" spans="1:19">
      <c r="A78" s="2090" t="s">
        <v>178</v>
      </c>
      <c r="B78" s="2090">
        <f>('PONDASI DAN SLOOF'!$I$6-0.1)*100</f>
        <v>-10</v>
      </c>
      <c r="C78" s="2091">
        <f>B78/12</f>
        <v>-0.83333333333333337</v>
      </c>
      <c r="D78" s="2090">
        <f>ROUNDUP(C78,0)</f>
        <v>-1</v>
      </c>
      <c r="E78" s="2090">
        <f>(B80/100)+0.2+0.2</f>
        <v>0.30000000000000004</v>
      </c>
      <c r="F78" s="2090">
        <f>D78*E78</f>
        <v>-0.30000000000000004</v>
      </c>
      <c r="G78" s="2092">
        <f>F78*'PONDASI DAN SLOOF'!$I$9</f>
        <v>0</v>
      </c>
      <c r="H78" s="2090"/>
      <c r="I78" s="2090"/>
      <c r="J78" s="2090"/>
    </row>
    <row r="79" spans="1:19">
      <c r="A79" s="2090"/>
      <c r="B79" s="2090" t="str">
        <f>B74</f>
        <v>PANJANG Y</v>
      </c>
      <c r="C79" s="2090"/>
      <c r="D79" s="2090" t="s">
        <v>1601</v>
      </c>
      <c r="E79" s="2090" t="s">
        <v>1602</v>
      </c>
      <c r="F79" s="2090" t="s">
        <v>1168</v>
      </c>
      <c r="G79" s="2092"/>
      <c r="H79" s="2090"/>
      <c r="I79" s="2090"/>
      <c r="J79" s="2090"/>
    </row>
    <row r="80" spans="1:19">
      <c r="A80" s="2090"/>
      <c r="B80" s="2090">
        <f>('PONDASI DAN SLOOF'!$I$7-0.1)*100</f>
        <v>-10</v>
      </c>
      <c r="C80" s="2091">
        <f>B80/12</f>
        <v>-0.83333333333333337</v>
      </c>
      <c r="D80" s="2090">
        <f>ROUNDUP(C80,0)</f>
        <v>-1</v>
      </c>
      <c r="E80" s="2090">
        <f>(B78/100)+0.2+0.2</f>
        <v>0.30000000000000004</v>
      </c>
      <c r="F80" s="2090">
        <f>D80*E80</f>
        <v>-0.30000000000000004</v>
      </c>
      <c r="G80" s="2092">
        <f>F80*'PONDASI DAN SLOOF'!$I$9</f>
        <v>0</v>
      </c>
      <c r="H80" s="2090"/>
      <c r="I80" s="2090"/>
      <c r="J80" s="2090"/>
    </row>
    <row r="81" spans="1:11">
      <c r="A81" s="2090"/>
      <c r="B81" s="2090"/>
      <c r="C81" s="2090"/>
      <c r="D81" s="2090"/>
      <c r="E81" s="2090"/>
      <c r="F81" s="2090"/>
      <c r="G81" s="2092">
        <f>SUM(G78:G80)</f>
        <v>0</v>
      </c>
      <c r="H81" s="2092">
        <f>G81*1.58</f>
        <v>0</v>
      </c>
      <c r="I81" s="2092">
        <f>G81*0.89*0</f>
        <v>0</v>
      </c>
      <c r="J81" s="2092">
        <f>G81*1.04*0</f>
        <v>0</v>
      </c>
      <c r="K81" s="2093"/>
    </row>
    <row r="82" spans="1:11">
      <c r="A82" s="2090"/>
      <c r="B82" s="2090" t="str">
        <f>B67</f>
        <v>PANJANG X</v>
      </c>
      <c r="C82" s="2090"/>
      <c r="D82" s="2090" t="s">
        <v>1598</v>
      </c>
      <c r="E82" s="2090" t="s">
        <v>1599</v>
      </c>
      <c r="F82" s="2090" t="s">
        <v>1168</v>
      </c>
      <c r="G82" s="2090"/>
      <c r="H82" s="2090"/>
      <c r="I82" s="2090"/>
      <c r="J82" s="2090"/>
    </row>
    <row r="83" spans="1:11">
      <c r="A83" s="2090" t="s">
        <v>1912</v>
      </c>
      <c r="B83" s="2090">
        <f>('PONDASI DAN SLOOF'!$L$6-0.1)*100</f>
        <v>-10</v>
      </c>
      <c r="C83" s="2091">
        <f>B83/12</f>
        <v>-0.83333333333333337</v>
      </c>
      <c r="D83" s="2090">
        <f>ROUNDUP(C83,0)</f>
        <v>-1</v>
      </c>
      <c r="E83" s="2090">
        <f>(B85/100)+0.2+0.2</f>
        <v>0.30000000000000004</v>
      </c>
      <c r="F83" s="2090">
        <f>D83*E83</f>
        <v>-0.30000000000000004</v>
      </c>
      <c r="G83" s="2092">
        <f>F83*'PONDASI DAN SLOOF'!$L$9</f>
        <v>0</v>
      </c>
      <c r="H83" s="2090"/>
      <c r="I83" s="2090"/>
      <c r="J83" s="2090"/>
    </row>
    <row r="84" spans="1:11">
      <c r="A84" s="2090"/>
      <c r="B84" s="2090" t="str">
        <f>B69</f>
        <v>PANJANG Y</v>
      </c>
      <c r="C84" s="2090"/>
      <c r="D84" s="2090" t="s">
        <v>1601</v>
      </c>
      <c r="E84" s="2090" t="s">
        <v>1602</v>
      </c>
      <c r="F84" s="2090" t="s">
        <v>1168</v>
      </c>
      <c r="G84" s="2092"/>
      <c r="H84" s="2090"/>
      <c r="I84" s="2090"/>
      <c r="J84" s="2090"/>
    </row>
    <row r="85" spans="1:11">
      <c r="A85" s="2090"/>
      <c r="B85" s="2090">
        <f>('PONDASI DAN SLOOF'!$L$7-0.1)*100</f>
        <v>-10</v>
      </c>
      <c r="C85" s="2091">
        <f>B85/12</f>
        <v>-0.83333333333333337</v>
      </c>
      <c r="D85" s="2090">
        <f>ROUNDUP(C85,0)</f>
        <v>-1</v>
      </c>
      <c r="E85" s="2090">
        <f>(B83/100)+0.2+0.2</f>
        <v>0.30000000000000004</v>
      </c>
      <c r="F85" s="2090">
        <f>D85*E85</f>
        <v>-0.30000000000000004</v>
      </c>
      <c r="G85" s="2092">
        <f>F85*'PONDASI DAN SLOOF'!$L$9</f>
        <v>0</v>
      </c>
      <c r="H85" s="2090"/>
      <c r="I85" s="2090"/>
      <c r="J85" s="2090"/>
    </row>
    <row r="86" spans="1:11">
      <c r="A86" s="2090"/>
      <c r="B86" s="2090"/>
      <c r="C86" s="2090"/>
      <c r="D86" s="2090"/>
      <c r="E86" s="2090"/>
      <c r="F86" s="2090"/>
      <c r="G86" s="2092">
        <f>SUM(G83:G85)</f>
        <v>0</v>
      </c>
      <c r="H86" s="2092">
        <f>G86*1.58*0</f>
        <v>0</v>
      </c>
      <c r="I86" s="2092">
        <f>G86*0.89*0</f>
        <v>0</v>
      </c>
      <c r="J86" s="2092">
        <f>G86*1.04*0</f>
        <v>0</v>
      </c>
      <c r="K86" s="2093"/>
    </row>
    <row r="87" spans="1:11" s="2549" customFormat="1">
      <c r="A87" s="2547"/>
      <c r="B87" s="2547" t="str">
        <f>B67</f>
        <v>PANJANG X</v>
      </c>
      <c r="C87" s="2547"/>
      <c r="D87" s="2547" t="s">
        <v>1598</v>
      </c>
      <c r="E87" s="2547" t="s">
        <v>1599</v>
      </c>
      <c r="F87" s="2547" t="s">
        <v>1168</v>
      </c>
      <c r="G87" s="2547"/>
      <c r="H87" s="2547"/>
      <c r="I87" s="2547"/>
      <c r="J87" s="2547"/>
    </row>
    <row r="88" spans="1:11" s="2549" customFormat="1">
      <c r="A88" s="2547" t="s">
        <v>1913</v>
      </c>
      <c r="B88" s="2547">
        <f>('PONDASI DAN SLOOF'!$O$6-0.1)*100</f>
        <v>-10</v>
      </c>
      <c r="C88" s="2091">
        <f>B88/12</f>
        <v>-0.83333333333333337</v>
      </c>
      <c r="D88" s="2547">
        <f>ROUNDUP(C88,0)</f>
        <v>-1</v>
      </c>
      <c r="E88" s="2547">
        <f>(B90/100)+0.2+0.2</f>
        <v>0.30000000000000004</v>
      </c>
      <c r="F88" s="2547">
        <f>D88*E88</f>
        <v>-0.30000000000000004</v>
      </c>
      <c r="G88" s="2092">
        <f>F88*'PONDASI DAN SLOOF'!$O$9</f>
        <v>0</v>
      </c>
      <c r="H88" s="2547"/>
      <c r="I88" s="2547"/>
      <c r="J88" s="2547"/>
    </row>
    <row r="89" spans="1:11" s="2549" customFormat="1">
      <c r="A89" s="2547"/>
      <c r="B89" s="2547" t="str">
        <f>B74</f>
        <v>PANJANG Y</v>
      </c>
      <c r="C89" s="2547"/>
      <c r="D89" s="2547" t="s">
        <v>1601</v>
      </c>
      <c r="E89" s="2547" t="s">
        <v>1602</v>
      </c>
      <c r="F89" s="2547" t="s">
        <v>1168</v>
      </c>
      <c r="G89" s="2092"/>
      <c r="H89" s="2547"/>
      <c r="I89" s="2547"/>
      <c r="J89" s="2547"/>
    </row>
    <row r="90" spans="1:11" s="2549" customFormat="1">
      <c r="A90" s="2547"/>
      <c r="B90" s="2547">
        <f>('PONDASI DAN SLOOF'!$O$7-0.1)*100</f>
        <v>-10</v>
      </c>
      <c r="C90" s="2091">
        <f>B90/12</f>
        <v>-0.83333333333333337</v>
      </c>
      <c r="D90" s="2547">
        <f>ROUNDUP(C90,0)</f>
        <v>-1</v>
      </c>
      <c r="E90" s="2547">
        <f>(B88/100)+0.2+0.2</f>
        <v>0.30000000000000004</v>
      </c>
      <c r="F90" s="2547">
        <f>D90*E90</f>
        <v>-0.30000000000000004</v>
      </c>
      <c r="G90" s="2092">
        <f>F90*'PONDASI DAN SLOOF'!$O$9</f>
        <v>0</v>
      </c>
      <c r="H90" s="2092"/>
      <c r="I90" s="2092"/>
      <c r="J90" s="2092"/>
      <c r="K90" s="2093"/>
    </row>
    <row r="91" spans="1:11" s="2549" customFormat="1">
      <c r="A91" s="2548"/>
      <c r="B91" s="2548"/>
      <c r="C91" s="2548"/>
      <c r="D91" s="2548"/>
      <c r="E91" s="2548"/>
      <c r="F91" s="2548"/>
      <c r="G91" s="2096">
        <f>SUM(G88:G90)</f>
        <v>0</v>
      </c>
      <c r="H91" s="2092">
        <f>G91*1.58</f>
        <v>0</v>
      </c>
      <c r="I91" s="2092">
        <f>G91*0.89*0</f>
        <v>0</v>
      </c>
      <c r="J91" s="2092">
        <f>G91*1.04*0</f>
        <v>0</v>
      </c>
      <c r="K91" s="2093"/>
    </row>
    <row r="92" spans="1:11">
      <c r="A92" s="2090"/>
      <c r="B92" s="2090" t="str">
        <f>B72</f>
        <v>PANJANG X</v>
      </c>
      <c r="C92" s="2090"/>
      <c r="D92" s="2090" t="s">
        <v>1598</v>
      </c>
      <c r="E92" s="2090" t="s">
        <v>1599</v>
      </c>
      <c r="F92" s="2090" t="s">
        <v>1168</v>
      </c>
      <c r="G92" s="2090"/>
      <c r="H92" s="2090"/>
      <c r="I92" s="2090"/>
      <c r="J92" s="2090"/>
    </row>
    <row r="93" spans="1:11">
      <c r="A93" s="2090" t="s">
        <v>2660</v>
      </c>
      <c r="B93" s="2547">
        <f>('PONDASI DAN SLOOF'!$R$6-0.1)*100</f>
        <v>-10</v>
      </c>
      <c r="C93" s="2091">
        <f>B93/12</f>
        <v>-0.83333333333333337</v>
      </c>
      <c r="D93" s="2090">
        <f>ROUNDUP(C93,0)</f>
        <v>-1</v>
      </c>
      <c r="E93" s="2090">
        <f>(B95/100)+0.2+0.2</f>
        <v>0.30000000000000004</v>
      </c>
      <c r="F93" s="2090">
        <f>D93*E93</f>
        <v>-0.30000000000000004</v>
      </c>
      <c r="G93" s="2092">
        <f>F93*'PONDASI DAN SLOOF'!$R$9</f>
        <v>0</v>
      </c>
      <c r="H93" s="2090"/>
      <c r="I93" s="2090"/>
      <c r="J93" s="2090"/>
    </row>
    <row r="94" spans="1:11">
      <c r="A94" s="2090"/>
      <c r="B94" s="2547" t="str">
        <f>B79</f>
        <v>PANJANG Y</v>
      </c>
      <c r="C94" s="2090"/>
      <c r="D94" s="2090" t="s">
        <v>1601</v>
      </c>
      <c r="E94" s="2090" t="s">
        <v>1602</v>
      </c>
      <c r="F94" s="2090" t="s">
        <v>1168</v>
      </c>
      <c r="G94" s="2092"/>
      <c r="H94" s="2090"/>
      <c r="I94" s="2090"/>
      <c r="J94" s="2090"/>
    </row>
    <row r="95" spans="1:11">
      <c r="A95" s="2090"/>
      <c r="B95" s="2547">
        <f>('PONDASI DAN SLOOF'!$R$7-0.1)*100</f>
        <v>-10</v>
      </c>
      <c r="C95" s="2091">
        <f>B95/12</f>
        <v>-0.83333333333333337</v>
      </c>
      <c r="D95" s="2090">
        <f>ROUNDUP(C95,0)</f>
        <v>-1</v>
      </c>
      <c r="E95" s="2090">
        <f>(B93/100)+0.2+0.2</f>
        <v>0.30000000000000004</v>
      </c>
      <c r="F95" s="2090">
        <f>D95*E95</f>
        <v>-0.30000000000000004</v>
      </c>
      <c r="G95" s="2092">
        <f>F95*'PONDASI DAN SLOOF'!$R$9</f>
        <v>0</v>
      </c>
      <c r="H95" s="2092"/>
      <c r="I95" s="2092"/>
      <c r="J95" s="2092"/>
      <c r="K95" s="2093"/>
    </row>
    <row r="96" spans="1:11">
      <c r="A96" s="2095"/>
      <c r="B96" s="2095"/>
      <c r="C96" s="2095"/>
      <c r="D96" s="2095"/>
      <c r="E96" s="2095"/>
      <c r="F96" s="2095"/>
      <c r="G96" s="2096">
        <f>SUM(G93:G95)</f>
        <v>0</v>
      </c>
      <c r="H96" s="2092">
        <f>G96*1.58</f>
        <v>0</v>
      </c>
      <c r="I96" s="2092">
        <f>G96*0.89*0</f>
        <v>0</v>
      </c>
      <c r="J96" s="2092">
        <f>G96*1.04*0</f>
        <v>0</v>
      </c>
      <c r="K96" s="2093"/>
    </row>
    <row r="97" spans="1:17" ht="15">
      <c r="A97" s="2804" t="s">
        <v>1976</v>
      </c>
      <c r="B97" s="2805"/>
      <c r="C97" s="2805"/>
      <c r="D97" s="2805"/>
      <c r="E97" s="2805"/>
      <c r="F97" s="2805"/>
      <c r="G97" s="2837"/>
      <c r="H97" s="2097">
        <f>H71+H76+H81+H86+H96+H91</f>
        <v>1428.32</v>
      </c>
      <c r="I97" s="2098">
        <f>I71+I76+I81+I86+I96+I91</f>
        <v>0</v>
      </c>
      <c r="J97" s="2098">
        <f>J71+J76+J81+J86+J96+J91</f>
        <v>0</v>
      </c>
      <c r="K97" s="2093"/>
    </row>
    <row r="98" spans="1:17">
      <c r="O98" s="2099" t="s">
        <v>2337</v>
      </c>
    </row>
    <row r="99" spans="1:17" ht="20.25">
      <c r="A99" s="2847" t="s">
        <v>1981</v>
      </c>
      <c r="B99" s="2848"/>
      <c r="C99" s="2848"/>
      <c r="D99" s="2848"/>
      <c r="E99" s="2848"/>
      <c r="F99" s="2848"/>
      <c r="G99" s="2848"/>
      <c r="H99" s="2848"/>
      <c r="I99" s="2848"/>
      <c r="J99" s="2849"/>
      <c r="P99" s="2100" t="s">
        <v>2341</v>
      </c>
      <c r="Q99" s="2101" t="s">
        <v>2340</v>
      </c>
    </row>
    <row r="100" spans="1:17">
      <c r="A100" s="2102"/>
      <c r="B100" s="2102" t="s">
        <v>153</v>
      </c>
      <c r="C100" s="2102" t="s">
        <v>1986</v>
      </c>
      <c r="D100" s="2102" t="s">
        <v>155</v>
      </c>
      <c r="E100" s="2102" t="s">
        <v>1986</v>
      </c>
      <c r="F100" s="2102" t="s">
        <v>178</v>
      </c>
      <c r="G100" s="2102" t="s">
        <v>1986</v>
      </c>
      <c r="H100" s="2102" t="s">
        <v>1912</v>
      </c>
      <c r="I100" s="2102" t="s">
        <v>1986</v>
      </c>
      <c r="J100" s="2102" t="s">
        <v>1913</v>
      </c>
      <c r="K100" s="2087" t="s">
        <v>1986</v>
      </c>
      <c r="L100" s="2102" t="s">
        <v>1913</v>
      </c>
      <c r="M100" s="2546" t="s">
        <v>1986</v>
      </c>
      <c r="O100" s="2103" t="s">
        <v>2338</v>
      </c>
      <c r="P100" s="2090">
        <v>0.3</v>
      </c>
      <c r="Q100" s="2090">
        <v>0.79</v>
      </c>
    </row>
    <row r="101" spans="1:17">
      <c r="A101" s="2090" t="s">
        <v>1982</v>
      </c>
      <c r="B101" s="2090">
        <f>'PONDASI DAN SLOOF'!C6</f>
        <v>0.8</v>
      </c>
      <c r="C101" s="2802">
        <f>B101*B102*B103*B104</f>
        <v>8.8320000000000007</v>
      </c>
      <c r="D101" s="2090">
        <f>'PONDASI DAN SLOOF'!F6</f>
        <v>0.6</v>
      </c>
      <c r="E101" s="2802">
        <f>D101*D102*D103*D104</f>
        <v>1.6199999999999999</v>
      </c>
      <c r="F101" s="2090">
        <f>'PONDASI DAN SLOOF'!I6</f>
        <v>0</v>
      </c>
      <c r="G101" s="2802">
        <f>F101*F102*F103*F104</f>
        <v>0</v>
      </c>
      <c r="H101" s="2090">
        <f>'PONDASI DAN SLOOF'!$L$6</f>
        <v>0</v>
      </c>
      <c r="I101" s="2802">
        <f>H101*H102*H103*H104</f>
        <v>0</v>
      </c>
      <c r="J101" s="2547">
        <f>'PONDASI DAN SLOOF'!$O$6</f>
        <v>0</v>
      </c>
      <c r="K101" s="2802">
        <f>J101*J102*J103*J104</f>
        <v>0</v>
      </c>
      <c r="L101" s="2547">
        <f>'PONDASI DAN SLOOF'!$R$6</f>
        <v>0</v>
      </c>
      <c r="M101" s="2802">
        <f>L101*L102*L103*L104</f>
        <v>0</v>
      </c>
      <c r="O101" s="2103" t="s">
        <v>2339</v>
      </c>
      <c r="P101" s="2090">
        <v>0.7</v>
      </c>
      <c r="Q101" s="2090">
        <v>0.76</v>
      </c>
    </row>
    <row r="102" spans="1:17">
      <c r="A102" s="2090" t="s">
        <v>1983</v>
      </c>
      <c r="B102" s="2090">
        <f>'PONDASI DAN SLOOF'!C7</f>
        <v>0.8</v>
      </c>
      <c r="C102" s="2802"/>
      <c r="D102" s="2090">
        <f>'PONDASI DAN SLOOF'!F7</f>
        <v>0.6</v>
      </c>
      <c r="E102" s="2802"/>
      <c r="F102" s="2090">
        <f>'PONDASI DAN SLOOF'!I7</f>
        <v>0</v>
      </c>
      <c r="G102" s="2802"/>
      <c r="H102" s="2090">
        <f>'PONDASI DAN SLOOF'!$L$7</f>
        <v>0</v>
      </c>
      <c r="I102" s="2802"/>
      <c r="J102" s="2547">
        <f>'PONDASI DAN SLOOF'!$O$7</f>
        <v>0</v>
      </c>
      <c r="K102" s="2802"/>
      <c r="L102" s="2547">
        <f>'PONDASI DAN SLOOF'!$R$7</f>
        <v>0</v>
      </c>
      <c r="M102" s="2802"/>
      <c r="O102" s="2103" t="s">
        <v>1608</v>
      </c>
      <c r="P102" s="2090">
        <v>1.05</v>
      </c>
      <c r="Q102" s="2090">
        <v>0.1</v>
      </c>
    </row>
    <row r="103" spans="1:17">
      <c r="A103" s="2090" t="s">
        <v>1984</v>
      </c>
      <c r="B103" s="2090">
        <f>'PONDASI DAN SLOOF'!C8</f>
        <v>0.3</v>
      </c>
      <c r="C103" s="2802"/>
      <c r="D103" s="2090">
        <f>'PONDASI DAN SLOOF'!F8</f>
        <v>0.3</v>
      </c>
      <c r="E103" s="2802"/>
      <c r="F103" s="2090">
        <f>'PONDASI DAN SLOOF'!I8</f>
        <v>0</v>
      </c>
      <c r="G103" s="2802"/>
      <c r="H103" s="2090">
        <f>'PONDASI DAN SLOOF'!$L$8</f>
        <v>0</v>
      </c>
      <c r="I103" s="2802"/>
      <c r="J103" s="2547">
        <f>'PONDASI DAN SLOOF'!$O$8</f>
        <v>0</v>
      </c>
      <c r="K103" s="2802"/>
      <c r="L103" s="2547">
        <f>'PONDASI DAN SLOOF'!$R$8</f>
        <v>0</v>
      </c>
      <c r="M103" s="2802"/>
      <c r="O103" s="2103" t="s">
        <v>2009</v>
      </c>
      <c r="P103" s="2090">
        <f>'PONDASI DAN SLOOF'!$U$7</f>
        <v>190</v>
      </c>
      <c r="Q103" s="2090">
        <f>'PONDASI DAN SLOOF'!$U$7</f>
        <v>190</v>
      </c>
    </row>
    <row r="104" spans="1:17">
      <c r="A104" s="2095" t="s">
        <v>1985</v>
      </c>
      <c r="B104" s="2095">
        <f>'PONDASI DAN SLOOF'!C9</f>
        <v>46</v>
      </c>
      <c r="C104" s="2803"/>
      <c r="D104" s="2095">
        <f>'PONDASI DAN SLOOF'!F9</f>
        <v>15</v>
      </c>
      <c r="E104" s="2803"/>
      <c r="F104" s="2095">
        <f>'PONDASI DAN SLOOF'!I9</f>
        <v>0</v>
      </c>
      <c r="G104" s="2803"/>
      <c r="H104" s="2090">
        <f>'PONDASI DAN SLOOF'!$L$9</f>
        <v>0</v>
      </c>
      <c r="I104" s="2803"/>
      <c r="J104" s="2547">
        <f>'PONDASI DAN SLOOF'!$O$9</f>
        <v>0</v>
      </c>
      <c r="K104" s="2803"/>
      <c r="L104" s="2547">
        <f>'PONDASI DAN SLOOF'!$R$9</f>
        <v>0</v>
      </c>
      <c r="M104" s="2803"/>
      <c r="O104" s="2103" t="s">
        <v>2041</v>
      </c>
      <c r="P104" s="2104">
        <f>(P100+P101)/2*P102*P103</f>
        <v>99.75</v>
      </c>
      <c r="Q104" s="2104">
        <f>(Q100+Q101)/2*Q102*Q103</f>
        <v>14.725000000000003</v>
      </c>
    </row>
    <row r="105" spans="1:17" ht="15">
      <c r="A105" s="2804" t="s">
        <v>2072</v>
      </c>
      <c r="B105" s="2805"/>
      <c r="C105" s="2805"/>
      <c r="D105" s="2805"/>
      <c r="E105" s="2805"/>
      <c r="F105" s="2805"/>
      <c r="G105" s="2805"/>
      <c r="H105" s="2805"/>
      <c r="I105" s="2837"/>
      <c r="J105" s="2105">
        <f>C101+E101+G101+I101+K101+M101</f>
        <v>10.452</v>
      </c>
    </row>
    <row r="109" spans="1:17">
      <c r="A109" s="2838" t="s">
        <v>1954</v>
      </c>
      <c r="B109" s="2839"/>
      <c r="C109" s="2839"/>
      <c r="D109" s="2840"/>
    </row>
    <row r="110" spans="1:17" ht="15">
      <c r="A110" s="2102" t="s">
        <v>1961</v>
      </c>
      <c r="B110" s="2106" t="s">
        <v>1939</v>
      </c>
      <c r="C110" s="2106" t="s">
        <v>1962</v>
      </c>
      <c r="D110" s="2106" t="s">
        <v>1568</v>
      </c>
    </row>
    <row r="111" spans="1:17">
      <c r="A111" s="2090" t="s">
        <v>1603</v>
      </c>
      <c r="B111" s="2220">
        <f>'PONDASI DAN SLOOF'!$C$19</f>
        <v>405</v>
      </c>
      <c r="C111" s="2090">
        <f>'PONDASI DAN SLOOF'!$C$20*'PONDASI DAN SLOOF'!$C$21</f>
        <v>8.0000000000000016E-2</v>
      </c>
      <c r="D111" s="2090">
        <f>B111*C111</f>
        <v>32.400000000000006</v>
      </c>
      <c r="G111" s="2094"/>
      <c r="H111" s="2094"/>
      <c r="I111" s="2094"/>
      <c r="J111" s="2094"/>
      <c r="K111" s="2094"/>
      <c r="M111" s="2094"/>
    </row>
    <row r="112" spans="1:17">
      <c r="A112" s="2090" t="s">
        <v>1604</v>
      </c>
      <c r="B112" s="2090">
        <f>'PONDASI DAN SLOOF'!$F$19</f>
        <v>136</v>
      </c>
      <c r="C112" s="2090">
        <f>'PONDASI DAN SLOOF'!$F$20*'PONDASI DAN SLOOF'!$F$21</f>
        <v>4.4999999999999998E-2</v>
      </c>
      <c r="D112" s="2090">
        <f>B112*C112</f>
        <v>6.12</v>
      </c>
    </row>
    <row r="113" spans="1:18">
      <c r="A113" s="2095" t="s">
        <v>1605</v>
      </c>
      <c r="B113" s="2095">
        <f>'PONDASI DAN SLOOF'!$I$19</f>
        <v>0</v>
      </c>
      <c r="C113" s="2095">
        <f>'PONDASI DAN SLOOF'!$I$20*'PONDASI DAN SLOOF'!$I$21</f>
        <v>0</v>
      </c>
      <c r="D113" s="2090">
        <f>B113*C113</f>
        <v>0</v>
      </c>
    </row>
    <row r="114" spans="1:18" ht="15">
      <c r="A114" s="2841" t="s">
        <v>2073</v>
      </c>
      <c r="B114" s="2842"/>
      <c r="C114" s="2843"/>
      <c r="D114" s="2105">
        <f>SUM(D111:D113)</f>
        <v>38.520000000000003</v>
      </c>
    </row>
    <row r="116" spans="1:18">
      <c r="E116" s="2107"/>
    </row>
    <row r="117" spans="1:18" ht="15">
      <c r="A117" s="2844" t="s">
        <v>2382</v>
      </c>
      <c r="B117" s="2845"/>
      <c r="C117" s="2845"/>
      <c r="D117" s="2846"/>
      <c r="E117" s="2107"/>
      <c r="F117" s="2844" t="s">
        <v>2429</v>
      </c>
      <c r="G117" s="2845"/>
      <c r="H117" s="2845"/>
      <c r="I117" s="2846"/>
      <c r="K117" s="2108" t="s">
        <v>2430</v>
      </c>
      <c r="L117" s="2109"/>
      <c r="M117" s="2109"/>
      <c r="N117" s="2109"/>
      <c r="O117" s="2109"/>
      <c r="P117" s="2109"/>
      <c r="Q117" s="2110"/>
      <c r="R117" s="2111"/>
    </row>
    <row r="118" spans="1:18" ht="15">
      <c r="A118" s="2102" t="s">
        <v>1961</v>
      </c>
      <c r="B118" s="2294" t="s">
        <v>1939</v>
      </c>
      <c r="C118" s="2295" t="s">
        <v>1963</v>
      </c>
      <c r="D118" s="2295" t="s">
        <v>1967</v>
      </c>
      <c r="E118" s="2107"/>
      <c r="F118" s="2102" t="s">
        <v>1961</v>
      </c>
      <c r="G118" s="2294" t="s">
        <v>1939</v>
      </c>
      <c r="H118" s="2295" t="s">
        <v>1963</v>
      </c>
      <c r="I118" s="2295" t="s">
        <v>1967</v>
      </c>
      <c r="K118" s="2102" t="s">
        <v>1964</v>
      </c>
      <c r="L118" s="2102" t="s">
        <v>1965</v>
      </c>
      <c r="M118" s="2102" t="s">
        <v>1966</v>
      </c>
      <c r="N118" s="2102" t="s">
        <v>1968</v>
      </c>
      <c r="O118" s="2102" t="s">
        <v>1974</v>
      </c>
      <c r="P118" s="2102" t="s">
        <v>1973</v>
      </c>
      <c r="Q118" s="2830" t="s">
        <v>1970</v>
      </c>
      <c r="R118" s="2830" t="s">
        <v>1971</v>
      </c>
    </row>
    <row r="119" spans="1:18">
      <c r="A119" s="2090" t="s">
        <v>1701</v>
      </c>
      <c r="B119" s="2296">
        <f>'PONDASI DAN SLOOF'!$C$19</f>
        <v>405</v>
      </c>
      <c r="C119" s="2133">
        <f>B4</f>
        <v>8</v>
      </c>
      <c r="D119" s="2133">
        <f>B119*C119</f>
        <v>3240</v>
      </c>
      <c r="E119" s="2107"/>
      <c r="F119" s="2090" t="s">
        <v>1701</v>
      </c>
      <c r="G119" s="2296">
        <f>'PONDASI DAN SLOOF'!$C$19</f>
        <v>405</v>
      </c>
      <c r="H119" s="2133">
        <f>C4</f>
        <v>0.1</v>
      </c>
      <c r="I119" s="2133">
        <f>G119*H119</f>
        <v>40.5</v>
      </c>
      <c r="K119" s="2090">
        <f>(B119*0.5)/0.2</f>
        <v>1012.5</v>
      </c>
      <c r="L119" s="2090">
        <f>((B119*0.25)*2)*0.1</f>
        <v>20.25</v>
      </c>
      <c r="M119" s="2090">
        <f>SUM(K119:L119)</f>
        <v>1032.75</v>
      </c>
      <c r="N119" s="2090">
        <f>2*(('PONDASI DAN SLOOF'!$C$20-0.05)+('PONDASI DAN SLOOF'!$C$21-0.05))</f>
        <v>1</v>
      </c>
      <c r="O119" s="2090">
        <f>M119*N119</f>
        <v>1032.75</v>
      </c>
      <c r="P119" s="2090">
        <f>M119*N119</f>
        <v>1032.75</v>
      </c>
      <c r="Q119" s="2857"/>
      <c r="R119" s="2857"/>
    </row>
    <row r="120" spans="1:18">
      <c r="A120" s="2090" t="s">
        <v>1702</v>
      </c>
      <c r="B120" s="2133">
        <f>'PONDASI DAN SLOOF'!$F$19</f>
        <v>136</v>
      </c>
      <c r="C120" s="2133">
        <f>B5</f>
        <v>4</v>
      </c>
      <c r="D120" s="2133">
        <f>B120*C120</f>
        <v>544</v>
      </c>
      <c r="E120" s="2107"/>
      <c r="F120" s="2090" t="s">
        <v>1702</v>
      </c>
      <c r="G120" s="2133">
        <f>'PONDASI DAN SLOOF'!$F$19</f>
        <v>136</v>
      </c>
      <c r="H120" s="2133">
        <f>C5</f>
        <v>0.1</v>
      </c>
      <c r="I120" s="2133">
        <f>G120*H120</f>
        <v>13.600000000000001</v>
      </c>
      <c r="K120" s="2090">
        <f>(B120*0.5)/0.2</f>
        <v>340</v>
      </c>
      <c r="L120" s="2090">
        <f>((B120*0.25)*2)*0.1</f>
        <v>6.8000000000000007</v>
      </c>
      <c r="M120" s="2090">
        <f>SUM(K120:L120)</f>
        <v>346.8</v>
      </c>
      <c r="N120" s="2090">
        <f>2*(('PONDASI DAN SLOOF'!$F$20-0.05)+('PONDASI DAN SLOOF'!$F$21-0.05))</f>
        <v>0.7</v>
      </c>
      <c r="O120" s="2090">
        <f>M120*N120</f>
        <v>242.76</v>
      </c>
      <c r="P120" s="2090">
        <f>M120*N120</f>
        <v>242.76</v>
      </c>
      <c r="Q120" s="2857"/>
      <c r="R120" s="2857"/>
    </row>
    <row r="121" spans="1:18">
      <c r="A121" s="2095" t="s">
        <v>1703</v>
      </c>
      <c r="B121" s="2133">
        <f>'PONDASI DAN SLOOF'!$I$19</f>
        <v>0</v>
      </c>
      <c r="C121" s="2133">
        <f>B6</f>
        <v>0</v>
      </c>
      <c r="D121" s="2133">
        <f>B121*C121</f>
        <v>0</v>
      </c>
      <c r="E121" s="2107"/>
      <c r="F121" s="2095" t="s">
        <v>1703</v>
      </c>
      <c r="G121" s="2133">
        <f>'PONDASI DAN SLOOF'!$I$19</f>
        <v>0</v>
      </c>
      <c r="H121" s="2133">
        <f>C6</f>
        <v>0</v>
      </c>
      <c r="I121" s="2133">
        <f>G121*H121</f>
        <v>0</v>
      </c>
      <c r="K121" s="2090">
        <f>(B121*0.5)/0.2</f>
        <v>0</v>
      </c>
      <c r="L121" s="2090">
        <f>((B121*0.25)*2)*0.1</f>
        <v>0</v>
      </c>
      <c r="M121" s="2090">
        <f>SUM(K121:L121)</f>
        <v>0</v>
      </c>
      <c r="N121" s="2090">
        <f>2*(('PONDASI DAN SLOOF'!$I$20-0.05)+('PONDASI DAN SLOOF'!$I$21-0.05))</f>
        <v>-0.2</v>
      </c>
      <c r="O121" s="2090">
        <f>M121*N121</f>
        <v>0</v>
      </c>
      <c r="P121" s="2090">
        <f>M121*N121</f>
        <v>0</v>
      </c>
      <c r="Q121" s="2825"/>
      <c r="R121" s="2825"/>
    </row>
    <row r="122" spans="1:18" ht="15">
      <c r="A122" s="2858" t="s">
        <v>2074</v>
      </c>
      <c r="B122" s="2859"/>
      <c r="C122" s="2860"/>
      <c r="D122" s="2121">
        <f>SUM(D119:D121)</f>
        <v>3784</v>
      </c>
      <c r="E122" s="2107"/>
      <c r="F122" s="2858" t="s">
        <v>2074</v>
      </c>
      <c r="G122" s="2859"/>
      <c r="H122" s="2860"/>
      <c r="I122" s="2121">
        <f>SUM(I119:I121)</f>
        <v>54.1</v>
      </c>
      <c r="K122" s="1727"/>
      <c r="L122" s="1727"/>
      <c r="M122" s="1727"/>
      <c r="N122" s="1727"/>
      <c r="P122" s="2112" t="s">
        <v>1972</v>
      </c>
      <c r="Q122" s="2090"/>
      <c r="R122" s="2105">
        <f>Q122*0.4</f>
        <v>0</v>
      </c>
    </row>
    <row r="123" spans="1:18" ht="15">
      <c r="A123" s="2858" t="s">
        <v>2075</v>
      </c>
      <c r="B123" s="2861"/>
      <c r="C123" s="2862"/>
      <c r="D123" s="2105">
        <f>D122*1.58</f>
        <v>5978.72</v>
      </c>
      <c r="E123" s="2107"/>
      <c r="F123" s="2858" t="s">
        <v>2075</v>
      </c>
      <c r="G123" s="2861"/>
      <c r="H123" s="2862"/>
      <c r="I123" s="2105">
        <f>I122*0.888</f>
        <v>48.040800000000004</v>
      </c>
      <c r="K123" s="1727"/>
      <c r="L123" s="1727"/>
      <c r="M123" s="1727"/>
      <c r="N123" s="1727"/>
      <c r="P123" s="2112" t="s">
        <v>2431</v>
      </c>
      <c r="Q123" s="2090">
        <f>SUM(P119:P121)</f>
        <v>1275.51</v>
      </c>
      <c r="R123" s="2105">
        <f>Q123*0.617</f>
        <v>786.98966999999993</v>
      </c>
    </row>
    <row r="124" spans="1:18" ht="15">
      <c r="A124" s="2113"/>
      <c r="B124" s="2113"/>
      <c r="C124" s="2113"/>
      <c r="D124" s="2107"/>
      <c r="E124" s="2107"/>
      <c r="F124" s="2114"/>
      <c r="G124" s="2114"/>
      <c r="H124" s="2114"/>
      <c r="I124" s="2114"/>
      <c r="J124" s="2114"/>
      <c r="K124" s="2107"/>
      <c r="L124" s="2107"/>
    </row>
    <row r="125" spans="1:18" ht="15">
      <c r="A125" s="2838" t="s">
        <v>1977</v>
      </c>
      <c r="B125" s="2839"/>
      <c r="C125" s="2839"/>
      <c r="D125" s="2840"/>
      <c r="E125" s="2107"/>
      <c r="F125" s="2114"/>
      <c r="G125" s="2114"/>
      <c r="H125" s="2114"/>
      <c r="I125" s="2114"/>
      <c r="J125" s="2114"/>
      <c r="K125" s="2107"/>
      <c r="L125" s="2107"/>
    </row>
    <row r="126" spans="1:18" ht="15">
      <c r="A126" s="2102" t="s">
        <v>1961</v>
      </c>
      <c r="B126" s="2106" t="s">
        <v>1939</v>
      </c>
      <c r="C126" s="2102" t="s">
        <v>1978</v>
      </c>
      <c r="D126" s="2102" t="s">
        <v>1969</v>
      </c>
    </row>
    <row r="127" spans="1:18">
      <c r="A127" s="2090" t="s">
        <v>1701</v>
      </c>
      <c r="B127" s="2220">
        <f>'PONDASI DAN SLOOF'!$C$19</f>
        <v>405</v>
      </c>
      <c r="C127" s="2090">
        <f>'PONDASI DAN SLOOF'!$C$21*2</f>
        <v>0.8</v>
      </c>
      <c r="D127" s="2090">
        <f>B127*C127</f>
        <v>324</v>
      </c>
    </row>
    <row r="128" spans="1:18">
      <c r="A128" s="2090" t="s">
        <v>1702</v>
      </c>
      <c r="B128" s="2090">
        <f>'PONDASI DAN SLOOF'!$F$19</f>
        <v>136</v>
      </c>
      <c r="C128" s="2090">
        <f>'PONDASI DAN SLOOF'!$F$21*2</f>
        <v>0.6</v>
      </c>
      <c r="D128" s="2090">
        <f>B128*C128</f>
        <v>81.599999999999994</v>
      </c>
    </row>
    <row r="129" spans="1:14">
      <c r="A129" s="2095" t="s">
        <v>1703</v>
      </c>
      <c r="B129" s="2095">
        <f>'PONDASI DAN SLOOF'!$I$19</f>
        <v>0</v>
      </c>
      <c r="C129" s="2095">
        <f>'PONDASI DAN SLOOF'!$I$21*2</f>
        <v>0</v>
      </c>
      <c r="D129" s="2090">
        <f>B129*C129</f>
        <v>0</v>
      </c>
    </row>
    <row r="130" spans="1:14" ht="15">
      <c r="A130" s="2804" t="s">
        <v>1979</v>
      </c>
      <c r="B130" s="2805"/>
      <c r="C130" s="2837"/>
      <c r="D130" s="2105">
        <f>SUM(D127:D129)</f>
        <v>405.6</v>
      </c>
    </row>
    <row r="131" spans="1:14" ht="15" thickBot="1"/>
    <row r="132" spans="1:14" ht="15" customHeight="1">
      <c r="A132" s="2850" t="s">
        <v>2020</v>
      </c>
      <c r="B132" s="2851"/>
      <c r="C132" s="2851"/>
      <c r="D132" s="2851"/>
      <c r="E132" s="2852"/>
      <c r="G132" s="2853" t="s">
        <v>2352</v>
      </c>
      <c r="H132" s="2854"/>
      <c r="I132" s="2115" t="s">
        <v>2432</v>
      </c>
    </row>
    <row r="133" spans="1:14">
      <c r="A133" s="2116" t="s">
        <v>1987</v>
      </c>
      <c r="B133" s="2116" t="s">
        <v>1608</v>
      </c>
      <c r="C133" s="2117" t="s">
        <v>2062</v>
      </c>
      <c r="D133" s="2116" t="s">
        <v>2088</v>
      </c>
      <c r="E133" s="2116" t="s">
        <v>1568</v>
      </c>
      <c r="G133" s="2185" t="s">
        <v>2009</v>
      </c>
      <c r="H133" s="2118" t="s">
        <v>2045</v>
      </c>
      <c r="I133" s="2297" t="s">
        <v>2433</v>
      </c>
      <c r="J133" s="2086" t="str">
        <f>D160</f>
        <v>D16</v>
      </c>
      <c r="K133" s="2258" t="str">
        <f>E160</f>
        <v>D13</v>
      </c>
      <c r="L133" s="2258" t="str">
        <f>F160</f>
        <v>Ø12</v>
      </c>
      <c r="M133" s="2258" t="str">
        <f>G160</f>
        <v>D10</v>
      </c>
      <c r="N133" s="2258"/>
    </row>
    <row r="134" spans="1:14">
      <c r="A134" s="2087" t="s">
        <v>1704</v>
      </c>
      <c r="B134" s="2119">
        <f>I8</f>
        <v>5.15</v>
      </c>
      <c r="C134" s="2133">
        <f t="shared" ref="C134:C151" si="0">I10</f>
        <v>16</v>
      </c>
      <c r="D134" s="2121">
        <f>IF(H134=0,3.14*G134^2,G134*H134)</f>
        <v>0.30250000000000005</v>
      </c>
      <c r="E134" s="2087">
        <f t="shared" ref="E134:E151" si="1">B134*C134*D134</f>
        <v>24.926000000000005</v>
      </c>
      <c r="G134" s="2133">
        <f t="shared" ref="G134:G151" si="2">B10</f>
        <v>0.55000000000000004</v>
      </c>
      <c r="H134" s="2133">
        <f t="shared" ref="H134:M134" si="3">C10</f>
        <v>0.55000000000000004</v>
      </c>
      <c r="I134" s="2133">
        <f t="shared" si="3"/>
        <v>10</v>
      </c>
      <c r="J134" s="2133">
        <f t="shared" si="3"/>
        <v>8</v>
      </c>
      <c r="K134" s="2133">
        <f t="shared" si="3"/>
        <v>0</v>
      </c>
      <c r="L134" s="2133">
        <f t="shared" si="3"/>
        <v>0</v>
      </c>
      <c r="M134" s="2133">
        <f t="shared" si="3"/>
        <v>0</v>
      </c>
    </row>
    <row r="135" spans="1:14">
      <c r="A135" s="2090" t="s">
        <v>1705</v>
      </c>
      <c r="B135" s="2119">
        <f>B134</f>
        <v>5.15</v>
      </c>
      <c r="C135" s="2133">
        <f t="shared" si="0"/>
        <v>0</v>
      </c>
      <c r="D135" s="2121">
        <f t="shared" ref="D135:D151" si="4">IF(H135=0,3.14*G135^2,G135*H135)</f>
        <v>0</v>
      </c>
      <c r="E135" s="2090">
        <f t="shared" si="1"/>
        <v>0</v>
      </c>
      <c r="G135" s="2133">
        <f t="shared" si="2"/>
        <v>0</v>
      </c>
      <c r="H135" s="2133">
        <f t="shared" ref="H135:H151" si="5">C11</f>
        <v>0</v>
      </c>
      <c r="I135" s="2133">
        <f t="shared" ref="I135:I151" si="6">D11</f>
        <v>0</v>
      </c>
      <c r="J135" s="2133">
        <f t="shared" ref="J135:J151" si="7">E11</f>
        <v>0</v>
      </c>
      <c r="K135" s="2133">
        <f t="shared" ref="K135:K151" si="8">F11</f>
        <v>0</v>
      </c>
      <c r="L135" s="2133">
        <f t="shared" ref="L135:L151" si="9">G11</f>
        <v>0</v>
      </c>
      <c r="M135" s="2133">
        <f t="shared" ref="M135:M151" si="10">H11</f>
        <v>0</v>
      </c>
    </row>
    <row r="136" spans="1:14" s="2238" customFormat="1">
      <c r="A136" s="2236" t="s">
        <v>1917</v>
      </c>
      <c r="B136" s="2119">
        <f>I10</f>
        <v>16</v>
      </c>
      <c r="C136" s="2133">
        <f t="shared" si="0"/>
        <v>8</v>
      </c>
      <c r="D136" s="2121">
        <f t="shared" ref="D136:D143" si="11">IF(H136=0,3.14*G136^2,G136*H136)</f>
        <v>8.0000000000000016E-2</v>
      </c>
      <c r="E136" s="2235">
        <f t="shared" ref="E136:E143" si="12">B136*C136*D136</f>
        <v>10.240000000000002</v>
      </c>
      <c r="G136" s="2133">
        <f t="shared" si="2"/>
        <v>0.4</v>
      </c>
      <c r="H136" s="2133">
        <f t="shared" si="5"/>
        <v>0.2</v>
      </c>
      <c r="I136" s="2133">
        <f t="shared" si="6"/>
        <v>10</v>
      </c>
      <c r="J136" s="2133">
        <f t="shared" si="7"/>
        <v>10</v>
      </c>
      <c r="K136" s="2133">
        <f t="shared" si="8"/>
        <v>0</v>
      </c>
      <c r="L136" s="2133">
        <f t="shared" si="9"/>
        <v>0</v>
      </c>
      <c r="M136" s="2133">
        <f t="shared" si="10"/>
        <v>0</v>
      </c>
    </row>
    <row r="137" spans="1:14" s="2238" customFormat="1">
      <c r="A137" s="2235" t="s">
        <v>1918</v>
      </c>
      <c r="B137" s="2123">
        <f>$B$134</f>
        <v>5.15</v>
      </c>
      <c r="C137" s="2133">
        <f t="shared" si="0"/>
        <v>42</v>
      </c>
      <c r="D137" s="2121">
        <f t="shared" si="11"/>
        <v>0.06</v>
      </c>
      <c r="E137" s="2235">
        <f t="shared" si="12"/>
        <v>12.978</v>
      </c>
      <c r="G137" s="2133">
        <f t="shared" si="2"/>
        <v>0.4</v>
      </c>
      <c r="H137" s="2133">
        <f t="shared" si="5"/>
        <v>0.15</v>
      </c>
      <c r="I137" s="2133">
        <f t="shared" si="6"/>
        <v>10</v>
      </c>
      <c r="J137" s="2133">
        <f t="shared" si="7"/>
        <v>8</v>
      </c>
      <c r="K137" s="2133">
        <f t="shared" si="8"/>
        <v>0</v>
      </c>
      <c r="L137" s="2133">
        <f t="shared" si="9"/>
        <v>0</v>
      </c>
      <c r="M137" s="2133">
        <f t="shared" si="10"/>
        <v>0</v>
      </c>
    </row>
    <row r="138" spans="1:14" s="2238" customFormat="1">
      <c r="A138" s="2236" t="s">
        <v>1919</v>
      </c>
      <c r="B138" s="2123">
        <f>$B$134</f>
        <v>5.15</v>
      </c>
      <c r="C138" s="2133">
        <f t="shared" si="0"/>
        <v>24</v>
      </c>
      <c r="D138" s="2121">
        <f t="shared" si="11"/>
        <v>4.4999999999999998E-2</v>
      </c>
      <c r="E138" s="2235">
        <f t="shared" si="12"/>
        <v>5.5620000000000003</v>
      </c>
      <c r="G138" s="2133">
        <f t="shared" si="2"/>
        <v>0.3</v>
      </c>
      <c r="H138" s="2133">
        <f t="shared" si="5"/>
        <v>0.15</v>
      </c>
      <c r="I138" s="2133">
        <f t="shared" si="6"/>
        <v>10</v>
      </c>
      <c r="J138" s="2133">
        <f t="shared" si="7"/>
        <v>0</v>
      </c>
      <c r="K138" s="2133">
        <f t="shared" si="8"/>
        <v>0</v>
      </c>
      <c r="L138" s="2133">
        <f t="shared" si="9"/>
        <v>6</v>
      </c>
      <c r="M138" s="2133">
        <f t="shared" si="10"/>
        <v>0</v>
      </c>
    </row>
    <row r="139" spans="1:14" s="2238" customFormat="1">
      <c r="A139" s="2235" t="s">
        <v>1992</v>
      </c>
      <c r="B139" s="2123">
        <f t="shared" ref="B139:B148" si="13">$B$134</f>
        <v>5.15</v>
      </c>
      <c r="C139" s="2133">
        <f t="shared" si="0"/>
        <v>5</v>
      </c>
      <c r="D139" s="2121">
        <f t="shared" si="11"/>
        <v>6.25E-2</v>
      </c>
      <c r="E139" s="2235">
        <f t="shared" si="12"/>
        <v>1.609375</v>
      </c>
      <c r="G139" s="2133">
        <f t="shared" si="2"/>
        <v>0.25</v>
      </c>
      <c r="H139" s="2133">
        <f t="shared" si="5"/>
        <v>0.25</v>
      </c>
      <c r="I139" s="2133">
        <f t="shared" si="6"/>
        <v>10</v>
      </c>
      <c r="J139" s="2133">
        <f t="shared" si="7"/>
        <v>0</v>
      </c>
      <c r="K139" s="2133">
        <f t="shared" si="8"/>
        <v>0</v>
      </c>
      <c r="L139" s="2133">
        <f t="shared" si="9"/>
        <v>8</v>
      </c>
      <c r="M139" s="2133">
        <f t="shared" si="10"/>
        <v>0</v>
      </c>
    </row>
    <row r="140" spans="1:14" s="2238" customFormat="1">
      <c r="A140" s="2236" t="s">
        <v>1993</v>
      </c>
      <c r="B140" s="2123">
        <f t="shared" si="13"/>
        <v>5.15</v>
      </c>
      <c r="C140" s="2133">
        <f t="shared" si="0"/>
        <v>40</v>
      </c>
      <c r="D140" s="2121">
        <f t="shared" si="11"/>
        <v>3.7499999999999999E-2</v>
      </c>
      <c r="E140" s="2235">
        <f t="shared" si="12"/>
        <v>7.7249999999999996</v>
      </c>
      <c r="G140" s="2133">
        <f t="shared" si="2"/>
        <v>0.25</v>
      </c>
      <c r="H140" s="2133">
        <f t="shared" si="5"/>
        <v>0.15</v>
      </c>
      <c r="I140" s="2133">
        <f t="shared" si="6"/>
        <v>10</v>
      </c>
      <c r="J140" s="2133">
        <f t="shared" si="7"/>
        <v>0</v>
      </c>
      <c r="K140" s="2133">
        <f t="shared" si="8"/>
        <v>0</v>
      </c>
      <c r="L140" s="2133">
        <f t="shared" si="9"/>
        <v>6</v>
      </c>
      <c r="M140" s="2133">
        <f t="shared" si="10"/>
        <v>0</v>
      </c>
    </row>
    <row r="141" spans="1:14" s="2238" customFormat="1">
      <c r="A141" s="2235" t="s">
        <v>1994</v>
      </c>
      <c r="B141" s="2123">
        <f t="shared" si="13"/>
        <v>5.15</v>
      </c>
      <c r="C141" s="2133">
        <f t="shared" si="0"/>
        <v>0</v>
      </c>
      <c r="D141" s="2121">
        <f t="shared" si="11"/>
        <v>0</v>
      </c>
      <c r="E141" s="2235">
        <f t="shared" si="12"/>
        <v>0</v>
      </c>
      <c r="G141" s="2133">
        <f t="shared" si="2"/>
        <v>0</v>
      </c>
      <c r="H141" s="2133">
        <f t="shared" si="5"/>
        <v>0</v>
      </c>
      <c r="I141" s="2133">
        <f t="shared" si="6"/>
        <v>0</v>
      </c>
      <c r="J141" s="2133">
        <f t="shared" si="7"/>
        <v>0</v>
      </c>
      <c r="K141" s="2133">
        <f t="shared" si="8"/>
        <v>0</v>
      </c>
      <c r="L141" s="2133">
        <f t="shared" si="9"/>
        <v>0</v>
      </c>
      <c r="M141" s="2133">
        <f t="shared" si="10"/>
        <v>0</v>
      </c>
    </row>
    <row r="142" spans="1:14" s="2238" customFormat="1">
      <c r="A142" s="2236" t="s">
        <v>1995</v>
      </c>
      <c r="B142" s="2123">
        <f t="shared" si="13"/>
        <v>5.15</v>
      </c>
      <c r="C142" s="2133">
        <f t="shared" si="0"/>
        <v>0</v>
      </c>
      <c r="D142" s="2121">
        <f t="shared" si="11"/>
        <v>0</v>
      </c>
      <c r="E142" s="2235">
        <f t="shared" si="12"/>
        <v>0</v>
      </c>
      <c r="G142" s="2133">
        <f t="shared" si="2"/>
        <v>0</v>
      </c>
      <c r="H142" s="2133">
        <f t="shared" si="5"/>
        <v>0</v>
      </c>
      <c r="I142" s="2133">
        <f t="shared" si="6"/>
        <v>0</v>
      </c>
      <c r="J142" s="2133">
        <f t="shared" si="7"/>
        <v>0</v>
      </c>
      <c r="K142" s="2133">
        <f t="shared" si="8"/>
        <v>0</v>
      </c>
      <c r="L142" s="2133">
        <f t="shared" si="9"/>
        <v>0</v>
      </c>
      <c r="M142" s="2133">
        <f t="shared" si="10"/>
        <v>0</v>
      </c>
    </row>
    <row r="143" spans="1:14" s="2238" customFormat="1">
      <c r="A143" s="2235" t="s">
        <v>1706</v>
      </c>
      <c r="B143" s="2123">
        <f t="shared" si="13"/>
        <v>5.15</v>
      </c>
      <c r="C143" s="2133">
        <f t="shared" si="0"/>
        <v>0</v>
      </c>
      <c r="D143" s="2121">
        <f t="shared" si="11"/>
        <v>0</v>
      </c>
      <c r="E143" s="2235">
        <f t="shared" si="12"/>
        <v>0</v>
      </c>
      <c r="G143" s="2133">
        <f t="shared" si="2"/>
        <v>0</v>
      </c>
      <c r="H143" s="2133">
        <f t="shared" si="5"/>
        <v>0</v>
      </c>
      <c r="I143" s="2133">
        <f t="shared" si="6"/>
        <v>0</v>
      </c>
      <c r="J143" s="2133">
        <f t="shared" si="7"/>
        <v>0</v>
      </c>
      <c r="K143" s="2133">
        <f t="shared" si="8"/>
        <v>0</v>
      </c>
      <c r="L143" s="2133">
        <f t="shared" si="9"/>
        <v>0</v>
      </c>
      <c r="M143" s="2133">
        <f t="shared" si="10"/>
        <v>0</v>
      </c>
    </row>
    <row r="144" spans="1:14">
      <c r="A144" s="2236" t="s">
        <v>2451</v>
      </c>
      <c r="B144" s="2123">
        <f t="shared" si="13"/>
        <v>5.15</v>
      </c>
      <c r="C144" s="2133">
        <f t="shared" si="0"/>
        <v>0</v>
      </c>
      <c r="D144" s="2121">
        <f t="shared" si="4"/>
        <v>0</v>
      </c>
      <c r="E144" s="2090">
        <f t="shared" si="1"/>
        <v>0</v>
      </c>
      <c r="G144" s="2133">
        <f t="shared" si="2"/>
        <v>0</v>
      </c>
      <c r="H144" s="2133">
        <f t="shared" si="5"/>
        <v>0</v>
      </c>
      <c r="I144" s="2133">
        <f t="shared" si="6"/>
        <v>0</v>
      </c>
      <c r="J144" s="2133">
        <f t="shared" si="7"/>
        <v>0</v>
      </c>
      <c r="K144" s="2133">
        <f t="shared" si="8"/>
        <v>0</v>
      </c>
      <c r="L144" s="2133">
        <f t="shared" si="9"/>
        <v>0</v>
      </c>
      <c r="M144" s="2133">
        <f t="shared" si="10"/>
        <v>0</v>
      </c>
    </row>
    <row r="145" spans="1:17">
      <c r="A145" s="2235" t="s">
        <v>2452</v>
      </c>
      <c r="B145" s="2123">
        <f t="shared" si="13"/>
        <v>5.15</v>
      </c>
      <c r="C145" s="2133">
        <f t="shared" si="0"/>
        <v>0</v>
      </c>
      <c r="D145" s="2121">
        <f t="shared" si="4"/>
        <v>0</v>
      </c>
      <c r="E145" s="2090">
        <f t="shared" si="1"/>
        <v>0</v>
      </c>
      <c r="G145" s="2133">
        <f t="shared" si="2"/>
        <v>0</v>
      </c>
      <c r="H145" s="2133">
        <f t="shared" si="5"/>
        <v>0</v>
      </c>
      <c r="I145" s="2133">
        <f t="shared" si="6"/>
        <v>0</v>
      </c>
      <c r="J145" s="2133">
        <f t="shared" si="7"/>
        <v>0</v>
      </c>
      <c r="K145" s="2133">
        <f t="shared" si="8"/>
        <v>0</v>
      </c>
      <c r="L145" s="2133">
        <f t="shared" si="9"/>
        <v>0</v>
      </c>
      <c r="M145" s="2133">
        <f t="shared" si="10"/>
        <v>0</v>
      </c>
    </row>
    <row r="146" spans="1:17">
      <c r="A146" s="2236" t="s">
        <v>2453</v>
      </c>
      <c r="B146" s="2123">
        <v>3.05</v>
      </c>
      <c r="C146" s="2133">
        <f t="shared" si="0"/>
        <v>0</v>
      </c>
      <c r="D146" s="2121">
        <f t="shared" si="4"/>
        <v>0</v>
      </c>
      <c r="E146" s="2090">
        <f t="shared" si="1"/>
        <v>0</v>
      </c>
      <c r="G146" s="2133">
        <f t="shared" si="2"/>
        <v>0</v>
      </c>
      <c r="H146" s="2133">
        <f t="shared" si="5"/>
        <v>0</v>
      </c>
      <c r="I146" s="2133">
        <f t="shared" si="6"/>
        <v>0</v>
      </c>
      <c r="J146" s="2133">
        <f t="shared" si="7"/>
        <v>0</v>
      </c>
      <c r="K146" s="2133">
        <f t="shared" si="8"/>
        <v>0</v>
      </c>
      <c r="L146" s="2133">
        <f t="shared" si="9"/>
        <v>0</v>
      </c>
      <c r="M146" s="2133">
        <f t="shared" si="10"/>
        <v>0</v>
      </c>
    </row>
    <row r="147" spans="1:17">
      <c r="A147" s="2235" t="s">
        <v>2454</v>
      </c>
      <c r="B147" s="2123">
        <f t="shared" si="13"/>
        <v>5.15</v>
      </c>
      <c r="C147" s="2133">
        <f t="shared" si="0"/>
        <v>0</v>
      </c>
      <c r="D147" s="2121">
        <f t="shared" si="4"/>
        <v>0</v>
      </c>
      <c r="E147" s="2090">
        <f t="shared" si="1"/>
        <v>0</v>
      </c>
      <c r="G147" s="2133">
        <f t="shared" si="2"/>
        <v>0</v>
      </c>
      <c r="H147" s="2133">
        <f t="shared" si="5"/>
        <v>0</v>
      </c>
      <c r="I147" s="2133">
        <f t="shared" si="6"/>
        <v>0</v>
      </c>
      <c r="J147" s="2133">
        <f t="shared" si="7"/>
        <v>0</v>
      </c>
      <c r="K147" s="2133">
        <f t="shared" si="8"/>
        <v>0</v>
      </c>
      <c r="L147" s="2133">
        <f t="shared" si="9"/>
        <v>0</v>
      </c>
      <c r="M147" s="2133">
        <f t="shared" si="10"/>
        <v>0</v>
      </c>
    </row>
    <row r="148" spans="1:17">
      <c r="A148" s="2236" t="s">
        <v>2455</v>
      </c>
      <c r="B148" s="2123">
        <f t="shared" si="13"/>
        <v>5.15</v>
      </c>
      <c r="C148" s="2133">
        <f t="shared" si="0"/>
        <v>0</v>
      </c>
      <c r="D148" s="2121">
        <f t="shared" si="4"/>
        <v>0</v>
      </c>
      <c r="E148" s="2090">
        <f t="shared" si="1"/>
        <v>0</v>
      </c>
      <c r="G148" s="2133">
        <f t="shared" si="2"/>
        <v>0</v>
      </c>
      <c r="H148" s="2133">
        <f t="shared" si="5"/>
        <v>0</v>
      </c>
      <c r="I148" s="2133">
        <f t="shared" si="6"/>
        <v>0</v>
      </c>
      <c r="J148" s="2133">
        <f t="shared" si="7"/>
        <v>0</v>
      </c>
      <c r="K148" s="2133">
        <f t="shared" si="8"/>
        <v>0</v>
      </c>
      <c r="L148" s="2133">
        <f t="shared" si="9"/>
        <v>0</v>
      </c>
      <c r="M148" s="2133">
        <f t="shared" si="10"/>
        <v>0</v>
      </c>
    </row>
    <row r="149" spans="1:17">
      <c r="A149" s="2235" t="s">
        <v>2456</v>
      </c>
      <c r="B149" s="2123">
        <v>1.2</v>
      </c>
      <c r="C149" s="2133">
        <f t="shared" si="0"/>
        <v>0</v>
      </c>
      <c r="D149" s="2121">
        <f t="shared" si="4"/>
        <v>0</v>
      </c>
      <c r="E149" s="2090">
        <f t="shared" si="1"/>
        <v>0</v>
      </c>
      <c r="G149" s="2133">
        <f t="shared" si="2"/>
        <v>0</v>
      </c>
      <c r="H149" s="2133">
        <f t="shared" si="5"/>
        <v>0</v>
      </c>
      <c r="I149" s="2133">
        <f t="shared" si="6"/>
        <v>0</v>
      </c>
      <c r="J149" s="2133">
        <f t="shared" si="7"/>
        <v>0</v>
      </c>
      <c r="K149" s="2133">
        <f t="shared" si="8"/>
        <v>0</v>
      </c>
      <c r="L149" s="2133">
        <f t="shared" si="9"/>
        <v>0</v>
      </c>
      <c r="M149" s="2133">
        <f t="shared" si="10"/>
        <v>0</v>
      </c>
    </row>
    <row r="150" spans="1:17">
      <c r="A150" s="2236" t="s">
        <v>2457</v>
      </c>
      <c r="B150" s="2123">
        <f>$B$134</f>
        <v>5.15</v>
      </c>
      <c r="C150" s="2133">
        <f t="shared" si="0"/>
        <v>0</v>
      </c>
      <c r="D150" s="2121">
        <f t="shared" si="4"/>
        <v>0</v>
      </c>
      <c r="E150" s="2090">
        <f t="shared" si="1"/>
        <v>0</v>
      </c>
      <c r="G150" s="2133">
        <f t="shared" si="2"/>
        <v>0</v>
      </c>
      <c r="H150" s="2133">
        <f t="shared" si="5"/>
        <v>0</v>
      </c>
      <c r="I150" s="2133">
        <f t="shared" si="6"/>
        <v>0</v>
      </c>
      <c r="J150" s="2133">
        <f t="shared" si="7"/>
        <v>0</v>
      </c>
      <c r="K150" s="2133">
        <f t="shared" si="8"/>
        <v>0</v>
      </c>
      <c r="L150" s="2133">
        <f t="shared" si="9"/>
        <v>0</v>
      </c>
      <c r="M150" s="2133">
        <f t="shared" si="10"/>
        <v>0</v>
      </c>
    </row>
    <row r="151" spans="1:17">
      <c r="A151" s="2235" t="s">
        <v>2458</v>
      </c>
      <c r="B151" s="2123">
        <f>$B$134</f>
        <v>5.15</v>
      </c>
      <c r="C151" s="2133">
        <f t="shared" si="0"/>
        <v>0</v>
      </c>
      <c r="D151" s="2121">
        <f t="shared" si="4"/>
        <v>0</v>
      </c>
      <c r="E151" s="2090">
        <f t="shared" si="1"/>
        <v>0</v>
      </c>
      <c r="G151" s="2133">
        <f t="shared" si="2"/>
        <v>0</v>
      </c>
      <c r="H151" s="2133">
        <f t="shared" si="5"/>
        <v>0</v>
      </c>
      <c r="I151" s="2133">
        <f t="shared" si="6"/>
        <v>0</v>
      </c>
      <c r="J151" s="2133">
        <f t="shared" si="7"/>
        <v>0</v>
      </c>
      <c r="K151" s="2133">
        <f t="shared" si="8"/>
        <v>0</v>
      </c>
      <c r="L151" s="2133">
        <f t="shared" si="9"/>
        <v>0</v>
      </c>
      <c r="M151" s="2133">
        <f t="shared" si="10"/>
        <v>0</v>
      </c>
    </row>
    <row r="152" spans="1:17" ht="14.25" customHeight="1">
      <c r="D152" s="2128" t="s">
        <v>2070</v>
      </c>
      <c r="E152" s="2129">
        <f>SUM(E134:E151)</f>
        <v>63.040375000000012</v>
      </c>
      <c r="G152" s="2286"/>
      <c r="H152" s="2286"/>
    </row>
    <row r="153" spans="1:17" ht="14.25" customHeight="1">
      <c r="D153" s="2130"/>
      <c r="E153" s="2131"/>
      <c r="G153" s="2107"/>
      <c r="H153" s="2107"/>
    </row>
    <row r="154" spans="1:17" ht="15" thickBot="1">
      <c r="G154" s="2132"/>
      <c r="H154" s="2132"/>
    </row>
    <row r="155" spans="1:17">
      <c r="A155" s="2133" t="s">
        <v>1707</v>
      </c>
      <c r="B155" s="2134">
        <f>B151</f>
        <v>5.15</v>
      </c>
      <c r="C155" s="2133">
        <f>I28</f>
        <v>79</v>
      </c>
      <c r="D155" s="2135">
        <f>G155*H155</f>
        <v>2.2499999999999999E-2</v>
      </c>
      <c r="E155" s="2133">
        <f>B155*C155*D155</f>
        <v>9.1541250000000005</v>
      </c>
      <c r="G155" s="2122">
        <v>0.15</v>
      </c>
      <c r="H155" s="2136">
        <v>0.15</v>
      </c>
    </row>
    <row r="156" spans="1:17" ht="15" thickBot="1">
      <c r="A156" s="2133" t="s">
        <v>1708</v>
      </c>
      <c r="B156" s="2134">
        <v>3.05</v>
      </c>
      <c r="C156" s="2133">
        <f>I29</f>
        <v>0</v>
      </c>
      <c r="D156" s="2121">
        <f>G156*H156</f>
        <v>2.2499999999999999E-2</v>
      </c>
      <c r="E156" s="2133">
        <f>B156*C156*D156</f>
        <v>0</v>
      </c>
      <c r="G156" s="2127">
        <v>0.15</v>
      </c>
      <c r="H156" s="2137">
        <v>0.15</v>
      </c>
    </row>
    <row r="157" spans="1:17" ht="60">
      <c r="D157" s="2138" t="s">
        <v>2434</v>
      </c>
      <c r="E157" s="2139">
        <f>SUM(E155:E156)</f>
        <v>9.1541250000000005</v>
      </c>
    </row>
    <row r="159" spans="1:17" s="2140" customFormat="1">
      <c r="A159" s="2855" t="s">
        <v>1996</v>
      </c>
      <c r="B159" s="2855"/>
      <c r="C159" s="2855"/>
      <c r="D159" s="2850" t="s">
        <v>2069</v>
      </c>
      <c r="E159" s="2851"/>
      <c r="F159" s="2851"/>
      <c r="G159" s="2856"/>
      <c r="H159" s="2850" t="s">
        <v>2068</v>
      </c>
      <c r="I159" s="2851"/>
      <c r="J159" s="2851"/>
      <c r="K159" s="2856"/>
      <c r="M159" s="2838" t="s">
        <v>1610</v>
      </c>
      <c r="N159" s="2839"/>
      <c r="O159" s="2839"/>
      <c r="P159" s="2839"/>
      <c r="Q159" s="2840"/>
    </row>
    <row r="160" spans="1:17" s="2140" customFormat="1" ht="15">
      <c r="A160" s="2102" t="s">
        <v>1796</v>
      </c>
      <c r="B160" s="2102" t="s">
        <v>1608</v>
      </c>
      <c r="C160" s="2102" t="s">
        <v>1606</v>
      </c>
      <c r="D160" s="2141" t="s">
        <v>1609</v>
      </c>
      <c r="E160" s="2141" t="s">
        <v>1679</v>
      </c>
      <c r="F160" s="2142" t="s">
        <v>2435</v>
      </c>
      <c r="G160" s="2143" t="s">
        <v>1807</v>
      </c>
      <c r="H160" s="2102" t="s">
        <v>2100</v>
      </c>
      <c r="I160" s="2102" t="s">
        <v>2101</v>
      </c>
      <c r="J160" s="2102" t="s">
        <v>2102</v>
      </c>
      <c r="K160" s="2102" t="s">
        <v>2104</v>
      </c>
      <c r="M160" s="2102" t="s">
        <v>1607</v>
      </c>
      <c r="N160" s="2102" t="s">
        <v>1611</v>
      </c>
      <c r="O160" s="2102" t="s">
        <v>1168</v>
      </c>
      <c r="P160" s="2102" t="s">
        <v>1205</v>
      </c>
      <c r="Q160" s="2102" t="s">
        <v>1243</v>
      </c>
    </row>
    <row r="161" spans="1:17">
      <c r="A161" s="2133" t="str">
        <f t="shared" ref="A161:C178" si="14">A134</f>
        <v>K1</v>
      </c>
      <c r="B161" s="2133">
        <f t="shared" si="14"/>
        <v>5.15</v>
      </c>
      <c r="C161" s="2134">
        <f t="shared" si="14"/>
        <v>16</v>
      </c>
      <c r="D161" s="2244">
        <f>J134</f>
        <v>8</v>
      </c>
      <c r="E161" s="2244">
        <f>K134</f>
        <v>0</v>
      </c>
      <c r="F161" s="2244">
        <f>L134</f>
        <v>0</v>
      </c>
      <c r="G161" s="2244">
        <f>M134</f>
        <v>0</v>
      </c>
      <c r="H161" s="2135">
        <f>B161*C161*D161</f>
        <v>659.2</v>
      </c>
      <c r="I161" s="2133">
        <f t="shared" ref="I161:I178" si="15">B161*C161*E161</f>
        <v>0</v>
      </c>
      <c r="J161" s="2133">
        <f t="shared" ref="J161:J178" si="16">B161*C161*F161</f>
        <v>0</v>
      </c>
      <c r="K161" s="2133">
        <f t="shared" ref="K161:K178" si="17">B161*C161*G161</f>
        <v>0</v>
      </c>
      <c r="M161" s="2133">
        <f>(B161/2)/0.2</f>
        <v>12.875</v>
      </c>
      <c r="N161" s="2133">
        <f t="shared" ref="N161:N178" si="18">(B161/2)/0.1</f>
        <v>25.75</v>
      </c>
      <c r="O161" s="2133">
        <f t="shared" ref="O161:O178" si="19">SUM(M161:N161)*C161</f>
        <v>618</v>
      </c>
      <c r="P161" s="2133">
        <f t="shared" ref="P161:P178" si="20">IF(H134=0,2*3.14*(G134-0.05),2*(G134-0.05+H134-0.05))</f>
        <v>2</v>
      </c>
      <c r="Q161" s="2133">
        <f t="shared" ref="Q161:Q178" si="21">O161*P161</f>
        <v>1236</v>
      </c>
    </row>
    <row r="162" spans="1:17">
      <c r="A162" s="2133" t="str">
        <f t="shared" si="14"/>
        <v>K2</v>
      </c>
      <c r="B162" s="2133">
        <f t="shared" si="14"/>
        <v>5.15</v>
      </c>
      <c r="C162" s="2134">
        <f t="shared" si="14"/>
        <v>0</v>
      </c>
      <c r="D162" s="2244">
        <f t="shared" ref="D162:D178" si="22">J135</f>
        <v>0</v>
      </c>
      <c r="E162" s="2244">
        <f t="shared" ref="E162:E178" si="23">K135</f>
        <v>0</v>
      </c>
      <c r="F162" s="2244">
        <f t="shared" ref="F162:F178" si="24">L135</f>
        <v>0</v>
      </c>
      <c r="G162" s="2244">
        <f t="shared" ref="G162:G178" si="25">M135</f>
        <v>0</v>
      </c>
      <c r="H162" s="2135">
        <f t="shared" ref="H162:H178" si="26">B162*C162*D162</f>
        <v>0</v>
      </c>
      <c r="I162" s="2133">
        <f t="shared" si="15"/>
        <v>0</v>
      </c>
      <c r="J162" s="2133">
        <f t="shared" si="16"/>
        <v>0</v>
      </c>
      <c r="K162" s="2133">
        <f t="shared" si="17"/>
        <v>0</v>
      </c>
      <c r="M162" s="2133">
        <f t="shared" ref="M162:M178" si="27">(B162/2)/0.2</f>
        <v>12.875</v>
      </c>
      <c r="N162" s="2133">
        <f t="shared" si="18"/>
        <v>25.75</v>
      </c>
      <c r="O162" s="2133">
        <f t="shared" si="19"/>
        <v>0</v>
      </c>
      <c r="P162" s="2133">
        <f t="shared" si="20"/>
        <v>-0.31400000000000006</v>
      </c>
      <c r="Q162" s="2133">
        <f t="shared" si="21"/>
        <v>0</v>
      </c>
    </row>
    <row r="163" spans="1:17" s="2238" customFormat="1">
      <c r="A163" s="2133" t="str">
        <f t="shared" si="14"/>
        <v>K3</v>
      </c>
      <c r="B163" s="2133">
        <f t="shared" si="14"/>
        <v>16</v>
      </c>
      <c r="C163" s="2134">
        <f t="shared" si="14"/>
        <v>8</v>
      </c>
      <c r="D163" s="2244">
        <f t="shared" si="22"/>
        <v>10</v>
      </c>
      <c r="E163" s="2244">
        <f t="shared" si="23"/>
        <v>0</v>
      </c>
      <c r="F163" s="2244">
        <f t="shared" si="24"/>
        <v>0</v>
      </c>
      <c r="G163" s="2244">
        <f t="shared" si="25"/>
        <v>0</v>
      </c>
      <c r="H163" s="2135">
        <f t="shared" ref="H163:H170" si="28">B163*C163*D163</f>
        <v>1280</v>
      </c>
      <c r="I163" s="2133">
        <f t="shared" ref="I163:I170" si="29">B163*C163*E163</f>
        <v>0</v>
      </c>
      <c r="J163" s="2133">
        <f t="shared" ref="J163:J170" si="30">B163*C163*F163</f>
        <v>0</v>
      </c>
      <c r="K163" s="2133">
        <f t="shared" ref="K163:K170" si="31">B163*C163*G163</f>
        <v>0</v>
      </c>
      <c r="M163" s="2133">
        <f t="shared" ref="M163:M170" si="32">(B163/2)/0.2</f>
        <v>40</v>
      </c>
      <c r="N163" s="2133">
        <f t="shared" ref="N163:N170" si="33">(B163/2)/0.1</f>
        <v>80</v>
      </c>
      <c r="O163" s="2133">
        <f t="shared" ref="O163:O170" si="34">SUM(M163:N163)*C163</f>
        <v>960</v>
      </c>
      <c r="P163" s="2133">
        <f t="shared" si="20"/>
        <v>1</v>
      </c>
      <c r="Q163" s="2133">
        <f t="shared" ref="Q163:Q170" si="35">O163*P163</f>
        <v>960</v>
      </c>
    </row>
    <row r="164" spans="1:17" s="2238" customFormat="1">
      <c r="A164" s="2133" t="str">
        <f t="shared" si="14"/>
        <v>K4</v>
      </c>
      <c r="B164" s="2133">
        <f t="shared" si="14"/>
        <v>5.15</v>
      </c>
      <c r="C164" s="2134">
        <f t="shared" si="14"/>
        <v>42</v>
      </c>
      <c r="D164" s="2244">
        <f t="shared" si="22"/>
        <v>8</v>
      </c>
      <c r="E164" s="2244">
        <f t="shared" si="23"/>
        <v>0</v>
      </c>
      <c r="F164" s="2244">
        <f t="shared" si="24"/>
        <v>0</v>
      </c>
      <c r="G164" s="2244">
        <f t="shared" si="25"/>
        <v>0</v>
      </c>
      <c r="H164" s="2135">
        <f t="shared" si="28"/>
        <v>1730.4</v>
      </c>
      <c r="I164" s="2133">
        <f t="shared" si="29"/>
        <v>0</v>
      </c>
      <c r="J164" s="2133">
        <f t="shared" si="30"/>
        <v>0</v>
      </c>
      <c r="K164" s="2133">
        <f t="shared" si="31"/>
        <v>0</v>
      </c>
      <c r="M164" s="2133">
        <f t="shared" si="32"/>
        <v>12.875</v>
      </c>
      <c r="N164" s="2133">
        <f t="shared" si="33"/>
        <v>25.75</v>
      </c>
      <c r="O164" s="2133">
        <f t="shared" si="34"/>
        <v>1622.25</v>
      </c>
      <c r="P164" s="2133">
        <f t="shared" si="20"/>
        <v>0.9</v>
      </c>
      <c r="Q164" s="2133">
        <f t="shared" si="35"/>
        <v>1460.0250000000001</v>
      </c>
    </row>
    <row r="165" spans="1:17" s="2238" customFormat="1">
      <c r="A165" s="2133" t="str">
        <f t="shared" si="14"/>
        <v>K5</v>
      </c>
      <c r="B165" s="2133">
        <f t="shared" si="14"/>
        <v>5.15</v>
      </c>
      <c r="C165" s="2134">
        <f t="shared" si="14"/>
        <v>24</v>
      </c>
      <c r="D165" s="2244">
        <f t="shared" si="22"/>
        <v>0</v>
      </c>
      <c r="E165" s="2244">
        <f t="shared" si="23"/>
        <v>0</v>
      </c>
      <c r="F165" s="2244">
        <f t="shared" si="24"/>
        <v>6</v>
      </c>
      <c r="G165" s="2244">
        <f t="shared" si="25"/>
        <v>0</v>
      </c>
      <c r="H165" s="2135">
        <f t="shared" si="28"/>
        <v>0</v>
      </c>
      <c r="I165" s="2133">
        <f t="shared" si="29"/>
        <v>0</v>
      </c>
      <c r="J165" s="2133">
        <f t="shared" si="30"/>
        <v>741.6</v>
      </c>
      <c r="K165" s="2133">
        <f t="shared" si="31"/>
        <v>0</v>
      </c>
      <c r="M165" s="2133">
        <f t="shared" si="32"/>
        <v>12.875</v>
      </c>
      <c r="N165" s="2133">
        <f t="shared" si="33"/>
        <v>25.75</v>
      </c>
      <c r="O165" s="2133">
        <f t="shared" si="34"/>
        <v>927</v>
      </c>
      <c r="P165" s="2133">
        <f t="shared" si="20"/>
        <v>0.70000000000000007</v>
      </c>
      <c r="Q165" s="2133">
        <f t="shared" si="35"/>
        <v>648.90000000000009</v>
      </c>
    </row>
    <row r="166" spans="1:17" s="2238" customFormat="1">
      <c r="A166" s="2133" t="str">
        <f t="shared" si="14"/>
        <v>K6</v>
      </c>
      <c r="B166" s="2133">
        <f t="shared" si="14"/>
        <v>5.15</v>
      </c>
      <c r="C166" s="2134">
        <f t="shared" si="14"/>
        <v>5</v>
      </c>
      <c r="D166" s="2244">
        <f t="shared" si="22"/>
        <v>0</v>
      </c>
      <c r="E166" s="2244">
        <f t="shared" si="23"/>
        <v>0</v>
      </c>
      <c r="F166" s="2244">
        <f t="shared" si="24"/>
        <v>8</v>
      </c>
      <c r="G166" s="2244">
        <f t="shared" si="25"/>
        <v>0</v>
      </c>
      <c r="H166" s="2135">
        <f t="shared" si="28"/>
        <v>0</v>
      </c>
      <c r="I166" s="2133">
        <f t="shared" si="29"/>
        <v>0</v>
      </c>
      <c r="J166" s="2133">
        <f t="shared" si="30"/>
        <v>206</v>
      </c>
      <c r="K166" s="2133">
        <f t="shared" si="31"/>
        <v>0</v>
      </c>
      <c r="M166" s="2133">
        <f t="shared" si="32"/>
        <v>12.875</v>
      </c>
      <c r="N166" s="2133">
        <f t="shared" si="33"/>
        <v>25.75</v>
      </c>
      <c r="O166" s="2133">
        <f t="shared" si="34"/>
        <v>193.125</v>
      </c>
      <c r="P166" s="2133">
        <f t="shared" si="20"/>
        <v>0.8</v>
      </c>
      <c r="Q166" s="2133">
        <f t="shared" si="35"/>
        <v>154.5</v>
      </c>
    </row>
    <row r="167" spans="1:17" s="2238" customFormat="1">
      <c r="A167" s="2133" t="str">
        <f t="shared" si="14"/>
        <v>K7</v>
      </c>
      <c r="B167" s="2133">
        <f t="shared" si="14"/>
        <v>5.15</v>
      </c>
      <c r="C167" s="2134">
        <f t="shared" si="14"/>
        <v>40</v>
      </c>
      <c r="D167" s="2244">
        <f t="shared" si="22"/>
        <v>0</v>
      </c>
      <c r="E167" s="2244">
        <f t="shared" si="23"/>
        <v>0</v>
      </c>
      <c r="F167" s="2244">
        <f t="shared" si="24"/>
        <v>6</v>
      </c>
      <c r="G167" s="2244">
        <f t="shared" si="25"/>
        <v>0</v>
      </c>
      <c r="H167" s="2135">
        <f t="shared" si="28"/>
        <v>0</v>
      </c>
      <c r="I167" s="2133">
        <f t="shared" si="29"/>
        <v>0</v>
      </c>
      <c r="J167" s="2133">
        <f t="shared" si="30"/>
        <v>1236</v>
      </c>
      <c r="K167" s="2133">
        <f t="shared" si="31"/>
        <v>0</v>
      </c>
      <c r="M167" s="2133">
        <f t="shared" si="32"/>
        <v>12.875</v>
      </c>
      <c r="N167" s="2133">
        <f t="shared" si="33"/>
        <v>25.75</v>
      </c>
      <c r="O167" s="2133">
        <f t="shared" si="34"/>
        <v>1545</v>
      </c>
      <c r="P167" s="2133">
        <f t="shared" si="20"/>
        <v>0.6</v>
      </c>
      <c r="Q167" s="2133">
        <f t="shared" si="35"/>
        <v>927</v>
      </c>
    </row>
    <row r="168" spans="1:17" s="2238" customFormat="1">
      <c r="A168" s="2133" t="str">
        <f t="shared" si="14"/>
        <v>K8</v>
      </c>
      <c r="B168" s="2133">
        <f t="shared" si="14"/>
        <v>5.15</v>
      </c>
      <c r="C168" s="2134">
        <f t="shared" si="14"/>
        <v>0</v>
      </c>
      <c r="D168" s="2244">
        <f t="shared" si="22"/>
        <v>0</v>
      </c>
      <c r="E168" s="2244">
        <f t="shared" si="23"/>
        <v>0</v>
      </c>
      <c r="F168" s="2244">
        <f t="shared" si="24"/>
        <v>0</v>
      </c>
      <c r="G168" s="2244">
        <f t="shared" si="25"/>
        <v>0</v>
      </c>
      <c r="H168" s="2135">
        <f t="shared" si="28"/>
        <v>0</v>
      </c>
      <c r="I168" s="2133">
        <f t="shared" si="29"/>
        <v>0</v>
      </c>
      <c r="J168" s="2133">
        <f t="shared" si="30"/>
        <v>0</v>
      </c>
      <c r="K168" s="2133">
        <f t="shared" si="31"/>
        <v>0</v>
      </c>
      <c r="M168" s="2133">
        <f t="shared" si="32"/>
        <v>12.875</v>
      </c>
      <c r="N168" s="2133">
        <f t="shared" si="33"/>
        <v>25.75</v>
      </c>
      <c r="O168" s="2133">
        <f t="shared" si="34"/>
        <v>0</v>
      </c>
      <c r="P168" s="2133">
        <f t="shared" si="20"/>
        <v>-0.31400000000000006</v>
      </c>
      <c r="Q168" s="2133">
        <f t="shared" si="35"/>
        <v>0</v>
      </c>
    </row>
    <row r="169" spans="1:17" s="2238" customFormat="1">
      <c r="A169" s="2133" t="str">
        <f t="shared" si="14"/>
        <v>K9</v>
      </c>
      <c r="B169" s="2133">
        <f t="shared" si="14"/>
        <v>5.15</v>
      </c>
      <c r="C169" s="2134">
        <f t="shared" si="14"/>
        <v>0</v>
      </c>
      <c r="D169" s="2244">
        <f t="shared" si="22"/>
        <v>0</v>
      </c>
      <c r="E169" s="2244">
        <f t="shared" si="23"/>
        <v>0</v>
      </c>
      <c r="F169" s="2244">
        <f t="shared" si="24"/>
        <v>0</v>
      </c>
      <c r="G169" s="2244">
        <f t="shared" si="25"/>
        <v>0</v>
      </c>
      <c r="H169" s="2135">
        <f t="shared" si="28"/>
        <v>0</v>
      </c>
      <c r="I169" s="2133">
        <f t="shared" si="29"/>
        <v>0</v>
      </c>
      <c r="J169" s="2133">
        <f t="shared" si="30"/>
        <v>0</v>
      </c>
      <c r="K169" s="2133">
        <f t="shared" si="31"/>
        <v>0</v>
      </c>
      <c r="M169" s="2133">
        <f t="shared" si="32"/>
        <v>12.875</v>
      </c>
      <c r="N169" s="2133">
        <f t="shared" si="33"/>
        <v>25.75</v>
      </c>
      <c r="O169" s="2133">
        <f t="shared" si="34"/>
        <v>0</v>
      </c>
      <c r="P169" s="2133">
        <f t="shared" si="20"/>
        <v>-0.31400000000000006</v>
      </c>
      <c r="Q169" s="2133">
        <f t="shared" si="35"/>
        <v>0</v>
      </c>
    </row>
    <row r="170" spans="1:17" s="2238" customFormat="1">
      <c r="A170" s="2133" t="str">
        <f t="shared" si="14"/>
        <v>K10</v>
      </c>
      <c r="B170" s="2133">
        <f t="shared" si="14"/>
        <v>5.15</v>
      </c>
      <c r="C170" s="2134">
        <f t="shared" si="14"/>
        <v>0</v>
      </c>
      <c r="D170" s="2244">
        <f t="shared" si="22"/>
        <v>0</v>
      </c>
      <c r="E170" s="2244">
        <f t="shared" si="23"/>
        <v>0</v>
      </c>
      <c r="F170" s="2244">
        <f t="shared" si="24"/>
        <v>0</v>
      </c>
      <c r="G170" s="2244">
        <f t="shared" si="25"/>
        <v>0</v>
      </c>
      <c r="H170" s="2135">
        <f t="shared" si="28"/>
        <v>0</v>
      </c>
      <c r="I170" s="2133">
        <f t="shared" si="29"/>
        <v>0</v>
      </c>
      <c r="J170" s="2133">
        <f t="shared" si="30"/>
        <v>0</v>
      </c>
      <c r="K170" s="2133">
        <f t="shared" si="31"/>
        <v>0</v>
      </c>
      <c r="M170" s="2237">
        <f t="shared" si="32"/>
        <v>12.875</v>
      </c>
      <c r="N170" s="2237">
        <f t="shared" si="33"/>
        <v>25.75</v>
      </c>
      <c r="O170" s="2237">
        <f t="shared" si="34"/>
        <v>0</v>
      </c>
      <c r="P170" s="2133">
        <f t="shared" si="20"/>
        <v>-0.31400000000000006</v>
      </c>
      <c r="Q170" s="2237">
        <f t="shared" si="35"/>
        <v>0</v>
      </c>
    </row>
    <row r="171" spans="1:17">
      <c r="A171" s="2133" t="str">
        <f t="shared" si="14"/>
        <v>K11</v>
      </c>
      <c r="B171" s="2133">
        <f t="shared" si="14"/>
        <v>5.15</v>
      </c>
      <c r="C171" s="2134">
        <f t="shared" si="14"/>
        <v>0</v>
      </c>
      <c r="D171" s="2244">
        <f t="shared" si="22"/>
        <v>0</v>
      </c>
      <c r="E171" s="2244">
        <f t="shared" si="23"/>
        <v>0</v>
      </c>
      <c r="F171" s="2244">
        <f t="shared" si="24"/>
        <v>0</v>
      </c>
      <c r="G171" s="2244">
        <f t="shared" si="25"/>
        <v>0</v>
      </c>
      <c r="H171" s="2135">
        <f t="shared" si="26"/>
        <v>0</v>
      </c>
      <c r="I171" s="2133">
        <f t="shared" si="15"/>
        <v>0</v>
      </c>
      <c r="J171" s="2133">
        <f t="shared" si="16"/>
        <v>0</v>
      </c>
      <c r="K171" s="2133">
        <f t="shared" si="17"/>
        <v>0</v>
      </c>
      <c r="M171" s="2133">
        <f t="shared" si="27"/>
        <v>12.875</v>
      </c>
      <c r="N171" s="2133">
        <f t="shared" si="18"/>
        <v>25.75</v>
      </c>
      <c r="O171" s="2133">
        <f t="shared" si="19"/>
        <v>0</v>
      </c>
      <c r="P171" s="2133">
        <f t="shared" si="20"/>
        <v>-0.31400000000000006</v>
      </c>
      <c r="Q171" s="2133">
        <f t="shared" si="21"/>
        <v>0</v>
      </c>
    </row>
    <row r="172" spans="1:17">
      <c r="A172" s="2133" t="str">
        <f t="shared" si="14"/>
        <v>K12</v>
      </c>
      <c r="B172" s="2133">
        <f t="shared" si="14"/>
        <v>5.15</v>
      </c>
      <c r="C172" s="2134">
        <f t="shared" si="14"/>
        <v>0</v>
      </c>
      <c r="D172" s="2244">
        <f t="shared" si="22"/>
        <v>0</v>
      </c>
      <c r="E172" s="2244">
        <f t="shared" si="23"/>
        <v>0</v>
      </c>
      <c r="F172" s="2244">
        <f t="shared" si="24"/>
        <v>0</v>
      </c>
      <c r="G172" s="2244">
        <f t="shared" si="25"/>
        <v>0</v>
      </c>
      <c r="H172" s="2135">
        <f t="shared" si="26"/>
        <v>0</v>
      </c>
      <c r="I172" s="2133">
        <f t="shared" si="15"/>
        <v>0</v>
      </c>
      <c r="J172" s="2133">
        <f t="shared" si="16"/>
        <v>0</v>
      </c>
      <c r="K172" s="2133">
        <f t="shared" si="17"/>
        <v>0</v>
      </c>
      <c r="M172" s="2133">
        <f t="shared" si="27"/>
        <v>12.875</v>
      </c>
      <c r="N172" s="2133">
        <f t="shared" si="18"/>
        <v>25.75</v>
      </c>
      <c r="O172" s="2133">
        <f t="shared" si="19"/>
        <v>0</v>
      </c>
      <c r="P172" s="2133">
        <f t="shared" si="20"/>
        <v>-0.31400000000000006</v>
      </c>
      <c r="Q172" s="2133">
        <f t="shared" si="21"/>
        <v>0</v>
      </c>
    </row>
    <row r="173" spans="1:17">
      <c r="A173" s="2133" t="str">
        <f t="shared" si="14"/>
        <v>K13</v>
      </c>
      <c r="B173" s="2133">
        <f t="shared" si="14"/>
        <v>3.05</v>
      </c>
      <c r="C173" s="2134">
        <f t="shared" si="14"/>
        <v>0</v>
      </c>
      <c r="D173" s="2244">
        <f t="shared" si="22"/>
        <v>0</v>
      </c>
      <c r="E173" s="2244">
        <f t="shared" si="23"/>
        <v>0</v>
      </c>
      <c r="F173" s="2244">
        <f t="shared" si="24"/>
        <v>0</v>
      </c>
      <c r="G173" s="2244">
        <f t="shared" si="25"/>
        <v>0</v>
      </c>
      <c r="H173" s="2135">
        <f t="shared" si="26"/>
        <v>0</v>
      </c>
      <c r="I173" s="2133">
        <f t="shared" si="15"/>
        <v>0</v>
      </c>
      <c r="J173" s="2133">
        <f t="shared" si="16"/>
        <v>0</v>
      </c>
      <c r="K173" s="2133">
        <f t="shared" si="17"/>
        <v>0</v>
      </c>
      <c r="M173" s="2133">
        <f t="shared" si="27"/>
        <v>7.6249999999999991</v>
      </c>
      <c r="N173" s="2133">
        <f t="shared" si="18"/>
        <v>15.249999999999998</v>
      </c>
      <c r="O173" s="2133">
        <f t="shared" si="19"/>
        <v>0</v>
      </c>
      <c r="P173" s="2133">
        <f t="shared" si="20"/>
        <v>-0.31400000000000006</v>
      </c>
      <c r="Q173" s="2133">
        <f t="shared" si="21"/>
        <v>0</v>
      </c>
    </row>
    <row r="174" spans="1:17">
      <c r="A174" s="2133" t="str">
        <f t="shared" si="14"/>
        <v>K14</v>
      </c>
      <c r="B174" s="2133">
        <f t="shared" si="14"/>
        <v>5.15</v>
      </c>
      <c r="C174" s="2134">
        <f t="shared" si="14"/>
        <v>0</v>
      </c>
      <c r="D174" s="2244">
        <f t="shared" si="22"/>
        <v>0</v>
      </c>
      <c r="E174" s="2244">
        <f t="shared" si="23"/>
        <v>0</v>
      </c>
      <c r="F174" s="2244">
        <f t="shared" si="24"/>
        <v>0</v>
      </c>
      <c r="G174" s="2244">
        <f t="shared" si="25"/>
        <v>0</v>
      </c>
      <c r="H174" s="2135">
        <f t="shared" si="26"/>
        <v>0</v>
      </c>
      <c r="I174" s="2133">
        <f t="shared" si="15"/>
        <v>0</v>
      </c>
      <c r="J174" s="2133">
        <f t="shared" si="16"/>
        <v>0</v>
      </c>
      <c r="K174" s="2133">
        <f t="shared" si="17"/>
        <v>0</v>
      </c>
      <c r="M174" s="2133">
        <f t="shared" si="27"/>
        <v>12.875</v>
      </c>
      <c r="N174" s="2133">
        <f t="shared" si="18"/>
        <v>25.75</v>
      </c>
      <c r="O174" s="2133">
        <f t="shared" si="19"/>
        <v>0</v>
      </c>
      <c r="P174" s="2133">
        <f t="shared" si="20"/>
        <v>-0.31400000000000006</v>
      </c>
      <c r="Q174" s="2133">
        <f t="shared" si="21"/>
        <v>0</v>
      </c>
    </row>
    <row r="175" spans="1:17">
      <c r="A175" s="2133" t="str">
        <f t="shared" si="14"/>
        <v>K15</v>
      </c>
      <c r="B175" s="2133">
        <f t="shared" si="14"/>
        <v>5.15</v>
      </c>
      <c r="C175" s="2134">
        <f t="shared" si="14"/>
        <v>0</v>
      </c>
      <c r="D175" s="2244">
        <f t="shared" si="22"/>
        <v>0</v>
      </c>
      <c r="E175" s="2244">
        <f t="shared" si="23"/>
        <v>0</v>
      </c>
      <c r="F175" s="2244">
        <f t="shared" si="24"/>
        <v>0</v>
      </c>
      <c r="G175" s="2244">
        <f t="shared" si="25"/>
        <v>0</v>
      </c>
      <c r="H175" s="2135">
        <f t="shared" si="26"/>
        <v>0</v>
      </c>
      <c r="I175" s="2133">
        <f t="shared" si="15"/>
        <v>0</v>
      </c>
      <c r="J175" s="2133">
        <f t="shared" si="16"/>
        <v>0</v>
      </c>
      <c r="K175" s="2133">
        <f t="shared" si="17"/>
        <v>0</v>
      </c>
      <c r="M175" s="2133">
        <f t="shared" si="27"/>
        <v>12.875</v>
      </c>
      <c r="N175" s="2133">
        <f t="shared" si="18"/>
        <v>25.75</v>
      </c>
      <c r="O175" s="2133">
        <f t="shared" si="19"/>
        <v>0</v>
      </c>
      <c r="P175" s="2133">
        <f t="shared" si="20"/>
        <v>-0.31400000000000006</v>
      </c>
      <c r="Q175" s="2133">
        <f t="shared" si="21"/>
        <v>0</v>
      </c>
    </row>
    <row r="176" spans="1:17">
      <c r="A176" s="2133" t="str">
        <f t="shared" si="14"/>
        <v>K16</v>
      </c>
      <c r="B176" s="2133">
        <f t="shared" si="14"/>
        <v>1.2</v>
      </c>
      <c r="C176" s="2134">
        <f t="shared" si="14"/>
        <v>0</v>
      </c>
      <c r="D176" s="2244">
        <f t="shared" si="22"/>
        <v>0</v>
      </c>
      <c r="E176" s="2244">
        <f t="shared" si="23"/>
        <v>0</v>
      </c>
      <c r="F176" s="2244">
        <f t="shared" si="24"/>
        <v>0</v>
      </c>
      <c r="G176" s="2244">
        <f t="shared" si="25"/>
        <v>0</v>
      </c>
      <c r="H176" s="2135">
        <f t="shared" si="26"/>
        <v>0</v>
      </c>
      <c r="I176" s="2133">
        <f t="shared" si="15"/>
        <v>0</v>
      </c>
      <c r="J176" s="2133">
        <f t="shared" si="16"/>
        <v>0</v>
      </c>
      <c r="K176" s="2133">
        <f t="shared" si="17"/>
        <v>0</v>
      </c>
      <c r="M176" s="2133">
        <f t="shared" si="27"/>
        <v>2.9999999999999996</v>
      </c>
      <c r="N176" s="2133">
        <f t="shared" si="18"/>
        <v>5.9999999999999991</v>
      </c>
      <c r="O176" s="2133">
        <f t="shared" si="19"/>
        <v>0</v>
      </c>
      <c r="P176" s="2133">
        <f t="shared" si="20"/>
        <v>-0.31400000000000006</v>
      </c>
      <c r="Q176" s="2133">
        <f t="shared" si="21"/>
        <v>0</v>
      </c>
    </row>
    <row r="177" spans="1:19">
      <c r="A177" s="2133" t="str">
        <f t="shared" si="14"/>
        <v>K17</v>
      </c>
      <c r="B177" s="2133">
        <f t="shared" si="14"/>
        <v>5.15</v>
      </c>
      <c r="C177" s="2134">
        <f t="shared" si="14"/>
        <v>0</v>
      </c>
      <c r="D177" s="2244">
        <f t="shared" si="22"/>
        <v>0</v>
      </c>
      <c r="E177" s="2244">
        <f t="shared" si="23"/>
        <v>0</v>
      </c>
      <c r="F177" s="2244">
        <f t="shared" si="24"/>
        <v>0</v>
      </c>
      <c r="G177" s="2244">
        <f t="shared" si="25"/>
        <v>0</v>
      </c>
      <c r="H177" s="2135">
        <f t="shared" si="26"/>
        <v>0</v>
      </c>
      <c r="I177" s="2133">
        <f t="shared" si="15"/>
        <v>0</v>
      </c>
      <c r="J177" s="2133">
        <f t="shared" si="16"/>
        <v>0</v>
      </c>
      <c r="K177" s="2133">
        <f t="shared" si="17"/>
        <v>0</v>
      </c>
      <c r="M177" s="2133">
        <f t="shared" si="27"/>
        <v>12.875</v>
      </c>
      <c r="N177" s="2133">
        <f t="shared" si="18"/>
        <v>25.75</v>
      </c>
      <c r="O177" s="2133">
        <f t="shared" si="19"/>
        <v>0</v>
      </c>
      <c r="P177" s="2133">
        <f t="shared" si="20"/>
        <v>-0.31400000000000006</v>
      </c>
      <c r="Q177" s="2133">
        <f t="shared" si="21"/>
        <v>0</v>
      </c>
    </row>
    <row r="178" spans="1:19">
      <c r="A178" s="2133" t="str">
        <f t="shared" si="14"/>
        <v>K18</v>
      </c>
      <c r="B178" s="2133">
        <f t="shared" si="14"/>
        <v>5.15</v>
      </c>
      <c r="C178" s="2134">
        <f t="shared" si="14"/>
        <v>0</v>
      </c>
      <c r="D178" s="2244">
        <f t="shared" si="22"/>
        <v>0</v>
      </c>
      <c r="E178" s="2244">
        <f t="shared" si="23"/>
        <v>0</v>
      </c>
      <c r="F178" s="2244">
        <f t="shared" si="24"/>
        <v>0</v>
      </c>
      <c r="G178" s="2244">
        <f t="shared" si="25"/>
        <v>0</v>
      </c>
      <c r="H178" s="2135">
        <f t="shared" si="26"/>
        <v>0</v>
      </c>
      <c r="I178" s="2133">
        <f t="shared" si="15"/>
        <v>0</v>
      </c>
      <c r="J178" s="2133">
        <f t="shared" si="16"/>
        <v>0</v>
      </c>
      <c r="K178" s="2133">
        <f t="shared" si="17"/>
        <v>0</v>
      </c>
      <c r="M178" s="2145">
        <f t="shared" si="27"/>
        <v>12.875</v>
      </c>
      <c r="N178" s="2145">
        <f t="shared" si="18"/>
        <v>25.75</v>
      </c>
      <c r="O178" s="2145">
        <f t="shared" si="19"/>
        <v>0</v>
      </c>
      <c r="P178" s="2133">
        <f t="shared" si="20"/>
        <v>-0.31400000000000006</v>
      </c>
      <c r="Q178" s="2145">
        <f t="shared" si="21"/>
        <v>0</v>
      </c>
    </row>
    <row r="179" spans="1:19" ht="15" customHeight="1">
      <c r="F179" s="2814" t="s">
        <v>2074</v>
      </c>
      <c r="G179" s="2866"/>
      <c r="H179" s="2133">
        <f>SUM(H161:H178)</f>
        <v>3669.6000000000004</v>
      </c>
      <c r="I179" s="2133">
        <f>SUM(I161:I178)</f>
        <v>0</v>
      </c>
      <c r="J179" s="2133">
        <f>SUM(J161:J178)</f>
        <v>2183.6</v>
      </c>
      <c r="K179" s="2133">
        <f>SUM(K161:K178)</f>
        <v>0</v>
      </c>
      <c r="M179" s="2804" t="s">
        <v>1972</v>
      </c>
      <c r="N179" s="2805"/>
      <c r="O179" s="2805"/>
      <c r="P179" s="2837"/>
      <c r="Q179" s="2135">
        <f>SUMIF($I$134:$I$151,S179,$Q$161:$Q$178)</f>
        <v>0</v>
      </c>
      <c r="R179" s="2139">
        <f>Q179*0.4</f>
        <v>0</v>
      </c>
      <c r="S179" s="2086">
        <v>8</v>
      </c>
    </row>
    <row r="180" spans="1:19" ht="15" customHeight="1">
      <c r="F180" s="2804" t="s">
        <v>2075</v>
      </c>
      <c r="G180" s="2805"/>
      <c r="H180" s="2139">
        <f>H179*1.58</f>
        <v>5797.9680000000008</v>
      </c>
      <c r="I180" s="2139">
        <f>I179*1.04</f>
        <v>0</v>
      </c>
      <c r="J180" s="2139">
        <f>J179*0.89</f>
        <v>1943.404</v>
      </c>
      <c r="K180" s="2139">
        <f>K179*0.62</f>
        <v>0</v>
      </c>
      <c r="M180" s="2804" t="s">
        <v>2431</v>
      </c>
      <c r="N180" s="2805"/>
      <c r="O180" s="2805"/>
      <c r="P180" s="2837"/>
      <c r="Q180" s="2135">
        <f>SUMIF($I$134:$I$151,S180,$Q$161:$Q$178)</f>
        <v>5386.4250000000002</v>
      </c>
      <c r="R180" s="2139">
        <f>Q180*0.62</f>
        <v>3339.5835000000002</v>
      </c>
      <c r="S180" s="2086">
        <v>10</v>
      </c>
    </row>
    <row r="182" spans="1:19" ht="15" thickBot="1">
      <c r="A182" s="2116" t="s">
        <v>1796</v>
      </c>
      <c r="B182" s="2116" t="s">
        <v>1608</v>
      </c>
      <c r="C182" s="2116" t="s">
        <v>2062</v>
      </c>
      <c r="D182" s="2117" t="s">
        <v>1807</v>
      </c>
      <c r="E182" s="2117" t="s">
        <v>2383</v>
      </c>
      <c r="F182" s="2116" t="s">
        <v>1568</v>
      </c>
      <c r="M182" s="2133" t="s">
        <v>1607</v>
      </c>
      <c r="N182" s="2133" t="s">
        <v>1611</v>
      </c>
      <c r="O182" s="2133" t="s">
        <v>1168</v>
      </c>
      <c r="P182" s="2133" t="s">
        <v>1205</v>
      </c>
      <c r="Q182" s="2133" t="s">
        <v>1243</v>
      </c>
    </row>
    <row r="183" spans="1:19">
      <c r="A183" s="2133" t="str">
        <f t="shared" ref="A183:C184" si="36">A155</f>
        <v>KP1</v>
      </c>
      <c r="B183" s="2133">
        <f t="shared" si="36"/>
        <v>5.15</v>
      </c>
      <c r="C183" s="2134">
        <f t="shared" si="36"/>
        <v>79</v>
      </c>
      <c r="D183" s="2122">
        <v>4</v>
      </c>
      <c r="E183" s="2136"/>
      <c r="F183" s="2135">
        <f>B183*C183*D183</f>
        <v>1627.4</v>
      </c>
      <c r="M183" s="2133">
        <f>(B183/2)/0.2</f>
        <v>12.875</v>
      </c>
      <c r="N183" s="2133">
        <f>(B183/2)/0.1</f>
        <v>25.75</v>
      </c>
      <c r="O183" s="2133">
        <f>SUM(M183:N183)*C183</f>
        <v>3051.375</v>
      </c>
      <c r="P183" s="2133">
        <f>4*0.1</f>
        <v>0.4</v>
      </c>
      <c r="Q183" s="2133">
        <f>O183*P183</f>
        <v>1220.55</v>
      </c>
    </row>
    <row r="184" spans="1:19" ht="15" thickBot="1">
      <c r="A184" s="2133" t="str">
        <f t="shared" si="36"/>
        <v>KP2</v>
      </c>
      <c r="B184" s="2133">
        <f t="shared" si="36"/>
        <v>3.05</v>
      </c>
      <c r="C184" s="2134">
        <f t="shared" si="36"/>
        <v>0</v>
      </c>
      <c r="D184" s="2127">
        <v>4</v>
      </c>
      <c r="E184" s="2137"/>
      <c r="F184" s="2135">
        <f>B184*C184*D184</f>
        <v>0</v>
      </c>
      <c r="M184" s="2145">
        <f>(B184/2)/0.2</f>
        <v>7.6249999999999991</v>
      </c>
      <c r="N184" s="2145">
        <f>(B184/2)/0.1</f>
        <v>15.249999999999998</v>
      </c>
      <c r="O184" s="2145">
        <f>SUM(M184:N184)*C184</f>
        <v>0</v>
      </c>
      <c r="P184" s="2145">
        <v>0</v>
      </c>
      <c r="Q184" s="2145">
        <f>O184*P184</f>
        <v>0</v>
      </c>
    </row>
    <row r="185" spans="1:19" ht="15" customHeight="1">
      <c r="D185" s="2814" t="s">
        <v>2074</v>
      </c>
      <c r="E185" s="2866"/>
      <c r="F185" s="2133">
        <f>SUM(F183:F184)</f>
        <v>1627.4</v>
      </c>
      <c r="M185" s="2804" t="s">
        <v>2109</v>
      </c>
      <c r="N185" s="2805"/>
      <c r="O185" s="2805"/>
      <c r="P185" s="2837"/>
      <c r="Q185" s="2135">
        <f>SUM(Q183:Q184)</f>
        <v>1220.55</v>
      </c>
    </row>
    <row r="186" spans="1:19" ht="15" customHeight="1">
      <c r="D186" s="2804" t="s">
        <v>2075</v>
      </c>
      <c r="E186" s="2805"/>
      <c r="F186" s="2139">
        <f>F185*0.62</f>
        <v>1008.9880000000001</v>
      </c>
      <c r="M186" s="2804" t="s">
        <v>2108</v>
      </c>
      <c r="N186" s="2805"/>
      <c r="O186" s="2805"/>
      <c r="P186" s="2837"/>
      <c r="Q186" s="2139">
        <f>Q185*0.4</f>
        <v>488.22</v>
      </c>
    </row>
    <row r="188" spans="1:19">
      <c r="A188" s="2116" t="s">
        <v>1612</v>
      </c>
      <c r="B188" s="2116" t="s">
        <v>1608</v>
      </c>
      <c r="C188" s="2116" t="s">
        <v>2062</v>
      </c>
      <c r="D188" s="2116" t="s">
        <v>2089</v>
      </c>
      <c r="E188" s="2116" t="s">
        <v>1568</v>
      </c>
    </row>
    <row r="189" spans="1:19">
      <c r="A189" s="2087" t="str">
        <f t="shared" ref="A189:A206" si="37">A134</f>
        <v>K1</v>
      </c>
      <c r="B189" s="2087">
        <f t="shared" ref="B189:C206" si="38">B161</f>
        <v>5.15</v>
      </c>
      <c r="C189" s="2087">
        <f t="shared" si="38"/>
        <v>16</v>
      </c>
      <c r="D189" s="2087">
        <f t="shared" ref="D189:D206" si="39">2*(G134+H134)</f>
        <v>2.2000000000000002</v>
      </c>
      <c r="E189" s="2087">
        <f t="shared" ref="E189:E206" si="40">B189*C189*D189</f>
        <v>181.28000000000003</v>
      </c>
    </row>
    <row r="190" spans="1:19">
      <c r="A190" s="2133" t="str">
        <f t="shared" si="37"/>
        <v>K2</v>
      </c>
      <c r="B190" s="2133">
        <f t="shared" si="38"/>
        <v>5.15</v>
      </c>
      <c r="C190" s="2133">
        <f t="shared" si="38"/>
        <v>0</v>
      </c>
      <c r="D190" s="2087">
        <f t="shared" si="39"/>
        <v>0</v>
      </c>
      <c r="E190" s="2133">
        <f t="shared" si="40"/>
        <v>0</v>
      </c>
    </row>
    <row r="191" spans="1:19" s="2238" customFormat="1">
      <c r="A191" s="2133" t="str">
        <f t="shared" si="37"/>
        <v>K3</v>
      </c>
      <c r="B191" s="2133">
        <f t="shared" si="38"/>
        <v>16</v>
      </c>
      <c r="C191" s="2133">
        <f t="shared" si="38"/>
        <v>8</v>
      </c>
      <c r="D191" s="2236">
        <f t="shared" si="39"/>
        <v>1.2000000000000002</v>
      </c>
      <c r="E191" s="2133">
        <f t="shared" ref="E191:E198" si="41">B191*C191*D191</f>
        <v>153.60000000000002</v>
      </c>
    </row>
    <row r="192" spans="1:19" s="2238" customFormat="1">
      <c r="A192" s="2133" t="str">
        <f t="shared" si="37"/>
        <v>K4</v>
      </c>
      <c r="B192" s="2133">
        <f t="shared" si="38"/>
        <v>5.15</v>
      </c>
      <c r="C192" s="2133">
        <f t="shared" si="38"/>
        <v>42</v>
      </c>
      <c r="D192" s="2236">
        <f t="shared" si="39"/>
        <v>1.1000000000000001</v>
      </c>
      <c r="E192" s="2133">
        <f t="shared" si="41"/>
        <v>237.93000000000004</v>
      </c>
    </row>
    <row r="193" spans="1:5" s="2238" customFormat="1">
      <c r="A193" s="2133" t="str">
        <f t="shared" si="37"/>
        <v>K5</v>
      </c>
      <c r="B193" s="2133">
        <f t="shared" si="38"/>
        <v>5.15</v>
      </c>
      <c r="C193" s="2133">
        <f t="shared" si="38"/>
        <v>24</v>
      </c>
      <c r="D193" s="2236">
        <f t="shared" si="39"/>
        <v>0.89999999999999991</v>
      </c>
      <c r="E193" s="2133">
        <f t="shared" si="41"/>
        <v>111.24</v>
      </c>
    </row>
    <row r="194" spans="1:5" s="2238" customFormat="1">
      <c r="A194" s="2133" t="str">
        <f t="shared" si="37"/>
        <v>K6</v>
      </c>
      <c r="B194" s="2133">
        <f t="shared" si="38"/>
        <v>5.15</v>
      </c>
      <c r="C194" s="2133">
        <f t="shared" si="38"/>
        <v>5</v>
      </c>
      <c r="D194" s="2236">
        <f t="shared" si="39"/>
        <v>1</v>
      </c>
      <c r="E194" s="2133">
        <f t="shared" si="41"/>
        <v>25.75</v>
      </c>
    </row>
    <row r="195" spans="1:5" s="2238" customFormat="1">
      <c r="A195" s="2133" t="str">
        <f t="shared" si="37"/>
        <v>K7</v>
      </c>
      <c r="B195" s="2133">
        <f t="shared" si="38"/>
        <v>5.15</v>
      </c>
      <c r="C195" s="2133">
        <f t="shared" si="38"/>
        <v>40</v>
      </c>
      <c r="D195" s="2236">
        <f t="shared" si="39"/>
        <v>0.8</v>
      </c>
      <c r="E195" s="2133">
        <f t="shared" si="41"/>
        <v>164.8</v>
      </c>
    </row>
    <row r="196" spans="1:5" s="2238" customFormat="1">
      <c r="A196" s="2133" t="str">
        <f t="shared" si="37"/>
        <v>K8</v>
      </c>
      <c r="B196" s="2133">
        <f t="shared" si="38"/>
        <v>5.15</v>
      </c>
      <c r="C196" s="2133">
        <f t="shared" si="38"/>
        <v>0</v>
      </c>
      <c r="D196" s="2236">
        <f t="shared" si="39"/>
        <v>0</v>
      </c>
      <c r="E196" s="2133">
        <f t="shared" si="41"/>
        <v>0</v>
      </c>
    </row>
    <row r="197" spans="1:5" s="2238" customFormat="1">
      <c r="A197" s="2133" t="str">
        <f t="shared" si="37"/>
        <v>K9</v>
      </c>
      <c r="B197" s="2133">
        <f t="shared" si="38"/>
        <v>5.15</v>
      </c>
      <c r="C197" s="2133">
        <f t="shared" si="38"/>
        <v>0</v>
      </c>
      <c r="D197" s="2236">
        <f t="shared" si="39"/>
        <v>0</v>
      </c>
      <c r="E197" s="2133">
        <f t="shared" si="41"/>
        <v>0</v>
      </c>
    </row>
    <row r="198" spans="1:5" s="2238" customFormat="1" ht="15" customHeight="1">
      <c r="A198" s="2133" t="str">
        <f t="shared" si="37"/>
        <v>K10</v>
      </c>
      <c r="B198" s="2133">
        <f t="shared" si="38"/>
        <v>5.15</v>
      </c>
      <c r="C198" s="2133">
        <f t="shared" si="38"/>
        <v>0</v>
      </c>
      <c r="D198" s="2236">
        <f t="shared" si="39"/>
        <v>0</v>
      </c>
      <c r="E198" s="2133">
        <f t="shared" si="41"/>
        <v>0</v>
      </c>
    </row>
    <row r="199" spans="1:5">
      <c r="A199" s="2133" t="str">
        <f t="shared" si="37"/>
        <v>K11</v>
      </c>
      <c r="B199" s="2133">
        <f t="shared" si="38"/>
        <v>5.15</v>
      </c>
      <c r="C199" s="2133">
        <f t="shared" si="38"/>
        <v>0</v>
      </c>
      <c r="D199" s="2087">
        <f t="shared" si="39"/>
        <v>0</v>
      </c>
      <c r="E199" s="2133">
        <f t="shared" si="40"/>
        <v>0</v>
      </c>
    </row>
    <row r="200" spans="1:5">
      <c r="A200" s="2133" t="str">
        <f t="shared" si="37"/>
        <v>K12</v>
      </c>
      <c r="B200" s="2133">
        <f t="shared" si="38"/>
        <v>5.15</v>
      </c>
      <c r="C200" s="2133">
        <f t="shared" si="38"/>
        <v>0</v>
      </c>
      <c r="D200" s="2087">
        <f t="shared" si="39"/>
        <v>0</v>
      </c>
      <c r="E200" s="2133">
        <f t="shared" si="40"/>
        <v>0</v>
      </c>
    </row>
    <row r="201" spans="1:5">
      <c r="A201" s="2133" t="str">
        <f t="shared" si="37"/>
        <v>K13</v>
      </c>
      <c r="B201" s="2133">
        <f>B173</f>
        <v>3.05</v>
      </c>
      <c r="C201" s="2133">
        <f t="shared" si="38"/>
        <v>0</v>
      </c>
      <c r="D201" s="2087">
        <f t="shared" si="39"/>
        <v>0</v>
      </c>
      <c r="E201" s="2133">
        <f t="shared" si="40"/>
        <v>0</v>
      </c>
    </row>
    <row r="202" spans="1:5">
      <c r="A202" s="2133" t="str">
        <f t="shared" si="37"/>
        <v>K14</v>
      </c>
      <c r="B202" s="2133">
        <f>B174</f>
        <v>5.15</v>
      </c>
      <c r="C202" s="2133">
        <f t="shared" si="38"/>
        <v>0</v>
      </c>
      <c r="D202" s="2087">
        <f t="shared" si="39"/>
        <v>0</v>
      </c>
      <c r="E202" s="2133">
        <f t="shared" si="40"/>
        <v>0</v>
      </c>
    </row>
    <row r="203" spans="1:5">
      <c r="A203" s="2133" t="str">
        <f t="shared" si="37"/>
        <v>K15</v>
      </c>
      <c r="B203" s="2133">
        <f t="shared" si="38"/>
        <v>5.15</v>
      </c>
      <c r="C203" s="2133">
        <f t="shared" si="38"/>
        <v>0</v>
      </c>
      <c r="D203" s="2087">
        <f t="shared" si="39"/>
        <v>0</v>
      </c>
      <c r="E203" s="2133">
        <f t="shared" si="40"/>
        <v>0</v>
      </c>
    </row>
    <row r="204" spans="1:5">
      <c r="A204" s="2133" t="str">
        <f t="shared" si="37"/>
        <v>K16</v>
      </c>
      <c r="B204" s="2133">
        <f t="shared" si="38"/>
        <v>1.2</v>
      </c>
      <c r="C204" s="2133">
        <f t="shared" si="38"/>
        <v>0</v>
      </c>
      <c r="D204" s="2087">
        <f t="shared" si="39"/>
        <v>0</v>
      </c>
      <c r="E204" s="2133">
        <f t="shared" si="40"/>
        <v>0</v>
      </c>
    </row>
    <row r="205" spans="1:5">
      <c r="A205" s="2133" t="str">
        <f t="shared" si="37"/>
        <v>K17</v>
      </c>
      <c r="B205" s="2133">
        <f t="shared" si="38"/>
        <v>5.15</v>
      </c>
      <c r="C205" s="2133">
        <f t="shared" si="38"/>
        <v>0</v>
      </c>
      <c r="D205" s="2087">
        <f t="shared" si="39"/>
        <v>0</v>
      </c>
      <c r="E205" s="2133">
        <f t="shared" si="40"/>
        <v>0</v>
      </c>
    </row>
    <row r="206" spans="1:5" ht="15" customHeight="1">
      <c r="A206" s="2133" t="str">
        <f t="shared" si="37"/>
        <v>K18</v>
      </c>
      <c r="B206" s="2133">
        <f t="shared" si="38"/>
        <v>5.15</v>
      </c>
      <c r="C206" s="2133">
        <f t="shared" si="38"/>
        <v>0</v>
      </c>
      <c r="D206" s="2087">
        <f t="shared" si="39"/>
        <v>0</v>
      </c>
      <c r="E206" s="2133">
        <f t="shared" si="40"/>
        <v>0</v>
      </c>
    </row>
    <row r="207" spans="1:5" ht="15" customHeight="1">
      <c r="D207" s="2146" t="s">
        <v>2076</v>
      </c>
      <c r="E207" s="2147">
        <f>SUM(E189:E206)</f>
        <v>874.60000000000014</v>
      </c>
    </row>
    <row r="208" spans="1:5" ht="14.25" customHeight="1">
      <c r="D208" s="2148"/>
      <c r="E208" s="2149"/>
    </row>
    <row r="211" spans="1:11">
      <c r="A211" s="2116" t="s">
        <v>1612</v>
      </c>
      <c r="B211" s="2116" t="s">
        <v>1608</v>
      </c>
      <c r="C211" s="2116" t="s">
        <v>2062</v>
      </c>
      <c r="D211" s="2116" t="s">
        <v>2088</v>
      </c>
      <c r="E211" s="2116" t="s">
        <v>1568</v>
      </c>
    </row>
    <row r="212" spans="1:11">
      <c r="A212" s="2087" t="str">
        <f t="shared" ref="A212:C213" si="42">A183</f>
        <v>KP1</v>
      </c>
      <c r="B212" s="2087">
        <f t="shared" si="42"/>
        <v>5.15</v>
      </c>
      <c r="C212" s="2087">
        <f t="shared" si="42"/>
        <v>79</v>
      </c>
      <c r="D212" s="2087">
        <f>2*(G155+H155)</f>
        <v>0.6</v>
      </c>
      <c r="E212" s="2087">
        <f>B212*C212*D212</f>
        <v>244.11</v>
      </c>
    </row>
    <row r="213" spans="1:11">
      <c r="A213" s="2133" t="str">
        <f t="shared" si="42"/>
        <v>KP2</v>
      </c>
      <c r="B213" s="2133">
        <f t="shared" si="42"/>
        <v>3.05</v>
      </c>
      <c r="C213" s="2133">
        <f t="shared" si="42"/>
        <v>0</v>
      </c>
      <c r="D213" s="2087">
        <f>2*(G156+H156)</f>
        <v>0.6</v>
      </c>
      <c r="E213" s="2133">
        <f>B213*C213*D213</f>
        <v>0</v>
      </c>
    </row>
    <row r="214" spans="1:11" ht="30">
      <c r="D214" s="2138" t="s">
        <v>2076</v>
      </c>
      <c r="E214" s="2150">
        <f>SUM(E212:E213)</f>
        <v>244.11</v>
      </c>
    </row>
    <row r="216" spans="1:11" s="2339" customFormat="1" ht="15" customHeight="1">
      <c r="A216" s="2863" t="s">
        <v>2016</v>
      </c>
      <c r="B216" s="2864"/>
      <c r="C216" s="2864"/>
      <c r="D216" s="2864"/>
      <c r="E216" s="2865"/>
      <c r="G216" s="2339" t="s">
        <v>2684</v>
      </c>
      <c r="J216" s="2339" t="s">
        <v>228</v>
      </c>
    </row>
    <row r="217" spans="1:11" ht="15" customHeight="1" thickBot="1">
      <c r="A217" s="2116" t="s">
        <v>1987</v>
      </c>
      <c r="B217" s="2151" t="s">
        <v>1205</v>
      </c>
      <c r="C217" s="2117" t="s">
        <v>1111</v>
      </c>
      <c r="D217" s="2116" t="s">
        <v>1243</v>
      </c>
      <c r="E217" s="2152" t="s">
        <v>1568</v>
      </c>
      <c r="G217" s="2086" t="s">
        <v>2685</v>
      </c>
      <c r="H217" s="2430"/>
      <c r="I217" s="2429"/>
      <c r="J217" s="2431">
        <f>SUM(H217:I217)</f>
        <v>0</v>
      </c>
    </row>
    <row r="218" spans="1:11" ht="15" customHeight="1">
      <c r="A218" s="2119" t="s">
        <v>1709</v>
      </c>
      <c r="B218" s="2344">
        <v>0</v>
      </c>
      <c r="C218" s="2345">
        <v>1</v>
      </c>
      <c r="D218" s="2121">
        <v>0.15</v>
      </c>
      <c r="E218" s="2087">
        <f t="shared" ref="E218:E223" si="43">B218*C218*D218</f>
        <v>0</v>
      </c>
      <c r="H218" s="2426"/>
      <c r="I218" s="2427"/>
      <c r="J218" s="2428">
        <f>SUM(H218:I218)</f>
        <v>0</v>
      </c>
    </row>
    <row r="219" spans="1:11" ht="15" customHeight="1">
      <c r="A219" s="2134"/>
      <c r="B219" s="2346">
        <v>0</v>
      </c>
      <c r="C219" s="2347">
        <v>1.175</v>
      </c>
      <c r="D219" s="2135">
        <v>0.15</v>
      </c>
      <c r="E219" s="2133">
        <f t="shared" si="43"/>
        <v>0</v>
      </c>
      <c r="H219" s="2430"/>
      <c r="I219" s="2429"/>
      <c r="J219" s="2431">
        <f>SUM(H219:I219)</f>
        <v>0</v>
      </c>
    </row>
    <row r="220" spans="1:11" ht="15" customHeight="1">
      <c r="A220" s="2134" t="s">
        <v>1710</v>
      </c>
      <c r="B220" s="2247"/>
      <c r="C220" s="2248"/>
      <c r="D220" s="2135">
        <v>0.15</v>
      </c>
      <c r="E220" s="2133">
        <f t="shared" si="43"/>
        <v>0</v>
      </c>
      <c r="H220" s="2426"/>
      <c r="I220" s="2427"/>
      <c r="J220" s="2428">
        <f>SUM(H220:I220)</f>
        <v>0</v>
      </c>
    </row>
    <row r="221" spans="1:11" ht="15" thickBot="1">
      <c r="A221" s="2134"/>
      <c r="B221" s="2127"/>
      <c r="C221" s="2137"/>
      <c r="D221" s="2135">
        <v>0.15</v>
      </c>
      <c r="E221" s="2133">
        <f t="shared" si="43"/>
        <v>0</v>
      </c>
      <c r="J221" s="2432">
        <f>SUM(J217:J220)</f>
        <v>0</v>
      </c>
      <c r="K221" s="2086" t="s">
        <v>129</v>
      </c>
    </row>
    <row r="222" spans="1:11" ht="15" customHeight="1">
      <c r="A222" s="2134" t="s">
        <v>2436</v>
      </c>
      <c r="B222" s="2247"/>
      <c r="C222" s="2248"/>
      <c r="D222" s="2135">
        <v>0.15</v>
      </c>
      <c r="E222" s="2133">
        <f t="shared" si="43"/>
        <v>0</v>
      </c>
    </row>
    <row r="223" spans="1:11" ht="15" thickBot="1">
      <c r="A223" s="2134"/>
      <c r="B223" s="2127"/>
      <c r="C223" s="2137"/>
      <c r="D223" s="2135">
        <v>0.15</v>
      </c>
      <c r="E223" s="2133">
        <f t="shared" si="43"/>
        <v>0</v>
      </c>
    </row>
    <row r="224" spans="1:11" ht="30">
      <c r="D224" s="2138" t="s">
        <v>2078</v>
      </c>
      <c r="E224" s="2150">
        <f>SUM(E218:E223)</f>
        <v>0</v>
      </c>
    </row>
    <row r="226" spans="1:12">
      <c r="A226" s="2850" t="s">
        <v>2018</v>
      </c>
      <c r="B226" s="2851"/>
      <c r="C226" s="2851"/>
      <c r="D226" s="2851"/>
      <c r="E226" s="2851"/>
      <c r="F226" s="2851"/>
      <c r="G226" s="2856"/>
    </row>
    <row r="227" spans="1:12">
      <c r="A227" s="2102" t="s">
        <v>1996</v>
      </c>
      <c r="B227" s="2102" t="s">
        <v>1205</v>
      </c>
      <c r="C227" s="2102" t="s">
        <v>1607</v>
      </c>
      <c r="D227" s="2102" t="s">
        <v>1168</v>
      </c>
      <c r="E227" s="2102" t="s">
        <v>1205</v>
      </c>
      <c r="F227" s="2102" t="s">
        <v>1243</v>
      </c>
      <c r="G227" s="2102"/>
    </row>
    <row r="228" spans="1:12">
      <c r="A228" s="2824" t="s">
        <v>2079</v>
      </c>
      <c r="B228" s="2133">
        <v>0</v>
      </c>
      <c r="C228" s="2133">
        <f>B228/0.2</f>
        <v>0</v>
      </c>
      <c r="D228" s="2133">
        <f>ROUNDUP(C228,0)</f>
        <v>0</v>
      </c>
      <c r="E228" s="2133">
        <f>(2*(B230-0.05))+0.2</f>
        <v>0.1</v>
      </c>
      <c r="F228" s="2133">
        <f>D228*E228</f>
        <v>0</v>
      </c>
      <c r="G228" s="2133">
        <f>F228*0.89</f>
        <v>0</v>
      </c>
      <c r="I228" s="2089"/>
      <c r="J228" s="2089"/>
      <c r="K228" s="2089"/>
      <c r="L228" s="2089"/>
    </row>
    <row r="229" spans="1:12">
      <c r="A229" s="2829"/>
      <c r="B229" s="2133"/>
      <c r="C229" s="2133"/>
      <c r="D229" s="2133"/>
      <c r="E229" s="2133"/>
      <c r="F229" s="2133"/>
      <c r="G229" s="2133"/>
      <c r="I229" s="2089"/>
      <c r="J229" s="2089"/>
      <c r="K229" s="2089"/>
      <c r="L229" s="2089"/>
    </row>
    <row r="230" spans="1:12">
      <c r="A230" s="2825"/>
      <c r="B230" s="2133">
        <v>0</v>
      </c>
      <c r="C230" s="2133">
        <f>B230/0.2</f>
        <v>0</v>
      </c>
      <c r="D230" s="2133">
        <f>ROUNDUP(C230,0)</f>
        <v>0</v>
      </c>
      <c r="E230" s="2133">
        <f>(2*(B228-0.05))+0.2</f>
        <v>0.1</v>
      </c>
      <c r="F230" s="2133">
        <f>D230*E230</f>
        <v>0</v>
      </c>
      <c r="G230" s="2133">
        <f>F230*0.4</f>
        <v>0</v>
      </c>
      <c r="L230" s="2089"/>
    </row>
    <row r="232" spans="1:12">
      <c r="A232" s="2850" t="s">
        <v>2017</v>
      </c>
      <c r="B232" s="2851"/>
      <c r="C232" s="2851"/>
      <c r="D232" s="2851"/>
      <c r="E232" s="2851"/>
      <c r="F232" s="2851"/>
      <c r="G232" s="2856"/>
    </row>
    <row r="233" spans="1:12">
      <c r="A233" s="2824" t="s">
        <v>2079</v>
      </c>
      <c r="B233" s="2087">
        <v>0</v>
      </c>
      <c r="C233" s="2087">
        <f>B233/0.2</f>
        <v>0</v>
      </c>
      <c r="D233" s="2087">
        <f>ROUNDUP(C233,0)</f>
        <v>0</v>
      </c>
      <c r="E233" s="2087">
        <f>(2*(B234-0.05))+0.2</f>
        <v>0.1</v>
      </c>
      <c r="F233" s="2087">
        <f>D233*E233</f>
        <v>0</v>
      </c>
      <c r="G233" s="2087">
        <f>F233*0.89</f>
        <v>0</v>
      </c>
    </row>
    <row r="234" spans="1:12">
      <c r="A234" s="2825"/>
      <c r="B234" s="2133">
        <v>0</v>
      </c>
      <c r="C234" s="2133">
        <f>B234/0.2</f>
        <v>0</v>
      </c>
      <c r="D234" s="2133">
        <f>ROUNDUP(C234,0)</f>
        <v>0</v>
      </c>
      <c r="E234" s="2133">
        <f>(2*(B233-0.05))+0.2</f>
        <v>0.1</v>
      </c>
      <c r="F234" s="2133">
        <f>D234*E234</f>
        <v>0</v>
      </c>
      <c r="G234" s="2133">
        <f>F234*0.4</f>
        <v>0</v>
      </c>
    </row>
    <row r="235" spans="1:12">
      <c r="A235" s="2153"/>
      <c r="B235" s="2154"/>
      <c r="C235" s="2154"/>
      <c r="D235" s="2154"/>
      <c r="E235" s="2154"/>
      <c r="F235" s="2154"/>
      <c r="G235" s="2155"/>
    </row>
    <row r="236" spans="1:12">
      <c r="A236" s="2838" t="s">
        <v>2019</v>
      </c>
      <c r="B236" s="2839"/>
      <c r="C236" s="2839"/>
      <c r="D236" s="2839"/>
      <c r="E236" s="2839"/>
      <c r="F236" s="2839"/>
      <c r="G236" s="2840"/>
    </row>
    <row r="237" spans="1:12">
      <c r="A237" s="2102" t="s">
        <v>1996</v>
      </c>
      <c r="B237" s="2102" t="s">
        <v>1205</v>
      </c>
      <c r="C237" s="2102" t="s">
        <v>1607</v>
      </c>
      <c r="D237" s="2102" t="s">
        <v>1168</v>
      </c>
      <c r="E237" s="2102" t="s">
        <v>1205</v>
      </c>
      <c r="F237" s="2102" t="s">
        <v>1243</v>
      </c>
      <c r="G237" s="2102"/>
    </row>
    <row r="238" spans="1:12">
      <c r="A238" s="2824" t="s">
        <v>2080</v>
      </c>
      <c r="B238" s="2133">
        <f>B220</f>
        <v>0</v>
      </c>
      <c r="C238" s="2133">
        <f>B238/0.2</f>
        <v>0</v>
      </c>
      <c r="D238" s="2133">
        <f>ROUNDUP(C238,0)</f>
        <v>0</v>
      </c>
      <c r="E238" s="2133">
        <f>(2*(B240-0.05))+0.2</f>
        <v>0.1</v>
      </c>
      <c r="F238" s="2133">
        <f>D238*E238</f>
        <v>0</v>
      </c>
      <c r="G238" s="2133">
        <f>F238*0.89</f>
        <v>0</v>
      </c>
    </row>
    <row r="239" spans="1:12">
      <c r="A239" s="2829"/>
      <c r="B239" s="2133"/>
      <c r="C239" s="2133"/>
      <c r="D239" s="2133"/>
      <c r="E239" s="2133"/>
      <c r="F239" s="2133"/>
      <c r="G239" s="2133"/>
    </row>
    <row r="240" spans="1:12">
      <c r="A240" s="2825"/>
      <c r="B240" s="2133">
        <f>C220</f>
        <v>0</v>
      </c>
      <c r="C240" s="2133">
        <f>B240/0.2</f>
        <v>0</v>
      </c>
      <c r="D240" s="2133">
        <f>ROUNDUP(C240,0)</f>
        <v>0</v>
      </c>
      <c r="E240" s="2133">
        <f>(2*(B238-0.05))+0.2</f>
        <v>0.1</v>
      </c>
      <c r="F240" s="2133">
        <f>D240*E240</f>
        <v>0</v>
      </c>
      <c r="G240" s="2133">
        <f>F240*0.4</f>
        <v>0</v>
      </c>
    </row>
    <row r="242" spans="1:7">
      <c r="A242" s="2838" t="s">
        <v>2017</v>
      </c>
      <c r="B242" s="2839"/>
      <c r="C242" s="2839"/>
      <c r="D242" s="2839"/>
      <c r="E242" s="2839"/>
      <c r="F242" s="2839"/>
      <c r="G242" s="2840"/>
    </row>
    <row r="243" spans="1:7">
      <c r="A243" s="2830" t="s">
        <v>2080</v>
      </c>
      <c r="B243" s="2087">
        <f>B221</f>
        <v>0</v>
      </c>
      <c r="C243" s="2087">
        <f>B243/0.2</f>
        <v>0</v>
      </c>
      <c r="D243" s="2087">
        <f>ROUNDUP(C243,0)</f>
        <v>0</v>
      </c>
      <c r="E243" s="2087">
        <f>(2*(B244-0.05))+0.2</f>
        <v>0.1</v>
      </c>
      <c r="F243" s="2087">
        <f>D243*E243</f>
        <v>0</v>
      </c>
      <c r="G243" s="2087">
        <f>F243*0.89</f>
        <v>0</v>
      </c>
    </row>
    <row r="244" spans="1:7">
      <c r="A244" s="2825"/>
      <c r="B244" s="2133">
        <f>C221</f>
        <v>0</v>
      </c>
      <c r="C244" s="2133">
        <f>B244/0.2</f>
        <v>0</v>
      </c>
      <c r="D244" s="2133">
        <f>ROUNDUP(C244,0)</f>
        <v>0</v>
      </c>
      <c r="E244" s="2133">
        <f>(2*(B243-0.05))+0.2</f>
        <v>0.1</v>
      </c>
      <c r="F244" s="2133">
        <f>D244*E244</f>
        <v>0</v>
      </c>
      <c r="G244" s="2133">
        <f>F244*0.4</f>
        <v>0</v>
      </c>
    </row>
    <row r="246" spans="1:7">
      <c r="A246" s="2838" t="s">
        <v>2437</v>
      </c>
      <c r="B246" s="2839"/>
      <c r="C246" s="2839"/>
      <c r="D246" s="2839"/>
      <c r="E246" s="2839"/>
      <c r="F246" s="2839"/>
      <c r="G246" s="2840"/>
    </row>
    <row r="247" spans="1:7">
      <c r="A247" s="2102" t="s">
        <v>1996</v>
      </c>
      <c r="B247" s="2102" t="s">
        <v>1205</v>
      </c>
      <c r="C247" s="2102" t="s">
        <v>1607</v>
      </c>
      <c r="D247" s="2102" t="s">
        <v>1168</v>
      </c>
      <c r="E247" s="2102" t="s">
        <v>1205</v>
      </c>
      <c r="F247" s="2102" t="s">
        <v>1243</v>
      </c>
      <c r="G247" s="2102"/>
    </row>
    <row r="248" spans="1:7">
      <c r="A248" s="2824" t="s">
        <v>2438</v>
      </c>
      <c r="B248" s="2133">
        <f>B222</f>
        <v>0</v>
      </c>
      <c r="C248" s="2133">
        <f>B248/0.2</f>
        <v>0</v>
      </c>
      <c r="D248" s="2133">
        <f>ROUNDUP(C248,0)</f>
        <v>0</v>
      </c>
      <c r="E248" s="2133">
        <f>(2*(B250-0.05))+0.2</f>
        <v>0.1</v>
      </c>
      <c r="F248" s="2133">
        <f>D248*E248</f>
        <v>0</v>
      </c>
      <c r="G248" s="2133">
        <f>F248*0.89</f>
        <v>0</v>
      </c>
    </row>
    <row r="249" spans="1:7">
      <c r="A249" s="2829"/>
      <c r="B249" s="2133"/>
      <c r="C249" s="2133"/>
      <c r="D249" s="2133"/>
      <c r="E249" s="2133"/>
      <c r="F249" s="2133"/>
      <c r="G249" s="2133"/>
    </row>
    <row r="250" spans="1:7">
      <c r="A250" s="2825"/>
      <c r="B250" s="2133">
        <f>C222</f>
        <v>0</v>
      </c>
      <c r="C250" s="2133">
        <f>B250/0.2</f>
        <v>0</v>
      </c>
      <c r="D250" s="2133">
        <f>ROUNDUP(C250,0)</f>
        <v>0</v>
      </c>
      <c r="E250" s="2133">
        <f>(2*(B248-0.05))+0.2</f>
        <v>0.1</v>
      </c>
      <c r="F250" s="2133">
        <f>D250*E250</f>
        <v>0</v>
      </c>
      <c r="G250" s="2133">
        <f>F250*0.4</f>
        <v>0</v>
      </c>
    </row>
    <row r="252" spans="1:7">
      <c r="A252" s="2838" t="s">
        <v>2017</v>
      </c>
      <c r="B252" s="2839"/>
      <c r="C252" s="2839"/>
      <c r="D252" s="2839"/>
      <c r="E252" s="2839"/>
      <c r="F252" s="2839"/>
      <c r="G252" s="2840"/>
    </row>
    <row r="253" spans="1:7">
      <c r="A253" s="2830" t="s">
        <v>2438</v>
      </c>
      <c r="B253" s="2087">
        <f>B223</f>
        <v>0</v>
      </c>
      <c r="C253" s="2087">
        <f>B253/0.2</f>
        <v>0</v>
      </c>
      <c r="D253" s="2087">
        <f>ROUNDUP(C253,0)</f>
        <v>0</v>
      </c>
      <c r="E253" s="2087">
        <v>0</v>
      </c>
      <c r="F253" s="2087">
        <f>D253*E253</f>
        <v>0</v>
      </c>
      <c r="G253" s="2087">
        <f>F253*0.89</f>
        <v>0</v>
      </c>
    </row>
    <row r="254" spans="1:7">
      <c r="A254" s="2825"/>
      <c r="B254" s="2133">
        <f>C223</f>
        <v>0</v>
      </c>
      <c r="C254" s="2133">
        <f>B254/0.2</f>
        <v>0</v>
      </c>
      <c r="D254" s="2133">
        <f>ROUNDUP(C254,0)</f>
        <v>0</v>
      </c>
      <c r="E254" s="2133">
        <v>0</v>
      </c>
      <c r="F254" s="2133">
        <f>D254*E254</f>
        <v>0</v>
      </c>
      <c r="G254" s="2133">
        <f>F254*0.4</f>
        <v>0</v>
      </c>
    </row>
    <row r="255" spans="1:7" ht="15">
      <c r="E255" s="2804" t="s">
        <v>2097</v>
      </c>
      <c r="F255" s="2805"/>
      <c r="G255" s="2150">
        <f>G228+G233+G248+G253+G238+G243</f>
        <v>0</v>
      </c>
    </row>
    <row r="256" spans="1:7" ht="15">
      <c r="E256" s="2804" t="s">
        <v>2096</v>
      </c>
      <c r="F256" s="2805"/>
      <c r="G256" s="2150">
        <f>G230+G234+G250+G254+G240+G244</f>
        <v>0</v>
      </c>
    </row>
    <row r="258" spans="1:6">
      <c r="A258" s="2116" t="s">
        <v>2047</v>
      </c>
      <c r="B258" s="2116" t="s">
        <v>2009</v>
      </c>
      <c r="C258" s="2116" t="s">
        <v>2045</v>
      </c>
      <c r="D258" s="2116" t="s">
        <v>1568</v>
      </c>
    </row>
    <row r="259" spans="1:6">
      <c r="A259" s="2830" t="s">
        <v>2079</v>
      </c>
      <c r="B259" s="2087">
        <v>0</v>
      </c>
      <c r="C259" s="2087">
        <v>0</v>
      </c>
      <c r="D259" s="2087">
        <f t="shared" ref="D259:D264" si="44">B259*C259</f>
        <v>0</v>
      </c>
    </row>
    <row r="260" spans="1:6">
      <c r="A260" s="2825"/>
      <c r="B260" s="2133">
        <v>0</v>
      </c>
      <c r="C260" s="2087">
        <v>0</v>
      </c>
      <c r="D260" s="2133">
        <f t="shared" si="44"/>
        <v>0</v>
      </c>
    </row>
    <row r="261" spans="1:6">
      <c r="A261" s="2824" t="s">
        <v>2081</v>
      </c>
      <c r="B261" s="2133">
        <f t="shared" ref="B261:C264" si="45">B220</f>
        <v>0</v>
      </c>
      <c r="C261" s="2133">
        <f t="shared" si="45"/>
        <v>0</v>
      </c>
      <c r="D261" s="2133">
        <f t="shared" si="44"/>
        <v>0</v>
      </c>
    </row>
    <row r="262" spans="1:6">
      <c r="A262" s="2825"/>
      <c r="B262" s="2133">
        <f t="shared" si="45"/>
        <v>0</v>
      </c>
      <c r="C262" s="2133">
        <f t="shared" si="45"/>
        <v>0</v>
      </c>
      <c r="D262" s="2133">
        <f t="shared" si="44"/>
        <v>0</v>
      </c>
    </row>
    <row r="263" spans="1:6">
      <c r="A263" s="2824" t="s">
        <v>2439</v>
      </c>
      <c r="B263" s="2133">
        <f t="shared" si="45"/>
        <v>0</v>
      </c>
      <c r="C263" s="2133">
        <f t="shared" si="45"/>
        <v>0</v>
      </c>
      <c r="D263" s="2133">
        <f t="shared" si="44"/>
        <v>0</v>
      </c>
    </row>
    <row r="264" spans="1:6">
      <c r="A264" s="2825"/>
      <c r="B264" s="2133">
        <f t="shared" si="45"/>
        <v>0</v>
      </c>
      <c r="C264" s="2133">
        <f t="shared" si="45"/>
        <v>0</v>
      </c>
      <c r="D264" s="2133">
        <f t="shared" si="44"/>
        <v>0</v>
      </c>
    </row>
    <row r="265" spans="1:6" ht="30">
      <c r="C265" s="2156" t="s">
        <v>2076</v>
      </c>
      <c r="D265" s="2157">
        <f>SUM(D259:D264)</f>
        <v>0</v>
      </c>
    </row>
    <row r="266" spans="1:6" ht="14.25" customHeight="1"/>
    <row r="267" spans="1:6" ht="15" thickBot="1">
      <c r="A267" s="2810" t="s">
        <v>2085</v>
      </c>
      <c r="B267" s="2117" t="s">
        <v>2009</v>
      </c>
      <c r="C267" s="2117" t="s">
        <v>2045</v>
      </c>
      <c r="D267" s="2116" t="s">
        <v>1568</v>
      </c>
    </row>
    <row r="268" spans="1:6" ht="15" thickBot="1">
      <c r="A268" s="2811"/>
      <c r="B268" s="2348">
        <v>5.35</v>
      </c>
      <c r="C268" s="2349">
        <v>0.7</v>
      </c>
      <c r="D268" s="2135">
        <f>0.1</f>
        <v>0.1</v>
      </c>
    </row>
    <row r="269" spans="1:6" ht="15" customHeight="1">
      <c r="A269" s="2812"/>
      <c r="B269" s="2814" t="s">
        <v>2078</v>
      </c>
      <c r="C269" s="2815"/>
      <c r="D269" s="2158">
        <f>B268*C268*D268</f>
        <v>0.3745</v>
      </c>
    </row>
    <row r="270" spans="1:6" ht="15">
      <c r="A270" s="2813"/>
      <c r="B270" s="2816" t="s">
        <v>2082</v>
      </c>
      <c r="C270" s="2817"/>
      <c r="D270" s="2159">
        <f>D269-(0.4*0.1)*0</f>
        <v>0.3745</v>
      </c>
    </row>
    <row r="271" spans="1:6" ht="14.25" customHeight="1"/>
    <row r="272" spans="1:6">
      <c r="A272" s="2818" t="s">
        <v>2084</v>
      </c>
      <c r="B272" s="2116" t="s">
        <v>1205</v>
      </c>
      <c r="C272" s="2116" t="s">
        <v>1607</v>
      </c>
      <c r="D272" s="2116" t="s">
        <v>2093</v>
      </c>
      <c r="E272" s="2116" t="s">
        <v>1205</v>
      </c>
      <c r="F272" s="2116" t="s">
        <v>1568</v>
      </c>
    </row>
    <row r="273" spans="1:16">
      <c r="A273" s="2819"/>
      <c r="B273" s="2135">
        <f>B268</f>
        <v>5.35</v>
      </c>
      <c r="C273" s="2133">
        <f>B273/0.15</f>
        <v>35.666666666666664</v>
      </c>
      <c r="D273" s="2133">
        <f>ROUNDUP(C273,0)</f>
        <v>36</v>
      </c>
      <c r="E273" s="2133">
        <f>B274-0.05</f>
        <v>0.64999999999999991</v>
      </c>
      <c r="F273" s="2133">
        <f>D273*E273</f>
        <v>23.4</v>
      </c>
    </row>
    <row r="274" spans="1:16">
      <c r="A274" s="2820"/>
      <c r="B274" s="2135">
        <f>C268</f>
        <v>0.7</v>
      </c>
      <c r="C274" s="2133">
        <f>B274/0.15</f>
        <v>4.666666666666667</v>
      </c>
      <c r="D274" s="2145">
        <f>ROUNDUP(C274,0)</f>
        <v>5</v>
      </c>
      <c r="E274" s="2145">
        <f>B273-0.05</f>
        <v>5.3</v>
      </c>
      <c r="F274" s="2145">
        <f>D274*E274</f>
        <v>26.5</v>
      </c>
    </row>
    <row r="275" spans="1:16" ht="15">
      <c r="A275" s="2107"/>
      <c r="B275" s="2107"/>
      <c r="C275" s="2107"/>
      <c r="D275" s="2821" t="s">
        <v>2086</v>
      </c>
      <c r="E275" s="2821"/>
      <c r="F275" s="2157">
        <f>$F$273*0.62</f>
        <v>14.507999999999999</v>
      </c>
    </row>
    <row r="276" spans="1:16" ht="15">
      <c r="A276" s="2107"/>
      <c r="B276" s="2107"/>
      <c r="C276" s="2107"/>
      <c r="D276" s="2821" t="s">
        <v>2087</v>
      </c>
      <c r="E276" s="2821"/>
      <c r="F276" s="2157">
        <f>$F$274*0.62</f>
        <v>16.43</v>
      </c>
    </row>
    <row r="278" spans="1:16">
      <c r="A278" s="2818" t="s">
        <v>2083</v>
      </c>
      <c r="B278" s="2116" t="s">
        <v>1205</v>
      </c>
      <c r="C278" s="2116" t="s">
        <v>1111</v>
      </c>
      <c r="D278" s="2116" t="s">
        <v>1568</v>
      </c>
    </row>
    <row r="279" spans="1:16">
      <c r="A279" s="2822"/>
      <c r="B279" s="2135">
        <f>B268</f>
        <v>5.35</v>
      </c>
      <c r="C279" s="2133">
        <f>C268</f>
        <v>0.7</v>
      </c>
      <c r="D279" s="2133">
        <f>B279*C279</f>
        <v>3.7449999999999997</v>
      </c>
    </row>
    <row r="280" spans="1:16">
      <c r="A280" s="2823"/>
      <c r="B280" s="2135">
        <f>B268</f>
        <v>5.35</v>
      </c>
      <c r="C280" s="2133">
        <f>D268</f>
        <v>0.1</v>
      </c>
      <c r="D280" s="2133">
        <f>B280*C280</f>
        <v>0.53500000000000003</v>
      </c>
    </row>
    <row r="281" spans="1:16" ht="30">
      <c r="C281" s="2156" t="s">
        <v>2076</v>
      </c>
      <c r="D281" s="2157">
        <f>SUM(D279:D280)</f>
        <v>4.2799999999999994</v>
      </c>
    </row>
    <row r="283" spans="1:16">
      <c r="A283" s="2867" t="s">
        <v>2056</v>
      </c>
      <c r="B283" s="2868"/>
      <c r="C283" s="2868"/>
      <c r="D283" s="2868"/>
      <c r="E283" s="2868"/>
      <c r="F283" s="2869"/>
      <c r="G283" s="2160" t="s">
        <v>1568</v>
      </c>
      <c r="H283" s="2161"/>
      <c r="I283" s="2161"/>
      <c r="J283" s="2162"/>
      <c r="L283" s="2867" t="s">
        <v>2094</v>
      </c>
      <c r="M283" s="2868"/>
      <c r="N283" s="2868"/>
      <c r="O283" s="2868"/>
      <c r="P283" s="2868"/>
    </row>
    <row r="284" spans="1:16" ht="15">
      <c r="A284" s="2158" t="s">
        <v>2090</v>
      </c>
      <c r="B284" s="2163" t="s">
        <v>2009</v>
      </c>
      <c r="C284" s="2158" t="s">
        <v>1609</v>
      </c>
      <c r="D284" s="2158" t="s">
        <v>1679</v>
      </c>
      <c r="E284" s="2164" t="s">
        <v>2435</v>
      </c>
      <c r="F284" s="2165" t="s">
        <v>2440</v>
      </c>
      <c r="G284" s="2158" t="s">
        <v>2050</v>
      </c>
      <c r="H284" s="2158" t="s">
        <v>2051</v>
      </c>
      <c r="I284" s="2158" t="s">
        <v>2441</v>
      </c>
      <c r="J284" s="2158" t="s">
        <v>2442</v>
      </c>
      <c r="L284" s="2158" t="s">
        <v>1607</v>
      </c>
      <c r="M284" s="2158" t="s">
        <v>1611</v>
      </c>
      <c r="N284" s="2158" t="s">
        <v>1168</v>
      </c>
      <c r="O284" s="2158" t="s">
        <v>1205</v>
      </c>
      <c r="P284" s="2158" t="s">
        <v>1243</v>
      </c>
    </row>
    <row r="285" spans="1:16">
      <c r="A285" s="2134" t="s">
        <v>187</v>
      </c>
      <c r="B285" s="2135">
        <f>I7</f>
        <v>90.17</v>
      </c>
      <c r="C285" s="2135">
        <v>0</v>
      </c>
      <c r="D285" s="2133">
        <v>0</v>
      </c>
      <c r="E285" s="2133">
        <v>0</v>
      </c>
      <c r="F285" s="2134">
        <v>4</v>
      </c>
      <c r="G285" s="2133">
        <f>B285*F285</f>
        <v>360.68</v>
      </c>
      <c r="H285" s="2133">
        <f>B285*D285</f>
        <v>0</v>
      </c>
      <c r="I285" s="2133">
        <f>B285*E285</f>
        <v>0</v>
      </c>
      <c r="J285" s="2133">
        <f>B285*F285</f>
        <v>360.68</v>
      </c>
      <c r="L285" s="2133">
        <f>(B285/2)/0.2</f>
        <v>225.42499999999998</v>
      </c>
      <c r="M285" s="2133">
        <f>(B285/2)/0.1</f>
        <v>450.84999999999997</v>
      </c>
      <c r="N285" s="2133">
        <f>SUM(L285:M285)</f>
        <v>676.27499999999998</v>
      </c>
      <c r="O285" s="2133">
        <f>2*(0.07+0.07)</f>
        <v>0.28000000000000003</v>
      </c>
      <c r="P285" s="2133">
        <f>N285*O285</f>
        <v>189.357</v>
      </c>
    </row>
    <row r="286" spans="1:16" ht="15" customHeight="1">
      <c r="A286" s="2134" t="s">
        <v>173</v>
      </c>
      <c r="B286" s="2135"/>
      <c r="C286" s="2135">
        <v>0</v>
      </c>
      <c r="D286" s="2133">
        <v>0</v>
      </c>
      <c r="E286" s="2133">
        <v>0</v>
      </c>
      <c r="F286" s="2134">
        <v>4</v>
      </c>
      <c r="G286" s="2133">
        <f>B286*C286</f>
        <v>0</v>
      </c>
      <c r="H286" s="2133">
        <f>B286*D286</f>
        <v>0</v>
      </c>
      <c r="I286" s="2133">
        <f>B286*E286</f>
        <v>0</v>
      </c>
      <c r="J286" s="2133">
        <f>B286*F286</f>
        <v>0</v>
      </c>
      <c r="L286" s="2133">
        <f>(B286/2)/0.2</f>
        <v>0</v>
      </c>
      <c r="M286" s="2133">
        <f>(B286/2)/0.1</f>
        <v>0</v>
      </c>
      <c r="N286" s="2133">
        <f>SUM(L286:M286)</f>
        <v>0</v>
      </c>
      <c r="O286" s="2133">
        <v>0</v>
      </c>
      <c r="P286" s="2133">
        <f>N286*O286</f>
        <v>0</v>
      </c>
    </row>
    <row r="287" spans="1:16" ht="15" customHeight="1">
      <c r="A287" s="2107"/>
      <c r="B287" s="2107"/>
      <c r="C287" s="2107"/>
      <c r="D287" s="2107"/>
      <c r="E287" s="2804" t="s">
        <v>2074</v>
      </c>
      <c r="F287" s="2805"/>
      <c r="G287" s="2133">
        <f>SUM(G285:G286)</f>
        <v>360.68</v>
      </c>
      <c r="H287" s="2133">
        <f>SUM(H285:H286)</f>
        <v>0</v>
      </c>
      <c r="I287" s="2133">
        <f>SUM(I285:I286)</f>
        <v>0</v>
      </c>
      <c r="J287" s="2133">
        <f>SUM(J285:J286)</f>
        <v>360.68</v>
      </c>
      <c r="M287" s="2806" t="s">
        <v>2074</v>
      </c>
      <c r="N287" s="2806"/>
      <c r="O287" s="2806"/>
      <c r="P287" s="2133">
        <f>SUM(P285:P286)</f>
        <v>189.357</v>
      </c>
    </row>
    <row r="288" spans="1:16" ht="15">
      <c r="A288" s="2107"/>
      <c r="B288" s="2107"/>
      <c r="C288" s="2107"/>
      <c r="D288" s="2107"/>
      <c r="E288" s="2804" t="s">
        <v>2075</v>
      </c>
      <c r="F288" s="2805"/>
      <c r="G288" s="2158">
        <f>$G$287*1.58</f>
        <v>569.87440000000004</v>
      </c>
      <c r="H288" s="2158">
        <f>$H$287*1.04</f>
        <v>0</v>
      </c>
      <c r="I288" s="2158">
        <f>$I$287*0.89</f>
        <v>0</v>
      </c>
      <c r="J288" s="2157">
        <f>J287*0.62</f>
        <v>223.6216</v>
      </c>
      <c r="M288" s="2806" t="s">
        <v>2075</v>
      </c>
      <c r="N288" s="2806"/>
      <c r="O288" s="2806"/>
      <c r="P288" s="2157">
        <f>P287*0.4</f>
        <v>75.742800000000003</v>
      </c>
    </row>
    <row r="289" spans="1:16">
      <c r="A289" s="2107"/>
      <c r="B289" s="2107"/>
      <c r="C289" s="2107"/>
      <c r="D289" s="2107"/>
      <c r="E289" s="2107"/>
      <c r="F289" s="2107"/>
      <c r="G289" s="2107"/>
      <c r="H289" s="2107"/>
      <c r="I289" s="2107"/>
      <c r="J289" s="2107"/>
    </row>
    <row r="290" spans="1:16">
      <c r="A290" s="2807" t="s">
        <v>2052</v>
      </c>
      <c r="B290" s="2808"/>
      <c r="C290" s="2808"/>
      <c r="D290" s="2808"/>
    </row>
    <row r="291" spans="1:16">
      <c r="A291" s="2133" t="s">
        <v>1711</v>
      </c>
      <c r="B291" s="2133" t="s">
        <v>1614</v>
      </c>
      <c r="C291" s="2133" t="s">
        <v>1615</v>
      </c>
      <c r="D291" s="2133"/>
    </row>
    <row r="292" spans="1:16">
      <c r="A292" s="2133" t="str">
        <f>A285</f>
        <v>B1</v>
      </c>
      <c r="B292" s="2133">
        <f>B285</f>
        <v>90.17</v>
      </c>
      <c r="C292" s="2133">
        <f>0.15*0.15</f>
        <v>2.2499999999999999E-2</v>
      </c>
      <c r="D292" s="2133">
        <f>B292*C292</f>
        <v>2.0288249999999999</v>
      </c>
    </row>
    <row r="293" spans="1:16" ht="15" customHeight="1">
      <c r="A293" s="2133" t="str">
        <f>A286</f>
        <v>B2</v>
      </c>
      <c r="B293" s="2133">
        <f>B286</f>
        <v>0</v>
      </c>
      <c r="C293" s="2133"/>
      <c r="D293" s="2133">
        <f>B293*C293</f>
        <v>0</v>
      </c>
    </row>
    <row r="294" spans="1:16" ht="30">
      <c r="C294" s="2156" t="s">
        <v>2078</v>
      </c>
      <c r="D294" s="2133">
        <f>D292</f>
        <v>2.0288249999999999</v>
      </c>
    </row>
    <row r="296" spans="1:16">
      <c r="A296" s="2807" t="s">
        <v>2053</v>
      </c>
      <c r="B296" s="2808"/>
      <c r="C296" s="2808"/>
      <c r="D296" s="2808"/>
    </row>
    <row r="297" spans="1:16">
      <c r="A297" s="2133" t="s">
        <v>1711</v>
      </c>
      <c r="B297" s="2133" t="s">
        <v>1614</v>
      </c>
      <c r="C297" s="2133" t="s">
        <v>1615</v>
      </c>
      <c r="D297" s="2133"/>
    </row>
    <row r="298" spans="1:16">
      <c r="A298" s="2133" t="str">
        <f>A292</f>
        <v>B1</v>
      </c>
      <c r="B298" s="2133">
        <f>B292</f>
        <v>90.17</v>
      </c>
      <c r="C298" s="2133">
        <f>0.15*3</f>
        <v>0.44999999999999996</v>
      </c>
      <c r="D298" s="2133">
        <f>B298*C298</f>
        <v>40.576499999999996</v>
      </c>
    </row>
    <row r="299" spans="1:16">
      <c r="A299" s="2133" t="str">
        <f>A293</f>
        <v>B2</v>
      </c>
      <c r="B299" s="2133">
        <f>B293</f>
        <v>0</v>
      </c>
      <c r="C299" s="2133"/>
      <c r="D299" s="2133">
        <f>B299*C299</f>
        <v>0</v>
      </c>
    </row>
    <row r="300" spans="1:16" ht="30">
      <c r="C300" s="2156" t="s">
        <v>2076</v>
      </c>
      <c r="D300" s="2159">
        <f>SUM(D298:D299)</f>
        <v>40.576499999999996</v>
      </c>
    </row>
    <row r="302" spans="1:16">
      <c r="A302" s="2807" t="s">
        <v>2054</v>
      </c>
      <c r="B302" s="2808"/>
      <c r="C302" s="2808"/>
      <c r="D302" s="2808"/>
      <c r="E302" s="2808"/>
      <c r="F302" s="2809"/>
      <c r="G302" s="2166" t="s">
        <v>1568</v>
      </c>
      <c r="H302" s="2167"/>
      <c r="I302" s="2167"/>
      <c r="J302" s="2168"/>
      <c r="L302" s="2807" t="s">
        <v>2094</v>
      </c>
      <c r="M302" s="2808"/>
      <c r="N302" s="2808"/>
      <c r="O302" s="2808"/>
      <c r="P302" s="2808"/>
    </row>
    <row r="303" spans="1:16" ht="15">
      <c r="A303" s="2133" t="s">
        <v>2130</v>
      </c>
      <c r="B303" s="2145" t="s">
        <v>2009</v>
      </c>
      <c r="C303" s="2133" t="s">
        <v>1609</v>
      </c>
      <c r="D303" s="2133" t="s">
        <v>1679</v>
      </c>
      <c r="E303" s="2169" t="s">
        <v>2435</v>
      </c>
      <c r="F303" s="2170" t="s">
        <v>2440</v>
      </c>
      <c r="G303" s="2133" t="s">
        <v>2050</v>
      </c>
      <c r="H303" s="2133" t="s">
        <v>2051</v>
      </c>
      <c r="I303" s="2133" t="s">
        <v>2441</v>
      </c>
      <c r="J303" s="2133" t="s">
        <v>2442</v>
      </c>
      <c r="L303" s="2133" t="s">
        <v>1607</v>
      </c>
      <c r="M303" s="2133" t="s">
        <v>1611</v>
      </c>
      <c r="N303" s="2133" t="s">
        <v>1168</v>
      </c>
      <c r="O303" s="2133" t="s">
        <v>1205</v>
      </c>
      <c r="P303" s="2133" t="s">
        <v>1243</v>
      </c>
    </row>
    <row r="304" spans="1:16">
      <c r="A304" s="2134" t="s">
        <v>187</v>
      </c>
      <c r="B304" s="2135">
        <f>D59</f>
        <v>43.14</v>
      </c>
      <c r="C304" s="2135">
        <v>0</v>
      </c>
      <c r="D304" s="2133">
        <v>0</v>
      </c>
      <c r="E304" s="2133">
        <v>0</v>
      </c>
      <c r="F304" s="2134">
        <v>4</v>
      </c>
      <c r="G304" s="2133">
        <f>B304*C304</f>
        <v>0</v>
      </c>
      <c r="H304" s="2133">
        <f>B304*D304</f>
        <v>0</v>
      </c>
      <c r="I304" s="2133">
        <f>B304*E304</f>
        <v>0</v>
      </c>
      <c r="J304" s="2133">
        <f>B304*F304</f>
        <v>172.56</v>
      </c>
      <c r="L304" s="2133">
        <f>(B304/2)/0.2</f>
        <v>107.85</v>
      </c>
      <c r="M304" s="2133">
        <f>(B304/2)/0.1</f>
        <v>215.7</v>
      </c>
      <c r="N304" s="2133">
        <f>SUM(L304:M304)</f>
        <v>323.54999999999995</v>
      </c>
      <c r="O304" s="2133">
        <f>2*(0.12+0.12)</f>
        <v>0.48</v>
      </c>
      <c r="P304" s="2133">
        <f>N304*O304</f>
        <v>155.30399999999997</v>
      </c>
    </row>
    <row r="305" spans="1:16" s="2274" customFormat="1" ht="15" customHeight="1">
      <c r="A305" s="2134" t="s">
        <v>173</v>
      </c>
      <c r="B305" s="2135">
        <f>D60</f>
        <v>0</v>
      </c>
      <c r="C305" s="2135">
        <v>0</v>
      </c>
      <c r="D305" s="2133">
        <v>0</v>
      </c>
      <c r="E305" s="2133">
        <v>0</v>
      </c>
      <c r="F305" s="2134">
        <v>4</v>
      </c>
      <c r="G305" s="2133">
        <f>B305*C305</f>
        <v>0</v>
      </c>
      <c r="H305" s="2133">
        <f>B305*D305</f>
        <v>0</v>
      </c>
      <c r="I305" s="2133">
        <f>B305*E305</f>
        <v>0</v>
      </c>
      <c r="J305" s="2133">
        <f>B305*F305</f>
        <v>0</v>
      </c>
      <c r="L305" s="2133">
        <f>(B305/2)/0.2</f>
        <v>0</v>
      </c>
      <c r="M305" s="2133">
        <f>(B305/2)/0.1</f>
        <v>0</v>
      </c>
      <c r="N305" s="2133">
        <f>SUM(L305:M305)</f>
        <v>0</v>
      </c>
      <c r="O305" s="2133"/>
      <c r="P305" s="2133">
        <f>N305*O305</f>
        <v>0</v>
      </c>
    </row>
    <row r="306" spans="1:16" s="2274" customFormat="1" ht="15" customHeight="1">
      <c r="A306" s="2134" t="s">
        <v>172</v>
      </c>
      <c r="B306" s="2135">
        <f>D61</f>
        <v>0</v>
      </c>
      <c r="C306" s="2135">
        <v>0</v>
      </c>
      <c r="D306" s="2133">
        <v>0</v>
      </c>
      <c r="E306" s="2133">
        <v>0</v>
      </c>
      <c r="F306" s="2134">
        <v>4</v>
      </c>
      <c r="G306" s="2133">
        <f>B306*C306</f>
        <v>0</v>
      </c>
      <c r="H306" s="2133">
        <f>B306*D306</f>
        <v>0</v>
      </c>
      <c r="I306" s="2133">
        <f>B306*E306</f>
        <v>0</v>
      </c>
      <c r="J306" s="2133">
        <f>B306*F306</f>
        <v>0</v>
      </c>
      <c r="L306" s="2133">
        <f>(B306/2)/0.2</f>
        <v>0</v>
      </c>
      <c r="M306" s="2133">
        <f>(B306/2)/0.1</f>
        <v>0</v>
      </c>
      <c r="N306" s="2133">
        <f>SUM(L306:M306)</f>
        <v>0</v>
      </c>
      <c r="O306" s="2133"/>
      <c r="P306" s="2133">
        <f>N306*O306</f>
        <v>0</v>
      </c>
    </row>
    <row r="307" spans="1:16" s="2493" customFormat="1" ht="15" customHeight="1">
      <c r="A307" s="2134" t="s">
        <v>174</v>
      </c>
      <c r="B307" s="2135">
        <f>D62</f>
        <v>0</v>
      </c>
      <c r="C307" s="2135">
        <v>0</v>
      </c>
      <c r="D307" s="2133">
        <v>0</v>
      </c>
      <c r="E307" s="2133">
        <v>0</v>
      </c>
      <c r="F307" s="2134">
        <v>4</v>
      </c>
      <c r="G307" s="2133">
        <f>B307*C307</f>
        <v>0</v>
      </c>
      <c r="H307" s="2133">
        <f>B307*D307</f>
        <v>0</v>
      </c>
      <c r="I307" s="2133">
        <f>B307*E307</f>
        <v>0</v>
      </c>
      <c r="J307" s="2133">
        <f>B307*F307</f>
        <v>0</v>
      </c>
      <c r="L307" s="2133">
        <f>(B307/2)/0.2</f>
        <v>0</v>
      </c>
      <c r="M307" s="2133">
        <f>(B307/2)/0.1</f>
        <v>0</v>
      </c>
      <c r="N307" s="2133">
        <f>SUM(L307:M307)</f>
        <v>0</v>
      </c>
      <c r="O307" s="2133"/>
      <c r="P307" s="2133">
        <f>N307*O307</f>
        <v>0</v>
      </c>
    </row>
    <row r="308" spans="1:16" ht="15" customHeight="1">
      <c r="A308" s="2134" t="s">
        <v>188</v>
      </c>
      <c r="B308" s="2135">
        <f>D63</f>
        <v>0</v>
      </c>
      <c r="C308" s="2135">
        <v>0</v>
      </c>
      <c r="D308" s="2133">
        <v>0</v>
      </c>
      <c r="E308" s="2133">
        <v>0</v>
      </c>
      <c r="F308" s="2134">
        <v>4</v>
      </c>
      <c r="G308" s="2133">
        <f>B308*C308</f>
        <v>0</v>
      </c>
      <c r="H308" s="2133">
        <f>B308*D308</f>
        <v>0</v>
      </c>
      <c r="I308" s="2133">
        <f>B308*E308</f>
        <v>0</v>
      </c>
      <c r="J308" s="2133">
        <f>B308*F308</f>
        <v>0</v>
      </c>
      <c r="L308" s="2133">
        <f>(B308/2)/0.2</f>
        <v>0</v>
      </c>
      <c r="M308" s="2133">
        <f>(B308/2)/0.1</f>
        <v>0</v>
      </c>
      <c r="N308" s="2133">
        <f>SUM(L308:M308)</f>
        <v>0</v>
      </c>
      <c r="O308" s="2133"/>
      <c r="P308" s="2133">
        <f>N308*O308</f>
        <v>0</v>
      </c>
    </row>
    <row r="309" spans="1:16" ht="15" customHeight="1">
      <c r="A309" s="2107"/>
      <c r="B309" s="2107"/>
      <c r="C309" s="2107"/>
      <c r="D309" s="2107"/>
      <c r="E309" s="2804" t="s">
        <v>2074</v>
      </c>
      <c r="F309" s="2805"/>
      <c r="G309" s="2133">
        <f>SUM(G304:G308)</f>
        <v>0</v>
      </c>
      <c r="H309" s="2133">
        <f>SUM(H304:H308)</f>
        <v>0</v>
      </c>
      <c r="I309" s="2133">
        <f>SUM(I304:I308)</f>
        <v>0</v>
      </c>
      <c r="J309" s="2133">
        <f>SUM(J304:J308)</f>
        <v>172.56</v>
      </c>
      <c r="M309" s="2806" t="s">
        <v>2074</v>
      </c>
      <c r="N309" s="2806"/>
      <c r="O309" s="2806"/>
      <c r="P309" s="2133">
        <f>SUM(P304:P308)</f>
        <v>155.30399999999997</v>
      </c>
    </row>
    <row r="310" spans="1:16" ht="15">
      <c r="A310" s="2107"/>
      <c r="B310" s="2107"/>
      <c r="C310" s="2107"/>
      <c r="D310" s="2107"/>
      <c r="E310" s="2804" t="s">
        <v>2075</v>
      </c>
      <c r="F310" s="2805"/>
      <c r="G310" s="2133">
        <f>$G$287*1.58</f>
        <v>569.87440000000004</v>
      </c>
      <c r="H310" s="2133">
        <f>$H$287*1.04</f>
        <v>0</v>
      </c>
      <c r="I310" s="2133">
        <f>$I$287*0.89</f>
        <v>0</v>
      </c>
      <c r="J310" s="2159">
        <f>J309*0.62</f>
        <v>106.9872</v>
      </c>
      <c r="M310" s="2806" t="s">
        <v>2075</v>
      </c>
      <c r="N310" s="2806"/>
      <c r="O310" s="2806"/>
      <c r="P310" s="2159">
        <f>P309*0.4</f>
        <v>62.121599999999994</v>
      </c>
    </row>
    <row r="311" spans="1:16">
      <c r="A311" s="2107"/>
      <c r="B311" s="2107"/>
      <c r="C311" s="2107"/>
      <c r="D311" s="2107"/>
      <c r="E311" s="2107"/>
      <c r="F311" s="2107"/>
      <c r="G311" s="2107"/>
      <c r="H311" s="2107"/>
      <c r="I311" s="2107"/>
      <c r="J311" s="2107"/>
    </row>
    <row r="312" spans="1:16">
      <c r="A312" s="2807" t="s">
        <v>2055</v>
      </c>
      <c r="B312" s="2808"/>
      <c r="C312" s="2808"/>
      <c r="D312" s="2808"/>
    </row>
    <row r="313" spans="1:16">
      <c r="A313" s="2133" t="s">
        <v>2130</v>
      </c>
      <c r="B313" s="2133" t="s">
        <v>1614</v>
      </c>
      <c r="C313" s="2133" t="s">
        <v>1615</v>
      </c>
      <c r="D313" s="2133"/>
    </row>
    <row r="314" spans="1:16">
      <c r="A314" s="2133" t="str">
        <f t="shared" ref="A314:B316" si="46">A304</f>
        <v>B1</v>
      </c>
      <c r="B314" s="2133">
        <f t="shared" si="46"/>
        <v>43.14</v>
      </c>
      <c r="C314" s="2133">
        <f>B59*C59</f>
        <v>3.7499999999999999E-2</v>
      </c>
      <c r="D314" s="2133">
        <f>B314*C314</f>
        <v>1.61775</v>
      </c>
    </row>
    <row r="315" spans="1:16" s="2274" customFormat="1" ht="15" customHeight="1">
      <c r="A315" s="2133" t="str">
        <f t="shared" si="46"/>
        <v>B2</v>
      </c>
      <c r="B315" s="2133">
        <f t="shared" si="46"/>
        <v>0</v>
      </c>
      <c r="C315" s="2133">
        <f>B60*C60</f>
        <v>0</v>
      </c>
      <c r="D315" s="2133">
        <f>B315*C315</f>
        <v>0</v>
      </c>
    </row>
    <row r="316" spans="1:16" s="2274" customFormat="1" ht="15" customHeight="1">
      <c r="A316" s="2133" t="str">
        <f t="shared" si="46"/>
        <v>B3</v>
      </c>
      <c r="B316" s="2133">
        <f t="shared" si="46"/>
        <v>0</v>
      </c>
      <c r="C316" s="2133">
        <f>B61*C61</f>
        <v>0</v>
      </c>
      <c r="D316" s="2133">
        <f>B316*C316</f>
        <v>0</v>
      </c>
    </row>
    <row r="317" spans="1:16" s="2493" customFormat="1" ht="15" customHeight="1">
      <c r="A317" s="2133" t="str">
        <f>A307</f>
        <v>B4</v>
      </c>
      <c r="B317" s="2133">
        <f>B307</f>
        <v>0</v>
      </c>
      <c r="C317" s="2133">
        <f>B62*C62</f>
        <v>0</v>
      </c>
      <c r="D317" s="2133">
        <f>B317*C317</f>
        <v>0</v>
      </c>
    </row>
    <row r="318" spans="1:16" ht="15" customHeight="1">
      <c r="A318" s="2133" t="str">
        <f>A308</f>
        <v>B5</v>
      </c>
      <c r="B318" s="2133">
        <f>B308</f>
        <v>0</v>
      </c>
      <c r="C318" s="2133">
        <f>B63*C63</f>
        <v>0</v>
      </c>
      <c r="D318" s="2133">
        <f>B318*C318</f>
        <v>0</v>
      </c>
    </row>
    <row r="319" spans="1:16" ht="30">
      <c r="C319" s="2156" t="s">
        <v>2078</v>
      </c>
      <c r="D319" s="2133">
        <f>SUM(D314:D318)</f>
        <v>1.61775</v>
      </c>
    </row>
    <row r="321" spans="1:15">
      <c r="A321" s="2807" t="s">
        <v>2095</v>
      </c>
      <c r="B321" s="2808"/>
      <c r="C321" s="2808"/>
      <c r="D321" s="2808"/>
    </row>
    <row r="322" spans="1:15">
      <c r="A322" s="2133" t="s">
        <v>2130</v>
      </c>
      <c r="B322" s="2133" t="s">
        <v>1614</v>
      </c>
      <c r="C322" s="2133" t="s">
        <v>1615</v>
      </c>
      <c r="D322" s="2133"/>
    </row>
    <row r="323" spans="1:15">
      <c r="A323" s="2133" t="str">
        <f>A304</f>
        <v>B1</v>
      </c>
      <c r="B323" s="2133">
        <f>B314</f>
        <v>43.14</v>
      </c>
      <c r="C323" s="2133">
        <f>B59+C59*2</f>
        <v>0.65</v>
      </c>
      <c r="D323" s="2133">
        <f>B323*C323</f>
        <v>28.041</v>
      </c>
    </row>
    <row r="324" spans="1:15" s="2274" customFormat="1">
      <c r="A324" s="2133" t="str">
        <f>A305</f>
        <v>B2</v>
      </c>
      <c r="B324" s="2133">
        <f>B315</f>
        <v>0</v>
      </c>
      <c r="C324" s="2133">
        <f>B60</f>
        <v>0</v>
      </c>
      <c r="D324" s="2133">
        <f>B324*C324</f>
        <v>0</v>
      </c>
    </row>
    <row r="325" spans="1:15" s="2274" customFormat="1">
      <c r="A325" s="2133" t="str">
        <f>A306</f>
        <v>B3</v>
      </c>
      <c r="B325" s="2133">
        <f>B316</f>
        <v>0</v>
      </c>
      <c r="C325" s="2133">
        <f>B61</f>
        <v>0</v>
      </c>
      <c r="D325" s="2133">
        <f>B325*C325</f>
        <v>0</v>
      </c>
    </row>
    <row r="326" spans="1:15" s="2493" customFormat="1">
      <c r="A326" s="2133" t="str">
        <f>A307</f>
        <v>B4</v>
      </c>
      <c r="B326" s="2133">
        <f>B317</f>
        <v>0</v>
      </c>
      <c r="C326" s="2133">
        <f>B62</f>
        <v>0</v>
      </c>
      <c r="D326" s="2133">
        <f>B326*C326</f>
        <v>0</v>
      </c>
    </row>
    <row r="327" spans="1:15">
      <c r="A327" s="2133" t="str">
        <f>A308</f>
        <v>B5</v>
      </c>
      <c r="B327" s="2133">
        <f>B318</f>
        <v>0</v>
      </c>
      <c r="C327" s="2133">
        <f>B63</f>
        <v>0</v>
      </c>
      <c r="D327" s="2133">
        <f>B327*C327</f>
        <v>0</v>
      </c>
    </row>
    <row r="328" spans="1:15" ht="30">
      <c r="C328" s="2156" t="s">
        <v>2076</v>
      </c>
      <c r="D328" s="2159">
        <f>SUM(D323:D327)</f>
        <v>28.041</v>
      </c>
    </row>
    <row r="329" spans="1:15" ht="14.25" customHeight="1"/>
    <row r="330" spans="1:15" s="2140" customFormat="1" ht="32.25" customHeight="1">
      <c r="A330" s="2171" t="s">
        <v>2623</v>
      </c>
      <c r="B330" s="2172"/>
      <c r="C330" s="2172"/>
      <c r="D330" s="2172"/>
      <c r="E330" s="2172"/>
      <c r="F330" s="2172"/>
      <c r="G330" s="2172"/>
      <c r="H330" s="2172"/>
      <c r="I330" s="2172"/>
      <c r="J330" s="2172"/>
      <c r="K330" s="2172"/>
      <c r="L330" s="2172"/>
      <c r="M330" s="2172"/>
      <c r="N330" s="2172"/>
      <c r="O330" s="2173"/>
    </row>
    <row r="332" spans="1:15">
      <c r="A332" s="2850" t="s">
        <v>2020</v>
      </c>
      <c r="B332" s="2851"/>
      <c r="C332" s="2851"/>
      <c r="D332" s="2851"/>
      <c r="E332" s="2852"/>
    </row>
    <row r="333" spans="1:15">
      <c r="A333" s="2116" t="s">
        <v>1987</v>
      </c>
      <c r="B333" s="2116" t="s">
        <v>1608</v>
      </c>
      <c r="C333" s="2117" t="s">
        <v>2062</v>
      </c>
      <c r="D333" s="2116" t="s">
        <v>2088</v>
      </c>
      <c r="E333" s="2116" t="s">
        <v>1568</v>
      </c>
    </row>
    <row r="334" spans="1:15">
      <c r="A334" s="2087" t="s">
        <v>1704</v>
      </c>
      <c r="B334" s="2119">
        <f>J8</f>
        <v>0</v>
      </c>
      <c r="C334" s="2133">
        <f t="shared" ref="C334:C351" si="47">J10</f>
        <v>0</v>
      </c>
      <c r="D334" s="2121">
        <f>$D$134</f>
        <v>0.30250000000000005</v>
      </c>
      <c r="E334" s="2087">
        <f t="shared" ref="E334:E351" si="48">B334*C334*D334</f>
        <v>0</v>
      </c>
    </row>
    <row r="335" spans="1:15">
      <c r="A335" s="2133" t="s">
        <v>1705</v>
      </c>
      <c r="B335" s="2119">
        <f>B334</f>
        <v>0</v>
      </c>
      <c r="C335" s="2133">
        <f t="shared" si="47"/>
        <v>0</v>
      </c>
      <c r="D335" s="2121">
        <f t="shared" ref="D335:D351" si="49">D135</f>
        <v>0</v>
      </c>
      <c r="E335" s="2133">
        <f t="shared" si="48"/>
        <v>0</v>
      </c>
    </row>
    <row r="336" spans="1:15" s="2238" customFormat="1">
      <c r="A336" s="2236" t="s">
        <v>1917</v>
      </c>
      <c r="B336" s="2119">
        <f t="shared" ref="B336:B351" si="50">B335</f>
        <v>0</v>
      </c>
      <c r="C336" s="2133">
        <f t="shared" si="47"/>
        <v>0</v>
      </c>
      <c r="D336" s="2121">
        <f t="shared" si="49"/>
        <v>8.0000000000000016E-2</v>
      </c>
      <c r="E336" s="2133">
        <f t="shared" ref="E336:E343" si="51">B336*C336*D336</f>
        <v>0</v>
      </c>
    </row>
    <row r="337" spans="1:5" s="2238" customFormat="1">
      <c r="A337" s="2133" t="s">
        <v>1918</v>
      </c>
      <c r="B337" s="2119">
        <f t="shared" si="50"/>
        <v>0</v>
      </c>
      <c r="C337" s="2133">
        <f t="shared" si="47"/>
        <v>0</v>
      </c>
      <c r="D337" s="2121">
        <f t="shared" si="49"/>
        <v>0.06</v>
      </c>
      <c r="E337" s="2133">
        <f t="shared" si="51"/>
        <v>0</v>
      </c>
    </row>
    <row r="338" spans="1:5" s="2238" customFormat="1">
      <c r="A338" s="2236" t="s">
        <v>1919</v>
      </c>
      <c r="B338" s="2119">
        <f t="shared" si="50"/>
        <v>0</v>
      </c>
      <c r="C338" s="2133">
        <f t="shared" si="47"/>
        <v>0</v>
      </c>
      <c r="D338" s="2121">
        <f t="shared" si="49"/>
        <v>4.4999999999999998E-2</v>
      </c>
      <c r="E338" s="2133">
        <f t="shared" si="51"/>
        <v>0</v>
      </c>
    </row>
    <row r="339" spans="1:5" s="2238" customFormat="1">
      <c r="A339" s="2133" t="s">
        <v>1992</v>
      </c>
      <c r="B339" s="2119">
        <f t="shared" si="50"/>
        <v>0</v>
      </c>
      <c r="C339" s="2133">
        <f t="shared" si="47"/>
        <v>0</v>
      </c>
      <c r="D339" s="2121">
        <f t="shared" si="49"/>
        <v>6.25E-2</v>
      </c>
      <c r="E339" s="2133">
        <f t="shared" si="51"/>
        <v>0</v>
      </c>
    </row>
    <row r="340" spans="1:5" s="2238" customFormat="1">
      <c r="A340" s="2236" t="s">
        <v>1993</v>
      </c>
      <c r="B340" s="2119">
        <f t="shared" si="50"/>
        <v>0</v>
      </c>
      <c r="C340" s="2133">
        <f t="shared" si="47"/>
        <v>0</v>
      </c>
      <c r="D340" s="2121">
        <f t="shared" si="49"/>
        <v>3.7499999999999999E-2</v>
      </c>
      <c r="E340" s="2133">
        <f t="shared" si="51"/>
        <v>0</v>
      </c>
    </row>
    <row r="341" spans="1:5" s="2238" customFormat="1">
      <c r="A341" s="2133" t="s">
        <v>1994</v>
      </c>
      <c r="B341" s="2119">
        <f t="shared" si="50"/>
        <v>0</v>
      </c>
      <c r="C341" s="2133">
        <f t="shared" si="47"/>
        <v>0</v>
      </c>
      <c r="D341" s="2121">
        <f t="shared" si="49"/>
        <v>0</v>
      </c>
      <c r="E341" s="2133">
        <f t="shared" si="51"/>
        <v>0</v>
      </c>
    </row>
    <row r="342" spans="1:5" s="2238" customFormat="1">
      <c r="A342" s="2236" t="s">
        <v>1995</v>
      </c>
      <c r="B342" s="2119">
        <f t="shared" si="50"/>
        <v>0</v>
      </c>
      <c r="C342" s="2133">
        <f t="shared" si="47"/>
        <v>0</v>
      </c>
      <c r="D342" s="2121">
        <f t="shared" si="49"/>
        <v>0</v>
      </c>
      <c r="E342" s="2133">
        <f t="shared" si="51"/>
        <v>0</v>
      </c>
    </row>
    <row r="343" spans="1:5" s="2238" customFormat="1">
      <c r="A343" s="2133" t="s">
        <v>1706</v>
      </c>
      <c r="B343" s="2119">
        <f t="shared" si="50"/>
        <v>0</v>
      </c>
      <c r="C343" s="2133">
        <f t="shared" si="47"/>
        <v>0</v>
      </c>
      <c r="D343" s="2121">
        <f t="shared" si="49"/>
        <v>0</v>
      </c>
      <c r="E343" s="2133">
        <f t="shared" si="51"/>
        <v>0</v>
      </c>
    </row>
    <row r="344" spans="1:5">
      <c r="A344" s="2236" t="s">
        <v>2451</v>
      </c>
      <c r="B344" s="2119">
        <f t="shared" si="50"/>
        <v>0</v>
      </c>
      <c r="C344" s="2133">
        <f t="shared" si="47"/>
        <v>0</v>
      </c>
      <c r="D344" s="2121">
        <f t="shared" si="49"/>
        <v>0</v>
      </c>
      <c r="E344" s="2133">
        <f t="shared" si="48"/>
        <v>0</v>
      </c>
    </row>
    <row r="345" spans="1:5">
      <c r="A345" s="2133" t="s">
        <v>2452</v>
      </c>
      <c r="B345" s="2119">
        <f t="shared" si="50"/>
        <v>0</v>
      </c>
      <c r="C345" s="2133">
        <f t="shared" si="47"/>
        <v>0</v>
      </c>
      <c r="D345" s="2121">
        <f t="shared" si="49"/>
        <v>0</v>
      </c>
      <c r="E345" s="2133">
        <f t="shared" si="48"/>
        <v>0</v>
      </c>
    </row>
    <row r="346" spans="1:5">
      <c r="A346" s="2236" t="s">
        <v>2453</v>
      </c>
      <c r="B346" s="2119">
        <f t="shared" si="50"/>
        <v>0</v>
      </c>
      <c r="C346" s="2133">
        <f t="shared" si="47"/>
        <v>0</v>
      </c>
      <c r="D346" s="2121">
        <f t="shared" si="49"/>
        <v>0</v>
      </c>
      <c r="E346" s="2133">
        <f t="shared" si="48"/>
        <v>0</v>
      </c>
    </row>
    <row r="347" spans="1:5">
      <c r="A347" s="2133" t="s">
        <v>2454</v>
      </c>
      <c r="B347" s="2119">
        <f t="shared" si="50"/>
        <v>0</v>
      </c>
      <c r="C347" s="2133">
        <f t="shared" si="47"/>
        <v>0</v>
      </c>
      <c r="D347" s="2121">
        <f t="shared" si="49"/>
        <v>0</v>
      </c>
      <c r="E347" s="2133">
        <f t="shared" si="48"/>
        <v>0</v>
      </c>
    </row>
    <row r="348" spans="1:5">
      <c r="A348" s="2236" t="s">
        <v>2455</v>
      </c>
      <c r="B348" s="2119">
        <f t="shared" si="50"/>
        <v>0</v>
      </c>
      <c r="C348" s="2133">
        <f t="shared" si="47"/>
        <v>0</v>
      </c>
      <c r="D348" s="2121">
        <f t="shared" si="49"/>
        <v>0</v>
      </c>
      <c r="E348" s="2133">
        <f t="shared" si="48"/>
        <v>0</v>
      </c>
    </row>
    <row r="349" spans="1:5">
      <c r="A349" s="2133" t="s">
        <v>2456</v>
      </c>
      <c r="B349" s="2119">
        <f t="shared" si="50"/>
        <v>0</v>
      </c>
      <c r="C349" s="2133">
        <f t="shared" si="47"/>
        <v>0</v>
      </c>
      <c r="D349" s="2121">
        <f t="shared" si="49"/>
        <v>0</v>
      </c>
      <c r="E349" s="2133">
        <f t="shared" si="48"/>
        <v>0</v>
      </c>
    </row>
    <row r="350" spans="1:5">
      <c r="A350" s="2236" t="s">
        <v>2457</v>
      </c>
      <c r="B350" s="2119">
        <f t="shared" si="50"/>
        <v>0</v>
      </c>
      <c r="C350" s="2133">
        <f t="shared" si="47"/>
        <v>0</v>
      </c>
      <c r="D350" s="2121">
        <f t="shared" si="49"/>
        <v>0</v>
      </c>
      <c r="E350" s="2133">
        <f t="shared" si="48"/>
        <v>0</v>
      </c>
    </row>
    <row r="351" spans="1:5">
      <c r="A351" s="2133" t="s">
        <v>2458</v>
      </c>
      <c r="B351" s="2119">
        <f t="shared" si="50"/>
        <v>0</v>
      </c>
      <c r="C351" s="2133">
        <f t="shared" si="47"/>
        <v>0</v>
      </c>
      <c r="D351" s="2121">
        <f t="shared" si="49"/>
        <v>0</v>
      </c>
      <c r="E351" s="2133">
        <f t="shared" si="48"/>
        <v>0</v>
      </c>
    </row>
    <row r="352" spans="1:5" ht="14.25" customHeight="1">
      <c r="C352" s="2870" t="s">
        <v>2070</v>
      </c>
      <c r="D352" s="2871"/>
      <c r="E352" s="2174">
        <f>SUM(E334:E351)</f>
        <v>0</v>
      </c>
    </row>
    <row r="353" spans="1:17" ht="14.25" customHeight="1"/>
    <row r="355" spans="1:17">
      <c r="A355" s="2133" t="s">
        <v>1707</v>
      </c>
      <c r="B355" s="2298">
        <f>B351</f>
        <v>0</v>
      </c>
      <c r="C355" s="2133">
        <f>J28</f>
        <v>0</v>
      </c>
      <c r="D355" s="2299">
        <f>$D$155</f>
        <v>2.2499999999999999E-2</v>
      </c>
      <c r="E355" s="2133">
        <f>B355*C355*D355</f>
        <v>0</v>
      </c>
    </row>
    <row r="356" spans="1:17">
      <c r="A356" s="2133" t="s">
        <v>1708</v>
      </c>
      <c r="B356" s="2298">
        <f>B355</f>
        <v>0</v>
      </c>
      <c r="C356" s="2133">
        <f>J29</f>
        <v>0</v>
      </c>
      <c r="D356" s="2299">
        <f>$D$156</f>
        <v>2.2499999999999999E-2</v>
      </c>
      <c r="E356" s="2133">
        <f>B356*C356*D356</f>
        <v>0</v>
      </c>
    </row>
    <row r="357" spans="1:17" ht="24" customHeight="1">
      <c r="D357" s="2175" t="s">
        <v>2071</v>
      </c>
      <c r="E357" s="2157">
        <f>SUM(E355:E356)</f>
        <v>0</v>
      </c>
    </row>
    <row r="359" spans="1:17">
      <c r="A359" s="2872" t="s">
        <v>2106</v>
      </c>
      <c r="B359" s="2872"/>
      <c r="C359" s="2872"/>
      <c r="D359" s="2831" t="s">
        <v>2069</v>
      </c>
      <c r="E359" s="2832"/>
      <c r="F359" s="2832"/>
      <c r="G359" s="2836"/>
      <c r="H359" s="2831" t="s">
        <v>2068</v>
      </c>
      <c r="I359" s="2832"/>
      <c r="J359" s="2832"/>
      <c r="K359" s="2836"/>
      <c r="M359" s="2826" t="s">
        <v>1610</v>
      </c>
      <c r="N359" s="2827"/>
      <c r="O359" s="2827"/>
      <c r="P359" s="2827"/>
      <c r="Q359" s="2828"/>
    </row>
    <row r="360" spans="1:17" ht="15">
      <c r="A360" s="2087" t="s">
        <v>1796</v>
      </c>
      <c r="B360" s="2087" t="s">
        <v>1608</v>
      </c>
      <c r="C360" s="2087" t="s">
        <v>1606</v>
      </c>
      <c r="D360" s="2087" t="s">
        <v>1609</v>
      </c>
      <c r="E360" s="2087" t="s">
        <v>1679</v>
      </c>
      <c r="F360" s="2088" t="s">
        <v>2435</v>
      </c>
      <c r="G360" s="2119" t="s">
        <v>1807</v>
      </c>
      <c r="H360" s="2087" t="s">
        <v>1568</v>
      </c>
      <c r="I360" s="2087" t="s">
        <v>1568</v>
      </c>
      <c r="J360" s="2087" t="s">
        <v>1568</v>
      </c>
      <c r="K360" s="2087" t="s">
        <v>1568</v>
      </c>
      <c r="M360" s="2087" t="s">
        <v>1607</v>
      </c>
      <c r="N360" s="2087" t="s">
        <v>1611</v>
      </c>
      <c r="O360" s="2087" t="s">
        <v>1168</v>
      </c>
      <c r="P360" s="2087" t="s">
        <v>1205</v>
      </c>
      <c r="Q360" s="2087" t="s">
        <v>1243</v>
      </c>
    </row>
    <row r="361" spans="1:17">
      <c r="A361" s="2133" t="str">
        <f t="shared" ref="A361:C378" si="52">A334</f>
        <v>K1</v>
      </c>
      <c r="B361" s="2133">
        <f t="shared" si="52"/>
        <v>0</v>
      </c>
      <c r="C361" s="2133">
        <f t="shared" si="52"/>
        <v>0</v>
      </c>
      <c r="D361" s="2244">
        <f t="shared" ref="D361:G378" si="53">D161</f>
        <v>8</v>
      </c>
      <c r="E361" s="2244">
        <f t="shared" si="53"/>
        <v>0</v>
      </c>
      <c r="F361" s="2244">
        <f t="shared" si="53"/>
        <v>0</v>
      </c>
      <c r="G361" s="2245">
        <f t="shared" si="53"/>
        <v>0</v>
      </c>
      <c r="H361" s="2133">
        <f t="shared" ref="H361:H378" si="54">B361*C361*D361</f>
        <v>0</v>
      </c>
      <c r="I361" s="2133">
        <f t="shared" ref="I361:I378" si="55">B361*C361*E361</f>
        <v>0</v>
      </c>
      <c r="J361" s="2133">
        <f t="shared" ref="J361:J378" si="56">B361*C361*F361</f>
        <v>0</v>
      </c>
      <c r="K361" s="2133">
        <f t="shared" ref="K361:K378" si="57">B361*C361*G361</f>
        <v>0</v>
      </c>
      <c r="M361" s="2133">
        <f t="shared" ref="M361:M378" si="58">(B361/2)/0.2</f>
        <v>0</v>
      </c>
      <c r="N361" s="2133">
        <f t="shared" ref="N361:N378" si="59">(B361/2)/0.1</f>
        <v>0</v>
      </c>
      <c r="O361" s="2133">
        <f t="shared" ref="O361:O378" si="60">SUM(M361:N361)*C361</f>
        <v>0</v>
      </c>
      <c r="P361" s="2133">
        <f t="shared" ref="P361:P378" si="61">P161</f>
        <v>2</v>
      </c>
      <c r="Q361" s="2133">
        <f t="shared" ref="Q361:Q378" si="62">O361*P361</f>
        <v>0</v>
      </c>
    </row>
    <row r="362" spans="1:17">
      <c r="A362" s="2133" t="str">
        <f t="shared" si="52"/>
        <v>K2</v>
      </c>
      <c r="B362" s="2133">
        <f t="shared" si="52"/>
        <v>0</v>
      </c>
      <c r="C362" s="2133">
        <f t="shared" si="52"/>
        <v>0</v>
      </c>
      <c r="D362" s="2244">
        <f t="shared" si="53"/>
        <v>0</v>
      </c>
      <c r="E362" s="2244">
        <f t="shared" si="53"/>
        <v>0</v>
      </c>
      <c r="F362" s="2244">
        <f t="shared" si="53"/>
        <v>0</v>
      </c>
      <c r="G362" s="2245">
        <f t="shared" si="53"/>
        <v>0</v>
      </c>
      <c r="H362" s="2133">
        <f t="shared" si="54"/>
        <v>0</v>
      </c>
      <c r="I362" s="2133">
        <f t="shared" si="55"/>
        <v>0</v>
      </c>
      <c r="J362" s="2133">
        <f t="shared" si="56"/>
        <v>0</v>
      </c>
      <c r="K362" s="2133">
        <f t="shared" si="57"/>
        <v>0</v>
      </c>
      <c r="M362" s="2133">
        <f t="shared" si="58"/>
        <v>0</v>
      </c>
      <c r="N362" s="2133">
        <f t="shared" si="59"/>
        <v>0</v>
      </c>
      <c r="O362" s="2133">
        <f t="shared" si="60"/>
        <v>0</v>
      </c>
      <c r="P362" s="2133">
        <f t="shared" si="61"/>
        <v>-0.31400000000000006</v>
      </c>
      <c r="Q362" s="2133">
        <f t="shared" si="62"/>
        <v>0</v>
      </c>
    </row>
    <row r="363" spans="1:17" s="2238" customFormat="1">
      <c r="A363" s="2133" t="str">
        <f t="shared" si="52"/>
        <v>K3</v>
      </c>
      <c r="B363" s="2133">
        <f t="shared" si="52"/>
        <v>0</v>
      </c>
      <c r="C363" s="2133">
        <f t="shared" si="52"/>
        <v>0</v>
      </c>
      <c r="D363" s="2244">
        <f t="shared" si="53"/>
        <v>10</v>
      </c>
      <c r="E363" s="2244">
        <f t="shared" si="53"/>
        <v>0</v>
      </c>
      <c r="F363" s="2244">
        <f t="shared" si="53"/>
        <v>0</v>
      </c>
      <c r="G363" s="2245">
        <f t="shared" si="53"/>
        <v>0</v>
      </c>
      <c r="H363" s="2133">
        <f t="shared" ref="H363:H370" si="63">B363*C363*D363</f>
        <v>0</v>
      </c>
      <c r="I363" s="2133">
        <f t="shared" ref="I363:I370" si="64">B363*C363*E363</f>
        <v>0</v>
      </c>
      <c r="J363" s="2133">
        <f t="shared" ref="J363:J370" si="65">B363*C363*F363</f>
        <v>0</v>
      </c>
      <c r="K363" s="2133">
        <f t="shared" ref="K363:K370" si="66">B363*C363*G363</f>
        <v>0</v>
      </c>
      <c r="M363" s="2133">
        <f t="shared" ref="M363:M370" si="67">(B363/2)/0.2</f>
        <v>0</v>
      </c>
      <c r="N363" s="2133">
        <f t="shared" ref="N363:N370" si="68">(B363/2)/0.1</f>
        <v>0</v>
      </c>
      <c r="O363" s="2133">
        <f t="shared" ref="O363:O370" si="69">SUM(M363:N363)*C363</f>
        <v>0</v>
      </c>
      <c r="P363" s="2133">
        <f t="shared" si="61"/>
        <v>1</v>
      </c>
      <c r="Q363" s="2133">
        <f t="shared" ref="Q363:Q370" si="70">O363*P363</f>
        <v>0</v>
      </c>
    </row>
    <row r="364" spans="1:17" s="2238" customFormat="1">
      <c r="A364" s="2133" t="str">
        <f t="shared" si="52"/>
        <v>K4</v>
      </c>
      <c r="B364" s="2133">
        <f t="shared" si="52"/>
        <v>0</v>
      </c>
      <c r="C364" s="2133">
        <f t="shared" si="52"/>
        <v>0</v>
      </c>
      <c r="D364" s="2244">
        <f t="shared" si="53"/>
        <v>8</v>
      </c>
      <c r="E364" s="2244">
        <f t="shared" si="53"/>
        <v>0</v>
      </c>
      <c r="F364" s="2244">
        <f t="shared" si="53"/>
        <v>0</v>
      </c>
      <c r="G364" s="2245">
        <f t="shared" si="53"/>
        <v>0</v>
      </c>
      <c r="H364" s="2133">
        <f t="shared" si="63"/>
        <v>0</v>
      </c>
      <c r="I364" s="2133">
        <f t="shared" si="64"/>
        <v>0</v>
      </c>
      <c r="J364" s="2133">
        <f t="shared" si="65"/>
        <v>0</v>
      </c>
      <c r="K364" s="2133">
        <f t="shared" si="66"/>
        <v>0</v>
      </c>
      <c r="M364" s="2133">
        <f t="shared" si="67"/>
        <v>0</v>
      </c>
      <c r="N364" s="2133">
        <f t="shared" si="68"/>
        <v>0</v>
      </c>
      <c r="O364" s="2133">
        <f t="shared" si="69"/>
        <v>0</v>
      </c>
      <c r="P364" s="2133">
        <f t="shared" si="61"/>
        <v>0.9</v>
      </c>
      <c r="Q364" s="2133">
        <f t="shared" si="70"/>
        <v>0</v>
      </c>
    </row>
    <row r="365" spans="1:17" s="2238" customFormat="1">
      <c r="A365" s="2133" t="str">
        <f t="shared" si="52"/>
        <v>K5</v>
      </c>
      <c r="B365" s="2133">
        <f t="shared" si="52"/>
        <v>0</v>
      </c>
      <c r="C365" s="2133">
        <f t="shared" si="52"/>
        <v>0</v>
      </c>
      <c r="D365" s="2244">
        <f t="shared" si="53"/>
        <v>0</v>
      </c>
      <c r="E365" s="2244">
        <f t="shared" si="53"/>
        <v>0</v>
      </c>
      <c r="F365" s="2244">
        <f t="shared" si="53"/>
        <v>6</v>
      </c>
      <c r="G365" s="2245">
        <f t="shared" si="53"/>
        <v>0</v>
      </c>
      <c r="H365" s="2133">
        <f t="shared" si="63"/>
        <v>0</v>
      </c>
      <c r="I365" s="2133">
        <f t="shared" si="64"/>
        <v>0</v>
      </c>
      <c r="J365" s="2133">
        <f t="shared" si="65"/>
        <v>0</v>
      </c>
      <c r="K365" s="2133">
        <f t="shared" si="66"/>
        <v>0</v>
      </c>
      <c r="M365" s="2133">
        <f t="shared" si="67"/>
        <v>0</v>
      </c>
      <c r="N365" s="2133">
        <f t="shared" si="68"/>
        <v>0</v>
      </c>
      <c r="O365" s="2133">
        <f t="shared" si="69"/>
        <v>0</v>
      </c>
      <c r="P365" s="2133">
        <f t="shared" si="61"/>
        <v>0.70000000000000007</v>
      </c>
      <c r="Q365" s="2133">
        <f t="shared" si="70"/>
        <v>0</v>
      </c>
    </row>
    <row r="366" spans="1:17" s="2238" customFormat="1">
      <c r="A366" s="2133" t="str">
        <f t="shared" si="52"/>
        <v>K6</v>
      </c>
      <c r="B366" s="2133">
        <f t="shared" si="52"/>
        <v>0</v>
      </c>
      <c r="C366" s="2133">
        <f t="shared" si="52"/>
        <v>0</v>
      </c>
      <c r="D366" s="2244">
        <f t="shared" si="53"/>
        <v>0</v>
      </c>
      <c r="E366" s="2244">
        <f t="shared" si="53"/>
        <v>0</v>
      </c>
      <c r="F366" s="2244">
        <f t="shared" si="53"/>
        <v>8</v>
      </c>
      <c r="G366" s="2245">
        <f t="shared" si="53"/>
        <v>0</v>
      </c>
      <c r="H366" s="2133">
        <f t="shared" si="63"/>
        <v>0</v>
      </c>
      <c r="I366" s="2133">
        <f t="shared" si="64"/>
        <v>0</v>
      </c>
      <c r="J366" s="2133">
        <f t="shared" si="65"/>
        <v>0</v>
      </c>
      <c r="K366" s="2133">
        <f t="shared" si="66"/>
        <v>0</v>
      </c>
      <c r="M366" s="2133">
        <f t="shared" si="67"/>
        <v>0</v>
      </c>
      <c r="N366" s="2133">
        <f t="shared" si="68"/>
        <v>0</v>
      </c>
      <c r="O366" s="2133">
        <f t="shared" si="69"/>
        <v>0</v>
      </c>
      <c r="P366" s="2133">
        <f t="shared" si="61"/>
        <v>0.8</v>
      </c>
      <c r="Q366" s="2133">
        <f t="shared" si="70"/>
        <v>0</v>
      </c>
    </row>
    <row r="367" spans="1:17" s="2238" customFormat="1">
      <c r="A367" s="2133" t="str">
        <f t="shared" si="52"/>
        <v>K7</v>
      </c>
      <c r="B367" s="2133">
        <f t="shared" si="52"/>
        <v>0</v>
      </c>
      <c r="C367" s="2133">
        <f t="shared" si="52"/>
        <v>0</v>
      </c>
      <c r="D367" s="2244">
        <f t="shared" si="53"/>
        <v>0</v>
      </c>
      <c r="E367" s="2244">
        <f t="shared" si="53"/>
        <v>0</v>
      </c>
      <c r="F367" s="2244">
        <f t="shared" si="53"/>
        <v>6</v>
      </c>
      <c r="G367" s="2245">
        <f t="shared" si="53"/>
        <v>0</v>
      </c>
      <c r="H367" s="2133">
        <f t="shared" si="63"/>
        <v>0</v>
      </c>
      <c r="I367" s="2133">
        <f t="shared" si="64"/>
        <v>0</v>
      </c>
      <c r="J367" s="2133">
        <f t="shared" si="65"/>
        <v>0</v>
      </c>
      <c r="K367" s="2133">
        <f t="shared" si="66"/>
        <v>0</v>
      </c>
      <c r="M367" s="2133">
        <f t="shared" si="67"/>
        <v>0</v>
      </c>
      <c r="N367" s="2133">
        <f t="shared" si="68"/>
        <v>0</v>
      </c>
      <c r="O367" s="2133">
        <f t="shared" si="69"/>
        <v>0</v>
      </c>
      <c r="P367" s="2133">
        <f t="shared" si="61"/>
        <v>0.6</v>
      </c>
      <c r="Q367" s="2133">
        <f t="shared" si="70"/>
        <v>0</v>
      </c>
    </row>
    <row r="368" spans="1:17" s="2238" customFormat="1">
      <c r="A368" s="2133" t="str">
        <f t="shared" si="52"/>
        <v>K8</v>
      </c>
      <c r="B368" s="2133">
        <f t="shared" si="52"/>
        <v>0</v>
      </c>
      <c r="C368" s="2133">
        <f t="shared" si="52"/>
        <v>0</v>
      </c>
      <c r="D368" s="2244">
        <f t="shared" si="53"/>
        <v>0</v>
      </c>
      <c r="E368" s="2244">
        <f t="shared" si="53"/>
        <v>0</v>
      </c>
      <c r="F368" s="2244">
        <f t="shared" si="53"/>
        <v>0</v>
      </c>
      <c r="G368" s="2245">
        <f t="shared" si="53"/>
        <v>0</v>
      </c>
      <c r="H368" s="2133">
        <f t="shared" si="63"/>
        <v>0</v>
      </c>
      <c r="I368" s="2133">
        <f t="shared" si="64"/>
        <v>0</v>
      </c>
      <c r="J368" s="2133">
        <f t="shared" si="65"/>
        <v>0</v>
      </c>
      <c r="K368" s="2133">
        <f t="shared" si="66"/>
        <v>0</v>
      </c>
      <c r="M368" s="2133">
        <f t="shared" si="67"/>
        <v>0</v>
      </c>
      <c r="N368" s="2133">
        <f t="shared" si="68"/>
        <v>0</v>
      </c>
      <c r="O368" s="2133">
        <f t="shared" si="69"/>
        <v>0</v>
      </c>
      <c r="P368" s="2133">
        <f t="shared" si="61"/>
        <v>-0.31400000000000006</v>
      </c>
      <c r="Q368" s="2133">
        <f t="shared" si="70"/>
        <v>0</v>
      </c>
    </row>
    <row r="369" spans="1:19" s="2238" customFormat="1">
      <c r="A369" s="2133" t="str">
        <f t="shared" si="52"/>
        <v>K9</v>
      </c>
      <c r="B369" s="2133">
        <f t="shared" si="52"/>
        <v>0</v>
      </c>
      <c r="C369" s="2133">
        <f t="shared" si="52"/>
        <v>0</v>
      </c>
      <c r="D369" s="2244">
        <f t="shared" si="53"/>
        <v>0</v>
      </c>
      <c r="E369" s="2244">
        <f t="shared" si="53"/>
        <v>0</v>
      </c>
      <c r="F369" s="2244">
        <f t="shared" si="53"/>
        <v>0</v>
      </c>
      <c r="G369" s="2245">
        <f t="shared" si="53"/>
        <v>0</v>
      </c>
      <c r="H369" s="2133">
        <f t="shared" si="63"/>
        <v>0</v>
      </c>
      <c r="I369" s="2133">
        <f t="shared" si="64"/>
        <v>0</v>
      </c>
      <c r="J369" s="2133">
        <f t="shared" si="65"/>
        <v>0</v>
      </c>
      <c r="K369" s="2133">
        <f t="shared" si="66"/>
        <v>0</v>
      </c>
      <c r="M369" s="2133">
        <f t="shared" si="67"/>
        <v>0</v>
      </c>
      <c r="N369" s="2133">
        <f t="shared" si="68"/>
        <v>0</v>
      </c>
      <c r="O369" s="2133">
        <f t="shared" si="69"/>
        <v>0</v>
      </c>
      <c r="P369" s="2133">
        <f t="shared" si="61"/>
        <v>-0.31400000000000006</v>
      </c>
      <c r="Q369" s="2133">
        <f t="shared" si="70"/>
        <v>0</v>
      </c>
    </row>
    <row r="370" spans="1:19" s="2238" customFormat="1" ht="15" customHeight="1">
      <c r="A370" s="2133" t="str">
        <f t="shared" si="52"/>
        <v>K10</v>
      </c>
      <c r="B370" s="2133">
        <f t="shared" si="52"/>
        <v>0</v>
      </c>
      <c r="C370" s="2133">
        <f t="shared" si="52"/>
        <v>0</v>
      </c>
      <c r="D370" s="2244">
        <f t="shared" si="53"/>
        <v>0</v>
      </c>
      <c r="E370" s="2244">
        <f t="shared" si="53"/>
        <v>0</v>
      </c>
      <c r="F370" s="2244">
        <f t="shared" si="53"/>
        <v>0</v>
      </c>
      <c r="G370" s="2245">
        <f t="shared" si="53"/>
        <v>0</v>
      </c>
      <c r="H370" s="2133">
        <f t="shared" si="63"/>
        <v>0</v>
      </c>
      <c r="I370" s="2133">
        <f t="shared" si="64"/>
        <v>0</v>
      </c>
      <c r="J370" s="2133">
        <f t="shared" si="65"/>
        <v>0</v>
      </c>
      <c r="K370" s="2133">
        <f t="shared" si="66"/>
        <v>0</v>
      </c>
      <c r="M370" s="2237">
        <f t="shared" si="67"/>
        <v>0</v>
      </c>
      <c r="N370" s="2237">
        <f t="shared" si="68"/>
        <v>0</v>
      </c>
      <c r="O370" s="2237">
        <f t="shared" si="69"/>
        <v>0</v>
      </c>
      <c r="P370" s="2133">
        <f t="shared" si="61"/>
        <v>-0.31400000000000006</v>
      </c>
      <c r="Q370" s="2237">
        <f t="shared" si="70"/>
        <v>0</v>
      </c>
    </row>
    <row r="371" spans="1:19">
      <c r="A371" s="2133" t="str">
        <f t="shared" si="52"/>
        <v>K11</v>
      </c>
      <c r="B371" s="2133">
        <f t="shared" si="52"/>
        <v>0</v>
      </c>
      <c r="C371" s="2133">
        <f t="shared" si="52"/>
        <v>0</v>
      </c>
      <c r="D371" s="2244">
        <f t="shared" si="53"/>
        <v>0</v>
      </c>
      <c r="E371" s="2244">
        <f t="shared" si="53"/>
        <v>0</v>
      </c>
      <c r="F371" s="2244">
        <f t="shared" si="53"/>
        <v>0</v>
      </c>
      <c r="G371" s="2245">
        <f t="shared" si="53"/>
        <v>0</v>
      </c>
      <c r="H371" s="2133">
        <f t="shared" si="54"/>
        <v>0</v>
      </c>
      <c r="I371" s="2133">
        <f t="shared" si="55"/>
        <v>0</v>
      </c>
      <c r="J371" s="2133">
        <f t="shared" si="56"/>
        <v>0</v>
      </c>
      <c r="K371" s="2133">
        <f t="shared" si="57"/>
        <v>0</v>
      </c>
      <c r="M371" s="2133">
        <f t="shared" si="58"/>
        <v>0</v>
      </c>
      <c r="N371" s="2133">
        <f t="shared" si="59"/>
        <v>0</v>
      </c>
      <c r="O371" s="2133">
        <f t="shared" si="60"/>
        <v>0</v>
      </c>
      <c r="P371" s="2133">
        <f t="shared" si="61"/>
        <v>-0.31400000000000006</v>
      </c>
      <c r="Q371" s="2133">
        <f t="shared" si="62"/>
        <v>0</v>
      </c>
    </row>
    <row r="372" spans="1:19">
      <c r="A372" s="2133" t="str">
        <f t="shared" si="52"/>
        <v>K12</v>
      </c>
      <c r="B372" s="2133">
        <f t="shared" si="52"/>
        <v>0</v>
      </c>
      <c r="C372" s="2133">
        <f t="shared" si="52"/>
        <v>0</v>
      </c>
      <c r="D372" s="2244">
        <f t="shared" si="53"/>
        <v>0</v>
      </c>
      <c r="E372" s="2244">
        <f t="shared" si="53"/>
        <v>0</v>
      </c>
      <c r="F372" s="2244">
        <f t="shared" si="53"/>
        <v>0</v>
      </c>
      <c r="G372" s="2245">
        <f t="shared" si="53"/>
        <v>0</v>
      </c>
      <c r="H372" s="2133">
        <f t="shared" si="54"/>
        <v>0</v>
      </c>
      <c r="I372" s="2133">
        <f t="shared" si="55"/>
        <v>0</v>
      </c>
      <c r="J372" s="2133">
        <f t="shared" si="56"/>
        <v>0</v>
      </c>
      <c r="K372" s="2133">
        <f t="shared" si="57"/>
        <v>0</v>
      </c>
      <c r="M372" s="2133">
        <f t="shared" si="58"/>
        <v>0</v>
      </c>
      <c r="N372" s="2133">
        <f t="shared" si="59"/>
        <v>0</v>
      </c>
      <c r="O372" s="2133">
        <f t="shared" si="60"/>
        <v>0</v>
      </c>
      <c r="P372" s="2133">
        <f t="shared" si="61"/>
        <v>-0.31400000000000006</v>
      </c>
      <c r="Q372" s="2133">
        <f t="shared" si="62"/>
        <v>0</v>
      </c>
    </row>
    <row r="373" spans="1:19">
      <c r="A373" s="2133" t="str">
        <f t="shared" si="52"/>
        <v>K13</v>
      </c>
      <c r="B373" s="2133">
        <f t="shared" si="52"/>
        <v>0</v>
      </c>
      <c r="C373" s="2133">
        <f t="shared" si="52"/>
        <v>0</v>
      </c>
      <c r="D373" s="2244">
        <f t="shared" si="53"/>
        <v>0</v>
      </c>
      <c r="E373" s="2244">
        <f t="shared" si="53"/>
        <v>0</v>
      </c>
      <c r="F373" s="2244">
        <f t="shared" si="53"/>
        <v>0</v>
      </c>
      <c r="G373" s="2245">
        <f t="shared" si="53"/>
        <v>0</v>
      </c>
      <c r="H373" s="2133">
        <f t="shared" si="54"/>
        <v>0</v>
      </c>
      <c r="I373" s="2133">
        <f t="shared" si="55"/>
        <v>0</v>
      </c>
      <c r="J373" s="2133">
        <f t="shared" si="56"/>
        <v>0</v>
      </c>
      <c r="K373" s="2133">
        <f t="shared" si="57"/>
        <v>0</v>
      </c>
      <c r="M373" s="2133">
        <f t="shared" si="58"/>
        <v>0</v>
      </c>
      <c r="N373" s="2133">
        <f t="shared" si="59"/>
        <v>0</v>
      </c>
      <c r="O373" s="2133">
        <f t="shared" si="60"/>
        <v>0</v>
      </c>
      <c r="P373" s="2133">
        <f t="shared" si="61"/>
        <v>-0.31400000000000006</v>
      </c>
      <c r="Q373" s="2133">
        <f t="shared" si="62"/>
        <v>0</v>
      </c>
    </row>
    <row r="374" spans="1:19">
      <c r="A374" s="2133" t="str">
        <f t="shared" si="52"/>
        <v>K14</v>
      </c>
      <c r="B374" s="2133">
        <f t="shared" si="52"/>
        <v>0</v>
      </c>
      <c r="C374" s="2133">
        <f t="shared" si="52"/>
        <v>0</v>
      </c>
      <c r="D374" s="2244">
        <f t="shared" si="53"/>
        <v>0</v>
      </c>
      <c r="E374" s="2244">
        <f t="shared" si="53"/>
        <v>0</v>
      </c>
      <c r="F374" s="2244">
        <f t="shared" si="53"/>
        <v>0</v>
      </c>
      <c r="G374" s="2245">
        <f t="shared" si="53"/>
        <v>0</v>
      </c>
      <c r="H374" s="2133">
        <f t="shared" si="54"/>
        <v>0</v>
      </c>
      <c r="I374" s="2133">
        <f t="shared" si="55"/>
        <v>0</v>
      </c>
      <c r="J374" s="2133">
        <f t="shared" si="56"/>
        <v>0</v>
      </c>
      <c r="K374" s="2133">
        <f t="shared" si="57"/>
        <v>0</v>
      </c>
      <c r="M374" s="2133">
        <f t="shared" si="58"/>
        <v>0</v>
      </c>
      <c r="N374" s="2133">
        <f t="shared" si="59"/>
        <v>0</v>
      </c>
      <c r="O374" s="2133">
        <f t="shared" si="60"/>
        <v>0</v>
      </c>
      <c r="P374" s="2133">
        <f t="shared" si="61"/>
        <v>-0.31400000000000006</v>
      </c>
      <c r="Q374" s="2133">
        <f t="shared" si="62"/>
        <v>0</v>
      </c>
    </row>
    <row r="375" spans="1:19">
      <c r="A375" s="2133" t="str">
        <f t="shared" si="52"/>
        <v>K15</v>
      </c>
      <c r="B375" s="2133">
        <f t="shared" si="52"/>
        <v>0</v>
      </c>
      <c r="C375" s="2133">
        <f t="shared" si="52"/>
        <v>0</v>
      </c>
      <c r="D375" s="2244">
        <f t="shared" si="53"/>
        <v>0</v>
      </c>
      <c r="E375" s="2244">
        <f t="shared" si="53"/>
        <v>0</v>
      </c>
      <c r="F375" s="2244">
        <f t="shared" si="53"/>
        <v>0</v>
      </c>
      <c r="G375" s="2245">
        <f t="shared" si="53"/>
        <v>0</v>
      </c>
      <c r="H375" s="2133">
        <f t="shared" si="54"/>
        <v>0</v>
      </c>
      <c r="I375" s="2133">
        <f t="shared" si="55"/>
        <v>0</v>
      </c>
      <c r="J375" s="2133">
        <f t="shared" si="56"/>
        <v>0</v>
      </c>
      <c r="K375" s="2133">
        <f t="shared" si="57"/>
        <v>0</v>
      </c>
      <c r="M375" s="2133">
        <f t="shared" si="58"/>
        <v>0</v>
      </c>
      <c r="N375" s="2133">
        <f t="shared" si="59"/>
        <v>0</v>
      </c>
      <c r="O375" s="2133">
        <f t="shared" si="60"/>
        <v>0</v>
      </c>
      <c r="P375" s="2133">
        <f t="shared" si="61"/>
        <v>-0.31400000000000006</v>
      </c>
      <c r="Q375" s="2133">
        <f t="shared" si="62"/>
        <v>0</v>
      </c>
    </row>
    <row r="376" spans="1:19">
      <c r="A376" s="2133" t="str">
        <f t="shared" si="52"/>
        <v>K16</v>
      </c>
      <c r="B376" s="2133">
        <f t="shared" si="52"/>
        <v>0</v>
      </c>
      <c r="C376" s="2133">
        <f t="shared" si="52"/>
        <v>0</v>
      </c>
      <c r="D376" s="2244">
        <f t="shared" si="53"/>
        <v>0</v>
      </c>
      <c r="E376" s="2244">
        <f t="shared" si="53"/>
        <v>0</v>
      </c>
      <c r="F376" s="2244">
        <f t="shared" si="53"/>
        <v>0</v>
      </c>
      <c r="G376" s="2245">
        <f t="shared" si="53"/>
        <v>0</v>
      </c>
      <c r="H376" s="2133">
        <f t="shared" si="54"/>
        <v>0</v>
      </c>
      <c r="I376" s="2133">
        <f t="shared" si="55"/>
        <v>0</v>
      </c>
      <c r="J376" s="2133">
        <f t="shared" si="56"/>
        <v>0</v>
      </c>
      <c r="K376" s="2133">
        <f t="shared" si="57"/>
        <v>0</v>
      </c>
      <c r="M376" s="2133">
        <f t="shared" si="58"/>
        <v>0</v>
      </c>
      <c r="N376" s="2133">
        <f t="shared" si="59"/>
        <v>0</v>
      </c>
      <c r="O376" s="2133">
        <f t="shared" si="60"/>
        <v>0</v>
      </c>
      <c r="P376" s="2133">
        <f t="shared" si="61"/>
        <v>-0.31400000000000006</v>
      </c>
      <c r="Q376" s="2133">
        <f t="shared" si="62"/>
        <v>0</v>
      </c>
    </row>
    <row r="377" spans="1:19">
      <c r="A377" s="2133" t="str">
        <f t="shared" si="52"/>
        <v>K17</v>
      </c>
      <c r="B377" s="2133">
        <f t="shared" si="52"/>
        <v>0</v>
      </c>
      <c r="C377" s="2133">
        <f t="shared" si="52"/>
        <v>0</v>
      </c>
      <c r="D377" s="2244">
        <f t="shared" si="53"/>
        <v>0</v>
      </c>
      <c r="E377" s="2244">
        <f t="shared" si="53"/>
        <v>0</v>
      </c>
      <c r="F377" s="2244">
        <f t="shared" si="53"/>
        <v>0</v>
      </c>
      <c r="G377" s="2245">
        <f t="shared" si="53"/>
        <v>0</v>
      </c>
      <c r="H377" s="2133">
        <f t="shared" si="54"/>
        <v>0</v>
      </c>
      <c r="I377" s="2133">
        <f t="shared" si="55"/>
        <v>0</v>
      </c>
      <c r="J377" s="2133">
        <f t="shared" si="56"/>
        <v>0</v>
      </c>
      <c r="K377" s="2133">
        <f t="shared" si="57"/>
        <v>0</v>
      </c>
      <c r="M377" s="2133">
        <f t="shared" si="58"/>
        <v>0</v>
      </c>
      <c r="N377" s="2133">
        <f t="shared" si="59"/>
        <v>0</v>
      </c>
      <c r="O377" s="2133">
        <f t="shared" si="60"/>
        <v>0</v>
      </c>
      <c r="P377" s="2133">
        <f t="shared" si="61"/>
        <v>-0.31400000000000006</v>
      </c>
      <c r="Q377" s="2133">
        <f t="shared" si="62"/>
        <v>0</v>
      </c>
    </row>
    <row r="378" spans="1:19" ht="15" customHeight="1">
      <c r="A378" s="2133" t="str">
        <f t="shared" si="52"/>
        <v>K18</v>
      </c>
      <c r="B378" s="2133">
        <f t="shared" si="52"/>
        <v>0</v>
      </c>
      <c r="C378" s="2133">
        <f t="shared" si="52"/>
        <v>0</v>
      </c>
      <c r="D378" s="2244">
        <f t="shared" si="53"/>
        <v>0</v>
      </c>
      <c r="E378" s="2244">
        <f t="shared" si="53"/>
        <v>0</v>
      </c>
      <c r="F378" s="2244">
        <f t="shared" si="53"/>
        <v>0</v>
      </c>
      <c r="G378" s="2245">
        <f t="shared" si="53"/>
        <v>0</v>
      </c>
      <c r="H378" s="2133">
        <f t="shared" si="54"/>
        <v>0</v>
      </c>
      <c r="I378" s="2133">
        <f t="shared" si="55"/>
        <v>0</v>
      </c>
      <c r="J378" s="2133">
        <f t="shared" si="56"/>
        <v>0</v>
      </c>
      <c r="K378" s="2133">
        <f t="shared" si="57"/>
        <v>0</v>
      </c>
      <c r="M378" s="2145">
        <f t="shared" si="58"/>
        <v>0</v>
      </c>
      <c r="N378" s="2145">
        <f t="shared" si="59"/>
        <v>0</v>
      </c>
      <c r="O378" s="2145">
        <f t="shared" si="60"/>
        <v>0</v>
      </c>
      <c r="P378" s="2133">
        <f t="shared" si="61"/>
        <v>-0.31400000000000006</v>
      </c>
      <c r="Q378" s="2145">
        <f t="shared" si="62"/>
        <v>0</v>
      </c>
    </row>
    <row r="379" spans="1:19" ht="15" customHeight="1">
      <c r="F379" s="2804" t="s">
        <v>2074</v>
      </c>
      <c r="G379" s="2805"/>
      <c r="H379" s="2133">
        <f>SUM(H361:H378)</f>
        <v>0</v>
      </c>
      <c r="I379" s="2133">
        <f>SUM(I361:I378)</f>
        <v>0</v>
      </c>
      <c r="J379" s="2133">
        <f>SUM(J361:J378)</f>
        <v>0</v>
      </c>
      <c r="K379" s="2133">
        <f>SUM(K361:K378)</f>
        <v>0</v>
      </c>
      <c r="M379" s="2804" t="s">
        <v>1972</v>
      </c>
      <c r="N379" s="2805"/>
      <c r="O379" s="2805"/>
      <c r="P379" s="2837"/>
      <c r="Q379" s="2135">
        <f>SUMIF($I$134:$I$151,S379,$Q$361:$Q$378)</f>
        <v>0</v>
      </c>
      <c r="R379" s="2139">
        <f>Q379*0.4</f>
        <v>0</v>
      </c>
      <c r="S379" s="2086">
        <v>8</v>
      </c>
    </row>
    <row r="380" spans="1:19" ht="15">
      <c r="F380" s="2804" t="s">
        <v>2075</v>
      </c>
      <c r="G380" s="2805"/>
      <c r="H380" s="2157">
        <f>H379*1.58</f>
        <v>0</v>
      </c>
      <c r="I380" s="2158">
        <f>I379*1.04</f>
        <v>0</v>
      </c>
      <c r="J380" s="2157">
        <f>J379*0.89</f>
        <v>0</v>
      </c>
      <c r="K380" s="2139">
        <f>K379*0.62</f>
        <v>0</v>
      </c>
      <c r="M380" s="2804" t="s">
        <v>2431</v>
      </c>
      <c r="N380" s="2805"/>
      <c r="O380" s="2805"/>
      <c r="P380" s="2837"/>
      <c r="Q380" s="2135">
        <f>SUMIF($I$134:$I$151,S380,$Q$361:$Q$378)</f>
        <v>0</v>
      </c>
      <c r="R380" s="2139">
        <f>Q380*0.62</f>
        <v>0</v>
      </c>
      <c r="S380" s="2086">
        <v>10</v>
      </c>
    </row>
    <row r="382" spans="1:19">
      <c r="A382" s="2176" t="s">
        <v>1796</v>
      </c>
      <c r="B382" s="2176" t="s">
        <v>1608</v>
      </c>
      <c r="C382" s="2176" t="s">
        <v>2062</v>
      </c>
      <c r="D382" s="2176" t="s">
        <v>1807</v>
      </c>
      <c r="E382" s="2176" t="s">
        <v>1997</v>
      </c>
      <c r="F382" s="2176" t="s">
        <v>1568</v>
      </c>
      <c r="M382" s="2133" t="s">
        <v>1607</v>
      </c>
      <c r="N382" s="2133" t="s">
        <v>1611</v>
      </c>
      <c r="O382" s="2133" t="s">
        <v>1168</v>
      </c>
      <c r="P382" s="2133" t="s">
        <v>1205</v>
      </c>
      <c r="Q382" s="2133" t="s">
        <v>1243</v>
      </c>
    </row>
    <row r="383" spans="1:19">
      <c r="A383" s="2133" t="str">
        <f t="shared" ref="A383:C384" si="71">A355</f>
        <v>KP1</v>
      </c>
      <c r="B383" s="2133">
        <f t="shared" si="71"/>
        <v>0</v>
      </c>
      <c r="C383" s="2133">
        <f t="shared" si="71"/>
        <v>0</v>
      </c>
      <c r="D383" s="2133">
        <v>4</v>
      </c>
      <c r="E383" s="2133"/>
      <c r="F383" s="2133">
        <f>B383*C383*D383</f>
        <v>0</v>
      </c>
      <c r="M383" s="2133">
        <f>(B383/2)/0.2</f>
        <v>0</v>
      </c>
      <c r="N383" s="2133">
        <f>(B383/2)/0.1</f>
        <v>0</v>
      </c>
      <c r="O383" s="2133">
        <f>SUM(M383:N383)*C383</f>
        <v>0</v>
      </c>
      <c r="P383" s="2133">
        <f>P183</f>
        <v>0.4</v>
      </c>
      <c r="Q383" s="2133">
        <f>O383*P383</f>
        <v>0</v>
      </c>
    </row>
    <row r="384" spans="1:19" ht="15" customHeight="1">
      <c r="A384" s="2133" t="str">
        <f t="shared" si="71"/>
        <v>KP2</v>
      </c>
      <c r="B384" s="2133">
        <f t="shared" si="71"/>
        <v>0</v>
      </c>
      <c r="C384" s="2133">
        <f t="shared" si="71"/>
        <v>0</v>
      </c>
      <c r="D384" s="2133">
        <v>3</v>
      </c>
      <c r="E384" s="2133">
        <v>0</v>
      </c>
      <c r="F384" s="2133">
        <f>B384*C384*D384</f>
        <v>0</v>
      </c>
      <c r="M384" s="2145">
        <f>(B384/2)/0.2</f>
        <v>0</v>
      </c>
      <c r="N384" s="2145">
        <f>(B384/2)/0.1</f>
        <v>0</v>
      </c>
      <c r="O384" s="2145">
        <f>SUM(M384:N384)*C384</f>
        <v>0</v>
      </c>
      <c r="P384" s="2133">
        <f>P184</f>
        <v>0</v>
      </c>
      <c r="Q384" s="2145">
        <f>O384*P384</f>
        <v>0</v>
      </c>
    </row>
    <row r="385" spans="1:17" ht="15" customHeight="1">
      <c r="D385" s="2804" t="s">
        <v>2074</v>
      </c>
      <c r="E385" s="2805"/>
      <c r="F385" s="2133">
        <f>SUM(F383:F384)</f>
        <v>0</v>
      </c>
      <c r="M385" s="2804" t="s">
        <v>2109</v>
      </c>
      <c r="N385" s="2805"/>
      <c r="O385" s="2805"/>
      <c r="P385" s="2837"/>
      <c r="Q385" s="2135">
        <f>SUM(Q383:Q384)</f>
        <v>0</v>
      </c>
    </row>
    <row r="386" spans="1:17" ht="15">
      <c r="D386" s="2804" t="s">
        <v>2075</v>
      </c>
      <c r="E386" s="2805"/>
      <c r="F386" s="2157">
        <f>F385*0.62</f>
        <v>0</v>
      </c>
      <c r="M386" s="2804" t="s">
        <v>2108</v>
      </c>
      <c r="N386" s="2805"/>
      <c r="O386" s="2805"/>
      <c r="P386" s="2837"/>
      <c r="Q386" s="2157">
        <f>Q385*0.4</f>
        <v>0</v>
      </c>
    </row>
    <row r="388" spans="1:17">
      <c r="A388" s="2176" t="s">
        <v>1612</v>
      </c>
      <c r="B388" s="2176" t="s">
        <v>1608</v>
      </c>
      <c r="C388" s="2176" t="s">
        <v>2062</v>
      </c>
      <c r="D388" s="2176" t="s">
        <v>2089</v>
      </c>
      <c r="E388" s="2176" t="s">
        <v>1568</v>
      </c>
    </row>
    <row r="389" spans="1:17">
      <c r="A389" s="2087" t="str">
        <f t="shared" ref="A389:C406" si="72">A334</f>
        <v>K1</v>
      </c>
      <c r="B389" s="2087">
        <f t="shared" si="72"/>
        <v>0</v>
      </c>
      <c r="C389" s="2087">
        <f t="shared" si="72"/>
        <v>0</v>
      </c>
      <c r="D389" s="2087">
        <f t="shared" ref="D389:D406" si="73">D189</f>
        <v>2.2000000000000002</v>
      </c>
      <c r="E389" s="2087">
        <f t="shared" ref="E389:E406" si="74">B389*C389*D389</f>
        <v>0</v>
      </c>
    </row>
    <row r="390" spans="1:17">
      <c r="A390" s="2133" t="str">
        <f t="shared" si="72"/>
        <v>K2</v>
      </c>
      <c r="B390" s="2087">
        <f t="shared" si="72"/>
        <v>0</v>
      </c>
      <c r="C390" s="2087">
        <f t="shared" si="72"/>
        <v>0</v>
      </c>
      <c r="D390" s="2087">
        <f t="shared" si="73"/>
        <v>0</v>
      </c>
      <c r="E390" s="2133">
        <f t="shared" si="74"/>
        <v>0</v>
      </c>
    </row>
    <row r="391" spans="1:17" s="2238" customFormat="1">
      <c r="A391" s="2133" t="str">
        <f t="shared" si="72"/>
        <v>K3</v>
      </c>
      <c r="B391" s="2236">
        <f t="shared" si="72"/>
        <v>0</v>
      </c>
      <c r="C391" s="2236">
        <f t="shared" si="72"/>
        <v>0</v>
      </c>
      <c r="D391" s="2236">
        <f t="shared" si="73"/>
        <v>1.2000000000000002</v>
      </c>
      <c r="E391" s="2133">
        <f t="shared" ref="E391:E398" si="75">B391*C391*D391</f>
        <v>0</v>
      </c>
    </row>
    <row r="392" spans="1:17" s="2238" customFormat="1">
      <c r="A392" s="2133" t="str">
        <f t="shared" si="72"/>
        <v>K4</v>
      </c>
      <c r="B392" s="2236">
        <f t="shared" si="72"/>
        <v>0</v>
      </c>
      <c r="C392" s="2236">
        <f t="shared" si="72"/>
        <v>0</v>
      </c>
      <c r="D392" s="2236">
        <f t="shared" si="73"/>
        <v>1.1000000000000001</v>
      </c>
      <c r="E392" s="2133">
        <f t="shared" si="75"/>
        <v>0</v>
      </c>
    </row>
    <row r="393" spans="1:17" s="2238" customFormat="1">
      <c r="A393" s="2133" t="str">
        <f t="shared" si="72"/>
        <v>K5</v>
      </c>
      <c r="B393" s="2236">
        <f t="shared" si="72"/>
        <v>0</v>
      </c>
      <c r="C393" s="2236">
        <f t="shared" si="72"/>
        <v>0</v>
      </c>
      <c r="D393" s="2236">
        <f t="shared" si="73"/>
        <v>0.89999999999999991</v>
      </c>
      <c r="E393" s="2133">
        <f t="shared" si="75"/>
        <v>0</v>
      </c>
    </row>
    <row r="394" spans="1:17" s="2238" customFormat="1">
      <c r="A394" s="2133" t="str">
        <f t="shared" si="72"/>
        <v>K6</v>
      </c>
      <c r="B394" s="2236">
        <f t="shared" si="72"/>
        <v>0</v>
      </c>
      <c r="C394" s="2236">
        <f t="shared" si="72"/>
        <v>0</v>
      </c>
      <c r="D394" s="2236">
        <f t="shared" si="73"/>
        <v>1</v>
      </c>
      <c r="E394" s="2133">
        <f t="shared" si="75"/>
        <v>0</v>
      </c>
    </row>
    <row r="395" spans="1:17" s="2238" customFormat="1">
      <c r="A395" s="2133" t="str">
        <f t="shared" si="72"/>
        <v>K7</v>
      </c>
      <c r="B395" s="2236">
        <f t="shared" si="72"/>
        <v>0</v>
      </c>
      <c r="C395" s="2236">
        <f t="shared" si="72"/>
        <v>0</v>
      </c>
      <c r="D395" s="2236">
        <f t="shared" si="73"/>
        <v>0.8</v>
      </c>
      <c r="E395" s="2133">
        <f t="shared" si="75"/>
        <v>0</v>
      </c>
    </row>
    <row r="396" spans="1:17" s="2238" customFormat="1">
      <c r="A396" s="2133" t="str">
        <f t="shared" si="72"/>
        <v>K8</v>
      </c>
      <c r="B396" s="2236">
        <f t="shared" si="72"/>
        <v>0</v>
      </c>
      <c r="C396" s="2236">
        <f t="shared" si="72"/>
        <v>0</v>
      </c>
      <c r="D396" s="2236">
        <f t="shared" si="73"/>
        <v>0</v>
      </c>
      <c r="E396" s="2133">
        <f t="shared" si="75"/>
        <v>0</v>
      </c>
    </row>
    <row r="397" spans="1:17" s="2238" customFormat="1" ht="15" customHeight="1">
      <c r="A397" s="2133" t="str">
        <f t="shared" si="72"/>
        <v>K9</v>
      </c>
      <c r="B397" s="2236">
        <f t="shared" si="72"/>
        <v>0</v>
      </c>
      <c r="C397" s="2236">
        <f t="shared" si="72"/>
        <v>0</v>
      </c>
      <c r="D397" s="2236">
        <f t="shared" si="73"/>
        <v>0</v>
      </c>
      <c r="E397" s="2133">
        <f t="shared" si="75"/>
        <v>0</v>
      </c>
    </row>
    <row r="398" spans="1:17" s="2238" customFormat="1" ht="15" customHeight="1">
      <c r="A398" s="2133" t="str">
        <f t="shared" si="72"/>
        <v>K10</v>
      </c>
      <c r="B398" s="2236">
        <f t="shared" si="72"/>
        <v>0</v>
      </c>
      <c r="C398" s="2236">
        <f t="shared" si="72"/>
        <v>0</v>
      </c>
      <c r="D398" s="2236">
        <f t="shared" si="73"/>
        <v>0</v>
      </c>
      <c r="E398" s="2133">
        <f t="shared" si="75"/>
        <v>0</v>
      </c>
    </row>
    <row r="399" spans="1:17">
      <c r="A399" s="2133" t="str">
        <f t="shared" si="72"/>
        <v>K11</v>
      </c>
      <c r="B399" s="2087">
        <f t="shared" si="72"/>
        <v>0</v>
      </c>
      <c r="C399" s="2087">
        <f t="shared" si="72"/>
        <v>0</v>
      </c>
      <c r="D399" s="2087">
        <f t="shared" si="73"/>
        <v>0</v>
      </c>
      <c r="E399" s="2133">
        <f t="shared" si="74"/>
        <v>0</v>
      </c>
    </row>
    <row r="400" spans="1:17">
      <c r="A400" s="2133" t="str">
        <f t="shared" si="72"/>
        <v>K12</v>
      </c>
      <c r="B400" s="2087">
        <f t="shared" si="72"/>
        <v>0</v>
      </c>
      <c r="C400" s="2087">
        <f t="shared" si="72"/>
        <v>0</v>
      </c>
      <c r="D400" s="2087">
        <f t="shared" si="73"/>
        <v>0</v>
      </c>
      <c r="E400" s="2133">
        <f t="shared" si="74"/>
        <v>0</v>
      </c>
    </row>
    <row r="401" spans="1:43">
      <c r="A401" s="2133" t="str">
        <f t="shared" si="72"/>
        <v>K13</v>
      </c>
      <c r="B401" s="2087">
        <f t="shared" si="72"/>
        <v>0</v>
      </c>
      <c r="C401" s="2087">
        <f t="shared" si="72"/>
        <v>0</v>
      </c>
      <c r="D401" s="2087">
        <f t="shared" si="73"/>
        <v>0</v>
      </c>
      <c r="E401" s="2133">
        <f t="shared" si="74"/>
        <v>0</v>
      </c>
    </row>
    <row r="402" spans="1:43">
      <c r="A402" s="2133" t="str">
        <f t="shared" si="72"/>
        <v>K14</v>
      </c>
      <c r="B402" s="2087">
        <f t="shared" si="72"/>
        <v>0</v>
      </c>
      <c r="C402" s="2087">
        <f t="shared" si="72"/>
        <v>0</v>
      </c>
      <c r="D402" s="2087">
        <f t="shared" si="73"/>
        <v>0</v>
      </c>
      <c r="E402" s="2133">
        <f t="shared" si="74"/>
        <v>0</v>
      </c>
    </row>
    <row r="403" spans="1:43">
      <c r="A403" s="2133" t="str">
        <f t="shared" si="72"/>
        <v>K15</v>
      </c>
      <c r="B403" s="2087">
        <f t="shared" si="72"/>
        <v>0</v>
      </c>
      <c r="C403" s="2087">
        <f t="shared" si="72"/>
        <v>0</v>
      </c>
      <c r="D403" s="2087">
        <f t="shared" si="73"/>
        <v>0</v>
      </c>
      <c r="E403" s="2133">
        <f t="shared" si="74"/>
        <v>0</v>
      </c>
    </row>
    <row r="404" spans="1:43">
      <c r="A404" s="2133" t="str">
        <f t="shared" si="72"/>
        <v>K16</v>
      </c>
      <c r="B404" s="2087">
        <f t="shared" si="72"/>
        <v>0</v>
      </c>
      <c r="C404" s="2087">
        <f t="shared" si="72"/>
        <v>0</v>
      </c>
      <c r="D404" s="2087">
        <f t="shared" si="73"/>
        <v>0</v>
      </c>
      <c r="E404" s="2133">
        <f t="shared" si="74"/>
        <v>0</v>
      </c>
    </row>
    <row r="405" spans="1:43" ht="15" customHeight="1">
      <c r="A405" s="2133" t="str">
        <f t="shared" si="72"/>
        <v>K17</v>
      </c>
      <c r="B405" s="2087">
        <f t="shared" si="72"/>
        <v>0</v>
      </c>
      <c r="C405" s="2087">
        <f t="shared" si="72"/>
        <v>0</v>
      </c>
      <c r="D405" s="2087">
        <f t="shared" si="73"/>
        <v>0</v>
      </c>
      <c r="E405" s="2133">
        <f t="shared" si="74"/>
        <v>0</v>
      </c>
    </row>
    <row r="406" spans="1:43" ht="15" customHeight="1">
      <c r="A406" s="2133" t="str">
        <f t="shared" si="72"/>
        <v>K18</v>
      </c>
      <c r="B406" s="2087">
        <f t="shared" si="72"/>
        <v>0</v>
      </c>
      <c r="C406" s="2087">
        <f t="shared" si="72"/>
        <v>0</v>
      </c>
      <c r="D406" s="2087">
        <f t="shared" si="73"/>
        <v>0</v>
      </c>
      <c r="E406" s="2133">
        <f t="shared" si="74"/>
        <v>0</v>
      </c>
    </row>
    <row r="407" spans="1:43" ht="14.25" customHeight="1">
      <c r="D407" s="2146" t="s">
        <v>2076</v>
      </c>
      <c r="E407" s="2177">
        <f>SUM(E389:E406)</f>
        <v>0</v>
      </c>
    </row>
    <row r="408" spans="1:43" ht="14.25" customHeight="1">
      <c r="D408" s="2148"/>
      <c r="E408" s="2178"/>
    </row>
    <row r="411" spans="1:43">
      <c r="A411" s="2176" t="s">
        <v>1612</v>
      </c>
      <c r="B411" s="2176" t="s">
        <v>1608</v>
      </c>
      <c r="C411" s="2176" t="s">
        <v>2062</v>
      </c>
      <c r="D411" s="2176" t="s">
        <v>2088</v>
      </c>
      <c r="E411" s="2176" t="s">
        <v>1568</v>
      </c>
    </row>
    <row r="412" spans="1:43">
      <c r="A412" s="2087" t="str">
        <f t="shared" ref="A412:C413" si="76">A383</f>
        <v>KP1</v>
      </c>
      <c r="B412" s="2087">
        <f t="shared" si="76"/>
        <v>0</v>
      </c>
      <c r="C412" s="2133">
        <f t="shared" si="76"/>
        <v>0</v>
      </c>
      <c r="D412" s="2087">
        <f>D212</f>
        <v>0.6</v>
      </c>
      <c r="E412" s="2087">
        <f>B412*C412*D412</f>
        <v>0</v>
      </c>
    </row>
    <row r="413" spans="1:43">
      <c r="A413" s="2133" t="str">
        <f t="shared" si="76"/>
        <v>KP2</v>
      </c>
      <c r="B413" s="2133">
        <f t="shared" si="76"/>
        <v>0</v>
      </c>
      <c r="C413" s="2133">
        <f t="shared" si="76"/>
        <v>0</v>
      </c>
      <c r="D413" s="2087">
        <f>D213</f>
        <v>0.6</v>
      </c>
      <c r="E413" s="2133">
        <f>B413*C413*D413</f>
        <v>0</v>
      </c>
      <c r="V413" s="2107"/>
      <c r="W413" s="2107"/>
      <c r="X413" s="2107"/>
      <c r="Y413" s="2107"/>
      <c r="Z413" s="2107"/>
      <c r="AA413" s="2107"/>
      <c r="AB413" s="2107"/>
      <c r="AC413" s="2107"/>
      <c r="AD413" s="2107"/>
      <c r="AE413" s="2107"/>
      <c r="AF413" s="2107"/>
      <c r="AG413" s="2107"/>
      <c r="AH413" s="2107"/>
      <c r="AI413" s="2107"/>
      <c r="AJ413" s="2107"/>
      <c r="AK413" s="2107"/>
      <c r="AL413" s="2107"/>
      <c r="AM413" s="2107"/>
      <c r="AN413" s="2107"/>
      <c r="AO413" s="2107"/>
      <c r="AP413" s="2107"/>
      <c r="AQ413" s="2107"/>
    </row>
    <row r="414" spans="1:43" ht="30">
      <c r="D414" s="2138" t="s">
        <v>2076</v>
      </c>
      <c r="E414" s="2157">
        <f>SUM(E412:E413)</f>
        <v>0</v>
      </c>
      <c r="V414" s="2107"/>
      <c r="W414" s="2833"/>
      <c r="X414" s="2833"/>
      <c r="Y414" s="2833"/>
      <c r="Z414" s="2833"/>
      <c r="AA414" s="2833"/>
      <c r="AB414" s="2833"/>
      <c r="AC414" s="2833"/>
      <c r="AD414" s="2833"/>
      <c r="AE414" s="2107"/>
      <c r="AF414" s="2107"/>
      <c r="AG414" s="2107"/>
      <c r="AH414" s="2107"/>
      <c r="AI414" s="2107"/>
      <c r="AJ414" s="2107"/>
      <c r="AK414" s="2107"/>
      <c r="AL414" s="2107"/>
      <c r="AM414" s="2107"/>
      <c r="AN414" s="2107"/>
      <c r="AO414" s="2107"/>
      <c r="AP414" s="2107"/>
      <c r="AQ414" s="2107"/>
    </row>
    <row r="415" spans="1:43">
      <c r="U415" s="2107"/>
      <c r="V415" s="2107"/>
      <c r="W415" s="2107"/>
      <c r="X415" s="2107"/>
      <c r="Y415" s="2179"/>
      <c r="Z415" s="2107"/>
      <c r="AA415" s="2179"/>
      <c r="AB415" s="2107"/>
      <c r="AC415" s="2107"/>
      <c r="AD415" s="2107"/>
      <c r="AE415" s="2107"/>
      <c r="AF415" s="2107"/>
      <c r="AG415" s="2107"/>
      <c r="AH415" s="2107"/>
      <c r="AI415" s="2107"/>
      <c r="AJ415" s="2107"/>
      <c r="AK415" s="2107"/>
      <c r="AL415" s="2107"/>
      <c r="AM415" s="2107"/>
      <c r="AN415" s="2107"/>
      <c r="AO415" s="2107"/>
      <c r="AP415" s="2107"/>
    </row>
    <row r="416" spans="1:43">
      <c r="A416" s="2831" t="s">
        <v>2391</v>
      </c>
      <c r="B416" s="2832"/>
      <c r="C416" s="2832"/>
      <c r="D416" s="2832"/>
      <c r="E416" s="2832"/>
      <c r="F416" s="2832"/>
      <c r="G416" s="2836"/>
      <c r="H416" s="2831" t="s">
        <v>1568</v>
      </c>
      <c r="I416" s="2832"/>
      <c r="J416" s="2832"/>
      <c r="K416" s="2832"/>
      <c r="L416" s="2836"/>
      <c r="N416" s="2831" t="s">
        <v>1610</v>
      </c>
      <c r="O416" s="2832"/>
      <c r="P416" s="2832"/>
      <c r="Q416" s="2832"/>
      <c r="R416" s="2836"/>
      <c r="U416" s="2107"/>
      <c r="V416" s="2107"/>
      <c r="W416" s="2107"/>
      <c r="X416" s="2107"/>
      <c r="Y416" s="2107"/>
      <c r="Z416" s="2107"/>
      <c r="AA416" s="2107"/>
      <c r="AB416" s="2107"/>
      <c r="AC416" s="2107"/>
      <c r="AD416" s="2107"/>
      <c r="AE416" s="2107"/>
      <c r="AF416" s="2107"/>
      <c r="AG416" s="2107"/>
      <c r="AH416" s="2107"/>
      <c r="AI416" s="2107"/>
      <c r="AJ416" s="2107"/>
      <c r="AK416" s="2107"/>
      <c r="AL416" s="2107"/>
      <c r="AM416" s="2107"/>
      <c r="AN416" s="2107"/>
      <c r="AO416" s="2107"/>
      <c r="AP416" s="2107"/>
    </row>
    <row r="417" spans="1:42" ht="15">
      <c r="A417" s="2087" t="s">
        <v>1796</v>
      </c>
      <c r="B417" s="2154" t="s">
        <v>2004</v>
      </c>
      <c r="C417" s="2154" t="s">
        <v>1609</v>
      </c>
      <c r="D417" s="2180" t="s">
        <v>2098</v>
      </c>
      <c r="E417" s="2181" t="s">
        <v>2099</v>
      </c>
      <c r="F417" s="2180" t="s">
        <v>2440</v>
      </c>
      <c r="G417" s="2154" t="s">
        <v>2107</v>
      </c>
      <c r="H417" s="2087" t="s">
        <v>2100</v>
      </c>
      <c r="I417" s="2087" t="s">
        <v>2101</v>
      </c>
      <c r="J417" s="2087" t="s">
        <v>2102</v>
      </c>
      <c r="K417" s="2087" t="s">
        <v>2103</v>
      </c>
      <c r="L417" s="2087" t="s">
        <v>2104</v>
      </c>
      <c r="N417" s="2133" t="s">
        <v>1607</v>
      </c>
      <c r="O417" s="2133" t="s">
        <v>1611</v>
      </c>
      <c r="P417" s="2133" t="s">
        <v>1168</v>
      </c>
      <c r="Q417" s="2133" t="s">
        <v>1205</v>
      </c>
      <c r="R417" s="2133" t="s">
        <v>1243</v>
      </c>
      <c r="U417" s="2107"/>
      <c r="V417" s="2107"/>
      <c r="W417" s="2107"/>
      <c r="X417" s="2107"/>
      <c r="Y417" s="2107"/>
      <c r="Z417" s="2107"/>
      <c r="AA417" s="2107"/>
      <c r="AB417" s="2107"/>
      <c r="AC417" s="2107"/>
      <c r="AD417" s="2107"/>
      <c r="AE417" s="2107"/>
      <c r="AF417" s="2107"/>
      <c r="AG417" s="2107"/>
      <c r="AH417" s="2107"/>
      <c r="AI417" s="2107"/>
      <c r="AJ417" s="2107"/>
      <c r="AK417" s="2107"/>
      <c r="AL417" s="2107"/>
      <c r="AM417" s="2107"/>
      <c r="AN417" s="2107"/>
      <c r="AO417" s="2107"/>
      <c r="AP417" s="2107"/>
    </row>
    <row r="418" spans="1:42">
      <c r="A418" s="2134" t="s">
        <v>187</v>
      </c>
      <c r="B418" s="2133">
        <f t="shared" ref="B418:B437" si="77">M33</f>
        <v>318</v>
      </c>
      <c r="C418" s="2244">
        <f t="shared" ref="C418:C432" si="78">L445</f>
        <v>10</v>
      </c>
      <c r="D418" s="2244">
        <f>M445</f>
        <v>0</v>
      </c>
      <c r="E418" s="2244">
        <f>N445</f>
        <v>0</v>
      </c>
      <c r="F418" s="2244">
        <f>O445</f>
        <v>0</v>
      </c>
      <c r="G418" s="2244">
        <f>P445</f>
        <v>0</v>
      </c>
      <c r="H418" s="2135">
        <f t="shared" ref="H418:H438" si="79">B418*C418</f>
        <v>3180</v>
      </c>
      <c r="I418" s="2133">
        <f>B418*D418</f>
        <v>0</v>
      </c>
      <c r="J418" s="2133">
        <f t="shared" ref="J418:J438" si="80">B418*E418</f>
        <v>0</v>
      </c>
      <c r="K418" s="2133">
        <f>B418*F418</f>
        <v>0</v>
      </c>
      <c r="L418" s="2133">
        <f t="shared" ref="L418:L438" si="81">B418*G418</f>
        <v>0</v>
      </c>
      <c r="N418" s="2133">
        <f t="shared" ref="N418:N438" si="82">(B418/2)/0.2</f>
        <v>795</v>
      </c>
      <c r="O418" s="2133">
        <f t="shared" ref="O418:O438" si="83">(B418/2)/0.1</f>
        <v>1590</v>
      </c>
      <c r="P418" s="2133">
        <f t="shared" ref="P418:P438" si="84">SUM(N418:O418)</f>
        <v>2385</v>
      </c>
      <c r="Q418" s="2133">
        <f t="shared" ref="Q418:Q432" si="85">IF(I445=0,2*(F445-0.05+G445-0.05),2*(F445-0.05)+J445-0.05+G445)</f>
        <v>1</v>
      </c>
      <c r="R418" s="2133">
        <f t="shared" ref="R418:R438" si="86">P418*Q418</f>
        <v>2385</v>
      </c>
      <c r="U418" s="2107"/>
      <c r="V418" s="2107"/>
      <c r="W418" s="2107"/>
      <c r="X418" s="2107"/>
      <c r="Y418" s="2107"/>
      <c r="Z418" s="2107"/>
      <c r="AA418" s="2107"/>
      <c r="AB418" s="2107"/>
      <c r="AC418" s="2107"/>
      <c r="AD418" s="2107"/>
      <c r="AE418" s="2107"/>
      <c r="AF418" s="2107"/>
      <c r="AG418" s="2107"/>
      <c r="AH418" s="2107"/>
      <c r="AI418" s="2107"/>
      <c r="AJ418" s="2107"/>
      <c r="AK418" s="2107"/>
      <c r="AL418" s="2107"/>
      <c r="AM418" s="2107"/>
      <c r="AN418" s="2107"/>
      <c r="AO418" s="2107"/>
      <c r="AP418" s="2107"/>
    </row>
    <row r="419" spans="1:42">
      <c r="A419" s="2134" t="s">
        <v>173</v>
      </c>
      <c r="B419" s="2133">
        <f t="shared" si="77"/>
        <v>133</v>
      </c>
      <c r="C419" s="2244">
        <f t="shared" si="78"/>
        <v>10</v>
      </c>
      <c r="D419" s="2244">
        <f t="shared" ref="D419:D432" si="87">M446</f>
        <v>0</v>
      </c>
      <c r="E419" s="2244">
        <f t="shared" ref="E419:E432" si="88">N446</f>
        <v>0</v>
      </c>
      <c r="F419" s="2244">
        <f t="shared" ref="F419:F432" si="89">O446</f>
        <v>1</v>
      </c>
      <c r="G419" s="2244">
        <f t="shared" ref="G419:G432" si="90">P446</f>
        <v>0</v>
      </c>
      <c r="H419" s="2135">
        <f t="shared" si="79"/>
        <v>1330</v>
      </c>
      <c r="I419" s="2133">
        <f>B419*D419</f>
        <v>0</v>
      </c>
      <c r="J419" s="2133">
        <f t="shared" si="80"/>
        <v>0</v>
      </c>
      <c r="K419" s="2133">
        <f t="shared" ref="K419:K438" si="91">B419*F419</f>
        <v>133</v>
      </c>
      <c r="L419" s="2133">
        <f t="shared" si="81"/>
        <v>0</v>
      </c>
      <c r="N419" s="2133">
        <f t="shared" si="82"/>
        <v>332.5</v>
      </c>
      <c r="O419" s="2133">
        <f t="shared" si="83"/>
        <v>665</v>
      </c>
      <c r="P419" s="2133">
        <f t="shared" si="84"/>
        <v>997.5</v>
      </c>
      <c r="Q419" s="2133">
        <f t="shared" si="85"/>
        <v>1.1000000000000001</v>
      </c>
      <c r="R419" s="2133">
        <f t="shared" si="86"/>
        <v>1097.25</v>
      </c>
      <c r="U419" s="2107"/>
      <c r="V419" s="2107"/>
      <c r="W419" s="2107"/>
      <c r="X419" s="2107"/>
      <c r="Y419" s="2107"/>
      <c r="Z419" s="2107"/>
      <c r="AA419" s="2107"/>
      <c r="AB419" s="2107"/>
      <c r="AC419" s="2107"/>
      <c r="AD419" s="2107"/>
      <c r="AE419" s="2107"/>
      <c r="AF419" s="2107"/>
      <c r="AG419" s="2107"/>
      <c r="AH419" s="2107"/>
      <c r="AI419" s="2107"/>
      <c r="AJ419" s="2107"/>
      <c r="AK419" s="2107"/>
      <c r="AL419" s="2107"/>
      <c r="AM419" s="2107"/>
      <c r="AN419" s="2107"/>
      <c r="AO419" s="2107"/>
      <c r="AP419" s="2107"/>
    </row>
    <row r="420" spans="1:42">
      <c r="A420" s="2134" t="s">
        <v>172</v>
      </c>
      <c r="B420" s="2133">
        <f t="shared" si="77"/>
        <v>2</v>
      </c>
      <c r="C420" s="2244">
        <f t="shared" si="78"/>
        <v>10</v>
      </c>
      <c r="D420" s="2244">
        <f t="shared" si="87"/>
        <v>0</v>
      </c>
      <c r="E420" s="2244">
        <f t="shared" si="88"/>
        <v>0</v>
      </c>
      <c r="F420" s="2244">
        <f t="shared" si="89"/>
        <v>3</v>
      </c>
      <c r="G420" s="2244">
        <f t="shared" si="90"/>
        <v>0</v>
      </c>
      <c r="H420" s="2135">
        <f t="shared" si="79"/>
        <v>20</v>
      </c>
      <c r="I420" s="2133">
        <f>B420*D420</f>
        <v>0</v>
      </c>
      <c r="J420" s="2133">
        <f t="shared" si="80"/>
        <v>0</v>
      </c>
      <c r="K420" s="2133">
        <f t="shared" si="91"/>
        <v>6</v>
      </c>
      <c r="L420" s="2133">
        <f t="shared" si="81"/>
        <v>0</v>
      </c>
      <c r="N420" s="2133">
        <f t="shared" si="82"/>
        <v>5</v>
      </c>
      <c r="O420" s="2133">
        <f t="shared" si="83"/>
        <v>10</v>
      </c>
      <c r="P420" s="2133">
        <f t="shared" si="84"/>
        <v>15</v>
      </c>
      <c r="Q420" s="2133">
        <f t="shared" si="85"/>
        <v>1.35</v>
      </c>
      <c r="R420" s="2133">
        <f t="shared" si="86"/>
        <v>20.25</v>
      </c>
      <c r="U420" s="2107"/>
      <c r="V420" s="2107"/>
      <c r="W420" s="2107"/>
      <c r="X420" s="2107"/>
      <c r="Y420" s="2107"/>
      <c r="Z420" s="2107"/>
      <c r="AA420" s="2107"/>
      <c r="AB420" s="2107"/>
      <c r="AC420" s="2107"/>
      <c r="AD420" s="2107"/>
      <c r="AE420" s="2107"/>
      <c r="AF420" s="2107"/>
      <c r="AG420" s="2107"/>
      <c r="AH420" s="2107"/>
      <c r="AI420" s="2107"/>
      <c r="AJ420" s="2107"/>
      <c r="AK420" s="2107"/>
      <c r="AL420" s="2107"/>
      <c r="AM420" s="2107"/>
      <c r="AN420" s="2107"/>
      <c r="AO420" s="2107"/>
      <c r="AP420" s="2107"/>
    </row>
    <row r="421" spans="1:42">
      <c r="A421" s="2134" t="s">
        <v>174</v>
      </c>
      <c r="B421" s="2133">
        <f t="shared" si="77"/>
        <v>101</v>
      </c>
      <c r="C421" s="2244">
        <f t="shared" si="78"/>
        <v>6</v>
      </c>
      <c r="D421" s="2244">
        <f t="shared" si="87"/>
        <v>0</v>
      </c>
      <c r="E421" s="2244">
        <f t="shared" si="88"/>
        <v>0</v>
      </c>
      <c r="F421" s="2244">
        <f t="shared" si="89"/>
        <v>4</v>
      </c>
      <c r="G421" s="2244">
        <f t="shared" si="90"/>
        <v>0</v>
      </c>
      <c r="H421" s="2135">
        <f t="shared" si="79"/>
        <v>606</v>
      </c>
      <c r="I421" s="2133">
        <f>B421*E421</f>
        <v>0</v>
      </c>
      <c r="J421" s="2133">
        <f t="shared" si="80"/>
        <v>0</v>
      </c>
      <c r="K421" s="2133">
        <f t="shared" si="91"/>
        <v>404</v>
      </c>
      <c r="L421" s="2133">
        <f t="shared" si="81"/>
        <v>0</v>
      </c>
      <c r="N421" s="2133">
        <f t="shared" si="82"/>
        <v>252.5</v>
      </c>
      <c r="O421" s="2133">
        <f t="shared" si="83"/>
        <v>505</v>
      </c>
      <c r="P421" s="2133">
        <f t="shared" si="84"/>
        <v>757.5</v>
      </c>
      <c r="Q421" s="2133">
        <f t="shared" si="85"/>
        <v>0.7</v>
      </c>
      <c r="R421" s="2133">
        <f t="shared" si="86"/>
        <v>530.25</v>
      </c>
      <c r="U421" s="2107"/>
      <c r="V421" s="2107"/>
      <c r="W421" s="2107"/>
      <c r="X421" s="2107"/>
      <c r="Y421" s="2107"/>
      <c r="Z421" s="2107"/>
      <c r="AA421" s="2107"/>
      <c r="AB421" s="2107"/>
      <c r="AC421" s="2107"/>
      <c r="AD421" s="2107"/>
      <c r="AE421" s="2107"/>
      <c r="AF421" s="2107"/>
      <c r="AG421" s="2107"/>
      <c r="AH421" s="2107"/>
      <c r="AI421" s="2107"/>
      <c r="AJ421" s="2107"/>
      <c r="AK421" s="2107"/>
      <c r="AL421" s="2107"/>
      <c r="AM421" s="2107"/>
      <c r="AN421" s="2107"/>
      <c r="AO421" s="2107"/>
      <c r="AP421" s="2107"/>
    </row>
    <row r="422" spans="1:42">
      <c r="A422" s="2134" t="s">
        <v>188</v>
      </c>
      <c r="B422" s="2133">
        <f t="shared" si="77"/>
        <v>0</v>
      </c>
      <c r="C422" s="2244">
        <f t="shared" si="78"/>
        <v>0</v>
      </c>
      <c r="D422" s="2244">
        <f t="shared" si="87"/>
        <v>0</v>
      </c>
      <c r="E422" s="2244">
        <f t="shared" si="88"/>
        <v>0</v>
      </c>
      <c r="F422" s="2244">
        <f t="shared" si="89"/>
        <v>0</v>
      </c>
      <c r="G422" s="2244">
        <f t="shared" si="90"/>
        <v>0</v>
      </c>
      <c r="H422" s="2135">
        <f t="shared" si="79"/>
        <v>0</v>
      </c>
      <c r="I422" s="2133">
        <f>B422*E422</f>
        <v>0</v>
      </c>
      <c r="J422" s="2133">
        <f t="shared" si="80"/>
        <v>0</v>
      </c>
      <c r="K422" s="2133">
        <f t="shared" si="91"/>
        <v>0</v>
      </c>
      <c r="L422" s="2133">
        <f t="shared" si="81"/>
        <v>0</v>
      </c>
      <c r="N422" s="2133">
        <f t="shared" si="82"/>
        <v>0</v>
      </c>
      <c r="O422" s="2133">
        <f t="shared" si="83"/>
        <v>0</v>
      </c>
      <c r="P422" s="2133">
        <f t="shared" si="84"/>
        <v>0</v>
      </c>
      <c r="Q422" s="2133">
        <f t="shared" si="85"/>
        <v>-0.2</v>
      </c>
      <c r="R422" s="2133">
        <f t="shared" si="86"/>
        <v>0</v>
      </c>
      <c r="U422" s="2107"/>
      <c r="V422" s="2107"/>
      <c r="W422" s="2107"/>
      <c r="X422" s="2107"/>
      <c r="Y422" s="2107"/>
      <c r="Z422" s="2107"/>
      <c r="AA422" s="2107"/>
      <c r="AB422" s="2107"/>
      <c r="AC422" s="2107"/>
      <c r="AD422" s="2107"/>
      <c r="AE422" s="2107"/>
      <c r="AF422" s="2107"/>
      <c r="AG422" s="2107"/>
      <c r="AH422" s="2107"/>
      <c r="AI422" s="2107"/>
      <c r="AJ422" s="2107"/>
      <c r="AK422" s="2107"/>
      <c r="AL422" s="2107"/>
      <c r="AM422" s="2107"/>
      <c r="AN422" s="2107"/>
      <c r="AO422" s="2107"/>
      <c r="AP422" s="2107"/>
    </row>
    <row r="423" spans="1:42">
      <c r="A423" s="2134" t="s">
        <v>1998</v>
      </c>
      <c r="B423" s="2133">
        <f t="shared" si="77"/>
        <v>0</v>
      </c>
      <c r="C423" s="2244">
        <f t="shared" si="78"/>
        <v>0</v>
      </c>
      <c r="D423" s="2244">
        <f t="shared" si="87"/>
        <v>0</v>
      </c>
      <c r="E423" s="2244">
        <f t="shared" si="88"/>
        <v>0</v>
      </c>
      <c r="F423" s="2244">
        <f t="shared" si="89"/>
        <v>0</v>
      </c>
      <c r="G423" s="2244">
        <f t="shared" si="90"/>
        <v>0</v>
      </c>
      <c r="H423" s="2135">
        <f t="shared" si="79"/>
        <v>0</v>
      </c>
      <c r="I423" s="2133">
        <f t="shared" ref="I423:I438" si="92">B423*D423</f>
        <v>0</v>
      </c>
      <c r="J423" s="2133">
        <f t="shared" si="80"/>
        <v>0</v>
      </c>
      <c r="K423" s="2133">
        <f t="shared" si="91"/>
        <v>0</v>
      </c>
      <c r="L423" s="2133">
        <f t="shared" si="81"/>
        <v>0</v>
      </c>
      <c r="N423" s="2133">
        <f t="shared" si="82"/>
        <v>0</v>
      </c>
      <c r="O423" s="2133">
        <f t="shared" si="83"/>
        <v>0</v>
      </c>
      <c r="P423" s="2133">
        <f t="shared" si="84"/>
        <v>0</v>
      </c>
      <c r="Q423" s="2133">
        <f t="shared" si="85"/>
        <v>-0.2</v>
      </c>
      <c r="R423" s="2133">
        <f t="shared" si="86"/>
        <v>0</v>
      </c>
      <c r="U423" s="2107"/>
      <c r="V423" s="2107"/>
      <c r="W423" s="2107"/>
      <c r="X423" s="2107"/>
      <c r="Y423" s="2107"/>
      <c r="Z423" s="2107"/>
      <c r="AA423" s="2107"/>
      <c r="AB423" s="2107"/>
      <c r="AC423" s="2107"/>
      <c r="AD423" s="2107"/>
      <c r="AE423" s="2107"/>
      <c r="AF423" s="2107"/>
      <c r="AG423" s="2107"/>
      <c r="AH423" s="2107"/>
      <c r="AI423" s="2107"/>
      <c r="AJ423" s="2107"/>
      <c r="AK423" s="2107"/>
      <c r="AL423" s="2107"/>
      <c r="AM423" s="2107"/>
      <c r="AN423" s="2107"/>
      <c r="AO423" s="2107"/>
      <c r="AP423" s="2107"/>
    </row>
    <row r="424" spans="1:42">
      <c r="A424" s="2134" t="s">
        <v>1999</v>
      </c>
      <c r="B424" s="2133">
        <f t="shared" si="77"/>
        <v>0</v>
      </c>
      <c r="C424" s="2244">
        <f t="shared" si="78"/>
        <v>0</v>
      </c>
      <c r="D424" s="2244">
        <f t="shared" si="87"/>
        <v>0</v>
      </c>
      <c r="E424" s="2244">
        <f t="shared" si="88"/>
        <v>0</v>
      </c>
      <c r="F424" s="2244">
        <f t="shared" si="89"/>
        <v>0</v>
      </c>
      <c r="G424" s="2244">
        <f t="shared" si="90"/>
        <v>0</v>
      </c>
      <c r="H424" s="2135">
        <f t="shared" si="79"/>
        <v>0</v>
      </c>
      <c r="I424" s="2133">
        <f t="shared" si="92"/>
        <v>0</v>
      </c>
      <c r="J424" s="2133">
        <f t="shared" si="80"/>
        <v>0</v>
      </c>
      <c r="K424" s="2133">
        <f t="shared" si="91"/>
        <v>0</v>
      </c>
      <c r="L424" s="2133">
        <f t="shared" si="81"/>
        <v>0</v>
      </c>
      <c r="N424" s="2133">
        <f t="shared" si="82"/>
        <v>0</v>
      </c>
      <c r="O424" s="2133">
        <f t="shared" si="83"/>
        <v>0</v>
      </c>
      <c r="P424" s="2133">
        <f t="shared" si="84"/>
        <v>0</v>
      </c>
      <c r="Q424" s="2133">
        <f t="shared" si="85"/>
        <v>-0.2</v>
      </c>
      <c r="R424" s="2133">
        <f t="shared" si="86"/>
        <v>0</v>
      </c>
      <c r="U424" s="2107"/>
      <c r="V424" s="2107"/>
      <c r="W424" s="2107"/>
      <c r="X424" s="2107"/>
      <c r="Y424" s="2107"/>
      <c r="Z424" s="2107"/>
      <c r="AA424" s="2107"/>
      <c r="AB424" s="2107"/>
      <c r="AC424" s="2107"/>
      <c r="AD424" s="2107"/>
      <c r="AE424" s="2107"/>
      <c r="AF424" s="2107"/>
      <c r="AG424" s="2107"/>
      <c r="AH424" s="2107"/>
      <c r="AI424" s="2107"/>
      <c r="AJ424" s="2107"/>
      <c r="AK424" s="2107"/>
      <c r="AL424" s="2107"/>
      <c r="AM424" s="2107"/>
      <c r="AN424" s="2107"/>
      <c r="AO424" s="2107"/>
      <c r="AP424" s="2107"/>
    </row>
    <row r="425" spans="1:42">
      <c r="A425" s="2134" t="s">
        <v>2000</v>
      </c>
      <c r="B425" s="2133">
        <f t="shared" si="77"/>
        <v>0</v>
      </c>
      <c r="C425" s="2244">
        <f t="shared" si="78"/>
        <v>0</v>
      </c>
      <c r="D425" s="2244">
        <f t="shared" si="87"/>
        <v>0</v>
      </c>
      <c r="E425" s="2244">
        <f t="shared" si="88"/>
        <v>0</v>
      </c>
      <c r="F425" s="2244">
        <f t="shared" si="89"/>
        <v>0</v>
      </c>
      <c r="G425" s="2244">
        <f t="shared" si="90"/>
        <v>0</v>
      </c>
      <c r="H425" s="2135">
        <f t="shared" si="79"/>
        <v>0</v>
      </c>
      <c r="I425" s="2133">
        <f t="shared" si="92"/>
        <v>0</v>
      </c>
      <c r="J425" s="2133">
        <f t="shared" si="80"/>
        <v>0</v>
      </c>
      <c r="K425" s="2133">
        <f t="shared" si="91"/>
        <v>0</v>
      </c>
      <c r="L425" s="2133">
        <f t="shared" si="81"/>
        <v>0</v>
      </c>
      <c r="N425" s="2133">
        <f t="shared" si="82"/>
        <v>0</v>
      </c>
      <c r="O425" s="2133">
        <f t="shared" si="83"/>
        <v>0</v>
      </c>
      <c r="P425" s="2133">
        <f t="shared" si="84"/>
        <v>0</v>
      </c>
      <c r="Q425" s="2133">
        <f t="shared" si="85"/>
        <v>-0.2</v>
      </c>
      <c r="R425" s="2133">
        <f t="shared" si="86"/>
        <v>0</v>
      </c>
      <c r="U425" s="2107"/>
      <c r="V425" s="2107"/>
      <c r="W425" s="2107"/>
      <c r="X425" s="2107"/>
      <c r="Y425" s="2107"/>
      <c r="Z425" s="2107"/>
      <c r="AA425" s="2107"/>
      <c r="AB425" s="2107"/>
      <c r="AC425" s="2107"/>
      <c r="AD425" s="2107"/>
      <c r="AE425" s="2107"/>
      <c r="AF425" s="2107"/>
      <c r="AG425" s="2107"/>
      <c r="AH425" s="2107"/>
      <c r="AI425" s="2107"/>
      <c r="AJ425" s="2107"/>
      <c r="AK425" s="2107"/>
      <c r="AL425" s="2107"/>
      <c r="AM425" s="2107"/>
      <c r="AN425" s="2107"/>
      <c r="AO425" s="2107"/>
      <c r="AP425" s="2107"/>
    </row>
    <row r="426" spans="1:42">
      <c r="A426" s="2134" t="s">
        <v>2001</v>
      </c>
      <c r="B426" s="2133">
        <f t="shared" si="77"/>
        <v>0</v>
      </c>
      <c r="C426" s="2244">
        <f t="shared" si="78"/>
        <v>0</v>
      </c>
      <c r="D426" s="2244">
        <f t="shared" si="87"/>
        <v>0</v>
      </c>
      <c r="E426" s="2244">
        <f t="shared" si="88"/>
        <v>0</v>
      </c>
      <c r="F426" s="2244">
        <f t="shared" si="89"/>
        <v>0</v>
      </c>
      <c r="G426" s="2244">
        <f t="shared" si="90"/>
        <v>0</v>
      </c>
      <c r="H426" s="2135">
        <f t="shared" si="79"/>
        <v>0</v>
      </c>
      <c r="I426" s="2133">
        <f t="shared" si="92"/>
        <v>0</v>
      </c>
      <c r="J426" s="2133">
        <f t="shared" si="80"/>
        <v>0</v>
      </c>
      <c r="K426" s="2133">
        <f t="shared" si="91"/>
        <v>0</v>
      </c>
      <c r="L426" s="2133">
        <f t="shared" si="81"/>
        <v>0</v>
      </c>
      <c r="N426" s="2133">
        <f t="shared" si="82"/>
        <v>0</v>
      </c>
      <c r="O426" s="2133">
        <f t="shared" si="83"/>
        <v>0</v>
      </c>
      <c r="P426" s="2133">
        <f t="shared" si="84"/>
        <v>0</v>
      </c>
      <c r="Q426" s="2133">
        <f t="shared" si="85"/>
        <v>-0.2</v>
      </c>
      <c r="R426" s="2133">
        <f t="shared" si="86"/>
        <v>0</v>
      </c>
      <c r="U426" s="2107"/>
      <c r="V426" s="2107"/>
      <c r="W426" s="2107"/>
      <c r="X426" s="2107"/>
      <c r="Y426" s="2107"/>
      <c r="Z426" s="2107"/>
      <c r="AA426" s="2107"/>
      <c r="AB426" s="2107"/>
      <c r="AC426" s="2107"/>
      <c r="AD426" s="2107"/>
      <c r="AE426" s="2107"/>
      <c r="AF426" s="2107"/>
      <c r="AG426" s="2107"/>
      <c r="AH426" s="2107"/>
      <c r="AI426" s="2107"/>
      <c r="AJ426" s="2107"/>
      <c r="AK426" s="2107"/>
      <c r="AL426" s="2107"/>
      <c r="AM426" s="2107"/>
      <c r="AN426" s="2107"/>
      <c r="AO426" s="2107"/>
      <c r="AP426" s="2107"/>
    </row>
    <row r="427" spans="1:42">
      <c r="A427" s="2134" t="s">
        <v>2002</v>
      </c>
      <c r="B427" s="2133">
        <f t="shared" si="77"/>
        <v>0</v>
      </c>
      <c r="C427" s="2244">
        <f t="shared" si="78"/>
        <v>0</v>
      </c>
      <c r="D427" s="2244">
        <f t="shared" si="87"/>
        <v>0</v>
      </c>
      <c r="E427" s="2244">
        <f t="shared" si="88"/>
        <v>0</v>
      </c>
      <c r="F427" s="2244">
        <f t="shared" si="89"/>
        <v>0</v>
      </c>
      <c r="G427" s="2244">
        <f t="shared" si="90"/>
        <v>0</v>
      </c>
      <c r="H427" s="2135">
        <f t="shared" si="79"/>
        <v>0</v>
      </c>
      <c r="I427" s="2133">
        <f t="shared" si="92"/>
        <v>0</v>
      </c>
      <c r="J427" s="2133">
        <f t="shared" si="80"/>
        <v>0</v>
      </c>
      <c r="K427" s="2133">
        <f t="shared" si="91"/>
        <v>0</v>
      </c>
      <c r="L427" s="2133">
        <f t="shared" si="81"/>
        <v>0</v>
      </c>
      <c r="N427" s="2133">
        <f t="shared" si="82"/>
        <v>0</v>
      </c>
      <c r="O427" s="2133">
        <f t="shared" si="83"/>
        <v>0</v>
      </c>
      <c r="P427" s="2133">
        <f t="shared" si="84"/>
        <v>0</v>
      </c>
      <c r="Q427" s="2133">
        <f t="shared" si="85"/>
        <v>-0.2</v>
      </c>
      <c r="R427" s="2133">
        <f t="shared" si="86"/>
        <v>0</v>
      </c>
      <c r="U427" s="2107"/>
      <c r="V427" s="2107"/>
      <c r="W427" s="2107"/>
      <c r="X427" s="2107"/>
      <c r="Y427" s="2107"/>
      <c r="Z427" s="2107"/>
      <c r="AA427" s="2107"/>
      <c r="AB427" s="2107"/>
      <c r="AC427" s="2107"/>
      <c r="AD427" s="2107"/>
      <c r="AE427" s="2107"/>
      <c r="AF427" s="2107"/>
      <c r="AG427" s="2107"/>
      <c r="AH427" s="2107"/>
      <c r="AI427" s="2107"/>
      <c r="AJ427" s="2107"/>
      <c r="AK427" s="2107"/>
      <c r="AL427" s="2107"/>
      <c r="AM427" s="2107"/>
      <c r="AN427" s="2107"/>
      <c r="AO427" s="2107"/>
      <c r="AP427" s="2107"/>
    </row>
    <row r="428" spans="1:42" ht="15" customHeight="1">
      <c r="A428" s="2134" t="s">
        <v>2003</v>
      </c>
      <c r="B428" s="2133">
        <f t="shared" si="77"/>
        <v>0</v>
      </c>
      <c r="C428" s="2244">
        <f t="shared" si="78"/>
        <v>0</v>
      </c>
      <c r="D428" s="2244">
        <f t="shared" si="87"/>
        <v>0</v>
      </c>
      <c r="E428" s="2244">
        <f t="shared" si="88"/>
        <v>0</v>
      </c>
      <c r="F428" s="2244">
        <f t="shared" si="89"/>
        <v>0</v>
      </c>
      <c r="G428" s="2244">
        <f t="shared" si="90"/>
        <v>0</v>
      </c>
      <c r="H428" s="2135">
        <f t="shared" si="79"/>
        <v>0</v>
      </c>
      <c r="I428" s="2133">
        <f t="shared" si="92"/>
        <v>0</v>
      </c>
      <c r="J428" s="2133">
        <f t="shared" si="80"/>
        <v>0</v>
      </c>
      <c r="K428" s="2133">
        <f t="shared" si="91"/>
        <v>0</v>
      </c>
      <c r="L428" s="2133">
        <f t="shared" si="81"/>
        <v>0</v>
      </c>
      <c r="N428" s="2133">
        <f t="shared" si="82"/>
        <v>0</v>
      </c>
      <c r="O428" s="2133">
        <f t="shared" si="83"/>
        <v>0</v>
      </c>
      <c r="P428" s="2133">
        <f t="shared" si="84"/>
        <v>0</v>
      </c>
      <c r="Q428" s="2133">
        <f t="shared" si="85"/>
        <v>-0.2</v>
      </c>
      <c r="R428" s="2133">
        <f t="shared" si="86"/>
        <v>0</v>
      </c>
      <c r="U428" s="2107"/>
      <c r="V428" s="2107"/>
      <c r="W428" s="2107"/>
      <c r="X428" s="2107"/>
      <c r="Y428" s="2107"/>
      <c r="Z428" s="2107"/>
      <c r="AA428" s="2107"/>
      <c r="AB428" s="2107"/>
      <c r="AC428" s="2107"/>
      <c r="AD428" s="2107"/>
      <c r="AE428" s="2107"/>
      <c r="AF428" s="2107"/>
      <c r="AG428" s="2107"/>
      <c r="AH428" s="2107"/>
      <c r="AI428" s="2107"/>
      <c r="AJ428" s="2107"/>
      <c r="AK428" s="2107"/>
      <c r="AL428" s="2107"/>
      <c r="AM428" s="2107"/>
      <c r="AN428" s="2107"/>
      <c r="AO428" s="2107"/>
    </row>
    <row r="429" spans="1:42" ht="15" customHeight="1">
      <c r="A429" s="2134" t="s">
        <v>2251</v>
      </c>
      <c r="B429" s="2133">
        <f t="shared" si="77"/>
        <v>0</v>
      </c>
      <c r="C429" s="2244">
        <f t="shared" si="78"/>
        <v>0</v>
      </c>
      <c r="D429" s="2244">
        <f t="shared" si="87"/>
        <v>0</v>
      </c>
      <c r="E429" s="2244">
        <f t="shared" si="88"/>
        <v>0</v>
      </c>
      <c r="F429" s="2244">
        <f t="shared" si="89"/>
        <v>0</v>
      </c>
      <c r="G429" s="2244">
        <f t="shared" si="90"/>
        <v>0</v>
      </c>
      <c r="H429" s="2135">
        <f t="shared" si="79"/>
        <v>0</v>
      </c>
      <c r="I429" s="2133">
        <f t="shared" si="92"/>
        <v>0</v>
      </c>
      <c r="J429" s="2133">
        <f t="shared" si="80"/>
        <v>0</v>
      </c>
      <c r="K429" s="2133">
        <f t="shared" si="91"/>
        <v>0</v>
      </c>
      <c r="L429" s="2133">
        <f t="shared" si="81"/>
        <v>0</v>
      </c>
      <c r="N429" s="2133">
        <f t="shared" si="82"/>
        <v>0</v>
      </c>
      <c r="O429" s="2133">
        <f t="shared" si="83"/>
        <v>0</v>
      </c>
      <c r="P429" s="2133">
        <f t="shared" si="84"/>
        <v>0</v>
      </c>
      <c r="Q429" s="2133">
        <f t="shared" si="85"/>
        <v>-0.2</v>
      </c>
      <c r="R429" s="2133">
        <f t="shared" si="86"/>
        <v>0</v>
      </c>
      <c r="U429" s="2107"/>
      <c r="V429" s="2107"/>
      <c r="W429" s="2107"/>
      <c r="X429" s="2107"/>
      <c r="Y429" s="2107"/>
      <c r="Z429" s="2107"/>
      <c r="AA429" s="2107"/>
      <c r="AB429" s="2107"/>
      <c r="AC429" s="2107"/>
      <c r="AD429" s="2107"/>
      <c r="AE429" s="2107"/>
      <c r="AF429" s="2107"/>
      <c r="AG429" s="2107"/>
      <c r="AH429" s="2107"/>
      <c r="AI429" s="2107"/>
      <c r="AJ429" s="2107"/>
      <c r="AK429" s="2107"/>
      <c r="AL429" s="2107"/>
      <c r="AM429" s="2107"/>
      <c r="AN429" s="2107"/>
      <c r="AO429" s="2107"/>
    </row>
    <row r="430" spans="1:42">
      <c r="A430" s="2134" t="s">
        <v>2273</v>
      </c>
      <c r="B430" s="2133">
        <f t="shared" si="77"/>
        <v>0</v>
      </c>
      <c r="C430" s="2244">
        <f t="shared" si="78"/>
        <v>0</v>
      </c>
      <c r="D430" s="2244">
        <f t="shared" si="87"/>
        <v>0</v>
      </c>
      <c r="E430" s="2244">
        <f t="shared" si="88"/>
        <v>0</v>
      </c>
      <c r="F430" s="2244">
        <f t="shared" si="89"/>
        <v>0</v>
      </c>
      <c r="G430" s="2244">
        <f t="shared" si="90"/>
        <v>0</v>
      </c>
      <c r="H430" s="2135">
        <f t="shared" si="79"/>
        <v>0</v>
      </c>
      <c r="I430" s="2133">
        <f t="shared" si="92"/>
        <v>0</v>
      </c>
      <c r="J430" s="2133">
        <f t="shared" si="80"/>
        <v>0</v>
      </c>
      <c r="K430" s="2133">
        <f t="shared" si="91"/>
        <v>0</v>
      </c>
      <c r="L430" s="2133">
        <f t="shared" si="81"/>
        <v>0</v>
      </c>
      <c r="N430" s="2133">
        <f t="shared" si="82"/>
        <v>0</v>
      </c>
      <c r="O430" s="2133">
        <f t="shared" si="83"/>
        <v>0</v>
      </c>
      <c r="P430" s="2133">
        <f t="shared" si="84"/>
        <v>0</v>
      </c>
      <c r="Q430" s="2133">
        <f t="shared" si="85"/>
        <v>-0.2</v>
      </c>
      <c r="R430" s="2133">
        <f t="shared" si="86"/>
        <v>0</v>
      </c>
      <c r="U430" s="2107"/>
      <c r="V430" s="2107"/>
      <c r="W430" s="2107"/>
      <c r="X430" s="2107"/>
      <c r="Y430" s="2107"/>
      <c r="Z430" s="2107"/>
      <c r="AA430" s="2107"/>
      <c r="AB430" s="2107"/>
      <c r="AC430" s="2107"/>
      <c r="AD430" s="2107"/>
      <c r="AE430" s="2107"/>
      <c r="AF430" s="2107"/>
      <c r="AG430" s="2107"/>
      <c r="AH430" s="2107"/>
      <c r="AI430" s="2107"/>
      <c r="AJ430" s="2107"/>
      <c r="AK430" s="2107"/>
      <c r="AL430" s="2107"/>
      <c r="AM430" s="2107"/>
      <c r="AN430" s="2107"/>
      <c r="AO430" s="2107"/>
      <c r="AP430" s="2107"/>
    </row>
    <row r="431" spans="1:42" ht="15" customHeight="1">
      <c r="A431" s="2134" t="s">
        <v>2274</v>
      </c>
      <c r="B431" s="2133">
        <f t="shared" si="77"/>
        <v>0</v>
      </c>
      <c r="C431" s="2244">
        <f t="shared" si="78"/>
        <v>0</v>
      </c>
      <c r="D431" s="2244">
        <f t="shared" si="87"/>
        <v>0</v>
      </c>
      <c r="E431" s="2244">
        <f t="shared" si="88"/>
        <v>0</v>
      </c>
      <c r="F431" s="2244">
        <f t="shared" si="89"/>
        <v>0</v>
      </c>
      <c r="G431" s="2244">
        <f t="shared" si="90"/>
        <v>0</v>
      </c>
      <c r="H431" s="2135">
        <f t="shared" si="79"/>
        <v>0</v>
      </c>
      <c r="I431" s="2133">
        <f t="shared" si="92"/>
        <v>0</v>
      </c>
      <c r="J431" s="2133">
        <f t="shared" si="80"/>
        <v>0</v>
      </c>
      <c r="K431" s="2133">
        <f t="shared" si="91"/>
        <v>0</v>
      </c>
      <c r="L431" s="2133">
        <f t="shared" si="81"/>
        <v>0</v>
      </c>
      <c r="N431" s="2133">
        <f t="shared" si="82"/>
        <v>0</v>
      </c>
      <c r="O431" s="2133">
        <f t="shared" si="83"/>
        <v>0</v>
      </c>
      <c r="P431" s="2133">
        <f t="shared" si="84"/>
        <v>0</v>
      </c>
      <c r="Q431" s="2133">
        <f t="shared" si="85"/>
        <v>-0.2</v>
      </c>
      <c r="R431" s="2133">
        <f t="shared" si="86"/>
        <v>0</v>
      </c>
      <c r="U431" s="2107"/>
      <c r="V431" s="2107"/>
      <c r="W431" s="2107"/>
      <c r="X431" s="2107"/>
      <c r="Y431" s="2107"/>
      <c r="Z431" s="2107"/>
      <c r="AA431" s="2107"/>
      <c r="AB431" s="2107"/>
      <c r="AC431" s="2107"/>
      <c r="AD431" s="2107"/>
      <c r="AE431" s="2107"/>
      <c r="AF431" s="2107"/>
      <c r="AG431" s="2107"/>
      <c r="AH431" s="2107"/>
      <c r="AI431" s="2107"/>
      <c r="AJ431" s="2107"/>
      <c r="AK431" s="2107"/>
      <c r="AL431" s="2107"/>
      <c r="AM431" s="2107"/>
      <c r="AN431" s="2107"/>
      <c r="AO431" s="2107"/>
    </row>
    <row r="432" spans="1:42" ht="15" customHeight="1">
      <c r="A432" s="2134" t="s">
        <v>2275</v>
      </c>
      <c r="B432" s="2133">
        <f t="shared" si="77"/>
        <v>0</v>
      </c>
      <c r="C432" s="2244">
        <f t="shared" si="78"/>
        <v>0</v>
      </c>
      <c r="D432" s="2244">
        <f t="shared" si="87"/>
        <v>0</v>
      </c>
      <c r="E432" s="2244">
        <f t="shared" si="88"/>
        <v>0</v>
      </c>
      <c r="F432" s="2244">
        <f t="shared" si="89"/>
        <v>0</v>
      </c>
      <c r="G432" s="2244">
        <f t="shared" si="90"/>
        <v>0</v>
      </c>
      <c r="H432" s="2135">
        <f t="shared" si="79"/>
        <v>0</v>
      </c>
      <c r="I432" s="2133">
        <f t="shared" si="92"/>
        <v>0</v>
      </c>
      <c r="J432" s="2133">
        <f t="shared" si="80"/>
        <v>0</v>
      </c>
      <c r="K432" s="2133">
        <f t="shared" si="91"/>
        <v>0</v>
      </c>
      <c r="L432" s="2133">
        <f t="shared" si="81"/>
        <v>0</v>
      </c>
      <c r="N432" s="2133">
        <f t="shared" si="82"/>
        <v>0</v>
      </c>
      <c r="O432" s="2133">
        <f t="shared" si="83"/>
        <v>0</v>
      </c>
      <c r="P432" s="2133">
        <f t="shared" si="84"/>
        <v>0</v>
      </c>
      <c r="Q432" s="2133">
        <f t="shared" si="85"/>
        <v>-0.2</v>
      </c>
      <c r="R432" s="2133">
        <f t="shared" si="86"/>
        <v>0</v>
      </c>
      <c r="U432" s="2107"/>
      <c r="V432" s="2107"/>
      <c r="W432" s="2107"/>
      <c r="X432" s="2107"/>
      <c r="Y432" s="2107"/>
      <c r="Z432" s="2107"/>
      <c r="AA432" s="2107"/>
      <c r="AB432" s="2107"/>
      <c r="AC432" s="2107"/>
      <c r="AD432" s="2107"/>
      <c r="AE432" s="2107"/>
      <c r="AF432" s="2107"/>
      <c r="AG432" s="2107"/>
      <c r="AH432" s="2107"/>
      <c r="AI432" s="2107"/>
      <c r="AJ432" s="2107"/>
      <c r="AK432" s="2107"/>
      <c r="AL432" s="2107"/>
      <c r="AM432" s="2107"/>
      <c r="AN432" s="2107"/>
      <c r="AO432" s="2107"/>
    </row>
    <row r="433" spans="1:43" s="2532" customFormat="1" ht="15" customHeight="1">
      <c r="A433" s="2134" t="s">
        <v>2851</v>
      </c>
      <c r="B433" s="2133">
        <f t="shared" si="77"/>
        <v>0</v>
      </c>
      <c r="C433" s="2244">
        <f t="shared" ref="C433:G437" si="93">L465</f>
        <v>0</v>
      </c>
      <c r="D433" s="2244">
        <f t="shared" si="93"/>
        <v>0</v>
      </c>
      <c r="E433" s="2244">
        <f t="shared" si="93"/>
        <v>0</v>
      </c>
      <c r="F433" s="2244">
        <f t="shared" si="93"/>
        <v>4</v>
      </c>
      <c r="G433" s="2244">
        <f t="shared" si="93"/>
        <v>0</v>
      </c>
      <c r="H433" s="2135">
        <f>B433*C433</f>
        <v>0</v>
      </c>
      <c r="I433" s="2133">
        <f>B433*D433</f>
        <v>0</v>
      </c>
      <c r="J433" s="2133">
        <f>B433*E433</f>
        <v>0</v>
      </c>
      <c r="K433" s="2133">
        <f>B433*F433</f>
        <v>0</v>
      </c>
      <c r="L433" s="2133">
        <f>B433*G433</f>
        <v>0</v>
      </c>
      <c r="N433" s="2133">
        <f>(B433/2)/0.2</f>
        <v>0</v>
      </c>
      <c r="O433" s="2133">
        <f>(B433/2)/0.1</f>
        <v>0</v>
      </c>
      <c r="P433" s="2133">
        <f>SUM(N433:O433)</f>
        <v>0</v>
      </c>
      <c r="Q433" s="2133">
        <f>IF(I465=0,2*(F465-0.05+G465-0.05),2*(F465-0.05)+J465-0.05+G465)</f>
        <v>0.5</v>
      </c>
      <c r="R433" s="2133">
        <f>P433*Q433</f>
        <v>0</v>
      </c>
      <c r="U433" s="2531"/>
      <c r="V433" s="2531"/>
      <c r="W433" s="2531"/>
      <c r="X433" s="2531"/>
      <c r="Y433" s="2531"/>
      <c r="Z433" s="2531"/>
      <c r="AA433" s="2531"/>
      <c r="AB433" s="2531"/>
      <c r="AC433" s="2531"/>
      <c r="AD433" s="2531"/>
      <c r="AE433" s="2531"/>
      <c r="AF433" s="2531"/>
      <c r="AG433" s="2531"/>
      <c r="AH433" s="2531"/>
      <c r="AI433" s="2531"/>
      <c r="AJ433" s="2531"/>
      <c r="AK433" s="2531"/>
      <c r="AL433" s="2531"/>
      <c r="AM433" s="2531"/>
      <c r="AN433" s="2531"/>
      <c r="AO433" s="2531"/>
    </row>
    <row r="434" spans="1:43" s="2532" customFormat="1" ht="15" customHeight="1">
      <c r="A434" s="2134" t="s">
        <v>2852</v>
      </c>
      <c r="B434" s="2133">
        <f t="shared" si="77"/>
        <v>0</v>
      </c>
      <c r="C434" s="2244">
        <f t="shared" si="93"/>
        <v>0</v>
      </c>
      <c r="D434" s="2244">
        <f t="shared" si="93"/>
        <v>0</v>
      </c>
      <c r="E434" s="2244">
        <f t="shared" si="93"/>
        <v>0</v>
      </c>
      <c r="F434" s="2244">
        <f t="shared" si="93"/>
        <v>0</v>
      </c>
      <c r="G434" s="2244">
        <f t="shared" si="93"/>
        <v>0</v>
      </c>
      <c r="H434" s="2135">
        <f>B434*C434</f>
        <v>0</v>
      </c>
      <c r="I434" s="2133">
        <f>B434*D434</f>
        <v>0</v>
      </c>
      <c r="J434" s="2133">
        <f>B434*E434</f>
        <v>0</v>
      </c>
      <c r="K434" s="2133">
        <f>B434*F434</f>
        <v>0</v>
      </c>
      <c r="L434" s="2133">
        <f>B434*G434</f>
        <v>0</v>
      </c>
      <c r="N434" s="2133">
        <f>(B434/2)/0.2</f>
        <v>0</v>
      </c>
      <c r="O434" s="2133">
        <f>(B434/2)/0.1</f>
        <v>0</v>
      </c>
      <c r="P434" s="2133">
        <f>SUM(N434:O434)</f>
        <v>0</v>
      </c>
      <c r="Q434" s="2133">
        <f>IF(I466=0,2*(F466-0.05+G466-0.05),2*(F466-0.05)+J466-0.05+G466)</f>
        <v>-0.2</v>
      </c>
      <c r="R434" s="2133">
        <f>P434*Q434</f>
        <v>0</v>
      </c>
      <c r="U434" s="2531"/>
      <c r="V434" s="2531"/>
      <c r="W434" s="2531"/>
      <c r="X434" s="2531"/>
      <c r="Y434" s="2531"/>
      <c r="Z434" s="2531"/>
      <c r="AA434" s="2531"/>
      <c r="AB434" s="2531"/>
      <c r="AC434" s="2531"/>
      <c r="AD434" s="2531"/>
      <c r="AE434" s="2531"/>
      <c r="AF434" s="2531"/>
      <c r="AG434" s="2531"/>
      <c r="AH434" s="2531"/>
      <c r="AI434" s="2531"/>
      <c r="AJ434" s="2531"/>
      <c r="AK434" s="2531"/>
      <c r="AL434" s="2531"/>
      <c r="AM434" s="2531"/>
      <c r="AN434" s="2531"/>
      <c r="AO434" s="2531"/>
    </row>
    <row r="435" spans="1:43" s="2532" customFormat="1" ht="15" customHeight="1">
      <c r="A435" s="2134" t="s">
        <v>2853</v>
      </c>
      <c r="B435" s="2133">
        <f t="shared" si="77"/>
        <v>0</v>
      </c>
      <c r="C435" s="2244">
        <f t="shared" si="93"/>
        <v>0</v>
      </c>
      <c r="D435" s="2244">
        <f t="shared" si="93"/>
        <v>0</v>
      </c>
      <c r="E435" s="2244">
        <f t="shared" si="93"/>
        <v>0</v>
      </c>
      <c r="F435" s="2244">
        <f t="shared" si="93"/>
        <v>0</v>
      </c>
      <c r="G435" s="2244">
        <f t="shared" si="93"/>
        <v>0</v>
      </c>
      <c r="H435" s="2135">
        <f>B435*C435</f>
        <v>0</v>
      </c>
      <c r="I435" s="2133">
        <f>B435*D435</f>
        <v>0</v>
      </c>
      <c r="J435" s="2133">
        <f>B435*E435</f>
        <v>0</v>
      </c>
      <c r="K435" s="2133">
        <f>B435*F435</f>
        <v>0</v>
      </c>
      <c r="L435" s="2133">
        <f>B435*G435</f>
        <v>0</v>
      </c>
      <c r="N435" s="2133">
        <f>(B435/2)/0.2</f>
        <v>0</v>
      </c>
      <c r="O435" s="2133">
        <f>(B435/2)/0.1</f>
        <v>0</v>
      </c>
      <c r="P435" s="2133">
        <f>SUM(N435:O435)</f>
        <v>0</v>
      </c>
      <c r="Q435" s="2133">
        <f>IF(I467=0,2*(F467-0.05+G467-0.05),2*(F467-0.05)+J467-0.05+G467)</f>
        <v>-0.2</v>
      </c>
      <c r="R435" s="2133">
        <f>P435*Q435</f>
        <v>0</v>
      </c>
      <c r="U435" s="2531"/>
      <c r="V435" s="2531"/>
      <c r="W435" s="2531"/>
      <c r="X435" s="2531"/>
      <c r="Y435" s="2531"/>
      <c r="Z435" s="2531"/>
      <c r="AA435" s="2531"/>
      <c r="AB435" s="2531"/>
      <c r="AC435" s="2531"/>
      <c r="AD435" s="2531"/>
      <c r="AE435" s="2531"/>
      <c r="AF435" s="2531"/>
      <c r="AG435" s="2531"/>
      <c r="AH435" s="2531"/>
      <c r="AI435" s="2531"/>
      <c r="AJ435" s="2531"/>
      <c r="AK435" s="2531"/>
      <c r="AL435" s="2531"/>
      <c r="AM435" s="2531"/>
      <c r="AN435" s="2531"/>
      <c r="AO435" s="2531"/>
    </row>
    <row r="436" spans="1:43" s="2532" customFormat="1" ht="15" customHeight="1">
      <c r="A436" s="2134" t="s">
        <v>2854</v>
      </c>
      <c r="B436" s="2133">
        <f t="shared" si="77"/>
        <v>0</v>
      </c>
      <c r="C436" s="2244">
        <f t="shared" si="93"/>
        <v>0</v>
      </c>
      <c r="D436" s="2244">
        <f t="shared" si="93"/>
        <v>0</v>
      </c>
      <c r="E436" s="2244">
        <f t="shared" si="93"/>
        <v>0</v>
      </c>
      <c r="F436" s="2244">
        <f t="shared" si="93"/>
        <v>0</v>
      </c>
      <c r="G436" s="2244">
        <f t="shared" si="93"/>
        <v>0</v>
      </c>
      <c r="H436" s="2135">
        <f>B436*C436</f>
        <v>0</v>
      </c>
      <c r="I436" s="2133">
        <f>B436*D436</f>
        <v>0</v>
      </c>
      <c r="J436" s="2133">
        <f>B436*E436</f>
        <v>0</v>
      </c>
      <c r="K436" s="2133">
        <f>B436*F436</f>
        <v>0</v>
      </c>
      <c r="L436" s="2133">
        <f>B436*G436</f>
        <v>0</v>
      </c>
      <c r="N436" s="2133">
        <f>(B436/2)/0.2</f>
        <v>0</v>
      </c>
      <c r="O436" s="2133">
        <f>(B436/2)/0.1</f>
        <v>0</v>
      </c>
      <c r="P436" s="2133">
        <f>SUM(N436:O436)</f>
        <v>0</v>
      </c>
      <c r="Q436" s="2133">
        <f>IF(I468=0,2*(F468-0.05+G468-0.05),2*(F468-0.05)+J468-0.05+G468)</f>
        <v>-0.2</v>
      </c>
      <c r="R436" s="2133">
        <f>P436*Q436</f>
        <v>0</v>
      </c>
      <c r="U436" s="2531"/>
      <c r="V436" s="2531"/>
      <c r="W436" s="2531"/>
      <c r="X436" s="2531"/>
      <c r="Y436" s="2531"/>
      <c r="Z436" s="2531"/>
      <c r="AA436" s="2531"/>
      <c r="AB436" s="2531"/>
      <c r="AC436" s="2531"/>
      <c r="AD436" s="2531"/>
      <c r="AE436" s="2531"/>
      <c r="AF436" s="2531"/>
      <c r="AG436" s="2531"/>
      <c r="AH436" s="2531"/>
      <c r="AI436" s="2531"/>
      <c r="AJ436" s="2531"/>
      <c r="AK436" s="2531"/>
      <c r="AL436" s="2531"/>
      <c r="AM436" s="2531"/>
      <c r="AN436" s="2531"/>
      <c r="AO436" s="2531"/>
    </row>
    <row r="437" spans="1:43" s="2532" customFormat="1" ht="15" customHeight="1">
      <c r="A437" s="2134" t="s">
        <v>2855</v>
      </c>
      <c r="B437" s="2133">
        <f t="shared" si="77"/>
        <v>0</v>
      </c>
      <c r="C437" s="2244">
        <f t="shared" si="93"/>
        <v>0</v>
      </c>
      <c r="D437" s="2244">
        <f t="shared" si="93"/>
        <v>0</v>
      </c>
      <c r="E437" s="2244">
        <f t="shared" si="93"/>
        <v>0</v>
      </c>
      <c r="F437" s="2244">
        <f t="shared" si="93"/>
        <v>0</v>
      </c>
      <c r="G437" s="2244">
        <f t="shared" si="93"/>
        <v>0</v>
      </c>
      <c r="H437" s="2135">
        <f>B437*C437</f>
        <v>0</v>
      </c>
      <c r="I437" s="2133">
        <f>B437*D437</f>
        <v>0</v>
      </c>
      <c r="J437" s="2133">
        <f>B437*E437</f>
        <v>0</v>
      </c>
      <c r="K437" s="2133">
        <f>B437*F437</f>
        <v>0</v>
      </c>
      <c r="L437" s="2133">
        <f>B437*G437</f>
        <v>0</v>
      </c>
      <c r="N437" s="2133">
        <f>(B437/2)/0.2</f>
        <v>0</v>
      </c>
      <c r="O437" s="2133">
        <f>(B437/2)/0.1</f>
        <v>0</v>
      </c>
      <c r="P437" s="2133">
        <f>SUM(N437:O437)</f>
        <v>0</v>
      </c>
      <c r="Q437" s="2133">
        <f>IF(I469=0,2*(F469-0.05+G469-0.05),2*(F469-0.05)+J469-0.05+G469)</f>
        <v>-0.2</v>
      </c>
      <c r="R437" s="2133">
        <f>P437*Q437</f>
        <v>0</v>
      </c>
      <c r="U437" s="2531"/>
      <c r="V437" s="2531"/>
      <c r="W437" s="2531"/>
      <c r="X437" s="2531"/>
      <c r="Y437" s="2531"/>
      <c r="Z437" s="2531"/>
      <c r="AA437" s="2531"/>
      <c r="AB437" s="2531"/>
      <c r="AC437" s="2531"/>
      <c r="AD437" s="2531"/>
      <c r="AE437" s="2531"/>
      <c r="AF437" s="2531"/>
      <c r="AG437" s="2531"/>
      <c r="AH437" s="2531"/>
      <c r="AI437" s="2531"/>
      <c r="AJ437" s="2531"/>
      <c r="AK437" s="2531"/>
      <c r="AL437" s="2531"/>
      <c r="AM437" s="2531"/>
      <c r="AN437" s="2531"/>
      <c r="AO437" s="2531"/>
    </row>
    <row r="438" spans="1:43">
      <c r="A438" s="2134" t="s">
        <v>175</v>
      </c>
      <c r="B438" s="2133">
        <f>M53</f>
        <v>33.700000000000003</v>
      </c>
      <c r="C438" s="2244">
        <f>L465</f>
        <v>0</v>
      </c>
      <c r="D438" s="2244">
        <f>M465</f>
        <v>0</v>
      </c>
      <c r="E438" s="2244">
        <f>N465</f>
        <v>0</v>
      </c>
      <c r="F438" s="2244">
        <f>O465</f>
        <v>4</v>
      </c>
      <c r="G438" s="2244">
        <f>P465</f>
        <v>0</v>
      </c>
      <c r="H438" s="2135">
        <f t="shared" si="79"/>
        <v>0</v>
      </c>
      <c r="I438" s="2133">
        <f t="shared" si="92"/>
        <v>0</v>
      </c>
      <c r="J438" s="2133">
        <f t="shared" si="80"/>
        <v>0</v>
      </c>
      <c r="K438" s="2133">
        <f t="shared" si="91"/>
        <v>134.80000000000001</v>
      </c>
      <c r="L438" s="2133">
        <f t="shared" si="81"/>
        <v>0</v>
      </c>
      <c r="N438" s="2133">
        <f t="shared" si="82"/>
        <v>84.25</v>
      </c>
      <c r="O438" s="2133">
        <f t="shared" si="83"/>
        <v>168.5</v>
      </c>
      <c r="P438" s="2133">
        <f t="shared" si="84"/>
        <v>252.75</v>
      </c>
      <c r="Q438" s="2133">
        <f>IF(I465=0,2*(F465-0.05+G465-0.05),2*(F465-0.05)+J465-0.05+G465)</f>
        <v>0.5</v>
      </c>
      <c r="R438" s="2133">
        <f t="shared" si="86"/>
        <v>126.375</v>
      </c>
      <c r="T438" s="2107"/>
      <c r="U438" s="2833"/>
      <c r="V438" s="2833"/>
      <c r="W438" s="2833"/>
      <c r="X438" s="2833"/>
      <c r="Y438" s="2107"/>
      <c r="Z438" s="2107"/>
      <c r="AA438" s="2107"/>
      <c r="AB438" s="2107"/>
      <c r="AC438" s="2107"/>
      <c r="AD438" s="2107"/>
      <c r="AE438" s="2107"/>
      <c r="AF438" s="2107"/>
      <c r="AG438" s="2107"/>
      <c r="AH438" s="2107"/>
      <c r="AI438" s="2107"/>
      <c r="AJ438" s="2107"/>
      <c r="AK438" s="2107"/>
      <c r="AL438" s="2107"/>
      <c r="AM438" s="2107"/>
      <c r="AN438" s="2107"/>
      <c r="AO438" s="2107"/>
    </row>
    <row r="439" spans="1:43" ht="15">
      <c r="A439" s="2107"/>
      <c r="B439" s="2107"/>
      <c r="C439" s="2107"/>
      <c r="D439" s="2107"/>
      <c r="E439" s="2107"/>
      <c r="F439" s="2814" t="s">
        <v>2074</v>
      </c>
      <c r="G439" s="2866"/>
      <c r="H439" s="2133">
        <f>SUM(H418:H438)</f>
        <v>5136</v>
      </c>
      <c r="I439" s="2133">
        <f>SUM(I418:I438)</f>
        <v>0</v>
      </c>
      <c r="J439" s="2133">
        <f>SUM(J418:J438)</f>
        <v>0</v>
      </c>
      <c r="K439" s="2133">
        <f>SUM(K418:K438)</f>
        <v>677.8</v>
      </c>
      <c r="L439" s="2133">
        <f>SUM(L418:L438)</f>
        <v>0</v>
      </c>
      <c r="N439" s="2804" t="s">
        <v>1972</v>
      </c>
      <c r="O439" s="2805"/>
      <c r="P439" s="2805"/>
      <c r="Q439" s="2133">
        <f>SUMIF($K$445:$K$465,S439,$R$418:$R$438)</f>
        <v>126.375</v>
      </c>
      <c r="R439" s="2157">
        <f>Q439*0.4</f>
        <v>50.550000000000004</v>
      </c>
      <c r="S439" s="2086">
        <v>8</v>
      </c>
      <c r="T439" s="2107"/>
      <c r="V439" s="2107"/>
      <c r="W439" s="2107"/>
      <c r="X439" s="2107"/>
      <c r="Y439" s="2107"/>
      <c r="Z439" s="2107"/>
      <c r="AA439" s="2107"/>
      <c r="AB439" s="2107"/>
      <c r="AC439" s="2107"/>
      <c r="AD439" s="2107"/>
      <c r="AE439" s="2107"/>
      <c r="AF439" s="2107"/>
      <c r="AG439" s="2107"/>
      <c r="AH439" s="2107"/>
      <c r="AI439" s="2107"/>
      <c r="AJ439" s="2107"/>
      <c r="AK439" s="2107"/>
      <c r="AL439" s="2107"/>
      <c r="AM439" s="2107"/>
      <c r="AN439" s="2107"/>
      <c r="AO439" s="2107"/>
      <c r="AP439" s="2107"/>
      <c r="AQ439" s="2107"/>
    </row>
    <row r="440" spans="1:43" ht="15">
      <c r="A440" s="2107"/>
      <c r="B440" s="2107"/>
      <c r="C440" s="2107"/>
      <c r="D440" s="2107"/>
      <c r="E440" s="2107"/>
      <c r="F440" s="2804" t="s">
        <v>2075</v>
      </c>
      <c r="G440" s="2805"/>
      <c r="H440" s="2182">
        <f>H439*1.04</f>
        <v>5341.4400000000005</v>
      </c>
      <c r="I440" s="2182">
        <f>I439*0.89</f>
        <v>0</v>
      </c>
      <c r="J440" s="2183">
        <f>J439*0.62</f>
        <v>0</v>
      </c>
      <c r="K440" s="2182">
        <f>K439*0.62</f>
        <v>420.23599999999999</v>
      </c>
      <c r="L440" s="2183">
        <f>L439*0.62</f>
        <v>0</v>
      </c>
      <c r="N440" s="2804" t="s">
        <v>2387</v>
      </c>
      <c r="O440" s="2805"/>
      <c r="P440" s="2805"/>
      <c r="Q440" s="2133">
        <f>SUMIF($K$445:$K$465,S440,$R$418:$R$438)</f>
        <v>4032.75</v>
      </c>
      <c r="R440" s="2184">
        <f>Q440*0.62</f>
        <v>2500.3049999999998</v>
      </c>
      <c r="S440" s="2086">
        <v>10</v>
      </c>
      <c r="V440" s="2107"/>
      <c r="W440" s="2107"/>
      <c r="X440" s="2107"/>
      <c r="Y440" s="2107"/>
      <c r="Z440" s="2107"/>
      <c r="AA440" s="2107"/>
      <c r="AB440" s="2107"/>
      <c r="AC440" s="2107"/>
      <c r="AD440" s="2107"/>
      <c r="AE440" s="2107"/>
      <c r="AF440" s="2107"/>
      <c r="AG440" s="2107"/>
      <c r="AH440" s="2107"/>
      <c r="AI440" s="2107"/>
      <c r="AJ440" s="2107"/>
      <c r="AK440" s="2107"/>
      <c r="AL440" s="2107"/>
      <c r="AM440" s="2107"/>
      <c r="AN440" s="2107"/>
      <c r="AO440" s="2107"/>
      <c r="AP440" s="2107"/>
      <c r="AQ440" s="2107"/>
    </row>
    <row r="441" spans="1:43" ht="15">
      <c r="A441" s="2107"/>
      <c r="B441" s="2107"/>
      <c r="C441" s="2107"/>
      <c r="D441" s="2107"/>
      <c r="E441" s="2107"/>
      <c r="F441" s="2107"/>
      <c r="G441" s="2107"/>
      <c r="N441" s="2804" t="s">
        <v>2443</v>
      </c>
      <c r="O441" s="2805"/>
      <c r="P441" s="2805"/>
      <c r="Q441" s="2133">
        <f>SUMIF($K$445:$K$465,S441,$R$418:$R$438)</f>
        <v>0</v>
      </c>
      <c r="R441" s="2184">
        <f>Q441*0.62</f>
        <v>0</v>
      </c>
      <c r="S441" s="2086" t="s">
        <v>1807</v>
      </c>
      <c r="V441" s="2107"/>
      <c r="W441" s="2107"/>
      <c r="X441" s="2107"/>
      <c r="Y441" s="2107"/>
      <c r="Z441" s="2107"/>
      <c r="AA441" s="2107"/>
      <c r="AB441" s="2107"/>
      <c r="AC441" s="2107"/>
      <c r="AD441" s="2107"/>
      <c r="AE441" s="2107"/>
      <c r="AF441" s="2107"/>
      <c r="AG441" s="2107"/>
      <c r="AH441" s="2107"/>
      <c r="AI441" s="2107"/>
      <c r="AJ441" s="2107"/>
      <c r="AK441" s="2107"/>
      <c r="AL441" s="2107"/>
      <c r="AM441" s="2107"/>
      <c r="AN441" s="2107"/>
      <c r="AO441" s="2107"/>
      <c r="AP441" s="2107"/>
      <c r="AQ441" s="2107"/>
    </row>
    <row r="442" spans="1:43" ht="15" thickBot="1">
      <c r="V442" s="2107"/>
      <c r="W442" s="2107"/>
      <c r="X442" s="2107"/>
      <c r="Y442" s="2107"/>
      <c r="Z442" s="2107"/>
      <c r="AA442" s="2107"/>
      <c r="AB442" s="2107"/>
      <c r="AC442" s="2107"/>
      <c r="AD442" s="2107"/>
      <c r="AE442" s="2107"/>
      <c r="AF442" s="2107"/>
      <c r="AG442" s="2107"/>
      <c r="AH442" s="2107"/>
      <c r="AI442" s="2107"/>
      <c r="AJ442" s="2107"/>
      <c r="AK442" s="2107"/>
      <c r="AL442" s="2107"/>
      <c r="AM442" s="2107"/>
      <c r="AN442" s="2107"/>
      <c r="AO442" s="2107"/>
      <c r="AP442" s="2107"/>
      <c r="AQ442" s="2107"/>
    </row>
    <row r="443" spans="1:43" ht="15.75">
      <c r="A443" s="2831" t="s">
        <v>2005</v>
      </c>
      <c r="B443" s="2832"/>
      <c r="C443" s="2832"/>
      <c r="D443" s="2832"/>
      <c r="F443" s="2873" t="s">
        <v>2298</v>
      </c>
      <c r="G443" s="2874"/>
      <c r="K443" s="2115" t="s">
        <v>2444</v>
      </c>
      <c r="V443" s="2107"/>
      <c r="W443" s="2107"/>
      <c r="X443" s="2107"/>
      <c r="Y443" s="2107"/>
      <c r="Z443" s="2107"/>
      <c r="AA443" s="2107"/>
      <c r="AB443" s="2107"/>
      <c r="AC443" s="2107"/>
      <c r="AD443" s="2107"/>
      <c r="AE443" s="2107"/>
      <c r="AF443" s="2107"/>
      <c r="AG443" s="2107"/>
      <c r="AH443" s="2107"/>
      <c r="AI443" s="2107"/>
      <c r="AJ443" s="2107"/>
      <c r="AK443" s="2107"/>
      <c r="AL443" s="2107"/>
      <c r="AM443" s="2107"/>
      <c r="AN443" s="2107"/>
      <c r="AO443" s="2107"/>
      <c r="AP443" s="2107"/>
      <c r="AQ443" s="2107"/>
    </row>
    <row r="444" spans="1:43">
      <c r="A444" s="2133" t="s">
        <v>1796</v>
      </c>
      <c r="B444" s="2133" t="s">
        <v>2004</v>
      </c>
      <c r="C444" s="2133" t="s">
        <v>1791</v>
      </c>
      <c r="D444" s="2133" t="s">
        <v>2008</v>
      </c>
      <c r="E444" s="2086" t="s">
        <v>2368</v>
      </c>
      <c r="F444" s="2185" t="s">
        <v>2045</v>
      </c>
      <c r="G444" s="2186" t="s">
        <v>1608</v>
      </c>
      <c r="K444" s="2297" t="s">
        <v>2445</v>
      </c>
      <c r="L444" s="2086" t="str">
        <f>C417</f>
        <v>D16</v>
      </c>
      <c r="M444" s="2258" t="str">
        <f>D417</f>
        <v>D 13</v>
      </c>
      <c r="N444" s="2258" t="str">
        <f>E417</f>
        <v>Ø 12</v>
      </c>
      <c r="O444" s="2258" t="str">
        <f>F417</f>
        <v>Ø10</v>
      </c>
      <c r="P444" s="2258" t="str">
        <f>G417</f>
        <v>D 10</v>
      </c>
      <c r="Q444" s="2258"/>
      <c r="V444" s="2107"/>
      <c r="W444" s="2107"/>
      <c r="X444" s="2107"/>
      <c r="Y444" s="2107"/>
      <c r="Z444" s="2107"/>
      <c r="AA444" s="2107"/>
      <c r="AB444" s="2107"/>
      <c r="AC444" s="2107"/>
      <c r="AD444" s="2107"/>
      <c r="AE444" s="2107"/>
      <c r="AF444" s="2107"/>
      <c r="AG444" s="2107"/>
      <c r="AH444" s="2107"/>
      <c r="AI444" s="2107"/>
      <c r="AJ444" s="2107"/>
      <c r="AK444" s="2107"/>
      <c r="AL444" s="2107"/>
      <c r="AM444" s="2107"/>
      <c r="AN444" s="2107"/>
      <c r="AO444" s="2107"/>
      <c r="AP444" s="2107"/>
      <c r="AQ444" s="2107"/>
    </row>
    <row r="445" spans="1:43">
      <c r="A445" s="2133" t="str">
        <f t="shared" ref="A445:B459" si="94">A418</f>
        <v>B1</v>
      </c>
      <c r="B445" s="2133">
        <f t="shared" si="94"/>
        <v>318</v>
      </c>
      <c r="C445" s="2133">
        <f>F445*G445-H445*I445</f>
        <v>8.0000000000000016E-2</v>
      </c>
      <c r="D445" s="2133">
        <f>B445*C445</f>
        <v>25.440000000000005</v>
      </c>
      <c r="E445" s="2086">
        <f>B445*F445</f>
        <v>63.6</v>
      </c>
      <c r="F445" s="2133">
        <f t="shared" ref="F445:F459" si="95">B33</f>
        <v>0.2</v>
      </c>
      <c r="G445" s="2133">
        <f t="shared" ref="G445:G459" si="96">C33</f>
        <v>0.4</v>
      </c>
      <c r="H445" s="2133">
        <f t="shared" ref="H445:H459" si="97">D33</f>
        <v>0</v>
      </c>
      <c r="I445" s="2133">
        <f t="shared" ref="I445:I459" si="98">E33</f>
        <v>0</v>
      </c>
      <c r="J445" s="2133">
        <f t="shared" ref="J445:J459" si="99">F33</f>
        <v>0</v>
      </c>
      <c r="K445" s="2133">
        <f t="shared" ref="K445:K459" si="100">G33</f>
        <v>10</v>
      </c>
      <c r="L445" s="2133">
        <f t="shared" ref="L445:L459" si="101">H33</f>
        <v>10</v>
      </c>
      <c r="M445" s="2133">
        <f t="shared" ref="M445:M459" si="102">I33</f>
        <v>0</v>
      </c>
      <c r="N445" s="2133">
        <f t="shared" ref="N445:N459" si="103">J33</f>
        <v>0</v>
      </c>
      <c r="O445" s="2133">
        <f t="shared" ref="O445:O459" si="104">K33</f>
        <v>0</v>
      </c>
      <c r="P445" s="2133">
        <f t="shared" ref="P445:P459" si="105">L33</f>
        <v>0</v>
      </c>
      <c r="V445" s="2107"/>
      <c r="W445" s="2107"/>
      <c r="X445" s="2107"/>
      <c r="Y445" s="2107"/>
      <c r="Z445" s="2107"/>
      <c r="AA445" s="2107"/>
      <c r="AB445" s="2107"/>
      <c r="AC445" s="2107"/>
      <c r="AD445" s="2107"/>
      <c r="AE445" s="2107"/>
      <c r="AF445" s="2107"/>
      <c r="AG445" s="2107"/>
      <c r="AH445" s="2107"/>
      <c r="AI445" s="2107"/>
      <c r="AJ445" s="2107"/>
      <c r="AK445" s="2107"/>
      <c r="AL445" s="2107"/>
      <c r="AM445" s="2107"/>
      <c r="AN445" s="2107"/>
      <c r="AO445" s="2107"/>
      <c r="AP445" s="2107"/>
      <c r="AQ445" s="2107"/>
    </row>
    <row r="446" spans="1:43">
      <c r="A446" s="2133" t="str">
        <f t="shared" si="94"/>
        <v>B2</v>
      </c>
      <c r="B446" s="2133">
        <f t="shared" si="94"/>
        <v>133</v>
      </c>
      <c r="C446" s="2133">
        <f t="shared" ref="C446:C465" si="106">F446*G446-H446*I446</f>
        <v>6.7500000000000004E-2</v>
      </c>
      <c r="D446" s="2133">
        <f t="shared" ref="D446:D465" si="107">B446*C446</f>
        <v>8.9775000000000009</v>
      </c>
      <c r="E446" s="2086">
        <f t="shared" ref="E446:E465" si="108">B446*F446</f>
        <v>19.95</v>
      </c>
      <c r="F446" s="2133">
        <f t="shared" si="95"/>
        <v>0.15</v>
      </c>
      <c r="G446" s="2133">
        <f t="shared" si="96"/>
        <v>0.55000000000000004</v>
      </c>
      <c r="H446" s="2133">
        <f t="shared" si="97"/>
        <v>0.1</v>
      </c>
      <c r="I446" s="2133">
        <f t="shared" si="98"/>
        <v>0.15</v>
      </c>
      <c r="J446" s="2133">
        <f t="shared" si="99"/>
        <v>0.4</v>
      </c>
      <c r="K446" s="2133">
        <f t="shared" si="100"/>
        <v>10</v>
      </c>
      <c r="L446" s="2133">
        <f t="shared" si="101"/>
        <v>10</v>
      </c>
      <c r="M446" s="2133">
        <f t="shared" si="102"/>
        <v>0</v>
      </c>
      <c r="N446" s="2133">
        <f t="shared" si="103"/>
        <v>0</v>
      </c>
      <c r="O446" s="2133">
        <f t="shared" si="104"/>
        <v>1</v>
      </c>
      <c r="P446" s="2133">
        <f t="shared" si="105"/>
        <v>0</v>
      </c>
      <c r="V446" s="2107"/>
      <c r="W446" s="2107"/>
      <c r="X446" s="2107"/>
      <c r="Y446" s="2107"/>
      <c r="Z446" s="2107"/>
      <c r="AA446" s="2107"/>
      <c r="AB446" s="2107"/>
      <c r="AC446" s="2107"/>
      <c r="AD446" s="2107"/>
      <c r="AE446" s="2107"/>
      <c r="AF446" s="2107"/>
      <c r="AG446" s="2107"/>
      <c r="AH446" s="2107"/>
      <c r="AI446" s="2107"/>
      <c r="AJ446" s="2107"/>
      <c r="AK446" s="2107"/>
      <c r="AL446" s="2107"/>
      <c r="AM446" s="2107"/>
      <c r="AN446" s="2107"/>
      <c r="AO446" s="2107"/>
      <c r="AP446" s="2107"/>
      <c r="AQ446" s="2107"/>
    </row>
    <row r="447" spans="1:43">
      <c r="A447" s="2133" t="str">
        <f t="shared" si="94"/>
        <v>B3</v>
      </c>
      <c r="B447" s="2133">
        <f t="shared" si="94"/>
        <v>2</v>
      </c>
      <c r="C447" s="2133">
        <f t="shared" si="106"/>
        <v>7.9999999999999988E-2</v>
      </c>
      <c r="D447" s="2133">
        <f t="shared" si="107"/>
        <v>0.15999999999999998</v>
      </c>
      <c r="E447" s="2086">
        <f t="shared" si="108"/>
        <v>0.3</v>
      </c>
      <c r="F447" s="2133">
        <f t="shared" si="95"/>
        <v>0.15</v>
      </c>
      <c r="G447" s="2133">
        <f t="shared" si="96"/>
        <v>0.8</v>
      </c>
      <c r="H447" s="2133">
        <f t="shared" si="97"/>
        <v>0.1</v>
      </c>
      <c r="I447" s="2133">
        <f t="shared" si="98"/>
        <v>0.4</v>
      </c>
      <c r="J447" s="2133">
        <f t="shared" si="99"/>
        <v>0.4</v>
      </c>
      <c r="K447" s="2133">
        <f t="shared" si="100"/>
        <v>10</v>
      </c>
      <c r="L447" s="2133">
        <f t="shared" si="101"/>
        <v>10</v>
      </c>
      <c r="M447" s="2133">
        <f t="shared" si="102"/>
        <v>0</v>
      </c>
      <c r="N447" s="2133">
        <f t="shared" si="103"/>
        <v>0</v>
      </c>
      <c r="O447" s="2133">
        <f t="shared" si="104"/>
        <v>3</v>
      </c>
      <c r="P447" s="2133">
        <f t="shared" si="105"/>
        <v>0</v>
      </c>
      <c r="V447" s="2107"/>
      <c r="W447" s="2107"/>
      <c r="X447" s="2107"/>
      <c r="Y447" s="2107"/>
      <c r="Z447" s="2107"/>
      <c r="AA447" s="2107"/>
      <c r="AB447" s="2107"/>
      <c r="AC447" s="2107"/>
      <c r="AD447" s="2107"/>
      <c r="AE447" s="2107"/>
      <c r="AF447" s="2107"/>
      <c r="AG447" s="2107"/>
      <c r="AH447" s="2107"/>
      <c r="AI447" s="2107"/>
      <c r="AJ447" s="2107"/>
      <c r="AK447" s="2107"/>
      <c r="AL447" s="2107"/>
      <c r="AM447" s="2107"/>
      <c r="AN447" s="2107"/>
      <c r="AO447" s="2107"/>
      <c r="AP447" s="2107"/>
      <c r="AQ447" s="2107"/>
    </row>
    <row r="448" spans="1:43">
      <c r="A448" s="2133" t="str">
        <f t="shared" si="94"/>
        <v>B4</v>
      </c>
      <c r="B448" s="2133">
        <f t="shared" si="94"/>
        <v>101</v>
      </c>
      <c r="C448" s="2133">
        <f t="shared" si="106"/>
        <v>4.4999999999999998E-2</v>
      </c>
      <c r="D448" s="2133">
        <f t="shared" si="107"/>
        <v>4.5449999999999999</v>
      </c>
      <c r="E448" s="2086">
        <f t="shared" si="108"/>
        <v>15.149999999999999</v>
      </c>
      <c r="F448" s="2133">
        <f t="shared" si="95"/>
        <v>0.15</v>
      </c>
      <c r="G448" s="2133">
        <f t="shared" si="96"/>
        <v>0.3</v>
      </c>
      <c r="H448" s="2133">
        <f t="shared" si="97"/>
        <v>0.15</v>
      </c>
      <c r="I448" s="2133">
        <f t="shared" si="98"/>
        <v>0</v>
      </c>
      <c r="J448" s="2133">
        <f t="shared" si="99"/>
        <v>0</v>
      </c>
      <c r="K448" s="2133">
        <f t="shared" si="100"/>
        <v>10</v>
      </c>
      <c r="L448" s="2133">
        <f t="shared" si="101"/>
        <v>6</v>
      </c>
      <c r="M448" s="2133">
        <f t="shared" si="102"/>
        <v>0</v>
      </c>
      <c r="N448" s="2133">
        <f t="shared" si="103"/>
        <v>0</v>
      </c>
      <c r="O448" s="2133">
        <f t="shared" si="104"/>
        <v>4</v>
      </c>
      <c r="P448" s="2133">
        <f t="shared" si="105"/>
        <v>0</v>
      </c>
      <c r="V448" s="2107"/>
      <c r="W448" s="2107"/>
      <c r="X448" s="2107"/>
      <c r="Y448" s="2107"/>
      <c r="Z448" s="2107"/>
      <c r="AA448" s="2107"/>
      <c r="AB448" s="2107"/>
      <c r="AC448" s="2107"/>
      <c r="AD448" s="2107"/>
      <c r="AE448" s="2107"/>
      <c r="AF448" s="2107"/>
      <c r="AG448" s="2107"/>
      <c r="AH448" s="2107"/>
      <c r="AI448" s="2107"/>
      <c r="AJ448" s="2107"/>
      <c r="AK448" s="2107"/>
      <c r="AL448" s="2107"/>
      <c r="AM448" s="2107"/>
      <c r="AN448" s="2107"/>
      <c r="AO448" s="2107"/>
      <c r="AP448" s="2107"/>
      <c r="AQ448" s="2107"/>
    </row>
    <row r="449" spans="1:43">
      <c r="A449" s="2133" t="str">
        <f t="shared" si="94"/>
        <v>B5</v>
      </c>
      <c r="B449" s="2133">
        <f t="shared" si="94"/>
        <v>0</v>
      </c>
      <c r="C449" s="2133">
        <f t="shared" si="106"/>
        <v>0</v>
      </c>
      <c r="D449" s="2133">
        <f t="shared" si="107"/>
        <v>0</v>
      </c>
      <c r="E449" s="2086">
        <f t="shared" si="108"/>
        <v>0</v>
      </c>
      <c r="F449" s="2133">
        <f t="shared" si="95"/>
        <v>0</v>
      </c>
      <c r="G449" s="2133">
        <f t="shared" si="96"/>
        <v>0</v>
      </c>
      <c r="H449" s="2133">
        <f t="shared" si="97"/>
        <v>0</v>
      </c>
      <c r="I449" s="2133">
        <f t="shared" si="98"/>
        <v>0</v>
      </c>
      <c r="J449" s="2133">
        <f t="shared" si="99"/>
        <v>0</v>
      </c>
      <c r="K449" s="2133">
        <f t="shared" si="100"/>
        <v>0</v>
      </c>
      <c r="L449" s="2133">
        <f t="shared" si="101"/>
        <v>0</v>
      </c>
      <c r="M449" s="2133">
        <f t="shared" si="102"/>
        <v>0</v>
      </c>
      <c r="N449" s="2133">
        <f t="shared" si="103"/>
        <v>0</v>
      </c>
      <c r="O449" s="2133">
        <f t="shared" si="104"/>
        <v>0</v>
      </c>
      <c r="P449" s="2133">
        <f t="shared" si="105"/>
        <v>0</v>
      </c>
      <c r="V449" s="2107"/>
      <c r="W449" s="2107"/>
      <c r="X449" s="2107"/>
      <c r="Y449" s="2107"/>
      <c r="Z449" s="2107"/>
      <c r="AA449" s="2107"/>
      <c r="AB449" s="2107"/>
      <c r="AC449" s="2107"/>
      <c r="AD449" s="2107"/>
      <c r="AE449" s="2107"/>
      <c r="AF449" s="2107"/>
      <c r="AG449" s="2107"/>
      <c r="AH449" s="2107"/>
      <c r="AI449" s="2107"/>
      <c r="AJ449" s="2107"/>
      <c r="AK449" s="2107"/>
      <c r="AL449" s="2107"/>
      <c r="AM449" s="2107"/>
      <c r="AN449" s="2107"/>
      <c r="AO449" s="2107"/>
      <c r="AP449" s="2107"/>
      <c r="AQ449" s="2107"/>
    </row>
    <row r="450" spans="1:43" ht="15" customHeight="1">
      <c r="A450" s="2133" t="str">
        <f t="shared" si="94"/>
        <v>B6</v>
      </c>
      <c r="B450" s="2133">
        <f t="shared" si="94"/>
        <v>0</v>
      </c>
      <c r="C450" s="2133">
        <f t="shared" si="106"/>
        <v>0</v>
      </c>
      <c r="D450" s="2133">
        <f t="shared" si="107"/>
        <v>0</v>
      </c>
      <c r="E450" s="2086">
        <f t="shared" si="108"/>
        <v>0</v>
      </c>
      <c r="F450" s="2133">
        <f t="shared" si="95"/>
        <v>0</v>
      </c>
      <c r="G450" s="2133">
        <f t="shared" si="96"/>
        <v>0</v>
      </c>
      <c r="H450" s="2133">
        <f t="shared" si="97"/>
        <v>0</v>
      </c>
      <c r="I450" s="2133">
        <f t="shared" si="98"/>
        <v>0</v>
      </c>
      <c r="J450" s="2133">
        <f t="shared" si="99"/>
        <v>0</v>
      </c>
      <c r="K450" s="2133">
        <f t="shared" si="100"/>
        <v>0</v>
      </c>
      <c r="L450" s="2133">
        <f t="shared" si="101"/>
        <v>0</v>
      </c>
      <c r="M450" s="2133">
        <f t="shared" si="102"/>
        <v>0</v>
      </c>
      <c r="N450" s="2133">
        <f t="shared" si="103"/>
        <v>0</v>
      </c>
      <c r="O450" s="2133">
        <f t="shared" si="104"/>
        <v>0</v>
      </c>
      <c r="P450" s="2133">
        <f t="shared" si="105"/>
        <v>0</v>
      </c>
      <c r="V450" s="2107"/>
      <c r="W450" s="2107"/>
      <c r="X450" s="2107"/>
      <c r="Y450" s="2107"/>
      <c r="Z450" s="2107"/>
      <c r="AA450" s="2107"/>
      <c r="AB450" s="2107"/>
      <c r="AC450" s="2107"/>
      <c r="AD450" s="2107"/>
      <c r="AE450" s="2107"/>
      <c r="AF450" s="2107"/>
      <c r="AG450" s="2107"/>
      <c r="AH450" s="2107"/>
      <c r="AI450" s="2107"/>
      <c r="AJ450" s="2107"/>
      <c r="AK450" s="2107"/>
      <c r="AL450" s="2107"/>
      <c r="AM450" s="2107"/>
      <c r="AN450" s="2107"/>
      <c r="AO450" s="2107"/>
      <c r="AP450" s="2107"/>
      <c r="AQ450" s="2107"/>
    </row>
    <row r="451" spans="1:43" ht="15" customHeight="1">
      <c r="A451" s="2133" t="str">
        <f t="shared" si="94"/>
        <v>B7</v>
      </c>
      <c r="B451" s="2133">
        <f t="shared" si="94"/>
        <v>0</v>
      </c>
      <c r="C451" s="2133">
        <f t="shared" si="106"/>
        <v>0</v>
      </c>
      <c r="D451" s="2133">
        <f t="shared" si="107"/>
        <v>0</v>
      </c>
      <c r="E451" s="2086">
        <f t="shared" si="108"/>
        <v>0</v>
      </c>
      <c r="F451" s="2133">
        <f t="shared" si="95"/>
        <v>0</v>
      </c>
      <c r="G451" s="2133">
        <f t="shared" si="96"/>
        <v>0</v>
      </c>
      <c r="H451" s="2133">
        <f t="shared" si="97"/>
        <v>0</v>
      </c>
      <c r="I451" s="2133">
        <f t="shared" si="98"/>
        <v>0</v>
      </c>
      <c r="J451" s="2133">
        <f t="shared" si="99"/>
        <v>0</v>
      </c>
      <c r="K451" s="2133">
        <f t="shared" si="100"/>
        <v>0</v>
      </c>
      <c r="L451" s="2133">
        <f t="shared" si="101"/>
        <v>0</v>
      </c>
      <c r="M451" s="2133">
        <f t="shared" si="102"/>
        <v>0</v>
      </c>
      <c r="N451" s="2133">
        <f t="shared" si="103"/>
        <v>0</v>
      </c>
      <c r="O451" s="2133">
        <f t="shared" si="104"/>
        <v>0</v>
      </c>
      <c r="P451" s="2133">
        <f t="shared" si="105"/>
        <v>0</v>
      </c>
      <c r="V451" s="2107"/>
      <c r="W451" s="2107"/>
      <c r="X451" s="2107"/>
      <c r="Y451" s="2107"/>
      <c r="Z451" s="2107"/>
      <c r="AA451" s="2107"/>
      <c r="AB451" s="2107"/>
      <c r="AC451" s="2107"/>
      <c r="AD451" s="2107"/>
      <c r="AE451" s="2107"/>
      <c r="AF451" s="2107"/>
      <c r="AG451" s="2107"/>
      <c r="AH451" s="2107"/>
      <c r="AI451" s="2107"/>
      <c r="AJ451" s="2107"/>
      <c r="AK451" s="2107"/>
      <c r="AL451" s="2107"/>
      <c r="AM451" s="2107"/>
      <c r="AN451" s="2107"/>
      <c r="AO451" s="2107"/>
      <c r="AP451" s="2107"/>
      <c r="AQ451" s="2107"/>
    </row>
    <row r="452" spans="1:43" ht="15" customHeight="1">
      <c r="A452" s="2133" t="str">
        <f t="shared" si="94"/>
        <v>B8</v>
      </c>
      <c r="B452" s="2133">
        <f t="shared" si="94"/>
        <v>0</v>
      </c>
      <c r="C452" s="2133">
        <f t="shared" si="106"/>
        <v>0</v>
      </c>
      <c r="D452" s="2133">
        <f t="shared" si="107"/>
        <v>0</v>
      </c>
      <c r="E452" s="2086">
        <f t="shared" si="108"/>
        <v>0</v>
      </c>
      <c r="F452" s="2133">
        <f t="shared" si="95"/>
        <v>0</v>
      </c>
      <c r="G452" s="2133">
        <f t="shared" si="96"/>
        <v>0</v>
      </c>
      <c r="H452" s="2133">
        <f t="shared" si="97"/>
        <v>0</v>
      </c>
      <c r="I452" s="2133">
        <f t="shared" si="98"/>
        <v>0</v>
      </c>
      <c r="J452" s="2133">
        <f t="shared" si="99"/>
        <v>0</v>
      </c>
      <c r="K452" s="2133">
        <f t="shared" si="100"/>
        <v>0</v>
      </c>
      <c r="L452" s="2133">
        <f t="shared" si="101"/>
        <v>0</v>
      </c>
      <c r="M452" s="2133">
        <f t="shared" si="102"/>
        <v>0</v>
      </c>
      <c r="N452" s="2133">
        <f t="shared" si="103"/>
        <v>0</v>
      </c>
      <c r="O452" s="2133">
        <f t="shared" si="104"/>
        <v>0</v>
      </c>
      <c r="P452" s="2133">
        <f t="shared" si="105"/>
        <v>0</v>
      </c>
      <c r="V452" s="2107"/>
      <c r="W452" s="2107"/>
      <c r="X452" s="2107"/>
      <c r="Y452" s="2107"/>
      <c r="Z452" s="2107"/>
      <c r="AA452" s="2107"/>
      <c r="AB452" s="2107"/>
      <c r="AC452" s="2107"/>
      <c r="AD452" s="2107"/>
      <c r="AE452" s="2107"/>
      <c r="AF452" s="2107"/>
      <c r="AG452" s="2107"/>
      <c r="AH452" s="2107"/>
      <c r="AI452" s="2107"/>
      <c r="AJ452" s="2107"/>
      <c r="AK452" s="2107"/>
      <c r="AL452" s="2107"/>
      <c r="AM452" s="2107"/>
      <c r="AN452" s="2107"/>
      <c r="AO452" s="2107"/>
      <c r="AP452" s="2107"/>
      <c r="AQ452" s="2107"/>
    </row>
    <row r="453" spans="1:43">
      <c r="A453" s="2133" t="str">
        <f t="shared" si="94"/>
        <v>B9</v>
      </c>
      <c r="B453" s="2133">
        <f t="shared" si="94"/>
        <v>0</v>
      </c>
      <c r="C453" s="2133">
        <f t="shared" si="106"/>
        <v>0</v>
      </c>
      <c r="D453" s="2133">
        <f t="shared" si="107"/>
        <v>0</v>
      </c>
      <c r="E453" s="2086">
        <f t="shared" si="108"/>
        <v>0</v>
      </c>
      <c r="F453" s="2133">
        <f t="shared" si="95"/>
        <v>0</v>
      </c>
      <c r="G453" s="2133">
        <f t="shared" si="96"/>
        <v>0</v>
      </c>
      <c r="H453" s="2133">
        <f t="shared" si="97"/>
        <v>0</v>
      </c>
      <c r="I453" s="2133">
        <f t="shared" si="98"/>
        <v>0</v>
      </c>
      <c r="J453" s="2133">
        <f t="shared" si="99"/>
        <v>0</v>
      </c>
      <c r="K453" s="2133">
        <f t="shared" si="100"/>
        <v>0</v>
      </c>
      <c r="L453" s="2133">
        <f t="shared" si="101"/>
        <v>0</v>
      </c>
      <c r="M453" s="2133">
        <f t="shared" si="102"/>
        <v>0</v>
      </c>
      <c r="N453" s="2133">
        <f t="shared" si="103"/>
        <v>0</v>
      </c>
      <c r="O453" s="2133">
        <f t="shared" si="104"/>
        <v>0</v>
      </c>
      <c r="P453" s="2133">
        <f t="shared" si="105"/>
        <v>0</v>
      </c>
      <c r="V453" s="2107"/>
      <c r="W453" s="2107"/>
      <c r="X453" s="2107"/>
      <c r="Y453" s="2107"/>
      <c r="Z453" s="2107"/>
      <c r="AA453" s="2107"/>
      <c r="AB453" s="2107"/>
      <c r="AC453" s="2107"/>
      <c r="AD453" s="2107"/>
      <c r="AE453" s="2107"/>
      <c r="AF453" s="2107"/>
      <c r="AG453" s="2107"/>
      <c r="AH453" s="2107"/>
      <c r="AI453" s="2107"/>
      <c r="AJ453" s="2107"/>
      <c r="AK453" s="2107"/>
      <c r="AL453" s="2107"/>
      <c r="AM453" s="2107"/>
      <c r="AN453" s="2107"/>
      <c r="AO453" s="2107"/>
      <c r="AP453" s="2107"/>
      <c r="AQ453" s="2107"/>
    </row>
    <row r="454" spans="1:43">
      <c r="A454" s="2133" t="str">
        <f t="shared" si="94"/>
        <v>B10</v>
      </c>
      <c r="B454" s="2133">
        <f t="shared" si="94"/>
        <v>0</v>
      </c>
      <c r="C454" s="2133">
        <f t="shared" si="106"/>
        <v>0</v>
      </c>
      <c r="D454" s="2133">
        <f t="shared" si="107"/>
        <v>0</v>
      </c>
      <c r="E454" s="2086">
        <f t="shared" si="108"/>
        <v>0</v>
      </c>
      <c r="F454" s="2133">
        <f t="shared" si="95"/>
        <v>0</v>
      </c>
      <c r="G454" s="2133">
        <f t="shared" si="96"/>
        <v>0</v>
      </c>
      <c r="H454" s="2133">
        <f t="shared" si="97"/>
        <v>0</v>
      </c>
      <c r="I454" s="2133">
        <f t="shared" si="98"/>
        <v>0</v>
      </c>
      <c r="J454" s="2133">
        <f t="shared" si="99"/>
        <v>0</v>
      </c>
      <c r="K454" s="2133">
        <f t="shared" si="100"/>
        <v>0</v>
      </c>
      <c r="L454" s="2133">
        <f t="shared" si="101"/>
        <v>0</v>
      </c>
      <c r="M454" s="2133">
        <f t="shared" si="102"/>
        <v>0</v>
      </c>
      <c r="N454" s="2133">
        <f t="shared" si="103"/>
        <v>0</v>
      </c>
      <c r="O454" s="2133">
        <f t="shared" si="104"/>
        <v>0</v>
      </c>
      <c r="P454" s="2133">
        <f t="shared" si="105"/>
        <v>0</v>
      </c>
      <c r="V454" s="2107"/>
      <c r="W454" s="2833"/>
      <c r="X454" s="2833"/>
      <c r="Y454" s="2833"/>
      <c r="Z454" s="2833"/>
      <c r="AA454" s="2107"/>
      <c r="AB454" s="2107"/>
      <c r="AC454" s="2107"/>
      <c r="AD454" s="2107"/>
      <c r="AE454" s="2107"/>
      <c r="AF454" s="2107"/>
      <c r="AG454" s="2107"/>
      <c r="AH454" s="2107"/>
      <c r="AI454" s="2107"/>
      <c r="AJ454" s="2107"/>
      <c r="AK454" s="2107"/>
      <c r="AL454" s="2107"/>
      <c r="AM454" s="2107"/>
      <c r="AN454" s="2107"/>
      <c r="AO454" s="2107"/>
      <c r="AP454" s="2107"/>
      <c r="AQ454" s="2107"/>
    </row>
    <row r="455" spans="1:43">
      <c r="A455" s="2133" t="str">
        <f t="shared" si="94"/>
        <v>B11</v>
      </c>
      <c r="B455" s="2133">
        <f t="shared" si="94"/>
        <v>0</v>
      </c>
      <c r="C455" s="2133">
        <f t="shared" si="106"/>
        <v>0</v>
      </c>
      <c r="D455" s="2133">
        <f t="shared" si="107"/>
        <v>0</v>
      </c>
      <c r="E455" s="2086">
        <f t="shared" si="108"/>
        <v>0</v>
      </c>
      <c r="F455" s="2133">
        <f t="shared" si="95"/>
        <v>0</v>
      </c>
      <c r="G455" s="2133">
        <f t="shared" si="96"/>
        <v>0</v>
      </c>
      <c r="H455" s="2133">
        <f t="shared" si="97"/>
        <v>0</v>
      </c>
      <c r="I455" s="2133">
        <f t="shared" si="98"/>
        <v>0</v>
      </c>
      <c r="J455" s="2133">
        <f t="shared" si="99"/>
        <v>0</v>
      </c>
      <c r="K455" s="2133">
        <f t="shared" si="100"/>
        <v>0</v>
      </c>
      <c r="L455" s="2133">
        <f t="shared" si="101"/>
        <v>0</v>
      </c>
      <c r="M455" s="2133">
        <f t="shared" si="102"/>
        <v>0</v>
      </c>
      <c r="N455" s="2133">
        <f t="shared" si="103"/>
        <v>0</v>
      </c>
      <c r="O455" s="2133">
        <f t="shared" si="104"/>
        <v>0</v>
      </c>
      <c r="P455" s="2133">
        <f t="shared" si="105"/>
        <v>0</v>
      </c>
      <c r="V455" s="2107"/>
      <c r="W455" s="2107"/>
      <c r="X455" s="2107"/>
      <c r="Y455" s="2107"/>
      <c r="Z455" s="2107"/>
      <c r="AA455" s="2107"/>
      <c r="AB455" s="2107"/>
      <c r="AC455" s="2107"/>
      <c r="AD455" s="2107"/>
      <c r="AE455" s="2107"/>
      <c r="AF455" s="2107"/>
      <c r="AG455" s="2107"/>
      <c r="AH455" s="2107"/>
      <c r="AI455" s="2107"/>
      <c r="AJ455" s="2107"/>
      <c r="AK455" s="2107"/>
      <c r="AL455" s="2107"/>
      <c r="AM455" s="2107"/>
      <c r="AN455" s="2107"/>
      <c r="AO455" s="2107"/>
      <c r="AP455" s="2107"/>
      <c r="AQ455" s="2107"/>
    </row>
    <row r="456" spans="1:43">
      <c r="A456" s="2133" t="str">
        <f t="shared" si="94"/>
        <v>B12</v>
      </c>
      <c r="B456" s="2133">
        <f t="shared" si="94"/>
        <v>0</v>
      </c>
      <c r="C456" s="2133">
        <f t="shared" si="106"/>
        <v>0</v>
      </c>
      <c r="D456" s="2133">
        <f t="shared" si="107"/>
        <v>0</v>
      </c>
      <c r="E456" s="2086">
        <f t="shared" si="108"/>
        <v>0</v>
      </c>
      <c r="F456" s="2133">
        <f t="shared" si="95"/>
        <v>0</v>
      </c>
      <c r="G456" s="2133">
        <f t="shared" si="96"/>
        <v>0</v>
      </c>
      <c r="H456" s="2133">
        <f t="shared" si="97"/>
        <v>0</v>
      </c>
      <c r="I456" s="2133">
        <f t="shared" si="98"/>
        <v>0</v>
      </c>
      <c r="J456" s="2133">
        <f t="shared" si="99"/>
        <v>0</v>
      </c>
      <c r="K456" s="2133">
        <f t="shared" si="100"/>
        <v>0</v>
      </c>
      <c r="L456" s="2133">
        <f t="shared" si="101"/>
        <v>0</v>
      </c>
      <c r="M456" s="2133">
        <f t="shared" si="102"/>
        <v>0</v>
      </c>
      <c r="N456" s="2133">
        <f t="shared" si="103"/>
        <v>0</v>
      </c>
      <c r="O456" s="2133">
        <f t="shared" si="104"/>
        <v>0</v>
      </c>
      <c r="P456" s="2133">
        <f t="shared" si="105"/>
        <v>0</v>
      </c>
      <c r="V456" s="2107"/>
      <c r="W456" s="2107"/>
      <c r="X456" s="2107"/>
      <c r="Y456" s="2107"/>
      <c r="Z456" s="2107"/>
      <c r="AA456" s="2107"/>
      <c r="AB456" s="2107"/>
      <c r="AC456" s="2107"/>
      <c r="AD456" s="2107"/>
      <c r="AE456" s="2107"/>
      <c r="AF456" s="2107"/>
      <c r="AG456" s="2107"/>
      <c r="AH456" s="2107"/>
      <c r="AI456" s="2107"/>
      <c r="AJ456" s="2107"/>
      <c r="AK456" s="2107"/>
      <c r="AL456" s="2107"/>
      <c r="AM456" s="2107"/>
      <c r="AN456" s="2107"/>
      <c r="AO456" s="2107"/>
      <c r="AP456" s="2107"/>
      <c r="AQ456" s="2107"/>
    </row>
    <row r="457" spans="1:43">
      <c r="A457" s="2133" t="str">
        <f t="shared" si="94"/>
        <v>B13</v>
      </c>
      <c r="B457" s="2133">
        <f t="shared" si="94"/>
        <v>0</v>
      </c>
      <c r="C457" s="2133">
        <f t="shared" si="106"/>
        <v>0</v>
      </c>
      <c r="D457" s="2133">
        <f t="shared" si="107"/>
        <v>0</v>
      </c>
      <c r="E457" s="2086">
        <f t="shared" si="108"/>
        <v>0</v>
      </c>
      <c r="F457" s="2133">
        <f t="shared" si="95"/>
        <v>0</v>
      </c>
      <c r="G457" s="2133">
        <f t="shared" si="96"/>
        <v>0</v>
      </c>
      <c r="H457" s="2133">
        <f t="shared" si="97"/>
        <v>0</v>
      </c>
      <c r="I457" s="2133">
        <f t="shared" si="98"/>
        <v>0</v>
      </c>
      <c r="J457" s="2133">
        <f t="shared" si="99"/>
        <v>0</v>
      </c>
      <c r="K457" s="2133">
        <f t="shared" si="100"/>
        <v>0</v>
      </c>
      <c r="L457" s="2133">
        <f t="shared" si="101"/>
        <v>0</v>
      </c>
      <c r="M457" s="2133">
        <f t="shared" si="102"/>
        <v>0</v>
      </c>
      <c r="N457" s="2133">
        <f t="shared" si="103"/>
        <v>0</v>
      </c>
      <c r="O457" s="2133">
        <f t="shared" si="104"/>
        <v>0</v>
      </c>
      <c r="P457" s="2133">
        <f t="shared" si="105"/>
        <v>0</v>
      </c>
      <c r="V457" s="2107"/>
      <c r="W457" s="2833"/>
      <c r="X457" s="2833"/>
      <c r="Y457" s="2833"/>
      <c r="Z457" s="2833"/>
      <c r="AA457" s="2107"/>
      <c r="AB457" s="2107"/>
      <c r="AC457" s="2107"/>
      <c r="AD457" s="2107"/>
      <c r="AE457" s="2107"/>
      <c r="AF457" s="2107"/>
      <c r="AG457" s="2107"/>
      <c r="AH457" s="2107"/>
      <c r="AI457" s="2107"/>
      <c r="AJ457" s="2107"/>
      <c r="AK457" s="2107"/>
      <c r="AL457" s="2107"/>
      <c r="AM457" s="2107"/>
      <c r="AN457" s="2107"/>
      <c r="AO457" s="2107"/>
      <c r="AP457" s="2107"/>
      <c r="AQ457" s="2107"/>
    </row>
    <row r="458" spans="1:43">
      <c r="A458" s="2133" t="str">
        <f t="shared" si="94"/>
        <v>B14</v>
      </c>
      <c r="B458" s="2133">
        <f t="shared" si="94"/>
        <v>0</v>
      </c>
      <c r="C458" s="2133">
        <f t="shared" si="106"/>
        <v>0</v>
      </c>
      <c r="D458" s="2133">
        <f t="shared" si="107"/>
        <v>0</v>
      </c>
      <c r="E458" s="2086">
        <f t="shared" si="108"/>
        <v>0</v>
      </c>
      <c r="F458" s="2133">
        <f t="shared" si="95"/>
        <v>0</v>
      </c>
      <c r="G458" s="2133">
        <f t="shared" si="96"/>
        <v>0</v>
      </c>
      <c r="H458" s="2133">
        <f t="shared" si="97"/>
        <v>0</v>
      </c>
      <c r="I458" s="2133">
        <f t="shared" si="98"/>
        <v>0</v>
      </c>
      <c r="J458" s="2133">
        <f t="shared" si="99"/>
        <v>0</v>
      </c>
      <c r="K458" s="2133">
        <f t="shared" si="100"/>
        <v>0</v>
      </c>
      <c r="L458" s="2133">
        <f t="shared" si="101"/>
        <v>0</v>
      </c>
      <c r="M458" s="2133">
        <f t="shared" si="102"/>
        <v>0</v>
      </c>
      <c r="N458" s="2133">
        <f t="shared" si="103"/>
        <v>0</v>
      </c>
      <c r="O458" s="2133">
        <f t="shared" si="104"/>
        <v>0</v>
      </c>
      <c r="P458" s="2133">
        <f t="shared" si="105"/>
        <v>0</v>
      </c>
      <c r="V458" s="2107"/>
      <c r="W458" s="2107"/>
      <c r="X458" s="2107"/>
      <c r="Y458" s="2107"/>
      <c r="Z458" s="2107"/>
      <c r="AA458" s="2107"/>
      <c r="AB458" s="2107"/>
      <c r="AC458" s="2107"/>
      <c r="AD458" s="2107"/>
      <c r="AE458" s="2107"/>
      <c r="AF458" s="2107"/>
      <c r="AG458" s="2107"/>
      <c r="AH458" s="2107"/>
      <c r="AI458" s="2107"/>
      <c r="AJ458" s="2107"/>
      <c r="AK458" s="2107"/>
      <c r="AL458" s="2107"/>
      <c r="AM458" s="2107"/>
      <c r="AN458" s="2107"/>
      <c r="AO458" s="2107"/>
      <c r="AP458" s="2107"/>
      <c r="AQ458" s="2107"/>
    </row>
    <row r="459" spans="1:43">
      <c r="A459" s="2133" t="str">
        <f t="shared" si="94"/>
        <v>B15</v>
      </c>
      <c r="B459" s="2133">
        <f t="shared" si="94"/>
        <v>0</v>
      </c>
      <c r="C459" s="2133">
        <f t="shared" si="106"/>
        <v>0</v>
      </c>
      <c r="D459" s="2133">
        <f t="shared" si="107"/>
        <v>0</v>
      </c>
      <c r="E459" s="2086">
        <f t="shared" si="108"/>
        <v>0</v>
      </c>
      <c r="F459" s="2133">
        <f t="shared" si="95"/>
        <v>0</v>
      </c>
      <c r="G459" s="2133">
        <f t="shared" si="96"/>
        <v>0</v>
      </c>
      <c r="H459" s="2133">
        <f t="shared" si="97"/>
        <v>0</v>
      </c>
      <c r="I459" s="2133">
        <f t="shared" si="98"/>
        <v>0</v>
      </c>
      <c r="J459" s="2133">
        <f t="shared" si="99"/>
        <v>0</v>
      </c>
      <c r="K459" s="2133">
        <f t="shared" si="100"/>
        <v>0</v>
      </c>
      <c r="L459" s="2133">
        <f t="shared" si="101"/>
        <v>0</v>
      </c>
      <c r="M459" s="2133">
        <f t="shared" si="102"/>
        <v>0</v>
      </c>
      <c r="N459" s="2133">
        <f t="shared" si="103"/>
        <v>0</v>
      </c>
      <c r="O459" s="2133">
        <f t="shared" si="104"/>
        <v>0</v>
      </c>
      <c r="P459" s="2133">
        <f t="shared" si="105"/>
        <v>0</v>
      </c>
      <c r="V459" s="2107"/>
      <c r="W459" s="2107"/>
      <c r="X459" s="2107"/>
      <c r="Y459" s="2107"/>
      <c r="Z459" s="2107"/>
      <c r="AA459" s="2107"/>
      <c r="AB459" s="2107"/>
      <c r="AC459" s="2107"/>
      <c r="AD459" s="2107"/>
      <c r="AE459" s="2107"/>
      <c r="AF459" s="2107"/>
      <c r="AG459" s="2107"/>
      <c r="AH459" s="2107"/>
      <c r="AI459" s="2107"/>
      <c r="AJ459" s="2107"/>
      <c r="AK459" s="2107"/>
      <c r="AL459" s="2107"/>
      <c r="AM459" s="2107"/>
      <c r="AN459" s="2107"/>
      <c r="AO459" s="2107"/>
      <c r="AP459" s="2107"/>
      <c r="AQ459" s="2107"/>
    </row>
    <row r="460" spans="1:43" s="2532" customFormat="1">
      <c r="A460" s="2133" t="str">
        <f t="shared" ref="A460:B465" si="109">A433</f>
        <v>B16</v>
      </c>
      <c r="B460" s="2133">
        <f t="shared" si="109"/>
        <v>0</v>
      </c>
      <c r="C460" s="2133">
        <f>F460*G460-H460*I460</f>
        <v>0</v>
      </c>
      <c r="D460" s="2133">
        <f>B460*C460</f>
        <v>0</v>
      </c>
      <c r="E460" s="2532">
        <f>B460*F460</f>
        <v>0</v>
      </c>
      <c r="F460" s="2133">
        <f t="shared" ref="F460:P460" si="110">B48</f>
        <v>0</v>
      </c>
      <c r="G460" s="2133">
        <f t="shared" si="110"/>
        <v>0</v>
      </c>
      <c r="H460" s="2133">
        <f t="shared" si="110"/>
        <v>0</v>
      </c>
      <c r="I460" s="2133">
        <f t="shared" si="110"/>
        <v>0</v>
      </c>
      <c r="J460" s="2133">
        <f t="shared" si="110"/>
        <v>0</v>
      </c>
      <c r="K460" s="2133">
        <f t="shared" si="110"/>
        <v>0</v>
      </c>
      <c r="L460" s="2133">
        <f t="shared" si="110"/>
        <v>0</v>
      </c>
      <c r="M460" s="2133">
        <f t="shared" si="110"/>
        <v>0</v>
      </c>
      <c r="N460" s="2133">
        <f t="shared" si="110"/>
        <v>0</v>
      </c>
      <c r="O460" s="2133">
        <f t="shared" si="110"/>
        <v>0</v>
      </c>
      <c r="P460" s="2133">
        <f t="shared" si="110"/>
        <v>0</v>
      </c>
      <c r="V460" s="2531"/>
      <c r="W460" s="2531"/>
      <c r="X460" s="2531"/>
      <c r="Y460" s="2531"/>
      <c r="Z460" s="2531"/>
      <c r="AA460" s="2531"/>
      <c r="AB460" s="2531"/>
      <c r="AC460" s="2531"/>
      <c r="AD460" s="2531"/>
      <c r="AE460" s="2531"/>
      <c r="AF460" s="2531"/>
      <c r="AG460" s="2531"/>
      <c r="AH460" s="2531"/>
      <c r="AI460" s="2531"/>
      <c r="AJ460" s="2531"/>
      <c r="AK460" s="2531"/>
      <c r="AL460" s="2531"/>
      <c r="AM460" s="2531"/>
      <c r="AN460" s="2531"/>
      <c r="AO460" s="2531"/>
      <c r="AP460" s="2531"/>
      <c r="AQ460" s="2531"/>
    </row>
    <row r="461" spans="1:43" s="2532" customFormat="1">
      <c r="A461" s="2133" t="str">
        <f t="shared" si="109"/>
        <v>B17</v>
      </c>
      <c r="B461" s="2133">
        <f t="shared" si="109"/>
        <v>0</v>
      </c>
      <c r="C461" s="2133">
        <f>F461*G461-H461*I461</f>
        <v>0</v>
      </c>
      <c r="D461" s="2133">
        <f>B461*C461</f>
        <v>0</v>
      </c>
      <c r="E461" s="2532">
        <f>B461*F461</f>
        <v>0</v>
      </c>
      <c r="F461" s="2133">
        <f t="shared" ref="F461:P461" si="111">B49</f>
        <v>0</v>
      </c>
      <c r="G461" s="2133">
        <f t="shared" si="111"/>
        <v>0</v>
      </c>
      <c r="H461" s="2133">
        <f t="shared" si="111"/>
        <v>0</v>
      </c>
      <c r="I461" s="2133">
        <f t="shared" si="111"/>
        <v>0</v>
      </c>
      <c r="J461" s="2133">
        <f t="shared" si="111"/>
        <v>0</v>
      </c>
      <c r="K461" s="2133">
        <f t="shared" si="111"/>
        <v>0</v>
      </c>
      <c r="L461" s="2133">
        <f t="shared" si="111"/>
        <v>0</v>
      </c>
      <c r="M461" s="2133">
        <f t="shared" si="111"/>
        <v>0</v>
      </c>
      <c r="N461" s="2133">
        <f t="shared" si="111"/>
        <v>0</v>
      </c>
      <c r="O461" s="2133">
        <f t="shared" si="111"/>
        <v>0</v>
      </c>
      <c r="P461" s="2133">
        <f t="shared" si="111"/>
        <v>0</v>
      </c>
      <c r="V461" s="2531"/>
      <c r="W461" s="2531"/>
      <c r="X461" s="2531"/>
      <c r="Y461" s="2531"/>
      <c r="Z461" s="2531"/>
      <c r="AA461" s="2531"/>
      <c r="AB461" s="2531"/>
      <c r="AC461" s="2531"/>
      <c r="AD461" s="2531"/>
      <c r="AE461" s="2531"/>
      <c r="AF461" s="2531"/>
      <c r="AG461" s="2531"/>
      <c r="AH461" s="2531"/>
      <c r="AI461" s="2531"/>
      <c r="AJ461" s="2531"/>
      <c r="AK461" s="2531"/>
      <c r="AL461" s="2531"/>
      <c r="AM461" s="2531"/>
      <c r="AN461" s="2531"/>
      <c r="AO461" s="2531"/>
      <c r="AP461" s="2531"/>
      <c r="AQ461" s="2531"/>
    </row>
    <row r="462" spans="1:43" s="2532" customFormat="1">
      <c r="A462" s="2133" t="str">
        <f t="shared" si="109"/>
        <v>B18</v>
      </c>
      <c r="B462" s="2133">
        <f t="shared" si="109"/>
        <v>0</v>
      </c>
      <c r="C462" s="2133">
        <f>F462*G462-H462*I462</f>
        <v>0</v>
      </c>
      <c r="D462" s="2133">
        <f>B462*C462</f>
        <v>0</v>
      </c>
      <c r="E462" s="2532">
        <f>B462*F462</f>
        <v>0</v>
      </c>
      <c r="F462" s="2133">
        <f t="shared" ref="F462:P462" si="112">B50</f>
        <v>0</v>
      </c>
      <c r="G462" s="2133">
        <f t="shared" si="112"/>
        <v>0</v>
      </c>
      <c r="H462" s="2133">
        <f t="shared" si="112"/>
        <v>0</v>
      </c>
      <c r="I462" s="2133">
        <f t="shared" si="112"/>
        <v>0</v>
      </c>
      <c r="J462" s="2133">
        <f t="shared" si="112"/>
        <v>0</v>
      </c>
      <c r="K462" s="2133">
        <f t="shared" si="112"/>
        <v>0</v>
      </c>
      <c r="L462" s="2133">
        <f t="shared" si="112"/>
        <v>0</v>
      </c>
      <c r="M462" s="2133">
        <f t="shared" si="112"/>
        <v>0</v>
      </c>
      <c r="N462" s="2133">
        <f t="shared" si="112"/>
        <v>0</v>
      </c>
      <c r="O462" s="2133">
        <f t="shared" si="112"/>
        <v>0</v>
      </c>
      <c r="P462" s="2133">
        <f t="shared" si="112"/>
        <v>0</v>
      </c>
      <c r="V462" s="2531"/>
      <c r="W462" s="2531"/>
      <c r="X462" s="2531"/>
      <c r="Y462" s="2531"/>
      <c r="Z462" s="2531"/>
      <c r="AA462" s="2531"/>
      <c r="AB462" s="2531"/>
      <c r="AC462" s="2531"/>
      <c r="AD462" s="2531"/>
      <c r="AE462" s="2531"/>
      <c r="AF462" s="2531"/>
      <c r="AG462" s="2531"/>
      <c r="AH462" s="2531"/>
      <c r="AI462" s="2531"/>
      <c r="AJ462" s="2531"/>
      <c r="AK462" s="2531"/>
      <c r="AL462" s="2531"/>
      <c r="AM462" s="2531"/>
      <c r="AN462" s="2531"/>
      <c r="AO462" s="2531"/>
      <c r="AP462" s="2531"/>
      <c r="AQ462" s="2531"/>
    </row>
    <row r="463" spans="1:43" s="2532" customFormat="1">
      <c r="A463" s="2133" t="str">
        <f t="shared" si="109"/>
        <v>B19</v>
      </c>
      <c r="B463" s="2133">
        <f t="shared" si="109"/>
        <v>0</v>
      </c>
      <c r="C463" s="2133">
        <f>F463*G463-H463*I463</f>
        <v>0</v>
      </c>
      <c r="D463" s="2133">
        <f>B463*C463</f>
        <v>0</v>
      </c>
      <c r="E463" s="2532">
        <f>B463*F463</f>
        <v>0</v>
      </c>
      <c r="F463" s="2133">
        <f t="shared" ref="F463:P463" si="113">B51</f>
        <v>0</v>
      </c>
      <c r="G463" s="2133">
        <f t="shared" si="113"/>
        <v>0</v>
      </c>
      <c r="H463" s="2133">
        <f t="shared" si="113"/>
        <v>0</v>
      </c>
      <c r="I463" s="2133">
        <f t="shared" si="113"/>
        <v>0</v>
      </c>
      <c r="J463" s="2133">
        <f t="shared" si="113"/>
        <v>0</v>
      </c>
      <c r="K463" s="2133">
        <f t="shared" si="113"/>
        <v>0</v>
      </c>
      <c r="L463" s="2133">
        <f t="shared" si="113"/>
        <v>0</v>
      </c>
      <c r="M463" s="2133">
        <f t="shared" si="113"/>
        <v>0</v>
      </c>
      <c r="N463" s="2133">
        <f t="shared" si="113"/>
        <v>0</v>
      </c>
      <c r="O463" s="2133">
        <f t="shared" si="113"/>
        <v>0</v>
      </c>
      <c r="P463" s="2133">
        <f t="shared" si="113"/>
        <v>0</v>
      </c>
      <c r="V463" s="2531"/>
      <c r="W463" s="2531"/>
      <c r="X463" s="2531"/>
      <c r="Y463" s="2531"/>
      <c r="Z463" s="2531"/>
      <c r="AA463" s="2531"/>
      <c r="AB463" s="2531"/>
      <c r="AC463" s="2531"/>
      <c r="AD463" s="2531"/>
      <c r="AE463" s="2531"/>
      <c r="AF463" s="2531"/>
      <c r="AG463" s="2531"/>
      <c r="AH463" s="2531"/>
      <c r="AI463" s="2531"/>
      <c r="AJ463" s="2531"/>
      <c r="AK463" s="2531"/>
      <c r="AL463" s="2531"/>
      <c r="AM463" s="2531"/>
      <c r="AN463" s="2531"/>
      <c r="AO463" s="2531"/>
      <c r="AP463" s="2531"/>
      <c r="AQ463" s="2531"/>
    </row>
    <row r="464" spans="1:43" s="2532" customFormat="1">
      <c r="A464" s="2133" t="str">
        <f t="shared" si="109"/>
        <v>B20</v>
      </c>
      <c r="B464" s="2133">
        <f t="shared" si="109"/>
        <v>0</v>
      </c>
      <c r="C464" s="2133">
        <f>F464*G464-H464*I464</f>
        <v>0</v>
      </c>
      <c r="D464" s="2133">
        <f>B464*C464</f>
        <v>0</v>
      </c>
      <c r="E464" s="2532">
        <f>B464*F464</f>
        <v>0</v>
      </c>
      <c r="F464" s="2133">
        <f t="shared" ref="F464:P464" si="114">B52</f>
        <v>0</v>
      </c>
      <c r="G464" s="2133">
        <f t="shared" si="114"/>
        <v>0</v>
      </c>
      <c r="H464" s="2133">
        <f t="shared" si="114"/>
        <v>0</v>
      </c>
      <c r="I464" s="2133">
        <f t="shared" si="114"/>
        <v>0</v>
      </c>
      <c r="J464" s="2133">
        <f t="shared" si="114"/>
        <v>0</v>
      </c>
      <c r="K464" s="2133">
        <f t="shared" si="114"/>
        <v>0</v>
      </c>
      <c r="L464" s="2133">
        <f t="shared" si="114"/>
        <v>0</v>
      </c>
      <c r="M464" s="2133">
        <f t="shared" si="114"/>
        <v>0</v>
      </c>
      <c r="N464" s="2133">
        <f t="shared" si="114"/>
        <v>0</v>
      </c>
      <c r="O464" s="2133">
        <f t="shared" si="114"/>
        <v>0</v>
      </c>
      <c r="P464" s="2133">
        <f t="shared" si="114"/>
        <v>0</v>
      </c>
      <c r="V464" s="2531"/>
      <c r="W464" s="2531"/>
      <c r="X464" s="2531"/>
      <c r="Y464" s="2531"/>
      <c r="Z464" s="2531"/>
      <c r="AA464" s="2531"/>
      <c r="AB464" s="2531"/>
      <c r="AC464" s="2531"/>
      <c r="AD464" s="2531"/>
      <c r="AE464" s="2531"/>
      <c r="AF464" s="2531"/>
      <c r="AG464" s="2531"/>
      <c r="AH464" s="2531"/>
      <c r="AI464" s="2531"/>
      <c r="AJ464" s="2531"/>
      <c r="AK464" s="2531"/>
      <c r="AL464" s="2531"/>
      <c r="AM464" s="2531"/>
      <c r="AN464" s="2531"/>
      <c r="AO464" s="2531"/>
      <c r="AP464" s="2531"/>
      <c r="AQ464" s="2531"/>
    </row>
    <row r="465" spans="1:43">
      <c r="A465" s="2133" t="str">
        <f t="shared" si="109"/>
        <v>RB</v>
      </c>
      <c r="B465" s="2133">
        <f t="shared" si="109"/>
        <v>33.700000000000003</v>
      </c>
      <c r="C465" s="2133">
        <f t="shared" si="106"/>
        <v>0.03</v>
      </c>
      <c r="D465" s="2145">
        <f t="shared" si="107"/>
        <v>1.0110000000000001</v>
      </c>
      <c r="E465" s="2086">
        <f t="shared" si="108"/>
        <v>5.0550000000000006</v>
      </c>
      <c r="F465" s="2133">
        <f t="shared" ref="F465:P465" si="115">B53</f>
        <v>0.15</v>
      </c>
      <c r="G465" s="2133">
        <f t="shared" si="115"/>
        <v>0.2</v>
      </c>
      <c r="H465" s="2133">
        <f t="shared" si="115"/>
        <v>0.15</v>
      </c>
      <c r="I465" s="2133">
        <f t="shared" si="115"/>
        <v>0</v>
      </c>
      <c r="J465" s="2133">
        <f t="shared" si="115"/>
        <v>0</v>
      </c>
      <c r="K465" s="2133">
        <f t="shared" si="115"/>
        <v>8</v>
      </c>
      <c r="L465" s="2133">
        <f t="shared" si="115"/>
        <v>0</v>
      </c>
      <c r="M465" s="2133">
        <f t="shared" si="115"/>
        <v>0</v>
      </c>
      <c r="N465" s="2133">
        <f t="shared" si="115"/>
        <v>0</v>
      </c>
      <c r="O465" s="2133">
        <f t="shared" si="115"/>
        <v>4</v>
      </c>
      <c r="P465" s="2133">
        <f t="shared" si="115"/>
        <v>0</v>
      </c>
      <c r="V465" s="2107"/>
      <c r="W465" s="2107"/>
      <c r="X465" s="2107"/>
      <c r="Y465" s="2107"/>
      <c r="Z465" s="2107"/>
      <c r="AA465" s="2107"/>
      <c r="AB465" s="2107"/>
      <c r="AC465" s="2107"/>
      <c r="AD465" s="2107"/>
      <c r="AE465" s="2107"/>
      <c r="AF465" s="2107"/>
      <c r="AG465" s="2107"/>
      <c r="AH465" s="2107"/>
      <c r="AI465" s="2107"/>
      <c r="AJ465" s="2107"/>
      <c r="AK465" s="2107"/>
      <c r="AL465" s="2107"/>
      <c r="AM465" s="2107"/>
      <c r="AN465" s="2107"/>
      <c r="AO465" s="2107"/>
      <c r="AP465" s="2107"/>
      <c r="AQ465" s="2107"/>
    </row>
    <row r="466" spans="1:43" ht="30">
      <c r="C466" s="2138" t="s">
        <v>2078</v>
      </c>
      <c r="D466" s="2184">
        <f>SUM(D445:D465)</f>
        <v>40.133500000000005</v>
      </c>
      <c r="E466" s="2086">
        <f>SUM(E445:E465)</f>
        <v>104.05500000000001</v>
      </c>
      <c r="V466" s="2107"/>
      <c r="W466" s="2107"/>
      <c r="X466" s="2107"/>
      <c r="Y466" s="2107"/>
      <c r="Z466" s="2107"/>
      <c r="AA466" s="2107"/>
      <c r="AB466" s="2107"/>
      <c r="AC466" s="2107"/>
      <c r="AD466" s="2107"/>
      <c r="AE466" s="2107"/>
      <c r="AF466" s="2107"/>
      <c r="AG466" s="2107"/>
      <c r="AH466" s="2107"/>
      <c r="AI466" s="2107"/>
      <c r="AJ466" s="2107"/>
      <c r="AK466" s="2107"/>
      <c r="AL466" s="2107"/>
      <c r="AM466" s="2107"/>
      <c r="AN466" s="2107"/>
      <c r="AO466" s="2107"/>
      <c r="AP466" s="2107"/>
      <c r="AQ466" s="2107"/>
    </row>
    <row r="467" spans="1:43">
      <c r="V467" s="2107"/>
      <c r="W467" s="2107"/>
      <c r="X467" s="2107"/>
      <c r="Y467" s="2107"/>
      <c r="Z467" s="2107"/>
      <c r="AA467" s="2107"/>
      <c r="AB467" s="2107"/>
      <c r="AC467" s="2107"/>
      <c r="AD467" s="2107"/>
      <c r="AE467" s="2107"/>
      <c r="AF467" s="2107"/>
      <c r="AG467" s="2107"/>
      <c r="AH467" s="2107"/>
      <c r="AI467" s="2107"/>
      <c r="AJ467" s="2107"/>
      <c r="AK467" s="2107"/>
      <c r="AL467" s="2107"/>
      <c r="AM467" s="2107"/>
      <c r="AN467" s="2107"/>
      <c r="AO467" s="2107"/>
      <c r="AP467" s="2107"/>
      <c r="AQ467" s="2107"/>
    </row>
    <row r="468" spans="1:43">
      <c r="A468" s="2831" t="s">
        <v>2006</v>
      </c>
      <c r="B468" s="2832"/>
      <c r="C468" s="2832"/>
      <c r="D468" s="2832"/>
      <c r="V468" s="2107"/>
      <c r="W468" s="2107"/>
      <c r="X468" s="2107"/>
      <c r="Y468" s="2107"/>
      <c r="Z468" s="2107"/>
      <c r="AA468" s="2107"/>
      <c r="AB468" s="2107"/>
      <c r="AC468" s="2107"/>
      <c r="AD468" s="2107"/>
      <c r="AE468" s="2107"/>
      <c r="AF468" s="2107"/>
      <c r="AG468" s="2107"/>
      <c r="AH468" s="2107"/>
      <c r="AI468" s="2107"/>
      <c r="AJ468" s="2107"/>
      <c r="AK468" s="2107"/>
      <c r="AL468" s="2107"/>
      <c r="AM468" s="2107"/>
      <c r="AN468" s="2107"/>
      <c r="AO468" s="2107"/>
      <c r="AP468" s="2107"/>
      <c r="AQ468" s="2107"/>
    </row>
    <row r="469" spans="1:43">
      <c r="A469" s="2133" t="s">
        <v>1796</v>
      </c>
      <c r="B469" s="2133" t="s">
        <v>2004</v>
      </c>
      <c r="C469" s="2133"/>
      <c r="D469" s="2133" t="s">
        <v>2007</v>
      </c>
      <c r="V469" s="2107"/>
      <c r="W469" s="2107"/>
      <c r="X469" s="2107"/>
      <c r="Y469" s="2107"/>
      <c r="Z469" s="2107"/>
      <c r="AA469" s="2107"/>
      <c r="AB469" s="2107"/>
      <c r="AC469" s="2107"/>
      <c r="AD469" s="2107"/>
      <c r="AE469" s="2107"/>
      <c r="AF469" s="2107"/>
      <c r="AG469" s="2107"/>
      <c r="AH469" s="2107"/>
      <c r="AI469" s="2107"/>
      <c r="AJ469" s="2107"/>
      <c r="AK469" s="2107"/>
      <c r="AL469" s="2107"/>
      <c r="AM469" s="2107"/>
      <c r="AN469" s="2107"/>
      <c r="AO469" s="2107"/>
      <c r="AP469" s="2107"/>
      <c r="AQ469" s="2107"/>
    </row>
    <row r="470" spans="1:43">
      <c r="A470" s="2133" t="str">
        <f t="shared" ref="A470:B484" si="116">A445</f>
        <v>B1</v>
      </c>
      <c r="B470" s="2133">
        <f t="shared" si="116"/>
        <v>318</v>
      </c>
      <c r="C470" s="2133">
        <f t="shared" ref="C470:C484" si="117">G445*2</f>
        <v>0.8</v>
      </c>
      <c r="D470" s="2133">
        <f t="shared" ref="D470:D490" si="118">B470*C470</f>
        <v>254.4</v>
      </c>
      <c r="V470" s="2107"/>
      <c r="W470" s="2107"/>
      <c r="X470" s="2107"/>
      <c r="Y470" s="2107"/>
      <c r="Z470" s="2107"/>
      <c r="AA470" s="2107"/>
      <c r="AB470" s="2107"/>
      <c r="AC470" s="2107"/>
      <c r="AD470" s="2107"/>
      <c r="AE470" s="2107"/>
      <c r="AF470" s="2107"/>
      <c r="AG470" s="2107"/>
      <c r="AH470" s="2107"/>
      <c r="AI470" s="2107"/>
      <c r="AJ470" s="2107"/>
      <c r="AK470" s="2107"/>
      <c r="AL470" s="2107"/>
      <c r="AM470" s="2107"/>
      <c r="AN470" s="2107"/>
      <c r="AO470" s="2107"/>
      <c r="AP470" s="2107"/>
      <c r="AQ470" s="2107"/>
    </row>
    <row r="471" spans="1:43">
      <c r="A471" s="2133" t="str">
        <f t="shared" si="116"/>
        <v>B2</v>
      </c>
      <c r="B471" s="2133">
        <f t="shared" si="116"/>
        <v>133</v>
      </c>
      <c r="C471" s="2133">
        <f t="shared" si="117"/>
        <v>1.1000000000000001</v>
      </c>
      <c r="D471" s="2133">
        <f t="shared" si="118"/>
        <v>146.30000000000001</v>
      </c>
      <c r="V471" s="2107"/>
      <c r="W471" s="2107"/>
      <c r="X471" s="2107"/>
      <c r="Y471" s="2107"/>
      <c r="Z471" s="2107"/>
      <c r="AA471" s="2107"/>
      <c r="AB471" s="2107"/>
      <c r="AC471" s="2107"/>
      <c r="AD471" s="2107"/>
      <c r="AE471" s="2107"/>
      <c r="AF471" s="2107"/>
      <c r="AG471" s="2107"/>
      <c r="AH471" s="2107"/>
      <c r="AI471" s="2107"/>
      <c r="AJ471" s="2107"/>
      <c r="AK471" s="2107"/>
      <c r="AL471" s="2107"/>
      <c r="AM471" s="2107"/>
      <c r="AN471" s="2107"/>
      <c r="AO471" s="2107"/>
      <c r="AP471" s="2107"/>
      <c r="AQ471" s="2107"/>
    </row>
    <row r="472" spans="1:43">
      <c r="A472" s="2133" t="str">
        <f t="shared" si="116"/>
        <v>B3</v>
      </c>
      <c r="B472" s="2133">
        <f t="shared" si="116"/>
        <v>2</v>
      </c>
      <c r="C472" s="2133">
        <f t="shared" si="117"/>
        <v>1.6</v>
      </c>
      <c r="D472" s="2133">
        <f t="shared" si="118"/>
        <v>3.2</v>
      </c>
      <c r="V472" s="2107"/>
      <c r="W472" s="2107"/>
      <c r="X472" s="2107"/>
      <c r="Y472" s="2107"/>
      <c r="Z472" s="2107"/>
      <c r="AA472" s="2107"/>
      <c r="AB472" s="2107"/>
      <c r="AC472" s="2107"/>
      <c r="AD472" s="2107"/>
      <c r="AE472" s="2107"/>
      <c r="AF472" s="2107"/>
      <c r="AG472" s="2107"/>
      <c r="AH472" s="2107"/>
      <c r="AI472" s="2107"/>
      <c r="AJ472" s="2107"/>
      <c r="AK472" s="2107"/>
      <c r="AL472" s="2107"/>
      <c r="AM472" s="2107"/>
      <c r="AN472" s="2107"/>
      <c r="AO472" s="2107"/>
      <c r="AP472" s="2107"/>
      <c r="AQ472" s="2107"/>
    </row>
    <row r="473" spans="1:43">
      <c r="A473" s="2133" t="str">
        <f t="shared" si="116"/>
        <v>B4</v>
      </c>
      <c r="B473" s="2133">
        <f t="shared" si="116"/>
        <v>101</v>
      </c>
      <c r="C473" s="2133">
        <f t="shared" si="117"/>
        <v>0.6</v>
      </c>
      <c r="D473" s="2133">
        <f t="shared" si="118"/>
        <v>60.599999999999994</v>
      </c>
      <c r="V473" s="2107"/>
      <c r="W473" s="2107"/>
      <c r="X473" s="2107"/>
      <c r="Y473" s="2107"/>
      <c r="Z473" s="2107"/>
      <c r="AA473" s="2107"/>
      <c r="AB473" s="2107"/>
      <c r="AC473" s="2107"/>
      <c r="AD473" s="2107"/>
      <c r="AE473" s="2107"/>
      <c r="AF473" s="2107"/>
      <c r="AG473" s="2107"/>
      <c r="AH473" s="2107"/>
      <c r="AI473" s="2107"/>
      <c r="AJ473" s="2107"/>
      <c r="AK473" s="2107"/>
      <c r="AL473" s="2107"/>
      <c r="AM473" s="2107"/>
      <c r="AN473" s="2107"/>
      <c r="AO473" s="2107"/>
      <c r="AP473" s="2107"/>
      <c r="AQ473" s="2107"/>
    </row>
    <row r="474" spans="1:43">
      <c r="A474" s="2133" t="str">
        <f t="shared" si="116"/>
        <v>B5</v>
      </c>
      <c r="B474" s="2133">
        <f t="shared" si="116"/>
        <v>0</v>
      </c>
      <c r="C474" s="2133">
        <f t="shared" si="117"/>
        <v>0</v>
      </c>
      <c r="D474" s="2133">
        <f t="shared" si="118"/>
        <v>0</v>
      </c>
      <c r="V474" s="2107"/>
      <c r="W474" s="2107"/>
      <c r="X474" s="2107"/>
      <c r="Y474" s="2107"/>
      <c r="Z474" s="2107"/>
      <c r="AA474" s="2107"/>
      <c r="AB474" s="2107"/>
      <c r="AC474" s="2107"/>
      <c r="AD474" s="2107"/>
      <c r="AE474" s="2107"/>
      <c r="AF474" s="2107"/>
      <c r="AG474" s="2107"/>
      <c r="AH474" s="2107"/>
      <c r="AI474" s="2107"/>
      <c r="AJ474" s="2107"/>
      <c r="AK474" s="2107"/>
      <c r="AL474" s="2107"/>
      <c r="AM474" s="2107"/>
      <c r="AN474" s="2107"/>
      <c r="AO474" s="2107"/>
      <c r="AP474" s="2107"/>
      <c r="AQ474" s="2107"/>
    </row>
    <row r="475" spans="1:43">
      <c r="A475" s="2133" t="str">
        <f t="shared" si="116"/>
        <v>B6</v>
      </c>
      <c r="B475" s="2133">
        <f t="shared" si="116"/>
        <v>0</v>
      </c>
      <c r="C475" s="2133">
        <f t="shared" si="117"/>
        <v>0</v>
      </c>
      <c r="D475" s="2133">
        <f t="shared" si="118"/>
        <v>0</v>
      </c>
      <c r="V475" s="2107"/>
      <c r="W475" s="2107"/>
      <c r="X475" s="2107"/>
      <c r="Y475" s="2107"/>
      <c r="Z475" s="2107"/>
      <c r="AA475" s="2107"/>
      <c r="AB475" s="2107"/>
      <c r="AC475" s="2107"/>
      <c r="AD475" s="2107"/>
      <c r="AE475" s="2107"/>
      <c r="AF475" s="2107"/>
      <c r="AG475" s="2107"/>
      <c r="AH475" s="2107"/>
      <c r="AI475" s="2107"/>
      <c r="AJ475" s="2107"/>
      <c r="AK475" s="2107"/>
      <c r="AL475" s="2107"/>
      <c r="AM475" s="2107"/>
      <c r="AN475" s="2107"/>
      <c r="AO475" s="2107"/>
      <c r="AP475" s="2107"/>
      <c r="AQ475" s="2107"/>
    </row>
    <row r="476" spans="1:43">
      <c r="A476" s="2133" t="str">
        <f t="shared" si="116"/>
        <v>B7</v>
      </c>
      <c r="B476" s="2133">
        <f t="shared" si="116"/>
        <v>0</v>
      </c>
      <c r="C476" s="2133">
        <f t="shared" si="117"/>
        <v>0</v>
      </c>
      <c r="D476" s="2133">
        <f t="shared" si="118"/>
        <v>0</v>
      </c>
      <c r="V476" s="2107"/>
      <c r="W476" s="2107"/>
      <c r="X476" s="2107"/>
      <c r="Y476" s="2107"/>
      <c r="Z476" s="2107"/>
      <c r="AA476" s="2107"/>
      <c r="AB476" s="2107"/>
      <c r="AC476" s="2107"/>
      <c r="AD476" s="2107"/>
      <c r="AE476" s="2107"/>
      <c r="AF476" s="2107"/>
      <c r="AG476" s="2107"/>
      <c r="AH476" s="2107"/>
      <c r="AI476" s="2107"/>
      <c r="AJ476" s="2107"/>
      <c r="AK476" s="2107"/>
      <c r="AL476" s="2107"/>
      <c r="AM476" s="2107"/>
      <c r="AN476" s="2107"/>
      <c r="AO476" s="2107"/>
      <c r="AP476" s="2107"/>
      <c r="AQ476" s="2107"/>
    </row>
    <row r="477" spans="1:43">
      <c r="A477" s="2133" t="str">
        <f t="shared" si="116"/>
        <v>B8</v>
      </c>
      <c r="B477" s="2133">
        <f t="shared" si="116"/>
        <v>0</v>
      </c>
      <c r="C477" s="2133">
        <f t="shared" si="117"/>
        <v>0</v>
      </c>
      <c r="D477" s="2133">
        <f t="shared" si="118"/>
        <v>0</v>
      </c>
      <c r="V477" s="2107"/>
      <c r="W477" s="2107"/>
      <c r="X477" s="2107"/>
      <c r="Y477" s="2107"/>
      <c r="Z477" s="2107"/>
      <c r="AA477" s="2107"/>
      <c r="AB477" s="2107"/>
      <c r="AC477" s="2107"/>
      <c r="AD477" s="2107"/>
      <c r="AE477" s="2107"/>
      <c r="AF477" s="2107"/>
      <c r="AG477" s="2107"/>
      <c r="AH477" s="2107"/>
      <c r="AI477" s="2107"/>
      <c r="AJ477" s="2107"/>
      <c r="AK477" s="2107"/>
      <c r="AL477" s="2107"/>
      <c r="AM477" s="2107"/>
      <c r="AN477" s="2107"/>
      <c r="AO477" s="2107"/>
      <c r="AP477" s="2107"/>
      <c r="AQ477" s="2107"/>
    </row>
    <row r="478" spans="1:43">
      <c r="A478" s="2133" t="str">
        <f t="shared" si="116"/>
        <v>B9</v>
      </c>
      <c r="B478" s="2133">
        <f t="shared" si="116"/>
        <v>0</v>
      </c>
      <c r="C478" s="2133">
        <f t="shared" si="117"/>
        <v>0</v>
      </c>
      <c r="D478" s="2133">
        <f t="shared" si="118"/>
        <v>0</v>
      </c>
      <c r="V478" s="2107"/>
      <c r="W478" s="2107"/>
      <c r="X478" s="2107"/>
      <c r="Y478" s="2107"/>
      <c r="Z478" s="2107"/>
      <c r="AA478" s="2107"/>
      <c r="AB478" s="2107"/>
      <c r="AC478" s="2107"/>
      <c r="AD478" s="2107"/>
      <c r="AE478" s="2107"/>
      <c r="AF478" s="2107"/>
      <c r="AG478" s="2107"/>
      <c r="AH478" s="2107"/>
      <c r="AI478" s="2107"/>
      <c r="AJ478" s="2107"/>
      <c r="AK478" s="2107"/>
      <c r="AL478" s="2107"/>
      <c r="AM478" s="2107"/>
      <c r="AN478" s="2107"/>
      <c r="AO478" s="2107"/>
      <c r="AP478" s="2107"/>
      <c r="AQ478" s="2107"/>
    </row>
    <row r="479" spans="1:43">
      <c r="A479" s="2133" t="str">
        <f t="shared" si="116"/>
        <v>B10</v>
      </c>
      <c r="B479" s="2133">
        <f t="shared" si="116"/>
        <v>0</v>
      </c>
      <c r="C479" s="2133">
        <f t="shared" si="117"/>
        <v>0</v>
      </c>
      <c r="D479" s="2133">
        <f t="shared" si="118"/>
        <v>0</v>
      </c>
      <c r="V479" s="2107"/>
      <c r="W479" s="2107"/>
      <c r="X479" s="2107"/>
      <c r="Y479" s="2107"/>
      <c r="Z479" s="2107"/>
      <c r="AA479" s="2107"/>
      <c r="AB479" s="2107"/>
      <c r="AC479" s="2107"/>
      <c r="AD479" s="2107"/>
      <c r="AE479" s="2107"/>
      <c r="AF479" s="2107"/>
      <c r="AG479" s="2107"/>
      <c r="AH479" s="2107"/>
      <c r="AI479" s="2107"/>
      <c r="AJ479" s="2107"/>
      <c r="AK479" s="2107"/>
      <c r="AL479" s="2107"/>
      <c r="AM479" s="2107"/>
      <c r="AN479" s="2107"/>
      <c r="AO479" s="2107"/>
      <c r="AP479" s="2107"/>
      <c r="AQ479" s="2107"/>
    </row>
    <row r="480" spans="1:43">
      <c r="A480" s="2133" t="str">
        <f t="shared" si="116"/>
        <v>B11</v>
      </c>
      <c r="B480" s="2133">
        <f t="shared" si="116"/>
        <v>0</v>
      </c>
      <c r="C480" s="2133">
        <f t="shared" si="117"/>
        <v>0</v>
      </c>
      <c r="D480" s="2133">
        <f t="shared" si="118"/>
        <v>0</v>
      </c>
      <c r="V480" s="2107"/>
      <c r="W480" s="2107"/>
      <c r="X480" s="2107"/>
      <c r="Y480" s="2107"/>
      <c r="Z480" s="2107"/>
      <c r="AA480" s="2107"/>
      <c r="AB480" s="2107"/>
      <c r="AC480" s="2107"/>
      <c r="AD480" s="2107"/>
      <c r="AE480" s="2107"/>
      <c r="AF480" s="2107"/>
      <c r="AG480" s="2107"/>
      <c r="AH480" s="2107"/>
      <c r="AI480" s="2107"/>
      <c r="AJ480" s="2107"/>
      <c r="AK480" s="2107"/>
      <c r="AL480" s="2107"/>
      <c r="AM480" s="2107"/>
      <c r="AN480" s="2107"/>
      <c r="AO480" s="2107"/>
      <c r="AP480" s="2107"/>
      <c r="AQ480" s="2107"/>
    </row>
    <row r="481" spans="1:43">
      <c r="A481" s="2133" t="str">
        <f t="shared" si="116"/>
        <v>B12</v>
      </c>
      <c r="B481" s="2133">
        <f t="shared" si="116"/>
        <v>0</v>
      </c>
      <c r="C481" s="2133">
        <f t="shared" si="117"/>
        <v>0</v>
      </c>
      <c r="D481" s="2133">
        <f t="shared" si="118"/>
        <v>0</v>
      </c>
      <c r="V481" s="2107"/>
      <c r="W481" s="2107"/>
      <c r="X481" s="2107"/>
      <c r="Y481" s="2107"/>
      <c r="Z481" s="2107"/>
      <c r="AA481" s="2107"/>
      <c r="AB481" s="2107"/>
      <c r="AC481" s="2107"/>
      <c r="AD481" s="2107"/>
      <c r="AE481" s="2107"/>
      <c r="AF481" s="2107"/>
      <c r="AG481" s="2107"/>
      <c r="AH481" s="2107"/>
      <c r="AI481" s="2107"/>
      <c r="AJ481" s="2107"/>
      <c r="AK481" s="2107"/>
      <c r="AL481" s="2107"/>
      <c r="AM481" s="2107"/>
      <c r="AN481" s="2107"/>
      <c r="AO481" s="2107"/>
      <c r="AP481" s="2107"/>
      <c r="AQ481" s="2107"/>
    </row>
    <row r="482" spans="1:43">
      <c r="A482" s="2133" t="str">
        <f t="shared" si="116"/>
        <v>B13</v>
      </c>
      <c r="B482" s="2133">
        <f t="shared" si="116"/>
        <v>0</v>
      </c>
      <c r="C482" s="2133">
        <f t="shared" si="117"/>
        <v>0</v>
      </c>
      <c r="D482" s="2133">
        <f t="shared" si="118"/>
        <v>0</v>
      </c>
      <c r="V482" s="2107"/>
      <c r="W482" s="2107"/>
      <c r="X482" s="2107"/>
      <c r="Y482" s="2107"/>
      <c r="Z482" s="2107"/>
      <c r="AA482" s="2107"/>
      <c r="AB482" s="2107"/>
      <c r="AC482" s="2107"/>
      <c r="AD482" s="2107"/>
      <c r="AE482" s="2107"/>
      <c r="AF482" s="2107"/>
      <c r="AG482" s="2107"/>
      <c r="AH482" s="2107"/>
      <c r="AI482" s="2107"/>
      <c r="AJ482" s="2107"/>
      <c r="AK482" s="2107"/>
      <c r="AL482" s="2107"/>
      <c r="AM482" s="2107"/>
      <c r="AN482" s="2107"/>
      <c r="AO482" s="2107"/>
      <c r="AP482" s="2107"/>
      <c r="AQ482" s="2107"/>
    </row>
    <row r="483" spans="1:43">
      <c r="A483" s="2133" t="str">
        <f t="shared" si="116"/>
        <v>B14</v>
      </c>
      <c r="B483" s="2133">
        <f t="shared" si="116"/>
        <v>0</v>
      </c>
      <c r="C483" s="2133">
        <f t="shared" si="117"/>
        <v>0</v>
      </c>
      <c r="D483" s="2133">
        <f t="shared" si="118"/>
        <v>0</v>
      </c>
      <c r="V483" s="2107"/>
      <c r="W483" s="2107"/>
      <c r="X483" s="2107"/>
      <c r="Y483" s="2107"/>
      <c r="Z483" s="2107"/>
      <c r="AA483" s="2107"/>
      <c r="AB483" s="2107"/>
      <c r="AC483" s="2107"/>
      <c r="AD483" s="2107"/>
      <c r="AE483" s="2107"/>
      <c r="AF483" s="2107"/>
      <c r="AG483" s="2107"/>
      <c r="AH483" s="2107"/>
      <c r="AI483" s="2107"/>
      <c r="AJ483" s="2107"/>
      <c r="AK483" s="2107"/>
      <c r="AL483" s="2107"/>
      <c r="AM483" s="2107"/>
      <c r="AN483" s="2107"/>
      <c r="AO483" s="2107"/>
      <c r="AP483" s="2107"/>
      <c r="AQ483" s="2107"/>
    </row>
    <row r="484" spans="1:43">
      <c r="A484" s="2133" t="str">
        <f t="shared" si="116"/>
        <v>B15</v>
      </c>
      <c r="B484" s="2133">
        <f t="shared" si="116"/>
        <v>0</v>
      </c>
      <c r="C484" s="2133">
        <f t="shared" si="117"/>
        <v>0</v>
      </c>
      <c r="D484" s="2133">
        <f t="shared" si="118"/>
        <v>0</v>
      </c>
      <c r="V484" s="2107"/>
      <c r="W484" s="2107"/>
      <c r="X484" s="2107"/>
      <c r="Y484" s="2107"/>
      <c r="Z484" s="2107"/>
      <c r="AA484" s="2107"/>
      <c r="AB484" s="2107"/>
      <c r="AC484" s="2107"/>
      <c r="AD484" s="2107"/>
      <c r="AE484" s="2107"/>
      <c r="AF484" s="2107"/>
      <c r="AG484" s="2107"/>
      <c r="AH484" s="2107"/>
      <c r="AI484" s="2107"/>
      <c r="AJ484" s="2107"/>
      <c r="AK484" s="2107"/>
      <c r="AL484" s="2107"/>
      <c r="AM484" s="2107"/>
      <c r="AN484" s="2107"/>
      <c r="AO484" s="2107"/>
      <c r="AP484" s="2107"/>
      <c r="AQ484" s="2107"/>
    </row>
    <row r="485" spans="1:43" s="2532" customFormat="1">
      <c r="A485" s="2133" t="str">
        <f t="shared" ref="A485:B490" si="119">A460</f>
        <v>B16</v>
      </c>
      <c r="B485" s="2133">
        <f t="shared" si="119"/>
        <v>0</v>
      </c>
      <c r="C485" s="2133">
        <f t="shared" ref="C485:C490" si="120">G460*2</f>
        <v>0</v>
      </c>
      <c r="D485" s="2133">
        <f>B485*C485</f>
        <v>0</v>
      </c>
      <c r="V485" s="2531"/>
      <c r="W485" s="2531"/>
      <c r="X485" s="2531"/>
      <c r="Y485" s="2531"/>
      <c r="Z485" s="2531"/>
      <c r="AA485" s="2531"/>
      <c r="AB485" s="2531"/>
      <c r="AC485" s="2531"/>
      <c r="AD485" s="2531"/>
      <c r="AE485" s="2531"/>
      <c r="AF485" s="2531"/>
      <c r="AG485" s="2531"/>
      <c r="AH485" s="2531"/>
      <c r="AI485" s="2531"/>
      <c r="AJ485" s="2531"/>
      <c r="AK485" s="2531"/>
      <c r="AL485" s="2531"/>
      <c r="AM485" s="2531"/>
      <c r="AN485" s="2531"/>
      <c r="AO485" s="2531"/>
      <c r="AP485" s="2531"/>
      <c r="AQ485" s="2531"/>
    </row>
    <row r="486" spans="1:43" s="2532" customFormat="1">
      <c r="A486" s="2133" t="str">
        <f t="shared" si="119"/>
        <v>B17</v>
      </c>
      <c r="B486" s="2133">
        <f t="shared" si="119"/>
        <v>0</v>
      </c>
      <c r="C486" s="2133">
        <f t="shared" si="120"/>
        <v>0</v>
      </c>
      <c r="D486" s="2133">
        <f>B486*C486</f>
        <v>0</v>
      </c>
      <c r="V486" s="2531"/>
      <c r="W486" s="2531"/>
      <c r="X486" s="2531"/>
      <c r="Y486" s="2531"/>
      <c r="Z486" s="2531"/>
      <c r="AA486" s="2531"/>
      <c r="AB486" s="2531"/>
      <c r="AC486" s="2531"/>
      <c r="AD486" s="2531"/>
      <c r="AE486" s="2531"/>
      <c r="AF486" s="2531"/>
      <c r="AG486" s="2531"/>
      <c r="AH486" s="2531"/>
      <c r="AI486" s="2531"/>
      <c r="AJ486" s="2531"/>
      <c r="AK486" s="2531"/>
      <c r="AL486" s="2531"/>
      <c r="AM486" s="2531"/>
      <c r="AN486" s="2531"/>
      <c r="AO486" s="2531"/>
      <c r="AP486" s="2531"/>
      <c r="AQ486" s="2531"/>
    </row>
    <row r="487" spans="1:43" s="2532" customFormat="1">
      <c r="A487" s="2133" t="str">
        <f t="shared" si="119"/>
        <v>B18</v>
      </c>
      <c r="B487" s="2133">
        <f t="shared" si="119"/>
        <v>0</v>
      </c>
      <c r="C487" s="2133">
        <f t="shared" si="120"/>
        <v>0</v>
      </c>
      <c r="D487" s="2133">
        <f>B487*C487</f>
        <v>0</v>
      </c>
      <c r="V487" s="2531"/>
      <c r="W487" s="2531"/>
      <c r="X487" s="2531"/>
      <c r="Y487" s="2531"/>
      <c r="Z487" s="2531"/>
      <c r="AA487" s="2531"/>
      <c r="AB487" s="2531"/>
      <c r="AC487" s="2531"/>
      <c r="AD487" s="2531"/>
      <c r="AE487" s="2531"/>
      <c r="AF487" s="2531"/>
      <c r="AG487" s="2531"/>
      <c r="AH487" s="2531"/>
      <c r="AI487" s="2531"/>
      <c r="AJ487" s="2531"/>
      <c r="AK487" s="2531"/>
      <c r="AL487" s="2531"/>
      <c r="AM487" s="2531"/>
      <c r="AN487" s="2531"/>
      <c r="AO487" s="2531"/>
      <c r="AP487" s="2531"/>
      <c r="AQ487" s="2531"/>
    </row>
    <row r="488" spans="1:43" s="2532" customFormat="1">
      <c r="A488" s="2133" t="str">
        <f t="shared" si="119"/>
        <v>B19</v>
      </c>
      <c r="B488" s="2133">
        <f t="shared" si="119"/>
        <v>0</v>
      </c>
      <c r="C488" s="2133">
        <f t="shared" si="120"/>
        <v>0</v>
      </c>
      <c r="D488" s="2133">
        <f>B488*C488</f>
        <v>0</v>
      </c>
      <c r="V488" s="2531"/>
      <c r="W488" s="2531"/>
      <c r="X488" s="2531"/>
      <c r="Y488" s="2531"/>
      <c r="Z488" s="2531"/>
      <c r="AA488" s="2531"/>
      <c r="AB488" s="2531"/>
      <c r="AC488" s="2531"/>
      <c r="AD488" s="2531"/>
      <c r="AE488" s="2531"/>
      <c r="AF488" s="2531"/>
      <c r="AG488" s="2531"/>
      <c r="AH488" s="2531"/>
      <c r="AI488" s="2531"/>
      <c r="AJ488" s="2531"/>
      <c r="AK488" s="2531"/>
      <c r="AL488" s="2531"/>
      <c r="AM488" s="2531"/>
      <c r="AN488" s="2531"/>
      <c r="AO488" s="2531"/>
      <c r="AP488" s="2531"/>
      <c r="AQ488" s="2531"/>
    </row>
    <row r="489" spans="1:43" s="2532" customFormat="1">
      <c r="A489" s="2133" t="str">
        <f t="shared" si="119"/>
        <v>B20</v>
      </c>
      <c r="B489" s="2133">
        <f t="shared" si="119"/>
        <v>0</v>
      </c>
      <c r="C489" s="2133">
        <f t="shared" si="120"/>
        <v>0</v>
      </c>
      <c r="D489" s="2133">
        <f>B489*C489</f>
        <v>0</v>
      </c>
      <c r="V489" s="2531"/>
      <c r="W489" s="2531"/>
      <c r="X489" s="2531"/>
      <c r="Y489" s="2531"/>
      <c r="Z489" s="2531"/>
      <c r="AA489" s="2531"/>
      <c r="AB489" s="2531"/>
      <c r="AC489" s="2531"/>
      <c r="AD489" s="2531"/>
      <c r="AE489" s="2531"/>
      <c r="AF489" s="2531"/>
      <c r="AG489" s="2531"/>
      <c r="AH489" s="2531"/>
      <c r="AI489" s="2531"/>
      <c r="AJ489" s="2531"/>
      <c r="AK489" s="2531"/>
      <c r="AL489" s="2531"/>
      <c r="AM489" s="2531"/>
      <c r="AN489" s="2531"/>
      <c r="AO489" s="2531"/>
      <c r="AP489" s="2531"/>
      <c r="AQ489" s="2531"/>
    </row>
    <row r="490" spans="1:43">
      <c r="A490" s="2133" t="str">
        <f t="shared" si="119"/>
        <v>RB</v>
      </c>
      <c r="B490" s="2133">
        <f t="shared" si="119"/>
        <v>33.700000000000003</v>
      </c>
      <c r="C490" s="2133">
        <f t="shared" si="120"/>
        <v>0.4</v>
      </c>
      <c r="D490" s="2133">
        <f t="shared" si="118"/>
        <v>13.480000000000002</v>
      </c>
      <c r="V490" s="2107"/>
      <c r="W490" s="2107"/>
      <c r="X490" s="2107"/>
      <c r="Y490" s="2107"/>
      <c r="Z490" s="2107"/>
      <c r="AA490" s="2107"/>
      <c r="AB490" s="2107"/>
      <c r="AC490" s="2107"/>
      <c r="AD490" s="2107"/>
      <c r="AE490" s="2107"/>
      <c r="AF490" s="2107"/>
      <c r="AG490" s="2107"/>
      <c r="AH490" s="2107"/>
      <c r="AI490" s="2107"/>
      <c r="AJ490" s="2107"/>
      <c r="AK490" s="2107"/>
      <c r="AL490" s="2107"/>
      <c r="AM490" s="2107"/>
      <c r="AN490" s="2107"/>
      <c r="AO490" s="2107"/>
      <c r="AP490" s="2107"/>
      <c r="AQ490" s="2107"/>
    </row>
    <row r="491" spans="1:43" ht="30">
      <c r="C491" s="2138" t="s">
        <v>2076</v>
      </c>
      <c r="D491" s="2183">
        <f>SUM(D470:D490)</f>
        <v>477.98</v>
      </c>
      <c r="V491" s="2107"/>
      <c r="W491" s="2107"/>
      <c r="X491" s="2107"/>
      <c r="Y491" s="2107"/>
      <c r="Z491" s="2107"/>
      <c r="AA491" s="2107"/>
      <c r="AB491" s="2107"/>
      <c r="AC491" s="2107"/>
      <c r="AD491" s="2107"/>
      <c r="AE491" s="2107"/>
      <c r="AF491" s="2107"/>
      <c r="AG491" s="2107"/>
      <c r="AH491" s="2107"/>
      <c r="AI491" s="2107"/>
      <c r="AJ491" s="2107"/>
      <c r="AK491" s="2107"/>
      <c r="AL491" s="2107"/>
      <c r="AM491" s="2107"/>
      <c r="AN491" s="2107"/>
      <c r="AO491" s="2107"/>
      <c r="AP491" s="2107"/>
      <c r="AQ491" s="2107"/>
    </row>
    <row r="493" spans="1:43">
      <c r="A493" s="2831" t="s">
        <v>2392</v>
      </c>
      <c r="B493" s="2832"/>
      <c r="C493" s="2832"/>
      <c r="D493" s="2832"/>
      <c r="E493" s="2832"/>
      <c r="F493" s="2832"/>
      <c r="G493" s="2836"/>
      <c r="H493" s="2831" t="s">
        <v>1568</v>
      </c>
      <c r="I493" s="2832"/>
      <c r="J493" s="2832"/>
      <c r="K493" s="2832"/>
      <c r="L493" s="2836"/>
      <c r="N493" s="2831" t="s">
        <v>1610</v>
      </c>
      <c r="O493" s="2832"/>
      <c r="P493" s="2832"/>
      <c r="Q493" s="2832"/>
      <c r="R493" s="2836"/>
      <c r="U493" s="2107"/>
      <c r="V493" s="2107"/>
      <c r="W493" s="2107"/>
      <c r="X493" s="2107"/>
      <c r="Y493" s="2107"/>
      <c r="Z493" s="2107"/>
      <c r="AA493" s="2107"/>
      <c r="AB493" s="2107"/>
      <c r="AC493" s="2107"/>
      <c r="AD493" s="2107"/>
      <c r="AE493" s="2107"/>
      <c r="AF493" s="2107"/>
      <c r="AG493" s="2107"/>
      <c r="AH493" s="2107"/>
      <c r="AI493" s="2107"/>
      <c r="AJ493" s="2107"/>
      <c r="AK493" s="2107"/>
      <c r="AL493" s="2107"/>
      <c r="AM493" s="2107"/>
      <c r="AN493" s="2107"/>
      <c r="AO493" s="2107"/>
      <c r="AP493" s="2107"/>
    </row>
    <row r="494" spans="1:43" ht="15">
      <c r="A494" s="2087" t="s">
        <v>1796</v>
      </c>
      <c r="B494" s="2154" t="s">
        <v>2004</v>
      </c>
      <c r="C494" s="2087" t="s">
        <v>1609</v>
      </c>
      <c r="D494" s="2088" t="s">
        <v>2098</v>
      </c>
      <c r="E494" s="2187" t="s">
        <v>2099</v>
      </c>
      <c r="F494" s="2088" t="s">
        <v>2440</v>
      </c>
      <c r="G494" s="2087" t="s">
        <v>2107</v>
      </c>
      <c r="H494" s="2087" t="s">
        <v>2100</v>
      </c>
      <c r="I494" s="2087" t="s">
        <v>2101</v>
      </c>
      <c r="J494" s="2087" t="s">
        <v>2102</v>
      </c>
      <c r="K494" s="2087" t="s">
        <v>2103</v>
      </c>
      <c r="L494" s="2087" t="s">
        <v>2104</v>
      </c>
      <c r="N494" s="2133" t="s">
        <v>1607</v>
      </c>
      <c r="O494" s="2133" t="s">
        <v>1611</v>
      </c>
      <c r="P494" s="2133" t="s">
        <v>1168</v>
      </c>
      <c r="Q494" s="2133" t="s">
        <v>1205</v>
      </c>
      <c r="R494" s="2133" t="s">
        <v>1243</v>
      </c>
      <c r="U494" s="2107"/>
      <c r="V494" s="2107"/>
      <c r="W494" s="2107"/>
      <c r="X494" s="2107"/>
      <c r="Y494" s="2107"/>
      <c r="Z494" s="2107"/>
      <c r="AA494" s="2107"/>
      <c r="AB494" s="2107"/>
      <c r="AC494" s="2107"/>
      <c r="AD494" s="2107"/>
      <c r="AE494" s="2107"/>
      <c r="AF494" s="2107"/>
      <c r="AG494" s="2107"/>
      <c r="AH494" s="2107"/>
      <c r="AI494" s="2107"/>
      <c r="AJ494" s="2107"/>
      <c r="AK494" s="2107"/>
      <c r="AL494" s="2107"/>
      <c r="AM494" s="2107"/>
      <c r="AN494" s="2107"/>
      <c r="AO494" s="2107"/>
      <c r="AP494" s="2107"/>
    </row>
    <row r="495" spans="1:43">
      <c r="A495" s="2134" t="s">
        <v>187</v>
      </c>
      <c r="B495" s="2300">
        <f t="shared" ref="B495:B514" si="121">N33</f>
        <v>0</v>
      </c>
      <c r="C495" s="2246">
        <f t="shared" ref="C495:C509" si="122">C418</f>
        <v>10</v>
      </c>
      <c r="D495" s="2244">
        <f>D418</f>
        <v>0</v>
      </c>
      <c r="E495" s="2244">
        <f>E418</f>
        <v>0</v>
      </c>
      <c r="F495" s="2244">
        <f>F418</f>
        <v>0</v>
      </c>
      <c r="G495" s="2244">
        <f>G418</f>
        <v>0</v>
      </c>
      <c r="H495" s="2133">
        <f t="shared" ref="H495:H515" si="123">B495*C495</f>
        <v>0</v>
      </c>
      <c r="I495" s="2133">
        <f>B495*D495</f>
        <v>0</v>
      </c>
      <c r="J495" s="2133">
        <f t="shared" ref="J495:J515" si="124">B495*E495</f>
        <v>0</v>
      </c>
      <c r="K495" s="2133">
        <f>B495*F495</f>
        <v>0</v>
      </c>
      <c r="L495" s="2133">
        <f t="shared" ref="L495:L515" si="125">B495*G495</f>
        <v>0</v>
      </c>
      <c r="N495" s="2133">
        <f t="shared" ref="N495:N515" si="126">(B495/2)/0.2</f>
        <v>0</v>
      </c>
      <c r="O495" s="2133">
        <f t="shared" ref="O495:O515" si="127">(B495/2)/0.1</f>
        <v>0</v>
      </c>
      <c r="P495" s="2133">
        <f t="shared" ref="P495:P515" si="128">SUM(N495:O495)</f>
        <v>0</v>
      </c>
      <c r="Q495" s="2133">
        <f t="shared" ref="Q495:Q509" si="129">Q418</f>
        <v>1</v>
      </c>
      <c r="R495" s="2133">
        <f t="shared" ref="R495:R515" si="130">P495*Q495</f>
        <v>0</v>
      </c>
      <c r="U495" s="2107"/>
      <c r="V495" s="2107"/>
      <c r="W495" s="2107"/>
      <c r="X495" s="2107"/>
      <c r="Y495" s="2107"/>
      <c r="Z495" s="2107"/>
      <c r="AA495" s="2107"/>
      <c r="AB495" s="2107"/>
      <c r="AC495" s="2107"/>
      <c r="AD495" s="2107"/>
      <c r="AE495" s="2107"/>
      <c r="AF495" s="2107"/>
      <c r="AG495" s="2107"/>
      <c r="AH495" s="2107"/>
      <c r="AI495" s="2107"/>
      <c r="AJ495" s="2107"/>
      <c r="AK495" s="2107"/>
      <c r="AL495" s="2107"/>
      <c r="AM495" s="2107"/>
      <c r="AN495" s="2107"/>
      <c r="AO495" s="2107"/>
      <c r="AP495" s="2107"/>
    </row>
    <row r="496" spans="1:43">
      <c r="A496" s="2134" t="s">
        <v>173</v>
      </c>
      <c r="B496" s="2300">
        <f t="shared" si="121"/>
        <v>0</v>
      </c>
      <c r="C496" s="2246">
        <f t="shared" si="122"/>
        <v>10</v>
      </c>
      <c r="D496" s="2244">
        <f t="shared" ref="D496:G509" si="131">D419</f>
        <v>0</v>
      </c>
      <c r="E496" s="2244">
        <f t="shared" si="131"/>
        <v>0</v>
      </c>
      <c r="F496" s="2244">
        <f t="shared" si="131"/>
        <v>1</v>
      </c>
      <c r="G496" s="2244">
        <f t="shared" si="131"/>
        <v>0</v>
      </c>
      <c r="H496" s="2133">
        <f t="shared" si="123"/>
        <v>0</v>
      </c>
      <c r="I496" s="2133">
        <f t="shared" ref="I496:I515" si="132">B496*D496</f>
        <v>0</v>
      </c>
      <c r="J496" s="2133">
        <f t="shared" si="124"/>
        <v>0</v>
      </c>
      <c r="K496" s="2133">
        <f t="shared" ref="K496:K515" si="133">B496*F496</f>
        <v>0</v>
      </c>
      <c r="L496" s="2133">
        <f t="shared" si="125"/>
        <v>0</v>
      </c>
      <c r="N496" s="2133">
        <f t="shared" si="126"/>
        <v>0</v>
      </c>
      <c r="O496" s="2133">
        <f t="shared" si="127"/>
        <v>0</v>
      </c>
      <c r="P496" s="2133">
        <f t="shared" si="128"/>
        <v>0</v>
      </c>
      <c r="Q496" s="2133">
        <f t="shared" si="129"/>
        <v>1.1000000000000001</v>
      </c>
      <c r="R496" s="2133">
        <f t="shared" si="130"/>
        <v>0</v>
      </c>
      <c r="U496" s="2107"/>
      <c r="V496" s="2107"/>
      <c r="W496" s="2107"/>
      <c r="X496" s="2107"/>
      <c r="Y496" s="2107"/>
      <c r="Z496" s="2107"/>
      <c r="AA496" s="2107"/>
      <c r="AB496" s="2107"/>
      <c r="AC496" s="2107"/>
      <c r="AD496" s="2107"/>
      <c r="AE496" s="2107"/>
      <c r="AF496" s="2107"/>
      <c r="AG496" s="2107"/>
      <c r="AH496" s="2107"/>
      <c r="AI496" s="2107"/>
      <c r="AJ496" s="2107"/>
      <c r="AK496" s="2107"/>
      <c r="AL496" s="2107"/>
      <c r="AM496" s="2107"/>
      <c r="AN496" s="2107"/>
      <c r="AO496" s="2107"/>
      <c r="AP496" s="2107"/>
    </row>
    <row r="497" spans="1:42">
      <c r="A497" s="2134" t="s">
        <v>172</v>
      </c>
      <c r="B497" s="2300">
        <f t="shared" si="121"/>
        <v>0</v>
      </c>
      <c r="C497" s="2246">
        <f t="shared" si="122"/>
        <v>10</v>
      </c>
      <c r="D497" s="2244">
        <f t="shared" si="131"/>
        <v>0</v>
      </c>
      <c r="E497" s="2244">
        <f t="shared" si="131"/>
        <v>0</v>
      </c>
      <c r="F497" s="2244">
        <f t="shared" si="131"/>
        <v>3</v>
      </c>
      <c r="G497" s="2244">
        <f t="shared" si="131"/>
        <v>0</v>
      </c>
      <c r="H497" s="2133">
        <f t="shared" si="123"/>
        <v>0</v>
      </c>
      <c r="I497" s="2133">
        <f t="shared" si="132"/>
        <v>0</v>
      </c>
      <c r="J497" s="2133">
        <f t="shared" si="124"/>
        <v>0</v>
      </c>
      <c r="K497" s="2133">
        <f t="shared" si="133"/>
        <v>0</v>
      </c>
      <c r="L497" s="2133">
        <f t="shared" si="125"/>
        <v>0</v>
      </c>
      <c r="N497" s="2133">
        <f t="shared" si="126"/>
        <v>0</v>
      </c>
      <c r="O497" s="2133">
        <f t="shared" si="127"/>
        <v>0</v>
      </c>
      <c r="P497" s="2133">
        <f t="shared" si="128"/>
        <v>0</v>
      </c>
      <c r="Q497" s="2133">
        <f t="shared" si="129"/>
        <v>1.35</v>
      </c>
      <c r="R497" s="2133">
        <f t="shared" si="130"/>
        <v>0</v>
      </c>
      <c r="U497" s="2107"/>
      <c r="V497" s="2107"/>
      <c r="W497" s="2107"/>
      <c r="X497" s="2107"/>
      <c r="Y497" s="2107"/>
      <c r="Z497" s="2107"/>
      <c r="AA497" s="2107"/>
      <c r="AB497" s="2107"/>
      <c r="AC497" s="2107"/>
      <c r="AD497" s="2107"/>
      <c r="AE497" s="2107"/>
      <c r="AF497" s="2107"/>
      <c r="AG497" s="2107"/>
      <c r="AH497" s="2107"/>
      <c r="AI497" s="2107"/>
      <c r="AJ497" s="2107"/>
      <c r="AK497" s="2107"/>
      <c r="AL497" s="2107"/>
      <c r="AM497" s="2107"/>
      <c r="AN497" s="2107"/>
      <c r="AO497" s="2107"/>
      <c r="AP497" s="2107"/>
    </row>
    <row r="498" spans="1:42">
      <c r="A498" s="2134" t="s">
        <v>174</v>
      </c>
      <c r="B498" s="2300">
        <f t="shared" si="121"/>
        <v>0</v>
      </c>
      <c r="C498" s="2246">
        <f t="shared" si="122"/>
        <v>6</v>
      </c>
      <c r="D498" s="2244">
        <f t="shared" si="131"/>
        <v>0</v>
      </c>
      <c r="E498" s="2244">
        <f t="shared" si="131"/>
        <v>0</v>
      </c>
      <c r="F498" s="2244">
        <f t="shared" si="131"/>
        <v>4</v>
      </c>
      <c r="G498" s="2244">
        <f t="shared" si="131"/>
        <v>0</v>
      </c>
      <c r="H498" s="2133">
        <f t="shared" si="123"/>
        <v>0</v>
      </c>
      <c r="I498" s="2133">
        <f t="shared" si="132"/>
        <v>0</v>
      </c>
      <c r="J498" s="2133">
        <f t="shared" si="124"/>
        <v>0</v>
      </c>
      <c r="K498" s="2133">
        <f t="shared" si="133"/>
        <v>0</v>
      </c>
      <c r="L498" s="2133">
        <f t="shared" si="125"/>
        <v>0</v>
      </c>
      <c r="N498" s="2133">
        <f t="shared" si="126"/>
        <v>0</v>
      </c>
      <c r="O498" s="2133">
        <f t="shared" si="127"/>
        <v>0</v>
      </c>
      <c r="P498" s="2133">
        <f t="shared" si="128"/>
        <v>0</v>
      </c>
      <c r="Q498" s="2133">
        <f t="shared" si="129"/>
        <v>0.7</v>
      </c>
      <c r="R498" s="2133">
        <f t="shared" si="130"/>
        <v>0</v>
      </c>
      <c r="U498" s="2107"/>
      <c r="V498" s="2107"/>
      <c r="W498" s="2107"/>
      <c r="X498" s="2107"/>
      <c r="Y498" s="2107"/>
      <c r="Z498" s="2107"/>
      <c r="AA498" s="2107"/>
      <c r="AB498" s="2107"/>
      <c r="AC498" s="2107"/>
      <c r="AD498" s="2107"/>
      <c r="AE498" s="2107"/>
      <c r="AF498" s="2107"/>
      <c r="AG498" s="2107"/>
      <c r="AH498" s="2107"/>
      <c r="AI498" s="2107"/>
      <c r="AJ498" s="2107"/>
      <c r="AK498" s="2107"/>
      <c r="AL498" s="2107"/>
      <c r="AM498" s="2107"/>
      <c r="AN498" s="2107"/>
      <c r="AO498" s="2107"/>
      <c r="AP498" s="2107"/>
    </row>
    <row r="499" spans="1:42">
      <c r="A499" s="2134" t="s">
        <v>188</v>
      </c>
      <c r="B499" s="2300">
        <f t="shared" si="121"/>
        <v>0</v>
      </c>
      <c r="C499" s="2246">
        <f t="shared" si="122"/>
        <v>0</v>
      </c>
      <c r="D499" s="2244">
        <f t="shared" si="131"/>
        <v>0</v>
      </c>
      <c r="E499" s="2244">
        <f t="shared" si="131"/>
        <v>0</v>
      </c>
      <c r="F499" s="2244">
        <f t="shared" si="131"/>
        <v>0</v>
      </c>
      <c r="G499" s="2244">
        <f t="shared" si="131"/>
        <v>0</v>
      </c>
      <c r="H499" s="2133">
        <f t="shared" si="123"/>
        <v>0</v>
      </c>
      <c r="I499" s="2133">
        <f t="shared" si="132"/>
        <v>0</v>
      </c>
      <c r="J499" s="2133">
        <f t="shared" si="124"/>
        <v>0</v>
      </c>
      <c r="K499" s="2133">
        <f t="shared" si="133"/>
        <v>0</v>
      </c>
      <c r="L499" s="2133">
        <f t="shared" si="125"/>
        <v>0</v>
      </c>
      <c r="N499" s="2133">
        <f t="shared" si="126"/>
        <v>0</v>
      </c>
      <c r="O499" s="2133">
        <f t="shared" si="127"/>
        <v>0</v>
      </c>
      <c r="P499" s="2133">
        <f t="shared" si="128"/>
        <v>0</v>
      </c>
      <c r="Q499" s="2133">
        <f t="shared" si="129"/>
        <v>-0.2</v>
      </c>
      <c r="R499" s="2133">
        <f t="shared" si="130"/>
        <v>0</v>
      </c>
      <c r="U499" s="2107"/>
      <c r="V499" s="2107"/>
      <c r="W499" s="2107"/>
      <c r="X499" s="2107"/>
      <c r="Y499" s="2107"/>
      <c r="Z499" s="2107"/>
      <c r="AA499" s="2107"/>
      <c r="AB499" s="2107"/>
      <c r="AC499" s="2107"/>
      <c r="AD499" s="2107"/>
      <c r="AE499" s="2107"/>
      <c r="AF499" s="2107"/>
      <c r="AG499" s="2107"/>
      <c r="AH499" s="2107"/>
      <c r="AI499" s="2107"/>
      <c r="AJ499" s="2107"/>
      <c r="AK499" s="2107"/>
      <c r="AL499" s="2107"/>
      <c r="AM499" s="2107"/>
      <c r="AN499" s="2107"/>
      <c r="AO499" s="2107"/>
      <c r="AP499" s="2107"/>
    </row>
    <row r="500" spans="1:42">
      <c r="A500" s="2134" t="s">
        <v>1998</v>
      </c>
      <c r="B500" s="2300">
        <f t="shared" si="121"/>
        <v>0</v>
      </c>
      <c r="C500" s="2246">
        <f t="shared" si="122"/>
        <v>0</v>
      </c>
      <c r="D500" s="2244">
        <f t="shared" si="131"/>
        <v>0</v>
      </c>
      <c r="E500" s="2244">
        <f t="shared" si="131"/>
        <v>0</v>
      </c>
      <c r="F500" s="2244">
        <f t="shared" si="131"/>
        <v>0</v>
      </c>
      <c r="G500" s="2244">
        <f t="shared" si="131"/>
        <v>0</v>
      </c>
      <c r="H500" s="2133">
        <f t="shared" si="123"/>
        <v>0</v>
      </c>
      <c r="I500" s="2133">
        <f t="shared" si="132"/>
        <v>0</v>
      </c>
      <c r="J500" s="2133">
        <f t="shared" si="124"/>
        <v>0</v>
      </c>
      <c r="K500" s="2133">
        <f t="shared" si="133"/>
        <v>0</v>
      </c>
      <c r="L500" s="2133">
        <f t="shared" si="125"/>
        <v>0</v>
      </c>
      <c r="N500" s="2133">
        <f t="shared" si="126"/>
        <v>0</v>
      </c>
      <c r="O500" s="2133">
        <f t="shared" si="127"/>
        <v>0</v>
      </c>
      <c r="P500" s="2133">
        <f t="shared" si="128"/>
        <v>0</v>
      </c>
      <c r="Q500" s="2133">
        <f t="shared" si="129"/>
        <v>-0.2</v>
      </c>
      <c r="R500" s="2133">
        <f t="shared" si="130"/>
        <v>0</v>
      </c>
      <c r="U500" s="2107"/>
      <c r="V500" s="2107"/>
      <c r="W500" s="2107"/>
      <c r="X500" s="2107"/>
      <c r="Y500" s="2107"/>
      <c r="Z500" s="2107"/>
      <c r="AA500" s="2107"/>
      <c r="AB500" s="2107"/>
      <c r="AC500" s="2107"/>
      <c r="AD500" s="2107"/>
      <c r="AE500" s="2107"/>
      <c r="AF500" s="2107"/>
      <c r="AG500" s="2107"/>
      <c r="AH500" s="2107"/>
      <c r="AI500" s="2107"/>
      <c r="AJ500" s="2107"/>
      <c r="AK500" s="2107"/>
      <c r="AL500" s="2107"/>
      <c r="AM500" s="2107"/>
      <c r="AN500" s="2107"/>
      <c r="AO500" s="2107"/>
      <c r="AP500" s="2107"/>
    </row>
    <row r="501" spans="1:42">
      <c r="A501" s="2134" t="s">
        <v>1999</v>
      </c>
      <c r="B501" s="2300">
        <f t="shared" si="121"/>
        <v>0</v>
      </c>
      <c r="C501" s="2246">
        <f t="shared" si="122"/>
        <v>0</v>
      </c>
      <c r="D501" s="2244">
        <f t="shared" si="131"/>
        <v>0</v>
      </c>
      <c r="E501" s="2244">
        <f t="shared" si="131"/>
        <v>0</v>
      </c>
      <c r="F501" s="2244">
        <f t="shared" si="131"/>
        <v>0</v>
      </c>
      <c r="G501" s="2244">
        <f t="shared" si="131"/>
        <v>0</v>
      </c>
      <c r="H501" s="2133">
        <f t="shared" si="123"/>
        <v>0</v>
      </c>
      <c r="I501" s="2133">
        <f t="shared" si="132"/>
        <v>0</v>
      </c>
      <c r="J501" s="2133">
        <f t="shared" si="124"/>
        <v>0</v>
      </c>
      <c r="K501" s="2133">
        <f t="shared" si="133"/>
        <v>0</v>
      </c>
      <c r="L501" s="2133">
        <f t="shared" si="125"/>
        <v>0</v>
      </c>
      <c r="N501" s="2133">
        <f t="shared" si="126"/>
        <v>0</v>
      </c>
      <c r="O501" s="2133">
        <f t="shared" si="127"/>
        <v>0</v>
      </c>
      <c r="P501" s="2133">
        <f t="shared" si="128"/>
        <v>0</v>
      </c>
      <c r="Q501" s="2133">
        <f t="shared" si="129"/>
        <v>-0.2</v>
      </c>
      <c r="R501" s="2133">
        <f t="shared" si="130"/>
        <v>0</v>
      </c>
      <c r="U501" s="2107"/>
      <c r="V501" s="2107"/>
      <c r="W501" s="2107"/>
      <c r="X501" s="2107"/>
      <c r="Y501" s="2107"/>
      <c r="Z501" s="2107"/>
      <c r="AA501" s="2107"/>
      <c r="AB501" s="2107"/>
      <c r="AC501" s="2107"/>
      <c r="AD501" s="2107"/>
      <c r="AE501" s="2107"/>
      <c r="AF501" s="2107"/>
      <c r="AG501" s="2107"/>
      <c r="AH501" s="2107"/>
      <c r="AI501" s="2107"/>
      <c r="AJ501" s="2107"/>
      <c r="AK501" s="2107"/>
      <c r="AL501" s="2107"/>
      <c r="AM501" s="2107"/>
      <c r="AN501" s="2107"/>
      <c r="AO501" s="2107"/>
      <c r="AP501" s="2107"/>
    </row>
    <row r="502" spans="1:42">
      <c r="A502" s="2134" t="s">
        <v>2000</v>
      </c>
      <c r="B502" s="2300">
        <f t="shared" si="121"/>
        <v>0</v>
      </c>
      <c r="C502" s="2246">
        <f t="shared" si="122"/>
        <v>0</v>
      </c>
      <c r="D502" s="2244">
        <f t="shared" si="131"/>
        <v>0</v>
      </c>
      <c r="E502" s="2244">
        <f t="shared" si="131"/>
        <v>0</v>
      </c>
      <c r="F502" s="2244">
        <f t="shared" si="131"/>
        <v>0</v>
      </c>
      <c r="G502" s="2244">
        <f t="shared" si="131"/>
        <v>0</v>
      </c>
      <c r="H502" s="2133">
        <f t="shared" si="123"/>
        <v>0</v>
      </c>
      <c r="I502" s="2133">
        <f t="shared" si="132"/>
        <v>0</v>
      </c>
      <c r="J502" s="2133">
        <f t="shared" si="124"/>
        <v>0</v>
      </c>
      <c r="K502" s="2133">
        <f t="shared" si="133"/>
        <v>0</v>
      </c>
      <c r="L502" s="2133">
        <f t="shared" si="125"/>
        <v>0</v>
      </c>
      <c r="N502" s="2133">
        <f t="shared" si="126"/>
        <v>0</v>
      </c>
      <c r="O502" s="2133">
        <f t="shared" si="127"/>
        <v>0</v>
      </c>
      <c r="P502" s="2133">
        <f t="shared" si="128"/>
        <v>0</v>
      </c>
      <c r="Q502" s="2133">
        <f t="shared" si="129"/>
        <v>-0.2</v>
      </c>
      <c r="R502" s="2133">
        <f t="shared" si="130"/>
        <v>0</v>
      </c>
      <c r="U502" s="2107"/>
      <c r="V502" s="2107"/>
      <c r="W502" s="2107"/>
      <c r="X502" s="2107"/>
      <c r="Y502" s="2107"/>
      <c r="Z502" s="2107"/>
      <c r="AA502" s="2107"/>
      <c r="AB502" s="2107"/>
      <c r="AC502" s="2107"/>
      <c r="AD502" s="2107"/>
      <c r="AE502" s="2107"/>
      <c r="AF502" s="2107"/>
      <c r="AG502" s="2107"/>
      <c r="AH502" s="2107"/>
      <c r="AI502" s="2107"/>
      <c r="AJ502" s="2107"/>
      <c r="AK502" s="2107"/>
      <c r="AL502" s="2107"/>
      <c r="AM502" s="2107"/>
      <c r="AN502" s="2107"/>
      <c r="AO502" s="2107"/>
      <c r="AP502" s="2107"/>
    </row>
    <row r="503" spans="1:42">
      <c r="A503" s="2134" t="s">
        <v>2001</v>
      </c>
      <c r="B503" s="2300">
        <f t="shared" si="121"/>
        <v>0</v>
      </c>
      <c r="C503" s="2246">
        <f t="shared" si="122"/>
        <v>0</v>
      </c>
      <c r="D503" s="2244">
        <f t="shared" si="131"/>
        <v>0</v>
      </c>
      <c r="E503" s="2244">
        <f t="shared" si="131"/>
        <v>0</v>
      </c>
      <c r="F503" s="2244">
        <f t="shared" si="131"/>
        <v>0</v>
      </c>
      <c r="G503" s="2244">
        <f t="shared" si="131"/>
        <v>0</v>
      </c>
      <c r="H503" s="2133">
        <f t="shared" si="123"/>
        <v>0</v>
      </c>
      <c r="I503" s="2133">
        <f t="shared" si="132"/>
        <v>0</v>
      </c>
      <c r="J503" s="2133">
        <f t="shared" si="124"/>
        <v>0</v>
      </c>
      <c r="K503" s="2133">
        <f t="shared" si="133"/>
        <v>0</v>
      </c>
      <c r="L503" s="2133">
        <f t="shared" si="125"/>
        <v>0</v>
      </c>
      <c r="N503" s="2133">
        <f t="shared" si="126"/>
        <v>0</v>
      </c>
      <c r="O503" s="2133">
        <f t="shared" si="127"/>
        <v>0</v>
      </c>
      <c r="P503" s="2133">
        <f t="shared" si="128"/>
        <v>0</v>
      </c>
      <c r="Q503" s="2133">
        <f t="shared" si="129"/>
        <v>-0.2</v>
      </c>
      <c r="R503" s="2133">
        <f t="shared" si="130"/>
        <v>0</v>
      </c>
      <c r="U503" s="2107"/>
      <c r="V503" s="2107"/>
      <c r="W503" s="2107"/>
      <c r="X503" s="2107"/>
      <c r="Y503" s="2107"/>
      <c r="Z503" s="2107"/>
      <c r="AA503" s="2107"/>
      <c r="AB503" s="2107"/>
      <c r="AC503" s="2107"/>
      <c r="AD503" s="2107"/>
      <c r="AE503" s="2107"/>
      <c r="AF503" s="2107"/>
      <c r="AG503" s="2107"/>
      <c r="AH503" s="2107"/>
      <c r="AI503" s="2107"/>
      <c r="AJ503" s="2107"/>
      <c r="AK503" s="2107"/>
      <c r="AL503" s="2107"/>
      <c r="AM503" s="2107"/>
      <c r="AN503" s="2107"/>
      <c r="AO503" s="2107"/>
      <c r="AP503" s="2107"/>
    </row>
    <row r="504" spans="1:42">
      <c r="A504" s="2134" t="s">
        <v>2002</v>
      </c>
      <c r="B504" s="2300">
        <f t="shared" si="121"/>
        <v>0</v>
      </c>
      <c r="C504" s="2246">
        <f t="shared" si="122"/>
        <v>0</v>
      </c>
      <c r="D504" s="2244">
        <f t="shared" si="131"/>
        <v>0</v>
      </c>
      <c r="E504" s="2244">
        <f t="shared" si="131"/>
        <v>0</v>
      </c>
      <c r="F504" s="2244">
        <f t="shared" si="131"/>
        <v>0</v>
      </c>
      <c r="G504" s="2244">
        <f t="shared" si="131"/>
        <v>0</v>
      </c>
      <c r="H504" s="2133">
        <f t="shared" si="123"/>
        <v>0</v>
      </c>
      <c r="I504" s="2133">
        <f t="shared" si="132"/>
        <v>0</v>
      </c>
      <c r="J504" s="2133">
        <f t="shared" si="124"/>
        <v>0</v>
      </c>
      <c r="K504" s="2133">
        <f t="shared" si="133"/>
        <v>0</v>
      </c>
      <c r="L504" s="2133">
        <f t="shared" si="125"/>
        <v>0</v>
      </c>
      <c r="N504" s="2133">
        <f t="shared" si="126"/>
        <v>0</v>
      </c>
      <c r="O504" s="2133">
        <f t="shared" si="127"/>
        <v>0</v>
      </c>
      <c r="P504" s="2133">
        <f t="shared" si="128"/>
        <v>0</v>
      </c>
      <c r="Q504" s="2133">
        <f t="shared" si="129"/>
        <v>-0.2</v>
      </c>
      <c r="R504" s="2133">
        <f t="shared" si="130"/>
        <v>0</v>
      </c>
      <c r="U504" s="2107"/>
      <c r="V504" s="2107"/>
      <c r="W504" s="2107"/>
      <c r="X504" s="2107"/>
      <c r="Y504" s="2107"/>
      <c r="Z504" s="2107"/>
      <c r="AA504" s="2107"/>
      <c r="AB504" s="2107"/>
      <c r="AC504" s="2107"/>
      <c r="AD504" s="2107"/>
      <c r="AE504" s="2107"/>
      <c r="AF504" s="2107"/>
      <c r="AG504" s="2107"/>
      <c r="AH504" s="2107"/>
      <c r="AI504" s="2107"/>
      <c r="AJ504" s="2107"/>
      <c r="AK504" s="2107"/>
      <c r="AL504" s="2107"/>
      <c r="AM504" s="2107"/>
      <c r="AN504" s="2107"/>
      <c r="AO504" s="2107"/>
      <c r="AP504" s="2107"/>
    </row>
    <row r="505" spans="1:42" ht="15" customHeight="1">
      <c r="A505" s="2134" t="s">
        <v>2003</v>
      </c>
      <c r="B505" s="2300">
        <f t="shared" si="121"/>
        <v>0</v>
      </c>
      <c r="C505" s="2246">
        <f t="shared" si="122"/>
        <v>0</v>
      </c>
      <c r="D505" s="2244">
        <f t="shared" si="131"/>
        <v>0</v>
      </c>
      <c r="E505" s="2244">
        <f t="shared" si="131"/>
        <v>0</v>
      </c>
      <c r="F505" s="2244">
        <f t="shared" si="131"/>
        <v>0</v>
      </c>
      <c r="G505" s="2244">
        <f t="shared" si="131"/>
        <v>0</v>
      </c>
      <c r="H505" s="2133">
        <f t="shared" si="123"/>
        <v>0</v>
      </c>
      <c r="I505" s="2133">
        <f t="shared" si="132"/>
        <v>0</v>
      </c>
      <c r="J505" s="2133">
        <f t="shared" si="124"/>
        <v>0</v>
      </c>
      <c r="K505" s="2133">
        <f t="shared" si="133"/>
        <v>0</v>
      </c>
      <c r="L505" s="2133">
        <f t="shared" si="125"/>
        <v>0</v>
      </c>
      <c r="N505" s="2133">
        <f t="shared" si="126"/>
        <v>0</v>
      </c>
      <c r="O505" s="2133">
        <f t="shared" si="127"/>
        <v>0</v>
      </c>
      <c r="P505" s="2133">
        <f t="shared" si="128"/>
        <v>0</v>
      </c>
      <c r="Q505" s="2133">
        <f t="shared" si="129"/>
        <v>-0.2</v>
      </c>
      <c r="R505" s="2133">
        <f t="shared" si="130"/>
        <v>0</v>
      </c>
      <c r="U505" s="2107"/>
      <c r="V505" s="2107"/>
      <c r="W505" s="2107"/>
      <c r="X505" s="2107"/>
      <c r="Y505" s="2107"/>
      <c r="Z505" s="2107"/>
      <c r="AA505" s="2107"/>
      <c r="AB505" s="2107"/>
      <c r="AC505" s="2107"/>
      <c r="AD505" s="2107"/>
      <c r="AE505" s="2107"/>
      <c r="AF505" s="2107"/>
      <c r="AG505" s="2107"/>
      <c r="AH505" s="2107"/>
      <c r="AI505" s="2107"/>
      <c r="AJ505" s="2107"/>
      <c r="AK505" s="2107"/>
      <c r="AL505" s="2107"/>
      <c r="AM505" s="2107"/>
      <c r="AN505" s="2107"/>
      <c r="AO505" s="2107"/>
    </row>
    <row r="506" spans="1:42" ht="15" customHeight="1">
      <c r="A506" s="2134" t="s">
        <v>2251</v>
      </c>
      <c r="B506" s="2300">
        <f t="shared" si="121"/>
        <v>0</v>
      </c>
      <c r="C506" s="2246">
        <f t="shared" si="122"/>
        <v>0</v>
      </c>
      <c r="D506" s="2244">
        <f t="shared" si="131"/>
        <v>0</v>
      </c>
      <c r="E506" s="2244">
        <f t="shared" si="131"/>
        <v>0</v>
      </c>
      <c r="F506" s="2244">
        <f t="shared" si="131"/>
        <v>0</v>
      </c>
      <c r="G506" s="2244">
        <f t="shared" si="131"/>
        <v>0</v>
      </c>
      <c r="H506" s="2133">
        <f t="shared" si="123"/>
        <v>0</v>
      </c>
      <c r="I506" s="2133">
        <f t="shared" si="132"/>
        <v>0</v>
      </c>
      <c r="J506" s="2133">
        <f t="shared" si="124"/>
        <v>0</v>
      </c>
      <c r="K506" s="2133">
        <f t="shared" si="133"/>
        <v>0</v>
      </c>
      <c r="L506" s="2133">
        <f t="shared" si="125"/>
        <v>0</v>
      </c>
      <c r="N506" s="2133">
        <f t="shared" si="126"/>
        <v>0</v>
      </c>
      <c r="O506" s="2133">
        <f t="shared" si="127"/>
        <v>0</v>
      </c>
      <c r="P506" s="2133">
        <f t="shared" si="128"/>
        <v>0</v>
      </c>
      <c r="Q506" s="2133">
        <f t="shared" si="129"/>
        <v>-0.2</v>
      </c>
      <c r="R506" s="2133">
        <f t="shared" si="130"/>
        <v>0</v>
      </c>
      <c r="U506" s="2107"/>
      <c r="V506" s="2107"/>
      <c r="W506" s="2107"/>
      <c r="X506" s="2107"/>
      <c r="Y506" s="2107"/>
      <c r="Z506" s="2107"/>
      <c r="AA506" s="2107"/>
      <c r="AB506" s="2107"/>
      <c r="AC506" s="2107"/>
      <c r="AD506" s="2107"/>
      <c r="AE506" s="2107"/>
      <c r="AF506" s="2107"/>
      <c r="AG506" s="2107"/>
      <c r="AH506" s="2107"/>
      <c r="AI506" s="2107"/>
      <c r="AJ506" s="2107"/>
      <c r="AK506" s="2107"/>
      <c r="AL506" s="2107"/>
      <c r="AM506" s="2107"/>
      <c r="AN506" s="2107"/>
      <c r="AO506" s="2107"/>
    </row>
    <row r="507" spans="1:42">
      <c r="A507" s="2134" t="s">
        <v>2273</v>
      </c>
      <c r="B507" s="2300">
        <f t="shared" si="121"/>
        <v>0</v>
      </c>
      <c r="C507" s="2246">
        <f t="shared" si="122"/>
        <v>0</v>
      </c>
      <c r="D507" s="2244">
        <f t="shared" si="131"/>
        <v>0</v>
      </c>
      <c r="E507" s="2244">
        <f t="shared" si="131"/>
        <v>0</v>
      </c>
      <c r="F507" s="2244">
        <f t="shared" si="131"/>
        <v>0</v>
      </c>
      <c r="G507" s="2244">
        <f t="shared" si="131"/>
        <v>0</v>
      </c>
      <c r="H507" s="2133">
        <f t="shared" si="123"/>
        <v>0</v>
      </c>
      <c r="I507" s="2133">
        <f t="shared" si="132"/>
        <v>0</v>
      </c>
      <c r="J507" s="2133">
        <f t="shared" si="124"/>
        <v>0</v>
      </c>
      <c r="K507" s="2133">
        <f t="shared" si="133"/>
        <v>0</v>
      </c>
      <c r="L507" s="2133">
        <f t="shared" si="125"/>
        <v>0</v>
      </c>
      <c r="N507" s="2133">
        <f t="shared" si="126"/>
        <v>0</v>
      </c>
      <c r="O507" s="2133">
        <f t="shared" si="127"/>
        <v>0</v>
      </c>
      <c r="P507" s="2133">
        <f t="shared" si="128"/>
        <v>0</v>
      </c>
      <c r="Q507" s="2133">
        <f t="shared" si="129"/>
        <v>-0.2</v>
      </c>
      <c r="R507" s="2133">
        <f t="shared" si="130"/>
        <v>0</v>
      </c>
      <c r="U507" s="2107"/>
      <c r="V507" s="2107"/>
      <c r="W507" s="2107"/>
      <c r="X507" s="2107"/>
      <c r="Y507" s="2107"/>
      <c r="Z507" s="2107"/>
      <c r="AA507" s="2107"/>
      <c r="AB507" s="2107"/>
      <c r="AC507" s="2107"/>
      <c r="AD507" s="2107"/>
      <c r="AE507" s="2107"/>
      <c r="AF507" s="2107"/>
      <c r="AG507" s="2107"/>
      <c r="AH507" s="2107"/>
      <c r="AI507" s="2107"/>
      <c r="AJ507" s="2107"/>
      <c r="AK507" s="2107"/>
      <c r="AL507" s="2107"/>
      <c r="AM507" s="2107"/>
      <c r="AN507" s="2107"/>
      <c r="AO507" s="2107"/>
      <c r="AP507" s="2107"/>
    </row>
    <row r="508" spans="1:42" ht="15" customHeight="1">
      <c r="A508" s="2134" t="s">
        <v>2274</v>
      </c>
      <c r="B508" s="2300">
        <f t="shared" si="121"/>
        <v>0</v>
      </c>
      <c r="C508" s="2246">
        <f t="shared" si="122"/>
        <v>0</v>
      </c>
      <c r="D508" s="2244">
        <f t="shared" si="131"/>
        <v>0</v>
      </c>
      <c r="E508" s="2244">
        <f t="shared" si="131"/>
        <v>0</v>
      </c>
      <c r="F508" s="2244">
        <f t="shared" si="131"/>
        <v>0</v>
      </c>
      <c r="G508" s="2244">
        <f t="shared" si="131"/>
        <v>0</v>
      </c>
      <c r="H508" s="2133">
        <f t="shared" si="123"/>
        <v>0</v>
      </c>
      <c r="I508" s="2133">
        <f t="shared" si="132"/>
        <v>0</v>
      </c>
      <c r="J508" s="2133">
        <f t="shared" si="124"/>
        <v>0</v>
      </c>
      <c r="K508" s="2133">
        <f t="shared" si="133"/>
        <v>0</v>
      </c>
      <c r="L508" s="2133">
        <f t="shared" si="125"/>
        <v>0</v>
      </c>
      <c r="N508" s="2133">
        <f t="shared" si="126"/>
        <v>0</v>
      </c>
      <c r="O508" s="2133">
        <f t="shared" si="127"/>
        <v>0</v>
      </c>
      <c r="P508" s="2133">
        <f t="shared" si="128"/>
        <v>0</v>
      </c>
      <c r="Q508" s="2133">
        <f t="shared" si="129"/>
        <v>-0.2</v>
      </c>
      <c r="R508" s="2133">
        <f t="shared" si="130"/>
        <v>0</v>
      </c>
      <c r="U508" s="2107"/>
      <c r="V508" s="2107"/>
      <c r="W508" s="2107"/>
      <c r="X508" s="2107"/>
      <c r="Y508" s="2107"/>
      <c r="Z508" s="2107"/>
      <c r="AA508" s="2107"/>
      <c r="AB508" s="2107"/>
      <c r="AC508" s="2107"/>
      <c r="AD508" s="2107"/>
      <c r="AE508" s="2107"/>
      <c r="AF508" s="2107"/>
      <c r="AG508" s="2107"/>
      <c r="AH508" s="2107"/>
      <c r="AI508" s="2107"/>
      <c r="AJ508" s="2107"/>
      <c r="AK508" s="2107"/>
      <c r="AL508" s="2107"/>
      <c r="AM508" s="2107"/>
      <c r="AN508" s="2107"/>
      <c r="AO508" s="2107"/>
    </row>
    <row r="509" spans="1:42" ht="15" customHeight="1">
      <c r="A509" s="2134" t="s">
        <v>2275</v>
      </c>
      <c r="B509" s="2300">
        <f t="shared" si="121"/>
        <v>0</v>
      </c>
      <c r="C509" s="2246">
        <f t="shared" si="122"/>
        <v>0</v>
      </c>
      <c r="D509" s="2244">
        <f t="shared" si="131"/>
        <v>0</v>
      </c>
      <c r="E509" s="2244">
        <f t="shared" si="131"/>
        <v>0</v>
      </c>
      <c r="F509" s="2244">
        <f t="shared" si="131"/>
        <v>0</v>
      </c>
      <c r="G509" s="2244">
        <f t="shared" si="131"/>
        <v>0</v>
      </c>
      <c r="H509" s="2133">
        <f t="shared" si="123"/>
        <v>0</v>
      </c>
      <c r="I509" s="2133">
        <f t="shared" si="132"/>
        <v>0</v>
      </c>
      <c r="J509" s="2133">
        <f t="shared" si="124"/>
        <v>0</v>
      </c>
      <c r="K509" s="2133">
        <f t="shared" si="133"/>
        <v>0</v>
      </c>
      <c r="L509" s="2133">
        <f t="shared" si="125"/>
        <v>0</v>
      </c>
      <c r="N509" s="2133">
        <f t="shared" si="126"/>
        <v>0</v>
      </c>
      <c r="O509" s="2133">
        <f t="shared" si="127"/>
        <v>0</v>
      </c>
      <c r="P509" s="2133">
        <f t="shared" si="128"/>
        <v>0</v>
      </c>
      <c r="Q509" s="2133">
        <f t="shared" si="129"/>
        <v>-0.2</v>
      </c>
      <c r="R509" s="2133">
        <f t="shared" si="130"/>
        <v>0</v>
      </c>
      <c r="U509" s="2107"/>
      <c r="V509" s="2107"/>
      <c r="W509" s="2107"/>
      <c r="X509" s="2107"/>
      <c r="Y509" s="2107"/>
      <c r="Z509" s="2107"/>
      <c r="AA509" s="2107"/>
      <c r="AB509" s="2107"/>
      <c r="AC509" s="2107"/>
      <c r="AD509" s="2107"/>
      <c r="AE509" s="2107"/>
      <c r="AF509" s="2107"/>
      <c r="AG509" s="2107"/>
      <c r="AH509" s="2107"/>
      <c r="AI509" s="2107"/>
      <c r="AJ509" s="2107"/>
      <c r="AK509" s="2107"/>
      <c r="AL509" s="2107"/>
      <c r="AM509" s="2107"/>
      <c r="AN509" s="2107"/>
      <c r="AO509" s="2107"/>
    </row>
    <row r="510" spans="1:42" s="2532" customFormat="1" ht="15" customHeight="1">
      <c r="A510" s="2134" t="s">
        <v>2851</v>
      </c>
      <c r="B510" s="2300">
        <f t="shared" si="121"/>
        <v>0</v>
      </c>
      <c r="C510" s="2246">
        <f t="shared" ref="C510:G515" si="134">C433</f>
        <v>0</v>
      </c>
      <c r="D510" s="2244">
        <f t="shared" si="134"/>
        <v>0</v>
      </c>
      <c r="E510" s="2244">
        <f t="shared" si="134"/>
        <v>0</v>
      </c>
      <c r="F510" s="2244">
        <f t="shared" si="134"/>
        <v>4</v>
      </c>
      <c r="G510" s="2244">
        <f t="shared" si="134"/>
        <v>0</v>
      </c>
      <c r="H510" s="2133">
        <f>B510*C510</f>
        <v>0</v>
      </c>
      <c r="I510" s="2133">
        <f>B510*D510</f>
        <v>0</v>
      </c>
      <c r="J510" s="2133">
        <f>B510*E510</f>
        <v>0</v>
      </c>
      <c r="K510" s="2133">
        <f>B510*F510</f>
        <v>0</v>
      </c>
      <c r="L510" s="2133">
        <f>B510*G510</f>
        <v>0</v>
      </c>
      <c r="N510" s="2133">
        <f>(B510/2)/0.2</f>
        <v>0</v>
      </c>
      <c r="O510" s="2133">
        <f>(B510/2)/0.1</f>
        <v>0</v>
      </c>
      <c r="P510" s="2133">
        <f>SUM(N510:O510)</f>
        <v>0</v>
      </c>
      <c r="Q510" s="2133">
        <f t="shared" ref="Q510:Q515" si="135">Q433</f>
        <v>0.5</v>
      </c>
      <c r="R510" s="2133">
        <f>P510*Q510</f>
        <v>0</v>
      </c>
      <c r="U510" s="2531"/>
      <c r="V510" s="2531"/>
      <c r="W510" s="2531"/>
      <c r="X510" s="2531"/>
      <c r="Y510" s="2531"/>
      <c r="Z510" s="2531"/>
      <c r="AA510" s="2531"/>
      <c r="AB510" s="2531"/>
      <c r="AC510" s="2531"/>
      <c r="AD510" s="2531"/>
      <c r="AE510" s="2531"/>
      <c r="AF510" s="2531"/>
      <c r="AG510" s="2531"/>
      <c r="AH510" s="2531"/>
      <c r="AI510" s="2531"/>
      <c r="AJ510" s="2531"/>
      <c r="AK510" s="2531"/>
      <c r="AL510" s="2531"/>
      <c r="AM510" s="2531"/>
      <c r="AN510" s="2531"/>
      <c r="AO510" s="2531"/>
    </row>
    <row r="511" spans="1:42" s="2532" customFormat="1" ht="15" customHeight="1">
      <c r="A511" s="2134" t="s">
        <v>2852</v>
      </c>
      <c r="B511" s="2300">
        <f t="shared" si="121"/>
        <v>0</v>
      </c>
      <c r="C511" s="2246">
        <f t="shared" si="134"/>
        <v>0</v>
      </c>
      <c r="D511" s="2244">
        <f t="shared" si="134"/>
        <v>0</v>
      </c>
      <c r="E511" s="2244">
        <f t="shared" si="134"/>
        <v>0</v>
      </c>
      <c r="F511" s="2244">
        <f t="shared" si="134"/>
        <v>0</v>
      </c>
      <c r="G511" s="2244">
        <f t="shared" si="134"/>
        <v>0</v>
      </c>
      <c r="H511" s="2133">
        <f>B511*C511</f>
        <v>0</v>
      </c>
      <c r="I511" s="2133">
        <f>B511*D511</f>
        <v>0</v>
      </c>
      <c r="J511" s="2133">
        <f>B511*E511</f>
        <v>0</v>
      </c>
      <c r="K511" s="2133">
        <f>B511*F511</f>
        <v>0</v>
      </c>
      <c r="L511" s="2133">
        <f>B511*G511</f>
        <v>0</v>
      </c>
      <c r="N511" s="2133">
        <f>(B511/2)/0.2</f>
        <v>0</v>
      </c>
      <c r="O511" s="2133">
        <f>(B511/2)/0.1</f>
        <v>0</v>
      </c>
      <c r="P511" s="2133">
        <f>SUM(N511:O511)</f>
        <v>0</v>
      </c>
      <c r="Q511" s="2133">
        <f t="shared" si="135"/>
        <v>-0.2</v>
      </c>
      <c r="R511" s="2133">
        <f>P511*Q511</f>
        <v>0</v>
      </c>
      <c r="U511" s="2531"/>
      <c r="V511" s="2531"/>
      <c r="W511" s="2531"/>
      <c r="X511" s="2531"/>
      <c r="Y511" s="2531"/>
      <c r="Z511" s="2531"/>
      <c r="AA511" s="2531"/>
      <c r="AB511" s="2531"/>
      <c r="AC511" s="2531"/>
      <c r="AD511" s="2531"/>
      <c r="AE511" s="2531"/>
      <c r="AF511" s="2531"/>
      <c r="AG511" s="2531"/>
      <c r="AH511" s="2531"/>
      <c r="AI511" s="2531"/>
      <c r="AJ511" s="2531"/>
      <c r="AK511" s="2531"/>
      <c r="AL511" s="2531"/>
      <c r="AM511" s="2531"/>
      <c r="AN511" s="2531"/>
      <c r="AO511" s="2531"/>
    </row>
    <row r="512" spans="1:42" s="2532" customFormat="1" ht="15" customHeight="1">
      <c r="A512" s="2134" t="s">
        <v>2853</v>
      </c>
      <c r="B512" s="2300">
        <f t="shared" si="121"/>
        <v>0</v>
      </c>
      <c r="C512" s="2246">
        <f t="shared" si="134"/>
        <v>0</v>
      </c>
      <c r="D512" s="2244">
        <f t="shared" si="134"/>
        <v>0</v>
      </c>
      <c r="E512" s="2244">
        <f t="shared" si="134"/>
        <v>0</v>
      </c>
      <c r="F512" s="2244">
        <f t="shared" si="134"/>
        <v>0</v>
      </c>
      <c r="G512" s="2244">
        <f t="shared" si="134"/>
        <v>0</v>
      </c>
      <c r="H512" s="2133">
        <f>B512*C512</f>
        <v>0</v>
      </c>
      <c r="I512" s="2133">
        <f>B512*D512</f>
        <v>0</v>
      </c>
      <c r="J512" s="2133">
        <f>B512*E512</f>
        <v>0</v>
      </c>
      <c r="K512" s="2133">
        <f>B512*F512</f>
        <v>0</v>
      </c>
      <c r="L512" s="2133">
        <f>B512*G512</f>
        <v>0</v>
      </c>
      <c r="N512" s="2133">
        <f>(B512/2)/0.2</f>
        <v>0</v>
      </c>
      <c r="O512" s="2133">
        <f>(B512/2)/0.1</f>
        <v>0</v>
      </c>
      <c r="P512" s="2133">
        <f>SUM(N512:O512)</f>
        <v>0</v>
      </c>
      <c r="Q512" s="2133">
        <f t="shared" si="135"/>
        <v>-0.2</v>
      </c>
      <c r="R512" s="2133">
        <f>P512*Q512</f>
        <v>0</v>
      </c>
      <c r="U512" s="2531"/>
      <c r="V512" s="2531"/>
      <c r="W512" s="2531"/>
      <c r="X512" s="2531"/>
      <c r="Y512" s="2531"/>
      <c r="Z512" s="2531"/>
      <c r="AA512" s="2531"/>
      <c r="AB512" s="2531"/>
      <c r="AC512" s="2531"/>
      <c r="AD512" s="2531"/>
      <c r="AE512" s="2531"/>
      <c r="AF512" s="2531"/>
      <c r="AG512" s="2531"/>
      <c r="AH512" s="2531"/>
      <c r="AI512" s="2531"/>
      <c r="AJ512" s="2531"/>
      <c r="AK512" s="2531"/>
      <c r="AL512" s="2531"/>
      <c r="AM512" s="2531"/>
      <c r="AN512" s="2531"/>
      <c r="AO512" s="2531"/>
    </row>
    <row r="513" spans="1:43" s="2532" customFormat="1" ht="15" customHeight="1">
      <c r="A513" s="2134" t="s">
        <v>2854</v>
      </c>
      <c r="B513" s="2300">
        <f t="shared" si="121"/>
        <v>0</v>
      </c>
      <c r="C513" s="2246">
        <f t="shared" si="134"/>
        <v>0</v>
      </c>
      <c r="D513" s="2244">
        <f t="shared" si="134"/>
        <v>0</v>
      </c>
      <c r="E513" s="2244">
        <f t="shared" si="134"/>
        <v>0</v>
      </c>
      <c r="F513" s="2244">
        <f t="shared" si="134"/>
        <v>0</v>
      </c>
      <c r="G513" s="2244">
        <f t="shared" si="134"/>
        <v>0</v>
      </c>
      <c r="H513" s="2133">
        <f>B513*C513</f>
        <v>0</v>
      </c>
      <c r="I513" s="2133">
        <f>B513*D513</f>
        <v>0</v>
      </c>
      <c r="J513" s="2133">
        <f>B513*E513</f>
        <v>0</v>
      </c>
      <c r="K513" s="2133">
        <f>B513*F513</f>
        <v>0</v>
      </c>
      <c r="L513" s="2133">
        <f>B513*G513</f>
        <v>0</v>
      </c>
      <c r="N513" s="2133">
        <f>(B513/2)/0.2</f>
        <v>0</v>
      </c>
      <c r="O513" s="2133">
        <f>(B513/2)/0.1</f>
        <v>0</v>
      </c>
      <c r="P513" s="2133">
        <f>SUM(N513:O513)</f>
        <v>0</v>
      </c>
      <c r="Q513" s="2133">
        <f t="shared" si="135"/>
        <v>-0.2</v>
      </c>
      <c r="R513" s="2133">
        <f>P513*Q513</f>
        <v>0</v>
      </c>
      <c r="U513" s="2531"/>
      <c r="V513" s="2531"/>
      <c r="W513" s="2531"/>
      <c r="X513" s="2531"/>
      <c r="Y513" s="2531"/>
      <c r="Z513" s="2531"/>
      <c r="AA513" s="2531"/>
      <c r="AB513" s="2531"/>
      <c r="AC513" s="2531"/>
      <c r="AD513" s="2531"/>
      <c r="AE513" s="2531"/>
      <c r="AF513" s="2531"/>
      <c r="AG513" s="2531"/>
      <c r="AH513" s="2531"/>
      <c r="AI513" s="2531"/>
      <c r="AJ513" s="2531"/>
      <c r="AK513" s="2531"/>
      <c r="AL513" s="2531"/>
      <c r="AM513" s="2531"/>
      <c r="AN513" s="2531"/>
      <c r="AO513" s="2531"/>
    </row>
    <row r="514" spans="1:43" s="2532" customFormat="1" ht="15" customHeight="1">
      <c r="A514" s="2134" t="s">
        <v>2855</v>
      </c>
      <c r="B514" s="2300">
        <f t="shared" si="121"/>
        <v>0</v>
      </c>
      <c r="C514" s="2246">
        <f t="shared" si="134"/>
        <v>0</v>
      </c>
      <c r="D514" s="2244">
        <f t="shared" si="134"/>
        <v>0</v>
      </c>
      <c r="E514" s="2244">
        <f t="shared" si="134"/>
        <v>0</v>
      </c>
      <c r="F514" s="2244">
        <f t="shared" si="134"/>
        <v>0</v>
      </c>
      <c r="G514" s="2244">
        <f t="shared" si="134"/>
        <v>0</v>
      </c>
      <c r="H514" s="2133">
        <f>B514*C514</f>
        <v>0</v>
      </c>
      <c r="I514" s="2133">
        <f>B514*D514</f>
        <v>0</v>
      </c>
      <c r="J514" s="2133">
        <f>B514*E514</f>
        <v>0</v>
      </c>
      <c r="K514" s="2133">
        <f>B514*F514</f>
        <v>0</v>
      </c>
      <c r="L514" s="2133">
        <f>B514*G514</f>
        <v>0</v>
      </c>
      <c r="N514" s="2133">
        <f>(B514/2)/0.2</f>
        <v>0</v>
      </c>
      <c r="O514" s="2133">
        <f>(B514/2)/0.1</f>
        <v>0</v>
      </c>
      <c r="P514" s="2133">
        <f>SUM(N514:O514)</f>
        <v>0</v>
      </c>
      <c r="Q514" s="2133">
        <f t="shared" si="135"/>
        <v>-0.2</v>
      </c>
      <c r="R514" s="2133">
        <f>P514*Q514</f>
        <v>0</v>
      </c>
      <c r="U514" s="2531"/>
      <c r="V514" s="2531"/>
      <c r="W514" s="2531"/>
      <c r="X514" s="2531"/>
      <c r="Y514" s="2531"/>
      <c r="Z514" s="2531"/>
      <c r="AA514" s="2531"/>
      <c r="AB514" s="2531"/>
      <c r="AC514" s="2531"/>
      <c r="AD514" s="2531"/>
      <c r="AE514" s="2531"/>
      <c r="AF514" s="2531"/>
      <c r="AG514" s="2531"/>
      <c r="AH514" s="2531"/>
      <c r="AI514" s="2531"/>
      <c r="AJ514" s="2531"/>
      <c r="AK514" s="2531"/>
      <c r="AL514" s="2531"/>
      <c r="AM514" s="2531"/>
      <c r="AN514" s="2531"/>
      <c r="AO514" s="2531"/>
    </row>
    <row r="515" spans="1:43">
      <c r="A515" s="2134" t="s">
        <v>175</v>
      </c>
      <c r="B515" s="2300">
        <f>N53</f>
        <v>0</v>
      </c>
      <c r="C515" s="2246">
        <f t="shared" si="134"/>
        <v>0</v>
      </c>
      <c r="D515" s="2244">
        <f t="shared" si="134"/>
        <v>0</v>
      </c>
      <c r="E515" s="2244">
        <f t="shared" si="134"/>
        <v>0</v>
      </c>
      <c r="F515" s="2244">
        <f t="shared" si="134"/>
        <v>4</v>
      </c>
      <c r="G515" s="2244">
        <f t="shared" si="134"/>
        <v>0</v>
      </c>
      <c r="H515" s="2133">
        <f t="shared" si="123"/>
        <v>0</v>
      </c>
      <c r="I515" s="2133">
        <f t="shared" si="132"/>
        <v>0</v>
      </c>
      <c r="J515" s="2133">
        <f t="shared" si="124"/>
        <v>0</v>
      </c>
      <c r="K515" s="2133">
        <f t="shared" si="133"/>
        <v>0</v>
      </c>
      <c r="L515" s="2133">
        <f t="shared" si="125"/>
        <v>0</v>
      </c>
      <c r="N515" s="2133">
        <f t="shared" si="126"/>
        <v>0</v>
      </c>
      <c r="O515" s="2133">
        <f t="shared" si="127"/>
        <v>0</v>
      </c>
      <c r="P515" s="2133">
        <f t="shared" si="128"/>
        <v>0</v>
      </c>
      <c r="Q515" s="2133">
        <f t="shared" si="135"/>
        <v>0.5</v>
      </c>
      <c r="R515" s="2133">
        <f t="shared" si="130"/>
        <v>0</v>
      </c>
      <c r="T515" s="2107"/>
      <c r="U515" s="2833"/>
      <c r="V515" s="2833"/>
      <c r="W515" s="2833"/>
      <c r="X515" s="2833"/>
      <c r="Y515" s="2107"/>
      <c r="Z515" s="2107"/>
      <c r="AA515" s="2107"/>
      <c r="AB515" s="2107"/>
      <c r="AC515" s="2107"/>
      <c r="AD515" s="2107"/>
      <c r="AE515" s="2107"/>
      <c r="AF515" s="2107"/>
      <c r="AG515" s="2107"/>
      <c r="AH515" s="2107"/>
      <c r="AI515" s="2107"/>
      <c r="AJ515" s="2107"/>
      <c r="AK515" s="2107"/>
      <c r="AL515" s="2107"/>
      <c r="AM515" s="2107"/>
      <c r="AN515" s="2107"/>
      <c r="AO515" s="2107"/>
    </row>
    <row r="516" spans="1:43" ht="15">
      <c r="A516" s="2107"/>
      <c r="B516" s="2107"/>
      <c r="C516" s="2107"/>
      <c r="D516" s="2107"/>
      <c r="E516" s="2107"/>
      <c r="F516" s="2804" t="s">
        <v>2074</v>
      </c>
      <c r="G516" s="2805"/>
      <c r="H516" s="2133">
        <f>SUM(H495:H515)</f>
        <v>0</v>
      </c>
      <c r="I516" s="2133">
        <f>SUM(I495:I515)</f>
        <v>0</v>
      </c>
      <c r="J516" s="2133">
        <f>SUM(J495:J515)</f>
        <v>0</v>
      </c>
      <c r="K516" s="2133">
        <f>SUM(K495:K515)</f>
        <v>0</v>
      </c>
      <c r="L516" s="2133">
        <f>SUM(L495:L515)</f>
        <v>0</v>
      </c>
      <c r="N516" s="2804" t="s">
        <v>1972</v>
      </c>
      <c r="O516" s="2805"/>
      <c r="P516" s="2805"/>
      <c r="Q516" s="2133">
        <f>SUMIF($K$445:$K$465,S516,$R$495:$R$516)</f>
        <v>0</v>
      </c>
      <c r="R516" s="2157">
        <f>Q516*0.4</f>
        <v>0</v>
      </c>
      <c r="S516" s="2086">
        <v>8</v>
      </c>
      <c r="T516" s="2107"/>
      <c r="V516" s="2107"/>
      <c r="W516" s="2107"/>
      <c r="X516" s="2107"/>
      <c r="Y516" s="2107"/>
      <c r="Z516" s="2107"/>
      <c r="AA516" s="2107"/>
      <c r="AB516" s="2107"/>
      <c r="AC516" s="2107"/>
      <c r="AD516" s="2107"/>
      <c r="AE516" s="2107"/>
      <c r="AF516" s="2107"/>
      <c r="AG516" s="2107"/>
      <c r="AH516" s="2107"/>
      <c r="AI516" s="2107"/>
      <c r="AJ516" s="2107"/>
      <c r="AK516" s="2107"/>
      <c r="AL516" s="2107"/>
      <c r="AM516" s="2107"/>
      <c r="AN516" s="2107"/>
      <c r="AO516" s="2107"/>
      <c r="AP516" s="2107"/>
      <c r="AQ516" s="2107"/>
    </row>
    <row r="517" spans="1:43" ht="15">
      <c r="A517" s="2107"/>
      <c r="B517" s="2107"/>
      <c r="C517" s="2107"/>
      <c r="D517" s="2107"/>
      <c r="E517" s="2107"/>
      <c r="F517" s="2804" t="s">
        <v>2075</v>
      </c>
      <c r="G517" s="2805"/>
      <c r="H517" s="2182">
        <f>H516*1.04</f>
        <v>0</v>
      </c>
      <c r="I517" s="2182">
        <f>I516*0.89</f>
        <v>0</v>
      </c>
      <c r="J517" s="2183">
        <f>J516*0.62</f>
        <v>0</v>
      </c>
      <c r="K517" s="2182">
        <f>K516*0.62</f>
        <v>0</v>
      </c>
      <c r="L517" s="2183">
        <f>L516*0.62</f>
        <v>0</v>
      </c>
      <c r="N517" s="2804" t="s">
        <v>2387</v>
      </c>
      <c r="O517" s="2805"/>
      <c r="P517" s="2805"/>
      <c r="Q517" s="2133">
        <f>SUMIF($K$445:$K$465,S517,$R$495:$R$516)</f>
        <v>0</v>
      </c>
      <c r="R517" s="2184">
        <f>Q517*0.62</f>
        <v>0</v>
      </c>
      <c r="S517" s="2086">
        <v>10</v>
      </c>
      <c r="V517" s="2107"/>
      <c r="W517" s="2107"/>
      <c r="X517" s="2107"/>
      <c r="Y517" s="2107"/>
      <c r="Z517" s="2107"/>
      <c r="AA517" s="2107"/>
      <c r="AB517" s="2107"/>
      <c r="AC517" s="2107"/>
      <c r="AD517" s="2107"/>
      <c r="AE517" s="2107"/>
      <c r="AF517" s="2107"/>
      <c r="AG517" s="2107"/>
      <c r="AH517" s="2107"/>
      <c r="AI517" s="2107"/>
      <c r="AJ517" s="2107"/>
      <c r="AK517" s="2107"/>
      <c r="AL517" s="2107"/>
      <c r="AM517" s="2107"/>
      <c r="AN517" s="2107"/>
      <c r="AO517" s="2107"/>
      <c r="AP517" s="2107"/>
      <c r="AQ517" s="2107"/>
    </row>
    <row r="518" spans="1:43" ht="15">
      <c r="A518" s="2107"/>
      <c r="B518" s="2107"/>
      <c r="C518" s="2107"/>
      <c r="D518" s="2107"/>
      <c r="E518" s="2107"/>
      <c r="F518" s="2107"/>
      <c r="G518" s="2107"/>
      <c r="N518" s="2804" t="s">
        <v>2443</v>
      </c>
      <c r="O518" s="2805"/>
      <c r="P518" s="2805"/>
      <c r="Q518" s="2133">
        <f>SUMIF($K$445:$K$465,S518,$R$495:$R$516)</f>
        <v>0</v>
      </c>
      <c r="R518" s="2184">
        <f>Q518*0.62</f>
        <v>0</v>
      </c>
      <c r="S518" s="2086" t="s">
        <v>1807</v>
      </c>
      <c r="V518" s="2107"/>
      <c r="W518" s="2107"/>
      <c r="X518" s="2107"/>
      <c r="Y518" s="2107"/>
      <c r="Z518" s="2107"/>
      <c r="AA518" s="2107"/>
      <c r="AB518" s="2107"/>
      <c r="AC518" s="2107"/>
      <c r="AD518" s="2107"/>
      <c r="AE518" s="2107"/>
      <c r="AF518" s="2107"/>
      <c r="AG518" s="2107"/>
      <c r="AH518" s="2107"/>
      <c r="AI518" s="2107"/>
      <c r="AJ518" s="2107"/>
      <c r="AK518" s="2107"/>
      <c r="AL518" s="2107"/>
      <c r="AM518" s="2107"/>
      <c r="AN518" s="2107"/>
      <c r="AO518" s="2107"/>
      <c r="AP518" s="2107"/>
      <c r="AQ518" s="2107"/>
    </row>
    <row r="519" spans="1:43">
      <c r="V519" s="2107"/>
      <c r="W519" s="2107"/>
      <c r="X519" s="2107"/>
      <c r="Y519" s="2107"/>
      <c r="Z519" s="2107"/>
      <c r="AA519" s="2107"/>
      <c r="AB519" s="2107"/>
      <c r="AC519" s="2107"/>
      <c r="AD519" s="2107"/>
      <c r="AE519" s="2107"/>
      <c r="AF519" s="2107"/>
      <c r="AG519" s="2107"/>
      <c r="AH519" s="2107"/>
      <c r="AI519" s="2107"/>
      <c r="AJ519" s="2107"/>
      <c r="AK519" s="2107"/>
      <c r="AL519" s="2107"/>
      <c r="AM519" s="2107"/>
      <c r="AN519" s="2107"/>
      <c r="AO519" s="2107"/>
      <c r="AP519" s="2107"/>
      <c r="AQ519" s="2107"/>
    </row>
    <row r="520" spans="1:43">
      <c r="A520" s="2831" t="s">
        <v>2005</v>
      </c>
      <c r="B520" s="2832"/>
      <c r="C520" s="2832"/>
      <c r="D520" s="2832"/>
      <c r="V520" s="2107"/>
      <c r="W520" s="2107"/>
      <c r="X520" s="2107"/>
      <c r="Y520" s="2107"/>
      <c r="Z520" s="2107"/>
      <c r="AA520" s="2107"/>
      <c r="AB520" s="2107"/>
      <c r="AC520" s="2107"/>
      <c r="AD520" s="2107"/>
      <c r="AE520" s="2107"/>
      <c r="AF520" s="2107"/>
      <c r="AG520" s="2107"/>
      <c r="AH520" s="2107"/>
      <c r="AI520" s="2107"/>
      <c r="AJ520" s="2107"/>
      <c r="AK520" s="2107"/>
      <c r="AL520" s="2107"/>
      <c r="AM520" s="2107"/>
      <c r="AN520" s="2107"/>
      <c r="AO520" s="2107"/>
      <c r="AP520" s="2107"/>
      <c r="AQ520" s="2107"/>
    </row>
    <row r="521" spans="1:43">
      <c r="A521" s="2133" t="s">
        <v>1796</v>
      </c>
      <c r="B521" s="2133" t="s">
        <v>2004</v>
      </c>
      <c r="C521" s="2133" t="s">
        <v>1791</v>
      </c>
      <c r="D521" s="2133" t="s">
        <v>2008</v>
      </c>
      <c r="E521" s="2086" t="s">
        <v>2368</v>
      </c>
      <c r="V521" s="2107"/>
      <c r="W521" s="2107"/>
      <c r="X521" s="2107"/>
      <c r="Y521" s="2107"/>
      <c r="Z521" s="2107"/>
      <c r="AA521" s="2107"/>
      <c r="AB521" s="2107"/>
      <c r="AC521" s="2107"/>
      <c r="AD521" s="2107"/>
      <c r="AE521" s="2107"/>
      <c r="AF521" s="2107"/>
      <c r="AG521" s="2107"/>
      <c r="AH521" s="2107"/>
      <c r="AI521" s="2107"/>
      <c r="AJ521" s="2107"/>
      <c r="AK521" s="2107"/>
      <c r="AL521" s="2107"/>
      <c r="AM521" s="2107"/>
      <c r="AN521" s="2107"/>
      <c r="AO521" s="2107"/>
      <c r="AP521" s="2107"/>
      <c r="AQ521" s="2107"/>
    </row>
    <row r="522" spans="1:43">
      <c r="A522" s="2133" t="str">
        <f t="shared" ref="A522:B536" si="136">A495</f>
        <v>B1</v>
      </c>
      <c r="B522" s="2133">
        <f t="shared" si="136"/>
        <v>0</v>
      </c>
      <c r="C522" s="2133">
        <f t="shared" ref="C522:C536" si="137">C445</f>
        <v>8.0000000000000016E-2</v>
      </c>
      <c r="D522" s="2133">
        <f>B522*C522</f>
        <v>0</v>
      </c>
      <c r="E522" s="2086">
        <f>$F$445*B522</f>
        <v>0</v>
      </c>
      <c r="G522" s="2099"/>
      <c r="V522" s="2107"/>
      <c r="W522" s="2107"/>
      <c r="X522" s="2107"/>
      <c r="Y522" s="2107"/>
      <c r="Z522" s="2107"/>
      <c r="AA522" s="2107"/>
      <c r="AB522" s="2107"/>
      <c r="AC522" s="2107"/>
      <c r="AD522" s="2107"/>
      <c r="AE522" s="2107"/>
      <c r="AF522" s="2107"/>
      <c r="AG522" s="2107"/>
      <c r="AH522" s="2107"/>
      <c r="AI522" s="2107"/>
      <c r="AJ522" s="2107"/>
      <c r="AK522" s="2107"/>
      <c r="AL522" s="2107"/>
      <c r="AM522" s="2107"/>
      <c r="AN522" s="2107"/>
      <c r="AO522" s="2107"/>
      <c r="AP522" s="2107"/>
      <c r="AQ522" s="2107"/>
    </row>
    <row r="523" spans="1:43">
      <c r="A523" s="2133" t="str">
        <f t="shared" si="136"/>
        <v>B2</v>
      </c>
      <c r="B523" s="2133">
        <f t="shared" si="136"/>
        <v>0</v>
      </c>
      <c r="C523" s="2133">
        <f t="shared" si="137"/>
        <v>6.7500000000000004E-2</v>
      </c>
      <c r="D523" s="2133">
        <f t="shared" ref="D523:D542" si="138">B523*C523</f>
        <v>0</v>
      </c>
      <c r="E523" s="2086">
        <f>$F$446*B523</f>
        <v>0</v>
      </c>
      <c r="V523" s="2107"/>
      <c r="W523" s="2107"/>
      <c r="X523" s="2107"/>
      <c r="Y523" s="2107"/>
      <c r="Z523" s="2107"/>
      <c r="AA523" s="2107"/>
      <c r="AB523" s="2107"/>
      <c r="AC523" s="2107"/>
      <c r="AD523" s="2107"/>
      <c r="AE523" s="2107"/>
      <c r="AF523" s="2107"/>
      <c r="AG523" s="2107"/>
      <c r="AH523" s="2107"/>
      <c r="AI523" s="2107"/>
      <c r="AJ523" s="2107"/>
      <c r="AK523" s="2107"/>
      <c r="AL523" s="2107"/>
      <c r="AM523" s="2107"/>
      <c r="AN523" s="2107"/>
      <c r="AO523" s="2107"/>
      <c r="AP523" s="2107"/>
      <c r="AQ523" s="2107"/>
    </row>
    <row r="524" spans="1:43">
      <c r="A524" s="2133" t="str">
        <f t="shared" si="136"/>
        <v>B3</v>
      </c>
      <c r="B524" s="2133">
        <f t="shared" si="136"/>
        <v>0</v>
      </c>
      <c r="C524" s="2133">
        <f t="shared" si="137"/>
        <v>7.9999999999999988E-2</v>
      </c>
      <c r="D524" s="2133">
        <f t="shared" si="138"/>
        <v>0</v>
      </c>
      <c r="E524" s="2086">
        <f>$F$447*B524</f>
        <v>0</v>
      </c>
      <c r="V524" s="2107"/>
      <c r="W524" s="2107"/>
      <c r="X524" s="2107"/>
      <c r="Y524" s="2107"/>
      <c r="Z524" s="2107"/>
      <c r="AA524" s="2107"/>
      <c r="AB524" s="2107"/>
      <c r="AC524" s="2107"/>
      <c r="AD524" s="2107"/>
      <c r="AE524" s="2107"/>
      <c r="AF524" s="2107"/>
      <c r="AG524" s="2107"/>
      <c r="AH524" s="2107"/>
      <c r="AI524" s="2107"/>
      <c r="AJ524" s="2107"/>
      <c r="AK524" s="2107"/>
      <c r="AL524" s="2107"/>
      <c r="AM524" s="2107"/>
      <c r="AN524" s="2107"/>
      <c r="AO524" s="2107"/>
      <c r="AP524" s="2107"/>
      <c r="AQ524" s="2107"/>
    </row>
    <row r="525" spans="1:43">
      <c r="A525" s="2133" t="str">
        <f t="shared" si="136"/>
        <v>B4</v>
      </c>
      <c r="B525" s="2133">
        <f t="shared" si="136"/>
        <v>0</v>
      </c>
      <c r="C525" s="2133">
        <f t="shared" si="137"/>
        <v>4.4999999999999998E-2</v>
      </c>
      <c r="D525" s="2133">
        <f t="shared" si="138"/>
        <v>0</v>
      </c>
      <c r="E525" s="2086">
        <f>$F$448*B525</f>
        <v>0</v>
      </c>
      <c r="V525" s="2107"/>
      <c r="W525" s="2107"/>
      <c r="X525" s="2107"/>
      <c r="Y525" s="2107"/>
      <c r="Z525" s="2107"/>
      <c r="AA525" s="2107"/>
      <c r="AB525" s="2107"/>
      <c r="AC525" s="2107"/>
      <c r="AD525" s="2107"/>
      <c r="AE525" s="2107"/>
      <c r="AF525" s="2107"/>
      <c r="AG525" s="2107"/>
      <c r="AH525" s="2107"/>
      <c r="AI525" s="2107"/>
      <c r="AJ525" s="2107"/>
      <c r="AK525" s="2107"/>
      <c r="AL525" s="2107"/>
      <c r="AM525" s="2107"/>
      <c r="AN525" s="2107"/>
      <c r="AO525" s="2107"/>
      <c r="AP525" s="2107"/>
      <c r="AQ525" s="2107"/>
    </row>
    <row r="526" spans="1:43">
      <c r="A526" s="2133" t="str">
        <f t="shared" si="136"/>
        <v>B5</v>
      </c>
      <c r="B526" s="2133">
        <f t="shared" si="136"/>
        <v>0</v>
      </c>
      <c r="C526" s="2133">
        <f t="shared" si="137"/>
        <v>0</v>
      </c>
      <c r="D526" s="2133">
        <f t="shared" si="138"/>
        <v>0</v>
      </c>
      <c r="E526" s="2086">
        <f>$F$449*B526</f>
        <v>0</v>
      </c>
      <c r="V526" s="2107"/>
      <c r="W526" s="2107"/>
      <c r="X526" s="2107"/>
      <c r="Y526" s="2107"/>
      <c r="Z526" s="2107"/>
      <c r="AA526" s="2107"/>
      <c r="AB526" s="2107"/>
      <c r="AC526" s="2107"/>
      <c r="AD526" s="2107"/>
      <c r="AE526" s="2107"/>
      <c r="AF526" s="2107"/>
      <c r="AG526" s="2107"/>
      <c r="AH526" s="2107"/>
      <c r="AI526" s="2107"/>
      <c r="AJ526" s="2107"/>
      <c r="AK526" s="2107"/>
      <c r="AL526" s="2107"/>
      <c r="AM526" s="2107"/>
      <c r="AN526" s="2107"/>
      <c r="AO526" s="2107"/>
      <c r="AP526" s="2107"/>
      <c r="AQ526" s="2107"/>
    </row>
    <row r="527" spans="1:43" ht="15" customHeight="1">
      <c r="A527" s="2133" t="str">
        <f t="shared" si="136"/>
        <v>B6</v>
      </c>
      <c r="B527" s="2133">
        <f t="shared" si="136"/>
        <v>0</v>
      </c>
      <c r="C527" s="2133">
        <f t="shared" si="137"/>
        <v>0</v>
      </c>
      <c r="D527" s="2133">
        <f t="shared" si="138"/>
        <v>0</v>
      </c>
      <c r="E527" s="2086">
        <f>$F$450*B527</f>
        <v>0</v>
      </c>
      <c r="V527" s="2107"/>
      <c r="W527" s="2107"/>
      <c r="X527" s="2107"/>
      <c r="Y527" s="2107"/>
      <c r="Z527" s="2107"/>
      <c r="AA527" s="2107"/>
      <c r="AB527" s="2107"/>
      <c r="AC527" s="2107"/>
      <c r="AD527" s="2107"/>
      <c r="AE527" s="2107"/>
      <c r="AF527" s="2107"/>
      <c r="AG527" s="2107"/>
      <c r="AH527" s="2107"/>
      <c r="AI527" s="2107"/>
      <c r="AJ527" s="2107"/>
      <c r="AK527" s="2107"/>
      <c r="AL527" s="2107"/>
      <c r="AM527" s="2107"/>
      <c r="AN527" s="2107"/>
      <c r="AO527" s="2107"/>
      <c r="AP527" s="2107"/>
      <c r="AQ527" s="2107"/>
    </row>
    <row r="528" spans="1:43" ht="15" customHeight="1">
      <c r="A528" s="2133" t="str">
        <f t="shared" si="136"/>
        <v>B7</v>
      </c>
      <c r="B528" s="2133">
        <f t="shared" si="136"/>
        <v>0</v>
      </c>
      <c r="C528" s="2133">
        <f t="shared" si="137"/>
        <v>0</v>
      </c>
      <c r="D528" s="2133">
        <f t="shared" si="138"/>
        <v>0</v>
      </c>
      <c r="E528" s="2086">
        <f>$F$451*B528</f>
        <v>0</v>
      </c>
      <c r="V528" s="2107"/>
      <c r="W528" s="2107"/>
      <c r="X528" s="2107"/>
      <c r="Y528" s="2107"/>
      <c r="Z528" s="2107"/>
      <c r="AA528" s="2107"/>
      <c r="AB528" s="2107"/>
      <c r="AC528" s="2107"/>
      <c r="AD528" s="2107"/>
      <c r="AE528" s="2107"/>
      <c r="AF528" s="2107"/>
      <c r="AG528" s="2107"/>
      <c r="AH528" s="2107"/>
      <c r="AI528" s="2107"/>
      <c r="AJ528" s="2107"/>
      <c r="AK528" s="2107"/>
      <c r="AL528" s="2107"/>
      <c r="AM528" s="2107"/>
      <c r="AN528" s="2107"/>
      <c r="AO528" s="2107"/>
      <c r="AP528" s="2107"/>
      <c r="AQ528" s="2107"/>
    </row>
    <row r="529" spans="1:43" ht="15" customHeight="1">
      <c r="A529" s="2133" t="str">
        <f t="shared" si="136"/>
        <v>B8</v>
      </c>
      <c r="B529" s="2133">
        <f t="shared" si="136"/>
        <v>0</v>
      </c>
      <c r="C529" s="2133">
        <f t="shared" si="137"/>
        <v>0</v>
      </c>
      <c r="D529" s="2133">
        <f t="shared" si="138"/>
        <v>0</v>
      </c>
      <c r="E529" s="2086">
        <f>$F$452*B529</f>
        <v>0</v>
      </c>
      <c r="V529" s="2107"/>
      <c r="W529" s="2107"/>
      <c r="X529" s="2107"/>
      <c r="Y529" s="2107"/>
      <c r="Z529" s="2107"/>
      <c r="AA529" s="2107"/>
      <c r="AB529" s="2107"/>
      <c r="AC529" s="2107"/>
      <c r="AD529" s="2107"/>
      <c r="AE529" s="2107"/>
      <c r="AF529" s="2107"/>
      <c r="AG529" s="2107"/>
      <c r="AH529" s="2107"/>
      <c r="AI529" s="2107"/>
      <c r="AJ529" s="2107"/>
      <c r="AK529" s="2107"/>
      <c r="AL529" s="2107"/>
      <c r="AM529" s="2107"/>
      <c r="AN529" s="2107"/>
      <c r="AO529" s="2107"/>
      <c r="AP529" s="2107"/>
      <c r="AQ529" s="2107"/>
    </row>
    <row r="530" spans="1:43">
      <c r="A530" s="2133" t="str">
        <f t="shared" si="136"/>
        <v>B9</v>
      </c>
      <c r="B530" s="2133">
        <f t="shared" si="136"/>
        <v>0</v>
      </c>
      <c r="C530" s="2133">
        <f t="shared" si="137"/>
        <v>0</v>
      </c>
      <c r="D530" s="2133">
        <f t="shared" si="138"/>
        <v>0</v>
      </c>
      <c r="E530" s="2086">
        <f>$F$453*B530</f>
        <v>0</v>
      </c>
      <c r="V530" s="2107"/>
      <c r="W530" s="2107"/>
      <c r="X530" s="2107"/>
      <c r="Y530" s="2107"/>
      <c r="Z530" s="2107"/>
      <c r="AA530" s="2107"/>
      <c r="AB530" s="2107"/>
      <c r="AC530" s="2107"/>
      <c r="AD530" s="2107"/>
      <c r="AE530" s="2107"/>
      <c r="AF530" s="2107"/>
      <c r="AG530" s="2107"/>
      <c r="AH530" s="2107"/>
      <c r="AI530" s="2107"/>
      <c r="AJ530" s="2107"/>
      <c r="AK530" s="2107"/>
      <c r="AL530" s="2107"/>
      <c r="AM530" s="2107"/>
      <c r="AN530" s="2107"/>
      <c r="AO530" s="2107"/>
      <c r="AP530" s="2107"/>
      <c r="AQ530" s="2107"/>
    </row>
    <row r="531" spans="1:43">
      <c r="A531" s="2133" t="str">
        <f t="shared" si="136"/>
        <v>B10</v>
      </c>
      <c r="B531" s="2133">
        <f t="shared" si="136"/>
        <v>0</v>
      </c>
      <c r="C531" s="2133">
        <f t="shared" si="137"/>
        <v>0</v>
      </c>
      <c r="D531" s="2133">
        <f t="shared" si="138"/>
        <v>0</v>
      </c>
      <c r="E531" s="2086">
        <f>$F$454*B531</f>
        <v>0</v>
      </c>
      <c r="V531" s="2107"/>
      <c r="W531" s="2833"/>
      <c r="X531" s="2833"/>
      <c r="Y531" s="2833"/>
      <c r="Z531" s="2833"/>
      <c r="AA531" s="2107"/>
      <c r="AB531" s="2107"/>
      <c r="AC531" s="2107"/>
      <c r="AD531" s="2107"/>
      <c r="AE531" s="2107"/>
      <c r="AF531" s="2107"/>
      <c r="AG531" s="2107"/>
      <c r="AH531" s="2107"/>
      <c r="AI531" s="2107"/>
      <c r="AJ531" s="2107"/>
      <c r="AK531" s="2107"/>
      <c r="AL531" s="2107"/>
      <c r="AM531" s="2107"/>
      <c r="AN531" s="2107"/>
      <c r="AO531" s="2107"/>
      <c r="AP531" s="2107"/>
      <c r="AQ531" s="2107"/>
    </row>
    <row r="532" spans="1:43">
      <c r="A532" s="2133" t="str">
        <f t="shared" si="136"/>
        <v>B11</v>
      </c>
      <c r="B532" s="2133">
        <f t="shared" si="136"/>
        <v>0</v>
      </c>
      <c r="C532" s="2133">
        <f t="shared" si="137"/>
        <v>0</v>
      </c>
      <c r="D532" s="2133">
        <f t="shared" si="138"/>
        <v>0</v>
      </c>
      <c r="E532" s="2086">
        <f>$F$455*B532</f>
        <v>0</v>
      </c>
      <c r="V532" s="2107"/>
      <c r="W532" s="2107"/>
      <c r="X532" s="2107"/>
      <c r="Y532" s="2107"/>
      <c r="Z532" s="2107"/>
      <c r="AA532" s="2107"/>
      <c r="AB532" s="2107"/>
      <c r="AC532" s="2107"/>
      <c r="AD532" s="2107"/>
      <c r="AE532" s="2107"/>
      <c r="AF532" s="2107"/>
      <c r="AG532" s="2107"/>
      <c r="AH532" s="2107"/>
      <c r="AI532" s="2107"/>
      <c r="AJ532" s="2107"/>
      <c r="AK532" s="2107"/>
      <c r="AL532" s="2107"/>
      <c r="AM532" s="2107"/>
      <c r="AN532" s="2107"/>
      <c r="AO532" s="2107"/>
      <c r="AP532" s="2107"/>
      <c r="AQ532" s="2107"/>
    </row>
    <row r="533" spans="1:43">
      <c r="A533" s="2133" t="str">
        <f t="shared" si="136"/>
        <v>B12</v>
      </c>
      <c r="B533" s="2133">
        <f t="shared" si="136"/>
        <v>0</v>
      </c>
      <c r="C533" s="2133">
        <f t="shared" si="137"/>
        <v>0</v>
      </c>
      <c r="D533" s="2133">
        <f t="shared" si="138"/>
        <v>0</v>
      </c>
      <c r="E533" s="2086">
        <f>$F$456*B533</f>
        <v>0</v>
      </c>
      <c r="V533" s="2107"/>
      <c r="W533" s="2107"/>
      <c r="X533" s="2107"/>
      <c r="Y533" s="2107"/>
      <c r="Z533" s="2107"/>
      <c r="AA533" s="2107"/>
      <c r="AB533" s="2107"/>
      <c r="AC533" s="2107"/>
      <c r="AD533" s="2107"/>
      <c r="AE533" s="2107"/>
      <c r="AF533" s="2107"/>
      <c r="AG533" s="2107"/>
      <c r="AH533" s="2107"/>
      <c r="AI533" s="2107"/>
      <c r="AJ533" s="2107"/>
      <c r="AK533" s="2107"/>
      <c r="AL533" s="2107"/>
      <c r="AM533" s="2107"/>
      <c r="AN533" s="2107"/>
      <c r="AO533" s="2107"/>
      <c r="AP533" s="2107"/>
      <c r="AQ533" s="2107"/>
    </row>
    <row r="534" spans="1:43">
      <c r="A534" s="2133" t="str">
        <f t="shared" si="136"/>
        <v>B13</v>
      </c>
      <c r="B534" s="2133">
        <f t="shared" si="136"/>
        <v>0</v>
      </c>
      <c r="C534" s="2133">
        <f t="shared" si="137"/>
        <v>0</v>
      </c>
      <c r="D534" s="2133">
        <f t="shared" si="138"/>
        <v>0</v>
      </c>
      <c r="E534" s="2086">
        <f>$F$457*B534</f>
        <v>0</v>
      </c>
      <c r="V534" s="2107"/>
      <c r="W534" s="2833"/>
      <c r="X534" s="2833"/>
      <c r="Y534" s="2833"/>
      <c r="Z534" s="2833"/>
      <c r="AA534" s="2107"/>
      <c r="AB534" s="2107"/>
      <c r="AC534" s="2107"/>
      <c r="AD534" s="2107"/>
      <c r="AE534" s="2107"/>
      <c r="AF534" s="2107"/>
      <c r="AG534" s="2107"/>
      <c r="AH534" s="2107"/>
      <c r="AI534" s="2107"/>
      <c r="AJ534" s="2107"/>
      <c r="AK534" s="2107"/>
      <c r="AL534" s="2107"/>
      <c r="AM534" s="2107"/>
      <c r="AN534" s="2107"/>
      <c r="AO534" s="2107"/>
      <c r="AP534" s="2107"/>
      <c r="AQ534" s="2107"/>
    </row>
    <row r="535" spans="1:43">
      <c r="A535" s="2133" t="str">
        <f t="shared" si="136"/>
        <v>B14</v>
      </c>
      <c r="B535" s="2133">
        <f t="shared" si="136"/>
        <v>0</v>
      </c>
      <c r="C535" s="2133">
        <f t="shared" si="137"/>
        <v>0</v>
      </c>
      <c r="D535" s="2133">
        <f t="shared" si="138"/>
        <v>0</v>
      </c>
      <c r="E535" s="2086">
        <f>$F$458*B535</f>
        <v>0</v>
      </c>
      <c r="V535" s="2107"/>
      <c r="W535" s="2107"/>
      <c r="X535" s="2107"/>
      <c r="Y535" s="2107"/>
      <c r="Z535" s="2107"/>
      <c r="AA535" s="2107"/>
      <c r="AB535" s="2107"/>
      <c r="AC535" s="2107"/>
      <c r="AD535" s="2107"/>
      <c r="AE535" s="2107"/>
      <c r="AF535" s="2107"/>
      <c r="AG535" s="2107"/>
      <c r="AH535" s="2107"/>
      <c r="AI535" s="2107"/>
      <c r="AJ535" s="2107"/>
      <c r="AK535" s="2107"/>
      <c r="AL535" s="2107"/>
      <c r="AM535" s="2107"/>
      <c r="AN535" s="2107"/>
      <c r="AO535" s="2107"/>
      <c r="AP535" s="2107"/>
      <c r="AQ535" s="2107"/>
    </row>
    <row r="536" spans="1:43">
      <c r="A536" s="2133" t="str">
        <f t="shared" si="136"/>
        <v>B15</v>
      </c>
      <c r="B536" s="2133">
        <f t="shared" si="136"/>
        <v>0</v>
      </c>
      <c r="C536" s="2133">
        <f t="shared" si="137"/>
        <v>0</v>
      </c>
      <c r="D536" s="2133">
        <f t="shared" si="138"/>
        <v>0</v>
      </c>
      <c r="E536" s="2086">
        <f t="shared" ref="E536:E541" si="139">$F$459*B536</f>
        <v>0</v>
      </c>
      <c r="V536" s="2107"/>
      <c r="W536" s="2107"/>
      <c r="X536" s="2107"/>
      <c r="Y536" s="2107"/>
      <c r="Z536" s="2107"/>
      <c r="AA536" s="2107"/>
      <c r="AB536" s="2107"/>
      <c r="AC536" s="2107"/>
      <c r="AD536" s="2107"/>
      <c r="AE536" s="2107"/>
      <c r="AF536" s="2107"/>
      <c r="AG536" s="2107"/>
      <c r="AH536" s="2107"/>
      <c r="AI536" s="2107"/>
      <c r="AJ536" s="2107"/>
      <c r="AK536" s="2107"/>
      <c r="AL536" s="2107"/>
      <c r="AM536" s="2107"/>
      <c r="AN536" s="2107"/>
      <c r="AO536" s="2107"/>
      <c r="AP536" s="2107"/>
      <c r="AQ536" s="2107"/>
    </row>
    <row r="537" spans="1:43" s="2532" customFormat="1">
      <c r="A537" s="2133" t="str">
        <f t="shared" ref="A537:B542" si="140">A510</f>
        <v>B16</v>
      </c>
      <c r="B537" s="2133">
        <f t="shared" si="140"/>
        <v>0</v>
      </c>
      <c r="C537" s="2133">
        <f t="shared" ref="C537:C542" si="141">C460</f>
        <v>0</v>
      </c>
      <c r="D537" s="2133">
        <f>B537*C537</f>
        <v>0</v>
      </c>
      <c r="E537" s="2532">
        <f t="shared" si="139"/>
        <v>0</v>
      </c>
      <c r="V537" s="2531"/>
      <c r="W537" s="2531"/>
      <c r="X537" s="2531"/>
      <c r="Y537" s="2531"/>
      <c r="Z537" s="2531"/>
      <c r="AA537" s="2531"/>
      <c r="AB537" s="2531"/>
      <c r="AC537" s="2531"/>
      <c r="AD537" s="2531"/>
      <c r="AE537" s="2531"/>
      <c r="AF537" s="2531"/>
      <c r="AG537" s="2531"/>
      <c r="AH537" s="2531"/>
      <c r="AI537" s="2531"/>
      <c r="AJ537" s="2531"/>
      <c r="AK537" s="2531"/>
      <c r="AL537" s="2531"/>
      <c r="AM537" s="2531"/>
      <c r="AN537" s="2531"/>
      <c r="AO537" s="2531"/>
      <c r="AP537" s="2531"/>
      <c r="AQ537" s="2531"/>
    </row>
    <row r="538" spans="1:43" s="2532" customFormat="1">
      <c r="A538" s="2133" t="str">
        <f t="shared" si="140"/>
        <v>B17</v>
      </c>
      <c r="B538" s="2133">
        <f t="shared" si="140"/>
        <v>0</v>
      </c>
      <c r="C538" s="2133">
        <f t="shared" si="141"/>
        <v>0</v>
      </c>
      <c r="D538" s="2133">
        <f>B538*C538</f>
        <v>0</v>
      </c>
      <c r="E538" s="2532">
        <f t="shared" si="139"/>
        <v>0</v>
      </c>
      <c r="V538" s="2531"/>
      <c r="W538" s="2531"/>
      <c r="X538" s="2531"/>
      <c r="Y538" s="2531"/>
      <c r="Z538" s="2531"/>
      <c r="AA538" s="2531"/>
      <c r="AB538" s="2531"/>
      <c r="AC538" s="2531"/>
      <c r="AD538" s="2531"/>
      <c r="AE538" s="2531"/>
      <c r="AF538" s="2531"/>
      <c r="AG538" s="2531"/>
      <c r="AH538" s="2531"/>
      <c r="AI538" s="2531"/>
      <c r="AJ538" s="2531"/>
      <c r="AK538" s="2531"/>
      <c r="AL538" s="2531"/>
      <c r="AM538" s="2531"/>
      <c r="AN538" s="2531"/>
      <c r="AO538" s="2531"/>
      <c r="AP538" s="2531"/>
      <c r="AQ538" s="2531"/>
    </row>
    <row r="539" spans="1:43" s="2532" customFormat="1">
      <c r="A539" s="2133" t="str">
        <f t="shared" si="140"/>
        <v>B18</v>
      </c>
      <c r="B539" s="2133">
        <f t="shared" si="140"/>
        <v>0</v>
      </c>
      <c r="C539" s="2133">
        <f t="shared" si="141"/>
        <v>0</v>
      </c>
      <c r="D539" s="2133">
        <f>B539*C539</f>
        <v>0</v>
      </c>
      <c r="E539" s="2532">
        <f t="shared" si="139"/>
        <v>0</v>
      </c>
      <c r="V539" s="2531"/>
      <c r="W539" s="2531"/>
      <c r="X539" s="2531"/>
      <c r="Y539" s="2531"/>
      <c r="Z539" s="2531"/>
      <c r="AA539" s="2531"/>
      <c r="AB539" s="2531"/>
      <c r="AC539" s="2531"/>
      <c r="AD539" s="2531"/>
      <c r="AE539" s="2531"/>
      <c r="AF539" s="2531"/>
      <c r="AG539" s="2531"/>
      <c r="AH539" s="2531"/>
      <c r="AI539" s="2531"/>
      <c r="AJ539" s="2531"/>
      <c r="AK539" s="2531"/>
      <c r="AL539" s="2531"/>
      <c r="AM539" s="2531"/>
      <c r="AN539" s="2531"/>
      <c r="AO539" s="2531"/>
      <c r="AP539" s="2531"/>
      <c r="AQ539" s="2531"/>
    </row>
    <row r="540" spans="1:43" s="2532" customFormat="1">
      <c r="A540" s="2133" t="str">
        <f t="shared" si="140"/>
        <v>B19</v>
      </c>
      <c r="B540" s="2133">
        <f t="shared" si="140"/>
        <v>0</v>
      </c>
      <c r="C540" s="2133">
        <f t="shared" si="141"/>
        <v>0</v>
      </c>
      <c r="D540" s="2133">
        <f>B540*C540</f>
        <v>0</v>
      </c>
      <c r="E540" s="2532">
        <f t="shared" si="139"/>
        <v>0</v>
      </c>
      <c r="V540" s="2531"/>
      <c r="W540" s="2531"/>
      <c r="X540" s="2531"/>
      <c r="Y540" s="2531"/>
      <c r="Z540" s="2531"/>
      <c r="AA540" s="2531"/>
      <c r="AB540" s="2531"/>
      <c r="AC540" s="2531"/>
      <c r="AD540" s="2531"/>
      <c r="AE540" s="2531"/>
      <c r="AF540" s="2531"/>
      <c r="AG540" s="2531"/>
      <c r="AH540" s="2531"/>
      <c r="AI540" s="2531"/>
      <c r="AJ540" s="2531"/>
      <c r="AK540" s="2531"/>
      <c r="AL540" s="2531"/>
      <c r="AM540" s="2531"/>
      <c r="AN540" s="2531"/>
      <c r="AO540" s="2531"/>
      <c r="AP540" s="2531"/>
      <c r="AQ540" s="2531"/>
    </row>
    <row r="541" spans="1:43" s="2532" customFormat="1">
      <c r="A541" s="2133" t="str">
        <f t="shared" si="140"/>
        <v>B20</v>
      </c>
      <c r="B541" s="2133">
        <f t="shared" si="140"/>
        <v>0</v>
      </c>
      <c r="C541" s="2133">
        <f t="shared" si="141"/>
        <v>0</v>
      </c>
      <c r="D541" s="2133">
        <f>B541*C541</f>
        <v>0</v>
      </c>
      <c r="E541" s="2532">
        <f t="shared" si="139"/>
        <v>0</v>
      </c>
      <c r="V541" s="2531"/>
      <c r="W541" s="2531"/>
      <c r="X541" s="2531"/>
      <c r="Y541" s="2531"/>
      <c r="Z541" s="2531"/>
      <c r="AA541" s="2531"/>
      <c r="AB541" s="2531"/>
      <c r="AC541" s="2531"/>
      <c r="AD541" s="2531"/>
      <c r="AE541" s="2531"/>
      <c r="AF541" s="2531"/>
      <c r="AG541" s="2531"/>
      <c r="AH541" s="2531"/>
      <c r="AI541" s="2531"/>
      <c r="AJ541" s="2531"/>
      <c r="AK541" s="2531"/>
      <c r="AL541" s="2531"/>
      <c r="AM541" s="2531"/>
      <c r="AN541" s="2531"/>
      <c r="AO541" s="2531"/>
      <c r="AP541" s="2531"/>
      <c r="AQ541" s="2531"/>
    </row>
    <row r="542" spans="1:43">
      <c r="A542" s="2133" t="str">
        <f t="shared" si="140"/>
        <v>RB</v>
      </c>
      <c r="B542" s="2133">
        <f t="shared" si="140"/>
        <v>0</v>
      </c>
      <c r="C542" s="2133">
        <f t="shared" si="141"/>
        <v>0.03</v>
      </c>
      <c r="D542" s="2145">
        <f t="shared" si="138"/>
        <v>0</v>
      </c>
      <c r="E542" s="2086">
        <f>$F$465*B542</f>
        <v>0</v>
      </c>
      <c r="G542" s="2099"/>
      <c r="V542" s="2107"/>
      <c r="W542" s="2107"/>
      <c r="X542" s="2107"/>
      <c r="Y542" s="2107"/>
      <c r="Z542" s="2107"/>
      <c r="AA542" s="2107"/>
      <c r="AB542" s="2107"/>
      <c r="AC542" s="2107"/>
      <c r="AD542" s="2107"/>
      <c r="AE542" s="2107"/>
      <c r="AF542" s="2107"/>
      <c r="AG542" s="2107"/>
      <c r="AH542" s="2107"/>
      <c r="AI542" s="2107"/>
      <c r="AJ542" s="2107"/>
      <c r="AK542" s="2107"/>
      <c r="AL542" s="2107"/>
      <c r="AM542" s="2107"/>
      <c r="AN542" s="2107"/>
      <c r="AO542" s="2107"/>
      <c r="AP542" s="2107"/>
      <c r="AQ542" s="2107"/>
    </row>
    <row r="543" spans="1:43" ht="30">
      <c r="C543" s="2138" t="s">
        <v>2078</v>
      </c>
      <c r="D543" s="2183">
        <f>SUM(D522:D542)</f>
        <v>0</v>
      </c>
      <c r="E543" s="2086">
        <f>SUM(E522:E542)</f>
        <v>0</v>
      </c>
      <c r="V543" s="2107"/>
      <c r="W543" s="2107"/>
      <c r="X543" s="2107"/>
      <c r="Y543" s="2107"/>
      <c r="Z543" s="2107"/>
      <c r="AA543" s="2107"/>
      <c r="AB543" s="2107"/>
      <c r="AC543" s="2107"/>
      <c r="AD543" s="2107"/>
      <c r="AE543" s="2107"/>
      <c r="AF543" s="2107"/>
      <c r="AG543" s="2107"/>
      <c r="AH543" s="2107"/>
      <c r="AI543" s="2107"/>
      <c r="AJ543" s="2107"/>
      <c r="AK543" s="2107"/>
      <c r="AL543" s="2107"/>
      <c r="AM543" s="2107"/>
      <c r="AN543" s="2107"/>
      <c r="AO543" s="2107"/>
      <c r="AP543" s="2107"/>
      <c r="AQ543" s="2107"/>
    </row>
    <row r="544" spans="1:43">
      <c r="V544" s="2107"/>
      <c r="W544" s="2107"/>
      <c r="X544" s="2107"/>
      <c r="Y544" s="2107"/>
      <c r="Z544" s="2107"/>
      <c r="AA544" s="2107"/>
      <c r="AB544" s="2107"/>
      <c r="AC544" s="2107"/>
      <c r="AD544" s="2107"/>
      <c r="AE544" s="2107"/>
      <c r="AF544" s="2107"/>
      <c r="AG544" s="2107"/>
      <c r="AH544" s="2107"/>
      <c r="AI544" s="2107"/>
      <c r="AJ544" s="2107"/>
      <c r="AK544" s="2107"/>
      <c r="AL544" s="2107"/>
      <c r="AM544" s="2107"/>
      <c r="AN544" s="2107"/>
      <c r="AO544" s="2107"/>
      <c r="AP544" s="2107"/>
      <c r="AQ544" s="2107"/>
    </row>
    <row r="545" spans="1:43">
      <c r="A545" s="2831" t="s">
        <v>2006</v>
      </c>
      <c r="B545" s="2832"/>
      <c r="C545" s="2832"/>
      <c r="D545" s="2832"/>
      <c r="V545" s="2107"/>
      <c r="W545" s="2107"/>
      <c r="X545" s="2107"/>
      <c r="Y545" s="2107"/>
      <c r="Z545" s="2107"/>
      <c r="AA545" s="2107"/>
      <c r="AB545" s="2107"/>
      <c r="AC545" s="2107"/>
      <c r="AD545" s="2107"/>
      <c r="AE545" s="2107"/>
      <c r="AF545" s="2107"/>
      <c r="AG545" s="2107"/>
      <c r="AH545" s="2107"/>
      <c r="AI545" s="2107"/>
      <c r="AJ545" s="2107"/>
      <c r="AK545" s="2107"/>
      <c r="AL545" s="2107"/>
      <c r="AM545" s="2107"/>
      <c r="AN545" s="2107"/>
      <c r="AO545" s="2107"/>
      <c r="AP545" s="2107"/>
      <c r="AQ545" s="2107"/>
    </row>
    <row r="546" spans="1:43">
      <c r="A546" s="2133" t="s">
        <v>1796</v>
      </c>
      <c r="B546" s="2133" t="s">
        <v>2004</v>
      </c>
      <c r="C546" s="2133" t="s">
        <v>1791</v>
      </c>
      <c r="D546" s="2133" t="s">
        <v>2007</v>
      </c>
      <c r="V546" s="2107"/>
      <c r="W546" s="2107"/>
      <c r="X546" s="2107"/>
      <c r="Y546" s="2107"/>
      <c r="Z546" s="2107"/>
      <c r="AA546" s="2107"/>
      <c r="AB546" s="2107"/>
      <c r="AC546" s="2107"/>
      <c r="AD546" s="2107"/>
      <c r="AE546" s="2107"/>
      <c r="AF546" s="2107"/>
      <c r="AG546" s="2107"/>
      <c r="AH546" s="2107"/>
      <c r="AI546" s="2107"/>
      <c r="AJ546" s="2107"/>
      <c r="AK546" s="2107"/>
      <c r="AL546" s="2107"/>
      <c r="AM546" s="2107"/>
      <c r="AN546" s="2107"/>
      <c r="AO546" s="2107"/>
      <c r="AP546" s="2107"/>
      <c r="AQ546" s="2107"/>
    </row>
    <row r="547" spans="1:43">
      <c r="A547" s="2133" t="str">
        <f t="shared" ref="A547:B561" si="142">A522</f>
        <v>B1</v>
      </c>
      <c r="B547" s="2133">
        <f t="shared" si="142"/>
        <v>0</v>
      </c>
      <c r="C547" s="2133">
        <f t="shared" ref="C547:C561" si="143">C470</f>
        <v>0.8</v>
      </c>
      <c r="D547" s="2133">
        <f t="shared" ref="D547:D567" si="144">B547*C547</f>
        <v>0</v>
      </c>
      <c r="V547" s="2107"/>
      <c r="W547" s="2107"/>
      <c r="X547" s="2107"/>
      <c r="Y547" s="2107"/>
      <c r="Z547" s="2107"/>
      <c r="AA547" s="2107"/>
      <c r="AB547" s="2107"/>
      <c r="AC547" s="2107"/>
      <c r="AD547" s="2107"/>
      <c r="AE547" s="2107"/>
      <c r="AF547" s="2107"/>
      <c r="AG547" s="2107"/>
      <c r="AH547" s="2107"/>
      <c r="AI547" s="2107"/>
      <c r="AJ547" s="2107"/>
      <c r="AK547" s="2107"/>
      <c r="AL547" s="2107"/>
      <c r="AM547" s="2107"/>
      <c r="AN547" s="2107"/>
      <c r="AO547" s="2107"/>
      <c r="AP547" s="2107"/>
      <c r="AQ547" s="2107"/>
    </row>
    <row r="548" spans="1:43">
      <c r="A548" s="2133" t="str">
        <f t="shared" si="142"/>
        <v>B2</v>
      </c>
      <c r="B548" s="2133">
        <f t="shared" si="142"/>
        <v>0</v>
      </c>
      <c r="C548" s="2133">
        <f t="shared" si="143"/>
        <v>1.1000000000000001</v>
      </c>
      <c r="D548" s="2133">
        <f t="shared" si="144"/>
        <v>0</v>
      </c>
      <c r="V548" s="2107"/>
      <c r="W548" s="2107"/>
      <c r="X548" s="2107"/>
      <c r="Y548" s="2107"/>
      <c r="Z548" s="2107"/>
      <c r="AA548" s="2107"/>
      <c r="AB548" s="2107"/>
      <c r="AC548" s="2107"/>
      <c r="AD548" s="2107"/>
      <c r="AE548" s="2107"/>
      <c r="AF548" s="2107"/>
      <c r="AG548" s="2107"/>
      <c r="AH548" s="2107"/>
      <c r="AI548" s="2107"/>
      <c r="AJ548" s="2107"/>
      <c r="AK548" s="2107"/>
      <c r="AL548" s="2107"/>
      <c r="AM548" s="2107"/>
      <c r="AN548" s="2107"/>
      <c r="AO548" s="2107"/>
      <c r="AP548" s="2107"/>
      <c r="AQ548" s="2107"/>
    </row>
    <row r="549" spans="1:43">
      <c r="A549" s="2133" t="str">
        <f t="shared" si="142"/>
        <v>B3</v>
      </c>
      <c r="B549" s="2133">
        <f t="shared" si="142"/>
        <v>0</v>
      </c>
      <c r="C549" s="2133">
        <f t="shared" si="143"/>
        <v>1.6</v>
      </c>
      <c r="D549" s="2133">
        <f t="shared" si="144"/>
        <v>0</v>
      </c>
      <c r="V549" s="2107"/>
      <c r="W549" s="2107"/>
      <c r="X549" s="2107"/>
      <c r="Y549" s="2107"/>
      <c r="Z549" s="2107"/>
      <c r="AA549" s="2107"/>
      <c r="AB549" s="2107"/>
      <c r="AC549" s="2107"/>
      <c r="AD549" s="2107"/>
      <c r="AE549" s="2107"/>
      <c r="AF549" s="2107"/>
      <c r="AG549" s="2107"/>
      <c r="AH549" s="2107"/>
      <c r="AI549" s="2107"/>
      <c r="AJ549" s="2107"/>
      <c r="AK549" s="2107"/>
      <c r="AL549" s="2107"/>
      <c r="AM549" s="2107"/>
      <c r="AN549" s="2107"/>
      <c r="AO549" s="2107"/>
      <c r="AP549" s="2107"/>
      <c r="AQ549" s="2107"/>
    </row>
    <row r="550" spans="1:43">
      <c r="A550" s="2133" t="str">
        <f t="shared" si="142"/>
        <v>B4</v>
      </c>
      <c r="B550" s="2133">
        <f t="shared" si="142"/>
        <v>0</v>
      </c>
      <c r="C550" s="2133">
        <f t="shared" si="143"/>
        <v>0.6</v>
      </c>
      <c r="D550" s="2133">
        <f t="shared" si="144"/>
        <v>0</v>
      </c>
      <c r="V550" s="2107"/>
      <c r="W550" s="2107"/>
      <c r="X550" s="2107"/>
      <c r="Y550" s="2107"/>
      <c r="Z550" s="2107"/>
      <c r="AA550" s="2107"/>
      <c r="AB550" s="2107"/>
      <c r="AC550" s="2107"/>
      <c r="AD550" s="2107"/>
      <c r="AE550" s="2107"/>
      <c r="AF550" s="2107"/>
      <c r="AG550" s="2107"/>
      <c r="AH550" s="2107"/>
      <c r="AI550" s="2107"/>
      <c r="AJ550" s="2107"/>
      <c r="AK550" s="2107"/>
      <c r="AL550" s="2107"/>
      <c r="AM550" s="2107"/>
      <c r="AN550" s="2107"/>
      <c r="AO550" s="2107"/>
      <c r="AP550" s="2107"/>
      <c r="AQ550" s="2107"/>
    </row>
    <row r="551" spans="1:43">
      <c r="A551" s="2133" t="str">
        <f t="shared" si="142"/>
        <v>B5</v>
      </c>
      <c r="B551" s="2133">
        <f t="shared" si="142"/>
        <v>0</v>
      </c>
      <c r="C551" s="2133">
        <f t="shared" si="143"/>
        <v>0</v>
      </c>
      <c r="D551" s="2133">
        <f t="shared" si="144"/>
        <v>0</v>
      </c>
      <c r="V551" s="2107"/>
      <c r="W551" s="2107"/>
      <c r="X551" s="2107"/>
      <c r="Y551" s="2107"/>
      <c r="Z551" s="2107"/>
      <c r="AA551" s="2107"/>
      <c r="AB551" s="2107"/>
      <c r="AC551" s="2107"/>
      <c r="AD551" s="2107"/>
      <c r="AE551" s="2107"/>
      <c r="AF551" s="2107"/>
      <c r="AG551" s="2107"/>
      <c r="AH551" s="2107"/>
      <c r="AI551" s="2107"/>
      <c r="AJ551" s="2107"/>
      <c r="AK551" s="2107"/>
      <c r="AL551" s="2107"/>
      <c r="AM551" s="2107"/>
      <c r="AN551" s="2107"/>
      <c r="AO551" s="2107"/>
      <c r="AP551" s="2107"/>
      <c r="AQ551" s="2107"/>
    </row>
    <row r="552" spans="1:43">
      <c r="A552" s="2133" t="str">
        <f t="shared" si="142"/>
        <v>B6</v>
      </c>
      <c r="B552" s="2133">
        <f t="shared" si="142"/>
        <v>0</v>
      </c>
      <c r="C552" s="2133">
        <f t="shared" si="143"/>
        <v>0</v>
      </c>
      <c r="D552" s="2133">
        <f t="shared" si="144"/>
        <v>0</v>
      </c>
      <c r="V552" s="2107"/>
      <c r="W552" s="2107"/>
      <c r="X552" s="2107"/>
      <c r="Y552" s="2107"/>
      <c r="Z552" s="2107"/>
      <c r="AA552" s="2107"/>
      <c r="AB552" s="2107"/>
      <c r="AC552" s="2107"/>
      <c r="AD552" s="2107"/>
      <c r="AE552" s="2107"/>
      <c r="AF552" s="2107"/>
      <c r="AG552" s="2107"/>
      <c r="AH552" s="2107"/>
      <c r="AI552" s="2107"/>
      <c r="AJ552" s="2107"/>
      <c r="AK552" s="2107"/>
      <c r="AL552" s="2107"/>
      <c r="AM552" s="2107"/>
      <c r="AN552" s="2107"/>
      <c r="AO552" s="2107"/>
      <c r="AP552" s="2107"/>
      <c r="AQ552" s="2107"/>
    </row>
    <row r="553" spans="1:43">
      <c r="A553" s="2133" t="str">
        <f t="shared" si="142"/>
        <v>B7</v>
      </c>
      <c r="B553" s="2133">
        <f t="shared" si="142"/>
        <v>0</v>
      </c>
      <c r="C553" s="2133">
        <f t="shared" si="143"/>
        <v>0</v>
      </c>
      <c r="D553" s="2133">
        <f t="shared" si="144"/>
        <v>0</v>
      </c>
      <c r="V553" s="2107"/>
      <c r="W553" s="2107"/>
      <c r="X553" s="2107"/>
      <c r="Y553" s="2107"/>
      <c r="Z553" s="2107"/>
      <c r="AA553" s="2107"/>
      <c r="AB553" s="2107"/>
      <c r="AC553" s="2107"/>
      <c r="AD553" s="2107"/>
      <c r="AE553" s="2107"/>
      <c r="AF553" s="2107"/>
      <c r="AG553" s="2107"/>
      <c r="AH553" s="2107"/>
      <c r="AI553" s="2107"/>
      <c r="AJ553" s="2107"/>
      <c r="AK553" s="2107"/>
      <c r="AL553" s="2107"/>
      <c r="AM553" s="2107"/>
      <c r="AN553" s="2107"/>
      <c r="AO553" s="2107"/>
      <c r="AP553" s="2107"/>
      <c r="AQ553" s="2107"/>
    </row>
    <row r="554" spans="1:43">
      <c r="A554" s="2133" t="str">
        <f t="shared" si="142"/>
        <v>B8</v>
      </c>
      <c r="B554" s="2133">
        <f t="shared" si="142"/>
        <v>0</v>
      </c>
      <c r="C554" s="2133">
        <f t="shared" si="143"/>
        <v>0</v>
      </c>
      <c r="D554" s="2133">
        <f t="shared" si="144"/>
        <v>0</v>
      </c>
      <c r="V554" s="2107"/>
      <c r="W554" s="2107"/>
      <c r="X554" s="2107"/>
      <c r="Y554" s="2107"/>
      <c r="Z554" s="2107"/>
      <c r="AA554" s="2107"/>
      <c r="AB554" s="2107"/>
      <c r="AC554" s="2107"/>
      <c r="AD554" s="2107"/>
      <c r="AE554" s="2107"/>
      <c r="AF554" s="2107"/>
      <c r="AG554" s="2107"/>
      <c r="AH554" s="2107"/>
      <c r="AI554" s="2107"/>
      <c r="AJ554" s="2107"/>
      <c r="AK554" s="2107"/>
      <c r="AL554" s="2107"/>
      <c r="AM554" s="2107"/>
      <c r="AN554" s="2107"/>
      <c r="AO554" s="2107"/>
      <c r="AP554" s="2107"/>
      <c r="AQ554" s="2107"/>
    </row>
    <row r="555" spans="1:43">
      <c r="A555" s="2133" t="str">
        <f t="shared" si="142"/>
        <v>B9</v>
      </c>
      <c r="B555" s="2133">
        <f t="shared" si="142"/>
        <v>0</v>
      </c>
      <c r="C555" s="2133">
        <f t="shared" si="143"/>
        <v>0</v>
      </c>
      <c r="D555" s="2133">
        <f t="shared" si="144"/>
        <v>0</v>
      </c>
      <c r="V555" s="2107"/>
      <c r="W555" s="2107"/>
      <c r="X555" s="2107"/>
      <c r="Y555" s="2107"/>
      <c r="Z555" s="2107"/>
      <c r="AA555" s="2107"/>
      <c r="AB555" s="2107"/>
      <c r="AC555" s="2107"/>
      <c r="AD555" s="2107"/>
      <c r="AE555" s="2107"/>
      <c r="AF555" s="2107"/>
      <c r="AG555" s="2107"/>
      <c r="AH555" s="2107"/>
      <c r="AI555" s="2107"/>
      <c r="AJ555" s="2107"/>
      <c r="AK555" s="2107"/>
      <c r="AL555" s="2107"/>
      <c r="AM555" s="2107"/>
      <c r="AN555" s="2107"/>
      <c r="AO555" s="2107"/>
      <c r="AP555" s="2107"/>
      <c r="AQ555" s="2107"/>
    </row>
    <row r="556" spans="1:43">
      <c r="A556" s="2133" t="str">
        <f t="shared" si="142"/>
        <v>B10</v>
      </c>
      <c r="B556" s="2133">
        <f t="shared" si="142"/>
        <v>0</v>
      </c>
      <c r="C556" s="2133">
        <f t="shared" si="143"/>
        <v>0</v>
      </c>
      <c r="D556" s="2133">
        <f t="shared" si="144"/>
        <v>0</v>
      </c>
      <c r="V556" s="2107"/>
      <c r="W556" s="2107"/>
      <c r="X556" s="2107"/>
      <c r="Y556" s="2107"/>
      <c r="Z556" s="2107"/>
      <c r="AA556" s="2107"/>
      <c r="AB556" s="2107"/>
      <c r="AC556" s="2107"/>
      <c r="AD556" s="2107"/>
      <c r="AE556" s="2107"/>
      <c r="AF556" s="2107"/>
      <c r="AG556" s="2107"/>
      <c r="AH556" s="2107"/>
      <c r="AI556" s="2107"/>
      <c r="AJ556" s="2107"/>
      <c r="AK556" s="2107"/>
      <c r="AL556" s="2107"/>
      <c r="AM556" s="2107"/>
      <c r="AN556" s="2107"/>
      <c r="AO556" s="2107"/>
      <c r="AP556" s="2107"/>
      <c r="AQ556" s="2107"/>
    </row>
    <row r="557" spans="1:43">
      <c r="A557" s="2133" t="str">
        <f t="shared" si="142"/>
        <v>B11</v>
      </c>
      <c r="B557" s="2133">
        <f t="shared" si="142"/>
        <v>0</v>
      </c>
      <c r="C557" s="2133">
        <f t="shared" si="143"/>
        <v>0</v>
      </c>
      <c r="D557" s="2133">
        <f t="shared" si="144"/>
        <v>0</v>
      </c>
      <c r="V557" s="2107"/>
      <c r="W557" s="2107"/>
      <c r="X557" s="2107"/>
      <c r="Y557" s="2107"/>
      <c r="Z557" s="2107"/>
      <c r="AA557" s="2107"/>
      <c r="AB557" s="2107"/>
      <c r="AC557" s="2107"/>
      <c r="AD557" s="2107"/>
      <c r="AE557" s="2107"/>
      <c r="AF557" s="2107"/>
      <c r="AG557" s="2107"/>
      <c r="AH557" s="2107"/>
      <c r="AI557" s="2107"/>
      <c r="AJ557" s="2107"/>
      <c r="AK557" s="2107"/>
      <c r="AL557" s="2107"/>
      <c r="AM557" s="2107"/>
      <c r="AN557" s="2107"/>
      <c r="AO557" s="2107"/>
      <c r="AP557" s="2107"/>
      <c r="AQ557" s="2107"/>
    </row>
    <row r="558" spans="1:43">
      <c r="A558" s="2133" t="str">
        <f t="shared" si="142"/>
        <v>B12</v>
      </c>
      <c r="B558" s="2133">
        <f t="shared" si="142"/>
        <v>0</v>
      </c>
      <c r="C558" s="2133">
        <f t="shared" si="143"/>
        <v>0</v>
      </c>
      <c r="D558" s="2133">
        <f t="shared" si="144"/>
        <v>0</v>
      </c>
      <c r="V558" s="2107"/>
      <c r="W558" s="2107"/>
      <c r="X558" s="2107"/>
      <c r="Y558" s="2107"/>
      <c r="Z558" s="2107"/>
      <c r="AA558" s="2107"/>
      <c r="AB558" s="2107"/>
      <c r="AC558" s="2107"/>
      <c r="AD558" s="2107"/>
      <c r="AE558" s="2107"/>
      <c r="AF558" s="2107"/>
      <c r="AG558" s="2107"/>
      <c r="AH558" s="2107"/>
      <c r="AI558" s="2107"/>
      <c r="AJ558" s="2107"/>
      <c r="AK558" s="2107"/>
      <c r="AL558" s="2107"/>
      <c r="AM558" s="2107"/>
      <c r="AN558" s="2107"/>
      <c r="AO558" s="2107"/>
      <c r="AP558" s="2107"/>
      <c r="AQ558" s="2107"/>
    </row>
    <row r="559" spans="1:43">
      <c r="A559" s="2133" t="str">
        <f t="shared" si="142"/>
        <v>B13</v>
      </c>
      <c r="B559" s="2133">
        <f t="shared" si="142"/>
        <v>0</v>
      </c>
      <c r="C559" s="2133">
        <f t="shared" si="143"/>
        <v>0</v>
      </c>
      <c r="D559" s="2133">
        <f t="shared" si="144"/>
        <v>0</v>
      </c>
      <c r="V559" s="2107"/>
      <c r="W559" s="2107"/>
      <c r="X559" s="2107"/>
      <c r="Y559" s="2107"/>
      <c r="Z559" s="2107"/>
      <c r="AA559" s="2107"/>
      <c r="AB559" s="2107"/>
      <c r="AC559" s="2107"/>
      <c r="AD559" s="2107"/>
      <c r="AE559" s="2107"/>
      <c r="AF559" s="2107"/>
      <c r="AG559" s="2107"/>
      <c r="AH559" s="2107"/>
      <c r="AI559" s="2107"/>
      <c r="AJ559" s="2107"/>
      <c r="AK559" s="2107"/>
      <c r="AL559" s="2107"/>
      <c r="AM559" s="2107"/>
      <c r="AN559" s="2107"/>
      <c r="AO559" s="2107"/>
      <c r="AP559" s="2107"/>
      <c r="AQ559" s="2107"/>
    </row>
    <row r="560" spans="1:43">
      <c r="A560" s="2133" t="str">
        <f t="shared" si="142"/>
        <v>B14</v>
      </c>
      <c r="B560" s="2133">
        <f t="shared" si="142"/>
        <v>0</v>
      </c>
      <c r="C560" s="2133">
        <f t="shared" si="143"/>
        <v>0</v>
      </c>
      <c r="D560" s="2133">
        <f t="shared" si="144"/>
        <v>0</v>
      </c>
      <c r="V560" s="2107"/>
      <c r="W560" s="2107"/>
      <c r="X560" s="2107"/>
      <c r="Y560" s="2107"/>
      <c r="Z560" s="2107"/>
      <c r="AA560" s="2107"/>
      <c r="AB560" s="2107"/>
      <c r="AC560" s="2107"/>
      <c r="AD560" s="2107"/>
      <c r="AE560" s="2107"/>
      <c r="AF560" s="2107"/>
      <c r="AG560" s="2107"/>
      <c r="AH560" s="2107"/>
      <c r="AI560" s="2107"/>
      <c r="AJ560" s="2107"/>
      <c r="AK560" s="2107"/>
      <c r="AL560" s="2107"/>
      <c r="AM560" s="2107"/>
      <c r="AN560" s="2107"/>
      <c r="AO560" s="2107"/>
      <c r="AP560" s="2107"/>
      <c r="AQ560" s="2107"/>
    </row>
    <row r="561" spans="1:43">
      <c r="A561" s="2133" t="str">
        <f t="shared" si="142"/>
        <v>B15</v>
      </c>
      <c r="B561" s="2133">
        <f t="shared" si="142"/>
        <v>0</v>
      </c>
      <c r="C561" s="2133">
        <f t="shared" si="143"/>
        <v>0</v>
      </c>
      <c r="D561" s="2133">
        <f t="shared" si="144"/>
        <v>0</v>
      </c>
      <c r="V561" s="2107"/>
      <c r="W561" s="2107"/>
      <c r="X561" s="2107"/>
      <c r="Y561" s="2107"/>
      <c r="Z561" s="2107"/>
      <c r="AA561" s="2107"/>
      <c r="AB561" s="2107"/>
      <c r="AC561" s="2107"/>
      <c r="AD561" s="2107"/>
      <c r="AE561" s="2107"/>
      <c r="AF561" s="2107"/>
      <c r="AG561" s="2107"/>
      <c r="AH561" s="2107"/>
      <c r="AI561" s="2107"/>
      <c r="AJ561" s="2107"/>
      <c r="AK561" s="2107"/>
      <c r="AL561" s="2107"/>
      <c r="AM561" s="2107"/>
      <c r="AN561" s="2107"/>
      <c r="AO561" s="2107"/>
      <c r="AP561" s="2107"/>
      <c r="AQ561" s="2107"/>
    </row>
    <row r="562" spans="1:43" s="2532" customFormat="1">
      <c r="A562" s="2133" t="str">
        <f t="shared" ref="A562:B567" si="145">A537</f>
        <v>B16</v>
      </c>
      <c r="B562" s="2133">
        <f t="shared" si="145"/>
        <v>0</v>
      </c>
      <c r="C562" s="2133">
        <f t="shared" ref="C562:C567" si="146">C485</f>
        <v>0</v>
      </c>
      <c r="D562" s="2133">
        <f>B562*C562</f>
        <v>0</v>
      </c>
      <c r="V562" s="2531"/>
      <c r="W562" s="2531"/>
      <c r="X562" s="2531"/>
      <c r="Y562" s="2531"/>
      <c r="Z562" s="2531"/>
      <c r="AA562" s="2531"/>
      <c r="AB562" s="2531"/>
      <c r="AC562" s="2531"/>
      <c r="AD562" s="2531"/>
      <c r="AE562" s="2531"/>
      <c r="AF562" s="2531"/>
      <c r="AG562" s="2531"/>
      <c r="AH562" s="2531"/>
      <c r="AI562" s="2531"/>
      <c r="AJ562" s="2531"/>
      <c r="AK562" s="2531"/>
      <c r="AL562" s="2531"/>
      <c r="AM562" s="2531"/>
      <c r="AN562" s="2531"/>
      <c r="AO562" s="2531"/>
      <c r="AP562" s="2531"/>
      <c r="AQ562" s="2531"/>
    </row>
    <row r="563" spans="1:43" s="2532" customFormat="1">
      <c r="A563" s="2133" t="str">
        <f t="shared" si="145"/>
        <v>B17</v>
      </c>
      <c r="B563" s="2133">
        <f t="shared" si="145"/>
        <v>0</v>
      </c>
      <c r="C563" s="2133">
        <f t="shared" si="146"/>
        <v>0</v>
      </c>
      <c r="D563" s="2133">
        <f>B563*C563</f>
        <v>0</v>
      </c>
      <c r="V563" s="2531"/>
      <c r="W563" s="2531"/>
      <c r="X563" s="2531"/>
      <c r="Y563" s="2531"/>
      <c r="Z563" s="2531"/>
      <c r="AA563" s="2531"/>
      <c r="AB563" s="2531"/>
      <c r="AC563" s="2531"/>
      <c r="AD563" s="2531"/>
      <c r="AE563" s="2531"/>
      <c r="AF563" s="2531"/>
      <c r="AG563" s="2531"/>
      <c r="AH563" s="2531"/>
      <c r="AI563" s="2531"/>
      <c r="AJ563" s="2531"/>
      <c r="AK563" s="2531"/>
      <c r="AL563" s="2531"/>
      <c r="AM563" s="2531"/>
      <c r="AN563" s="2531"/>
      <c r="AO563" s="2531"/>
      <c r="AP563" s="2531"/>
      <c r="AQ563" s="2531"/>
    </row>
    <row r="564" spans="1:43" s="2532" customFormat="1">
      <c r="A564" s="2133" t="str">
        <f t="shared" si="145"/>
        <v>B18</v>
      </c>
      <c r="B564" s="2133">
        <f t="shared" si="145"/>
        <v>0</v>
      </c>
      <c r="C564" s="2133">
        <f t="shared" si="146"/>
        <v>0</v>
      </c>
      <c r="D564" s="2133">
        <f>B564*C564</f>
        <v>0</v>
      </c>
      <c r="V564" s="2531"/>
      <c r="W564" s="2531"/>
      <c r="X564" s="2531"/>
      <c r="Y564" s="2531"/>
      <c r="Z564" s="2531"/>
      <c r="AA564" s="2531"/>
      <c r="AB564" s="2531"/>
      <c r="AC564" s="2531"/>
      <c r="AD564" s="2531"/>
      <c r="AE564" s="2531"/>
      <c r="AF564" s="2531"/>
      <c r="AG564" s="2531"/>
      <c r="AH564" s="2531"/>
      <c r="AI564" s="2531"/>
      <c r="AJ564" s="2531"/>
      <c r="AK564" s="2531"/>
      <c r="AL564" s="2531"/>
      <c r="AM564" s="2531"/>
      <c r="AN564" s="2531"/>
      <c r="AO564" s="2531"/>
      <c r="AP564" s="2531"/>
      <c r="AQ564" s="2531"/>
    </row>
    <row r="565" spans="1:43" s="2532" customFormat="1">
      <c r="A565" s="2133" t="str">
        <f t="shared" si="145"/>
        <v>B19</v>
      </c>
      <c r="B565" s="2133">
        <f t="shared" si="145"/>
        <v>0</v>
      </c>
      <c r="C565" s="2133">
        <f t="shared" si="146"/>
        <v>0</v>
      </c>
      <c r="D565" s="2133">
        <f>B565*C565</f>
        <v>0</v>
      </c>
      <c r="V565" s="2531"/>
      <c r="W565" s="2531"/>
      <c r="X565" s="2531"/>
      <c r="Y565" s="2531"/>
      <c r="Z565" s="2531"/>
      <c r="AA565" s="2531"/>
      <c r="AB565" s="2531"/>
      <c r="AC565" s="2531"/>
      <c r="AD565" s="2531"/>
      <c r="AE565" s="2531"/>
      <c r="AF565" s="2531"/>
      <c r="AG565" s="2531"/>
      <c r="AH565" s="2531"/>
      <c r="AI565" s="2531"/>
      <c r="AJ565" s="2531"/>
      <c r="AK565" s="2531"/>
      <c r="AL565" s="2531"/>
      <c r="AM565" s="2531"/>
      <c r="AN565" s="2531"/>
      <c r="AO565" s="2531"/>
      <c r="AP565" s="2531"/>
      <c r="AQ565" s="2531"/>
    </row>
    <row r="566" spans="1:43" s="2532" customFormat="1">
      <c r="A566" s="2133" t="str">
        <f t="shared" si="145"/>
        <v>B20</v>
      </c>
      <c r="B566" s="2133">
        <f t="shared" si="145"/>
        <v>0</v>
      </c>
      <c r="C566" s="2133">
        <f t="shared" si="146"/>
        <v>0</v>
      </c>
      <c r="D566" s="2133">
        <f>B566*C566</f>
        <v>0</v>
      </c>
      <c r="V566" s="2531"/>
      <c r="W566" s="2531"/>
      <c r="X566" s="2531"/>
      <c r="Y566" s="2531"/>
      <c r="Z566" s="2531"/>
      <c r="AA566" s="2531"/>
      <c r="AB566" s="2531"/>
      <c r="AC566" s="2531"/>
      <c r="AD566" s="2531"/>
      <c r="AE566" s="2531"/>
      <c r="AF566" s="2531"/>
      <c r="AG566" s="2531"/>
      <c r="AH566" s="2531"/>
      <c r="AI566" s="2531"/>
      <c r="AJ566" s="2531"/>
      <c r="AK566" s="2531"/>
      <c r="AL566" s="2531"/>
      <c r="AM566" s="2531"/>
      <c r="AN566" s="2531"/>
      <c r="AO566" s="2531"/>
      <c r="AP566" s="2531"/>
      <c r="AQ566" s="2531"/>
    </row>
    <row r="567" spans="1:43">
      <c r="A567" s="2133" t="str">
        <f t="shared" si="145"/>
        <v>RB</v>
      </c>
      <c r="B567" s="2133">
        <f t="shared" si="145"/>
        <v>0</v>
      </c>
      <c r="C567" s="2133">
        <f t="shared" si="146"/>
        <v>0.4</v>
      </c>
      <c r="D567" s="2133">
        <f t="shared" si="144"/>
        <v>0</v>
      </c>
      <c r="V567" s="2107"/>
      <c r="W567" s="2107"/>
      <c r="X567" s="2107"/>
      <c r="Y567" s="2107"/>
      <c r="Z567" s="2107"/>
      <c r="AA567" s="2107"/>
      <c r="AB567" s="2107"/>
      <c r="AC567" s="2107"/>
      <c r="AD567" s="2107"/>
      <c r="AE567" s="2107"/>
      <c r="AF567" s="2107"/>
      <c r="AG567" s="2107"/>
      <c r="AH567" s="2107"/>
      <c r="AI567" s="2107"/>
      <c r="AJ567" s="2107"/>
      <c r="AK567" s="2107"/>
      <c r="AL567" s="2107"/>
      <c r="AM567" s="2107"/>
      <c r="AN567" s="2107"/>
      <c r="AO567" s="2107"/>
      <c r="AP567" s="2107"/>
      <c r="AQ567" s="2107"/>
    </row>
    <row r="568" spans="1:43" ht="30">
      <c r="C568" s="2138" t="s">
        <v>2076</v>
      </c>
      <c r="D568" s="2183">
        <f>SUM(D547:D567)</f>
        <v>0</v>
      </c>
      <c r="V568" s="2107"/>
      <c r="W568" s="2107"/>
      <c r="X568" s="2107"/>
      <c r="Y568" s="2107"/>
      <c r="Z568" s="2107"/>
      <c r="AA568" s="2107"/>
      <c r="AB568" s="2107"/>
      <c r="AC568" s="2107"/>
      <c r="AD568" s="2107"/>
      <c r="AE568" s="2107"/>
      <c r="AF568" s="2107"/>
      <c r="AG568" s="2107"/>
      <c r="AH568" s="2107"/>
      <c r="AI568" s="2107"/>
      <c r="AJ568" s="2107"/>
      <c r="AK568" s="2107"/>
      <c r="AL568" s="2107"/>
      <c r="AM568" s="2107"/>
      <c r="AN568" s="2107"/>
      <c r="AO568" s="2107"/>
      <c r="AP568" s="2107"/>
      <c r="AQ568" s="2107"/>
    </row>
    <row r="570" spans="1:43" ht="15" customHeight="1">
      <c r="A570" s="2863" t="s">
        <v>2016</v>
      </c>
      <c r="B570" s="2864"/>
      <c r="C570" s="2864"/>
      <c r="D570" s="2864"/>
      <c r="E570" s="2865"/>
    </row>
    <row r="571" spans="1:43" ht="15" customHeight="1" thickBot="1">
      <c r="A571" s="2116" t="s">
        <v>1987</v>
      </c>
      <c r="B571" s="2151" t="s">
        <v>1205</v>
      </c>
      <c r="C571" s="2117" t="s">
        <v>1111</v>
      </c>
      <c r="D571" s="2116" t="s">
        <v>1243</v>
      </c>
      <c r="E571" s="2152" t="s">
        <v>1568</v>
      </c>
    </row>
    <row r="572" spans="1:43" ht="15" customHeight="1">
      <c r="A572" s="2119" t="s">
        <v>1709</v>
      </c>
      <c r="B572" s="2344">
        <v>0</v>
      </c>
      <c r="C572" s="2345">
        <v>1</v>
      </c>
      <c r="D572" s="2121">
        <v>0.15</v>
      </c>
      <c r="E572" s="2087">
        <f>B572*C572*D572</f>
        <v>0</v>
      </c>
    </row>
    <row r="573" spans="1:43" ht="15" customHeight="1">
      <c r="A573" s="2134"/>
      <c r="B573" s="2346">
        <v>0</v>
      </c>
      <c r="C573" s="2347">
        <v>1</v>
      </c>
      <c r="D573" s="2135">
        <v>0.15</v>
      </c>
      <c r="E573" s="2133">
        <f>B573*C573*D573</f>
        <v>0</v>
      </c>
    </row>
    <row r="574" spans="1:43" ht="15" customHeight="1">
      <c r="A574" s="2134" t="s">
        <v>1710</v>
      </c>
      <c r="B574" s="2247"/>
      <c r="C574" s="2248"/>
      <c r="D574" s="2135">
        <v>0.15</v>
      </c>
      <c r="E574" s="2133">
        <f>B574*C574*D574</f>
        <v>0</v>
      </c>
    </row>
    <row r="575" spans="1:43" ht="15" thickBot="1">
      <c r="A575" s="2134"/>
      <c r="B575" s="2127"/>
      <c r="C575" s="2137"/>
      <c r="D575" s="2135">
        <v>0.15</v>
      </c>
      <c r="E575" s="2133">
        <f>B575*C575*D575</f>
        <v>0</v>
      </c>
    </row>
    <row r="576" spans="1:43" ht="30">
      <c r="D576" s="2138" t="s">
        <v>2078</v>
      </c>
      <c r="E576" s="2150">
        <f>SUM(E572:E575)</f>
        <v>0</v>
      </c>
    </row>
    <row r="578" spans="1:12">
      <c r="A578" s="2831" t="s">
        <v>2018</v>
      </c>
      <c r="B578" s="2832"/>
      <c r="C578" s="2832"/>
      <c r="D578" s="2832"/>
      <c r="E578" s="2832"/>
      <c r="F578" s="2832"/>
      <c r="G578" s="2836"/>
    </row>
    <row r="579" spans="1:12">
      <c r="A579" s="2087" t="s">
        <v>1996</v>
      </c>
      <c r="B579" s="2087" t="s">
        <v>1205</v>
      </c>
      <c r="C579" s="2087" t="s">
        <v>1607</v>
      </c>
      <c r="D579" s="2087" t="s">
        <v>1168</v>
      </c>
      <c r="E579" s="2087" t="s">
        <v>1205</v>
      </c>
      <c r="F579" s="2087" t="s">
        <v>1243</v>
      </c>
      <c r="G579" s="2087"/>
    </row>
    <row r="580" spans="1:12">
      <c r="A580" s="2824" t="s">
        <v>2079</v>
      </c>
      <c r="B580" s="2133">
        <f>B572</f>
        <v>0</v>
      </c>
      <c r="C580" s="2133">
        <f>B580/0.2</f>
        <v>0</v>
      </c>
      <c r="D580" s="2133">
        <f>ROUNDUP(C580,0)</f>
        <v>0</v>
      </c>
      <c r="E580" s="2133">
        <f>(2*(B582-0.05))+0.2</f>
        <v>0.1</v>
      </c>
      <c r="F580" s="2133">
        <f>D580*E580</f>
        <v>0</v>
      </c>
      <c r="G580" s="2133">
        <f>F580*0.89</f>
        <v>0</v>
      </c>
      <c r="I580" s="2089"/>
      <c r="J580" s="2089"/>
      <c r="K580" s="2089"/>
      <c r="L580" s="2089"/>
    </row>
    <row r="581" spans="1:12">
      <c r="A581" s="2829"/>
      <c r="B581" s="2133"/>
      <c r="C581" s="2133"/>
      <c r="D581" s="2133"/>
      <c r="E581" s="2133"/>
      <c r="F581" s="2133"/>
      <c r="G581" s="2133"/>
      <c r="I581" s="2089"/>
      <c r="J581" s="2089"/>
      <c r="K581" s="2089"/>
      <c r="L581" s="2089"/>
    </row>
    <row r="582" spans="1:12">
      <c r="A582" s="2825"/>
      <c r="B582" s="2133">
        <v>0</v>
      </c>
      <c r="C582" s="2133">
        <f>B582/0.2</f>
        <v>0</v>
      </c>
      <c r="D582" s="2133">
        <f>ROUNDUP(C582,0)</f>
        <v>0</v>
      </c>
      <c r="E582" s="2133">
        <f>(2*(B580-0.05))+0.2</f>
        <v>0.1</v>
      </c>
      <c r="F582" s="2133">
        <f>D582*E582</f>
        <v>0</v>
      </c>
      <c r="G582" s="2133">
        <f>F582*0.4</f>
        <v>0</v>
      </c>
      <c r="L582" s="2089"/>
    </row>
    <row r="584" spans="1:12">
      <c r="A584" s="2831" t="s">
        <v>2017</v>
      </c>
      <c r="B584" s="2832"/>
      <c r="C584" s="2832"/>
      <c r="D584" s="2832"/>
      <c r="E584" s="2832"/>
      <c r="F584" s="2832"/>
      <c r="G584" s="2836"/>
    </row>
    <row r="585" spans="1:12">
      <c r="A585" s="2824" t="s">
        <v>2079</v>
      </c>
      <c r="B585" s="2087">
        <f>B573</f>
        <v>0</v>
      </c>
      <c r="C585" s="2087">
        <f>B585/0.2</f>
        <v>0</v>
      </c>
      <c r="D585" s="2087">
        <f>ROUNDUP(C585,0)</f>
        <v>0</v>
      </c>
      <c r="E585" s="2087">
        <f>(2*(B586-0.05))+0.2</f>
        <v>0.1</v>
      </c>
      <c r="F585" s="2087">
        <f>D585*E585</f>
        <v>0</v>
      </c>
      <c r="G585" s="2087">
        <f>F585*0.89</f>
        <v>0</v>
      </c>
    </row>
    <row r="586" spans="1:12">
      <c r="A586" s="2825"/>
      <c r="B586" s="2133">
        <v>0</v>
      </c>
      <c r="C586" s="2133">
        <f>B586/0.2</f>
        <v>0</v>
      </c>
      <c r="D586" s="2133">
        <f>ROUNDUP(C586,0)</f>
        <v>0</v>
      </c>
      <c r="E586" s="2133">
        <f>(2*(B585-0.05))+0.2</f>
        <v>0.1</v>
      </c>
      <c r="F586" s="2133">
        <f>D586*E586</f>
        <v>0</v>
      </c>
      <c r="G586" s="2133">
        <f>F586*0.4</f>
        <v>0</v>
      </c>
    </row>
    <row r="588" spans="1:12">
      <c r="A588" s="2826" t="s">
        <v>2019</v>
      </c>
      <c r="B588" s="2827"/>
      <c r="C588" s="2827"/>
      <c r="D588" s="2827"/>
      <c r="E588" s="2827"/>
      <c r="F588" s="2827"/>
      <c r="G588" s="2828"/>
    </row>
    <row r="589" spans="1:12">
      <c r="A589" s="2087" t="s">
        <v>1996</v>
      </c>
      <c r="B589" s="2087" t="s">
        <v>1205</v>
      </c>
      <c r="C589" s="2087" t="s">
        <v>1607</v>
      </c>
      <c r="D589" s="2087" t="s">
        <v>1168</v>
      </c>
      <c r="E589" s="2087" t="s">
        <v>1205</v>
      </c>
      <c r="F589" s="2087" t="s">
        <v>1243</v>
      </c>
      <c r="G589" s="2087"/>
    </row>
    <row r="590" spans="1:12">
      <c r="A590" s="2824" t="s">
        <v>2080</v>
      </c>
      <c r="B590" s="2133">
        <f>B574</f>
        <v>0</v>
      </c>
      <c r="C590" s="2133">
        <f>B590/0.2</f>
        <v>0</v>
      </c>
      <c r="D590" s="2133">
        <f>ROUNDUP(C590,0)</f>
        <v>0</v>
      </c>
      <c r="E590" s="2133">
        <f>(2*(B592-0.05))+0.2</f>
        <v>0.1</v>
      </c>
      <c r="F590" s="2133">
        <f>D590*E590</f>
        <v>0</v>
      </c>
      <c r="G590" s="2133">
        <f>F590*0.89</f>
        <v>0</v>
      </c>
    </row>
    <row r="591" spans="1:12">
      <c r="A591" s="2829"/>
      <c r="B591" s="2133"/>
      <c r="C591" s="2133"/>
      <c r="D591" s="2133"/>
      <c r="E591" s="2133"/>
      <c r="F591" s="2133"/>
      <c r="G591" s="2133"/>
    </row>
    <row r="592" spans="1:12">
      <c r="A592" s="2825"/>
      <c r="B592" s="2133">
        <v>0</v>
      </c>
      <c r="C592" s="2133">
        <f>B592/0.2</f>
        <v>0</v>
      </c>
      <c r="D592" s="2133">
        <f>ROUNDUP(C592,0)</f>
        <v>0</v>
      </c>
      <c r="E592" s="2133">
        <f>(2*(B590-0.05))+0.2</f>
        <v>0.1</v>
      </c>
      <c r="F592" s="2133">
        <f>D592*E592</f>
        <v>0</v>
      </c>
      <c r="G592" s="2133">
        <f>F592*0.4</f>
        <v>0</v>
      </c>
    </row>
    <row r="594" spans="1:7">
      <c r="A594" s="2826" t="s">
        <v>2017</v>
      </c>
      <c r="B594" s="2827"/>
      <c r="C594" s="2827"/>
      <c r="D594" s="2827"/>
      <c r="E594" s="2827"/>
      <c r="F594" s="2827"/>
      <c r="G594" s="2828"/>
    </row>
    <row r="595" spans="1:7">
      <c r="A595" s="2830" t="s">
        <v>2080</v>
      </c>
      <c r="B595" s="2087">
        <f>B575</f>
        <v>0</v>
      </c>
      <c r="C595" s="2087">
        <f>B595/0.2</f>
        <v>0</v>
      </c>
      <c r="D595" s="2087">
        <f>ROUNDUP(C595,0)</f>
        <v>0</v>
      </c>
      <c r="E595" s="2087">
        <f>(2*(B596-0.05))+0.2</f>
        <v>0.1</v>
      </c>
      <c r="F595" s="2087">
        <f>D595*E595</f>
        <v>0</v>
      </c>
      <c r="G595" s="2087">
        <f>F595*0.89</f>
        <v>0</v>
      </c>
    </row>
    <row r="596" spans="1:7">
      <c r="A596" s="2825"/>
      <c r="B596" s="2133">
        <v>0</v>
      </c>
      <c r="C596" s="2133">
        <f>B596/0.2</f>
        <v>0</v>
      </c>
      <c r="D596" s="2133">
        <f>ROUNDUP(C596,0)</f>
        <v>0</v>
      </c>
      <c r="E596" s="2133">
        <f>(2*(B595-0.05))+0.2</f>
        <v>0.1</v>
      </c>
      <c r="F596" s="2133">
        <f>D596*E596</f>
        <v>0</v>
      </c>
      <c r="G596" s="2133">
        <f>F596*0.4</f>
        <v>0</v>
      </c>
    </row>
    <row r="597" spans="1:7" ht="15">
      <c r="E597" s="2804" t="s">
        <v>2097</v>
      </c>
      <c r="F597" s="2805"/>
      <c r="G597" s="2188">
        <f>G580+G585+G590+G595</f>
        <v>0</v>
      </c>
    </row>
    <row r="598" spans="1:7" ht="15">
      <c r="E598" s="2804" t="s">
        <v>2096</v>
      </c>
      <c r="F598" s="2805"/>
      <c r="G598" s="2188">
        <f>G582+G586+G592+G596</f>
        <v>0</v>
      </c>
    </row>
    <row r="600" spans="1:7">
      <c r="A600" s="2176" t="s">
        <v>2047</v>
      </c>
      <c r="B600" s="2176" t="s">
        <v>2009</v>
      </c>
      <c r="C600" s="2176" t="s">
        <v>2045</v>
      </c>
      <c r="D600" s="2176" t="s">
        <v>1568</v>
      </c>
    </row>
    <row r="601" spans="1:7">
      <c r="A601" s="2830" t="s">
        <v>2079</v>
      </c>
      <c r="B601" s="2087">
        <v>0</v>
      </c>
      <c r="C601" s="2087">
        <f>C572</f>
        <v>1</v>
      </c>
      <c r="D601" s="2087">
        <f>B601*C601</f>
        <v>0</v>
      </c>
    </row>
    <row r="602" spans="1:7">
      <c r="A602" s="2825"/>
      <c r="B602" s="2133">
        <v>0</v>
      </c>
      <c r="C602" s="2133">
        <f t="shared" ref="B602:C604" si="147">C573</f>
        <v>1</v>
      </c>
      <c r="D602" s="2133">
        <f>B602*C602</f>
        <v>0</v>
      </c>
    </row>
    <row r="603" spans="1:7">
      <c r="A603" s="2824" t="s">
        <v>2081</v>
      </c>
      <c r="B603" s="2133">
        <f t="shared" si="147"/>
        <v>0</v>
      </c>
      <c r="C603" s="2133">
        <f t="shared" si="147"/>
        <v>0</v>
      </c>
      <c r="D603" s="2133">
        <f>B603*C603</f>
        <v>0</v>
      </c>
    </row>
    <row r="604" spans="1:7">
      <c r="A604" s="2825"/>
      <c r="B604" s="2133">
        <f t="shared" si="147"/>
        <v>0</v>
      </c>
      <c r="C604" s="2133">
        <f t="shared" si="147"/>
        <v>0</v>
      </c>
      <c r="D604" s="2133">
        <f>B604*C604</f>
        <v>0</v>
      </c>
    </row>
    <row r="605" spans="1:7" ht="30">
      <c r="C605" s="2156" t="s">
        <v>2076</v>
      </c>
      <c r="D605" s="2159">
        <f>SUM(D601:D604)</f>
        <v>0</v>
      </c>
    </row>
    <row r="606" spans="1:7" ht="14.25" customHeight="1"/>
    <row r="607" spans="1:7" ht="15" thickBot="1">
      <c r="A607" s="2810" t="s">
        <v>2085</v>
      </c>
      <c r="B607" s="2189" t="s">
        <v>2009</v>
      </c>
      <c r="C607" s="2189" t="s">
        <v>2045</v>
      </c>
      <c r="D607" s="2176" t="s">
        <v>1568</v>
      </c>
    </row>
    <row r="608" spans="1:7" ht="15" thickBot="1">
      <c r="A608" s="2811"/>
      <c r="B608" s="2348"/>
      <c r="C608" s="2349"/>
      <c r="D608" s="2135">
        <v>0.1</v>
      </c>
    </row>
    <row r="609" spans="1:16" ht="15" customHeight="1">
      <c r="A609" s="2812"/>
      <c r="B609" s="2814" t="s">
        <v>2078</v>
      </c>
      <c r="C609" s="2815"/>
      <c r="D609" s="2133">
        <f>B608*C608*D608</f>
        <v>0</v>
      </c>
    </row>
    <row r="610" spans="1:16" ht="15">
      <c r="A610" s="2813"/>
      <c r="B610" s="2816" t="s">
        <v>2082</v>
      </c>
      <c r="C610" s="2817"/>
      <c r="D610" s="2133">
        <f>D609-(0.4*0.1)*0</f>
        <v>0</v>
      </c>
    </row>
    <row r="611" spans="1:16" ht="14.25" customHeight="1"/>
    <row r="612" spans="1:16">
      <c r="A612" s="2818" t="s">
        <v>2084</v>
      </c>
      <c r="B612" s="2176" t="s">
        <v>1205</v>
      </c>
      <c r="C612" s="2176" t="s">
        <v>1607</v>
      </c>
      <c r="D612" s="2176" t="s">
        <v>2093</v>
      </c>
      <c r="E612" s="2176" t="s">
        <v>1205</v>
      </c>
      <c r="F612" s="2176" t="s">
        <v>1568</v>
      </c>
    </row>
    <row r="613" spans="1:16">
      <c r="A613" s="2819"/>
      <c r="B613" s="2135">
        <f>B608</f>
        <v>0</v>
      </c>
      <c r="C613" s="2133">
        <f>B613/0.15</f>
        <v>0</v>
      </c>
      <c r="D613" s="2133">
        <f>ROUNDUP(C613,0)</f>
        <v>0</v>
      </c>
      <c r="E613" s="2133">
        <f>B614-0.05</f>
        <v>-0.05</v>
      </c>
      <c r="F613" s="2133">
        <f>D613*E613</f>
        <v>0</v>
      </c>
    </row>
    <row r="614" spans="1:16">
      <c r="A614" s="2820"/>
      <c r="B614" s="2135">
        <f>C608</f>
        <v>0</v>
      </c>
      <c r="C614" s="2133">
        <f>B614/0.15</f>
        <v>0</v>
      </c>
      <c r="D614" s="2145">
        <f>ROUNDUP(C614,0)</f>
        <v>0</v>
      </c>
      <c r="E614" s="2145">
        <f>B613-0.05</f>
        <v>-0.05</v>
      </c>
      <c r="F614" s="2145">
        <f>D614*E614</f>
        <v>0</v>
      </c>
    </row>
    <row r="615" spans="1:16" ht="15">
      <c r="A615" s="2107"/>
      <c r="B615" s="2107"/>
      <c r="C615" s="2107"/>
      <c r="D615" s="2821" t="s">
        <v>2086</v>
      </c>
      <c r="E615" s="2821"/>
      <c r="F615" s="2133">
        <f>F613*0.62</f>
        <v>0</v>
      </c>
    </row>
    <row r="616" spans="1:16" ht="15">
      <c r="A616" s="2107"/>
      <c r="B616" s="2107"/>
      <c r="C616" s="2107"/>
      <c r="D616" s="2821" t="s">
        <v>2087</v>
      </c>
      <c r="E616" s="2821"/>
      <c r="F616" s="2133">
        <f>F614*0.62</f>
        <v>0</v>
      </c>
    </row>
    <row r="618" spans="1:16">
      <c r="A618" s="2818" t="s">
        <v>2083</v>
      </c>
      <c r="B618" s="2176" t="s">
        <v>1205</v>
      </c>
      <c r="C618" s="2176" t="s">
        <v>1111</v>
      </c>
      <c r="D618" s="2176" t="s">
        <v>1568</v>
      </c>
    </row>
    <row r="619" spans="1:16">
      <c r="A619" s="2822"/>
      <c r="B619" s="2135">
        <f>B608</f>
        <v>0</v>
      </c>
      <c r="C619" s="2133">
        <f>C608</f>
        <v>0</v>
      </c>
      <c r="D619" s="2133">
        <f>B619*C619</f>
        <v>0</v>
      </c>
    </row>
    <row r="620" spans="1:16">
      <c r="A620" s="2823"/>
      <c r="B620" s="2135">
        <f>B608</f>
        <v>0</v>
      </c>
      <c r="C620" s="2133">
        <f>D608</f>
        <v>0.1</v>
      </c>
      <c r="D620" s="2133">
        <f>B620*C620</f>
        <v>0</v>
      </c>
    </row>
    <row r="621" spans="1:16" ht="30">
      <c r="C621" s="2156" t="s">
        <v>2076</v>
      </c>
      <c r="D621" s="2133">
        <f>SUM(D619:D620)</f>
        <v>0</v>
      </c>
    </row>
    <row r="623" spans="1:16">
      <c r="A623" s="2807" t="s">
        <v>2056</v>
      </c>
      <c r="B623" s="2808"/>
      <c r="C623" s="2808"/>
      <c r="D623" s="2808"/>
      <c r="E623" s="2808"/>
      <c r="F623" s="2809"/>
      <c r="G623" s="2166" t="s">
        <v>1568</v>
      </c>
      <c r="H623" s="2167"/>
      <c r="I623" s="2167"/>
      <c r="J623" s="2168"/>
      <c r="L623" s="2807" t="s">
        <v>2094</v>
      </c>
      <c r="M623" s="2808"/>
      <c r="N623" s="2808"/>
      <c r="O623" s="2808"/>
      <c r="P623" s="2808"/>
    </row>
    <row r="624" spans="1:16" ht="15">
      <c r="A624" s="2133" t="s">
        <v>2090</v>
      </c>
      <c r="B624" s="2145" t="s">
        <v>2009</v>
      </c>
      <c r="C624" s="2133" t="s">
        <v>1609</v>
      </c>
      <c r="D624" s="2133" t="s">
        <v>1679</v>
      </c>
      <c r="E624" s="2169" t="s">
        <v>2435</v>
      </c>
      <c r="F624" s="2170" t="s">
        <v>2440</v>
      </c>
      <c r="G624" s="2133" t="s">
        <v>2050</v>
      </c>
      <c r="H624" s="2133" t="s">
        <v>2051</v>
      </c>
      <c r="I624" s="2133" t="s">
        <v>2441</v>
      </c>
      <c r="J624" s="2133" t="s">
        <v>2442</v>
      </c>
      <c r="L624" s="2133" t="s">
        <v>1607</v>
      </c>
      <c r="M624" s="2133" t="s">
        <v>1611</v>
      </c>
      <c r="N624" s="2133" t="s">
        <v>1168</v>
      </c>
      <c r="O624" s="2133" t="s">
        <v>1205</v>
      </c>
      <c r="P624" s="2133" t="s">
        <v>1243</v>
      </c>
    </row>
    <row r="625" spans="1:16">
      <c r="A625" s="2134" t="s">
        <v>187</v>
      </c>
      <c r="B625" s="2135">
        <f>J7</f>
        <v>0</v>
      </c>
      <c r="C625" s="2135">
        <v>0</v>
      </c>
      <c r="D625" s="2133">
        <v>0</v>
      </c>
      <c r="E625" s="2133">
        <v>0</v>
      </c>
      <c r="F625" s="2134">
        <v>4</v>
      </c>
      <c r="G625" s="2133">
        <f>B625*C625</f>
        <v>0</v>
      </c>
      <c r="H625" s="2133">
        <f>B625*D625</f>
        <v>0</v>
      </c>
      <c r="I625" s="2133">
        <f>B625*E625</f>
        <v>0</v>
      </c>
      <c r="J625" s="2133">
        <f>B625*F625</f>
        <v>0</v>
      </c>
      <c r="L625" s="2133">
        <f>(B625/2)/0.2</f>
        <v>0</v>
      </c>
      <c r="M625" s="2133">
        <f>(B625/2)/0.1</f>
        <v>0</v>
      </c>
      <c r="N625" s="2133">
        <f>SUM(L625:M625)</f>
        <v>0</v>
      </c>
      <c r="O625" s="2133">
        <f>2*(0.07+0.07)</f>
        <v>0.28000000000000003</v>
      </c>
      <c r="P625" s="2133">
        <f>N625*O625</f>
        <v>0</v>
      </c>
    </row>
    <row r="626" spans="1:16" ht="15" customHeight="1">
      <c r="A626" s="2134" t="s">
        <v>173</v>
      </c>
      <c r="B626" s="2135">
        <v>0</v>
      </c>
      <c r="C626" s="2135">
        <v>0</v>
      </c>
      <c r="D626" s="2133">
        <v>0</v>
      </c>
      <c r="E626" s="2133">
        <v>0</v>
      </c>
      <c r="F626" s="2134">
        <v>4</v>
      </c>
      <c r="G626" s="2133">
        <f>B626*C626</f>
        <v>0</v>
      </c>
      <c r="H626" s="2133">
        <f>B626*D626</f>
        <v>0</v>
      </c>
      <c r="I626" s="2133">
        <f>B626*E626</f>
        <v>0</v>
      </c>
      <c r="J626" s="2133">
        <f>B626*F626</f>
        <v>0</v>
      </c>
      <c r="L626" s="2133">
        <f>(B626/2)/0.2</f>
        <v>0</v>
      </c>
      <c r="M626" s="2133">
        <f>(B626/2)/0.1</f>
        <v>0</v>
      </c>
      <c r="N626" s="2133">
        <f>SUM(L626:M626)</f>
        <v>0</v>
      </c>
      <c r="O626" s="2133"/>
      <c r="P626" s="2133">
        <f>N626*O626</f>
        <v>0</v>
      </c>
    </row>
    <row r="627" spans="1:16" ht="15" customHeight="1">
      <c r="A627" s="2107"/>
      <c r="B627" s="2107"/>
      <c r="C627" s="2107"/>
      <c r="D627" s="2107"/>
      <c r="E627" s="2804" t="s">
        <v>2074</v>
      </c>
      <c r="F627" s="2805"/>
      <c r="G627" s="2133">
        <f>SUM(G625:G626)</f>
        <v>0</v>
      </c>
      <c r="H627" s="2133">
        <f>SUM(H625:H626)</f>
        <v>0</v>
      </c>
      <c r="I627" s="2133">
        <f>SUM(I625:I626)</f>
        <v>0</v>
      </c>
      <c r="J627" s="2133">
        <f>SUM(J625:J626)</f>
        <v>0</v>
      </c>
      <c r="M627" s="2806" t="s">
        <v>2074</v>
      </c>
      <c r="N627" s="2806"/>
      <c r="O627" s="2806"/>
      <c r="P627" s="2133">
        <f>SUM(P625:P626)</f>
        <v>0</v>
      </c>
    </row>
    <row r="628" spans="1:16" ht="15">
      <c r="A628" s="2107"/>
      <c r="B628" s="2107"/>
      <c r="C628" s="2107"/>
      <c r="D628" s="2107"/>
      <c r="E628" s="2804" t="s">
        <v>2075</v>
      </c>
      <c r="F628" s="2805"/>
      <c r="G628" s="2133">
        <f>G627*1.58</f>
        <v>0</v>
      </c>
      <c r="H628" s="2133">
        <f>H627*1.04</f>
        <v>0</v>
      </c>
      <c r="I628" s="2133">
        <f>I627*0.89</f>
        <v>0</v>
      </c>
      <c r="J628" s="2183">
        <f>J627*0.62</f>
        <v>0</v>
      </c>
      <c r="M628" s="2806" t="s">
        <v>2075</v>
      </c>
      <c r="N628" s="2806"/>
      <c r="O628" s="2806"/>
      <c r="P628" s="2183">
        <f>P627*0.4</f>
        <v>0</v>
      </c>
    </row>
    <row r="629" spans="1:16">
      <c r="A629" s="2107"/>
      <c r="B629" s="2107"/>
      <c r="C629" s="2107"/>
      <c r="D629" s="2107"/>
      <c r="E629" s="2107"/>
      <c r="F629" s="2107"/>
      <c r="G629" s="2107"/>
      <c r="H629" s="2107"/>
      <c r="I629" s="2107"/>
      <c r="J629" s="2107"/>
    </row>
    <row r="630" spans="1:16">
      <c r="A630" s="2807" t="s">
        <v>2052</v>
      </c>
      <c r="B630" s="2808"/>
      <c r="C630" s="2808"/>
      <c r="D630" s="2808"/>
    </row>
    <row r="631" spans="1:16">
      <c r="A631" s="2133" t="s">
        <v>1711</v>
      </c>
      <c r="B631" s="2133" t="s">
        <v>1614</v>
      </c>
      <c r="C631" s="2133" t="s">
        <v>1615</v>
      </c>
      <c r="D631" s="2133"/>
    </row>
    <row r="632" spans="1:16">
      <c r="A632" s="2133" t="str">
        <f>A625</f>
        <v>B1</v>
      </c>
      <c r="B632" s="2133">
        <f>B625</f>
        <v>0</v>
      </c>
      <c r="C632" s="2133">
        <f>0.15*0.15</f>
        <v>2.2499999999999999E-2</v>
      </c>
      <c r="D632" s="2133">
        <f>B632*C632</f>
        <v>0</v>
      </c>
    </row>
    <row r="633" spans="1:16" ht="15" customHeight="1">
      <c r="A633" s="2133" t="str">
        <f>A626</f>
        <v>B2</v>
      </c>
      <c r="B633" s="2133">
        <f>B626</f>
        <v>0</v>
      </c>
      <c r="C633" s="2133"/>
      <c r="D633" s="2133">
        <f>B633*C633</f>
        <v>0</v>
      </c>
    </row>
    <row r="634" spans="1:16" ht="30">
      <c r="C634" s="2156" t="s">
        <v>2078</v>
      </c>
      <c r="D634" s="2159">
        <f>SUM(D632:D633)</f>
        <v>0</v>
      </c>
    </row>
    <row r="636" spans="1:16">
      <c r="A636" s="2807" t="s">
        <v>2053</v>
      </c>
      <c r="B636" s="2808"/>
      <c r="C636" s="2808"/>
      <c r="D636" s="2808"/>
    </row>
    <row r="637" spans="1:16">
      <c r="A637" s="2133" t="s">
        <v>1711</v>
      </c>
      <c r="B637" s="2133" t="s">
        <v>1614</v>
      </c>
      <c r="C637" s="2133" t="s">
        <v>1615</v>
      </c>
      <c r="D637" s="2133"/>
    </row>
    <row r="638" spans="1:16">
      <c r="A638" s="2133" t="str">
        <f>A632</f>
        <v>B1</v>
      </c>
      <c r="B638" s="2133">
        <f>B632</f>
        <v>0</v>
      </c>
      <c r="C638" s="2133">
        <f>0.15*3</f>
        <v>0.44999999999999996</v>
      </c>
      <c r="D638" s="2133">
        <f>B638*C638</f>
        <v>0</v>
      </c>
    </row>
    <row r="639" spans="1:16">
      <c r="A639" s="2133" t="str">
        <f>A633</f>
        <v>B2</v>
      </c>
      <c r="B639" s="2133">
        <f>B633</f>
        <v>0</v>
      </c>
      <c r="C639" s="2133"/>
      <c r="D639" s="2133">
        <f>B639*C639</f>
        <v>0</v>
      </c>
    </row>
    <row r="640" spans="1:16" ht="30">
      <c r="C640" s="2156" t="s">
        <v>2076</v>
      </c>
      <c r="D640" s="2159">
        <f>SUM(D638:D639)</f>
        <v>0</v>
      </c>
    </row>
    <row r="642" spans="1:16">
      <c r="A642" s="2807" t="s">
        <v>2054</v>
      </c>
      <c r="B642" s="2808"/>
      <c r="C642" s="2808"/>
      <c r="D642" s="2808"/>
      <c r="E642" s="2808"/>
      <c r="F642" s="2809"/>
      <c r="G642" s="2166" t="s">
        <v>1568</v>
      </c>
      <c r="H642" s="2167"/>
      <c r="I642" s="2167"/>
      <c r="J642" s="2168"/>
      <c r="L642" s="2807" t="s">
        <v>2094</v>
      </c>
      <c r="M642" s="2808"/>
      <c r="N642" s="2808"/>
      <c r="O642" s="2808"/>
      <c r="P642" s="2808"/>
    </row>
    <row r="643" spans="1:16" ht="15">
      <c r="A643" s="2133" t="s">
        <v>2130</v>
      </c>
      <c r="B643" s="2145" t="s">
        <v>2009</v>
      </c>
      <c r="C643" s="2133" t="s">
        <v>1609</v>
      </c>
      <c r="D643" s="2133" t="s">
        <v>1679</v>
      </c>
      <c r="E643" s="2169" t="s">
        <v>2435</v>
      </c>
      <c r="F643" s="2170" t="s">
        <v>2440</v>
      </c>
      <c r="G643" s="2133" t="s">
        <v>2050</v>
      </c>
      <c r="H643" s="2133" t="s">
        <v>2051</v>
      </c>
      <c r="I643" s="2133" t="s">
        <v>2441</v>
      </c>
      <c r="J643" s="2133" t="s">
        <v>2442</v>
      </c>
      <c r="L643" s="2133" t="s">
        <v>1607</v>
      </c>
      <c r="M643" s="2133" t="s">
        <v>1611</v>
      </c>
      <c r="N643" s="2133" t="s">
        <v>1168</v>
      </c>
      <c r="O643" s="2133" t="s">
        <v>1205</v>
      </c>
      <c r="P643" s="2133" t="s">
        <v>1243</v>
      </c>
    </row>
    <row r="644" spans="1:16">
      <c r="A644" s="2134" t="s">
        <v>187</v>
      </c>
      <c r="B644" s="2135">
        <f>E59</f>
        <v>0</v>
      </c>
      <c r="C644" s="2135">
        <v>0</v>
      </c>
      <c r="D644" s="2133">
        <v>0</v>
      </c>
      <c r="E644" s="2133">
        <v>0</v>
      </c>
      <c r="F644" s="2134">
        <v>4</v>
      </c>
      <c r="G644" s="2133">
        <f>B644*C644</f>
        <v>0</v>
      </c>
      <c r="H644" s="2133">
        <f>B644*D644</f>
        <v>0</v>
      </c>
      <c r="I644" s="2133">
        <f>B644*E644</f>
        <v>0</v>
      </c>
      <c r="J644" s="2133">
        <f>B644*F644</f>
        <v>0</v>
      </c>
      <c r="L644" s="2133">
        <f>(B644/2)/0.2</f>
        <v>0</v>
      </c>
      <c r="M644" s="2133">
        <f>(B644/2)/0.1</f>
        <v>0</v>
      </c>
      <c r="N644" s="2133">
        <f>SUM(L644:M644)</f>
        <v>0</v>
      </c>
      <c r="O644" s="2133">
        <f>(0.05+0.15)*2</f>
        <v>0.4</v>
      </c>
      <c r="P644" s="2133">
        <f>N644*O644</f>
        <v>0</v>
      </c>
    </row>
    <row r="645" spans="1:16" ht="15" customHeight="1">
      <c r="A645" s="2134" t="s">
        <v>173</v>
      </c>
      <c r="B645" s="2135">
        <f>E60</f>
        <v>0</v>
      </c>
      <c r="C645" s="2135">
        <v>0</v>
      </c>
      <c r="D645" s="2133">
        <v>0</v>
      </c>
      <c r="E645" s="2133">
        <v>0</v>
      </c>
      <c r="F645" s="2134">
        <v>4</v>
      </c>
      <c r="G645" s="2133">
        <f>B645*C645</f>
        <v>0</v>
      </c>
      <c r="H645" s="2133">
        <f>B645*D645</f>
        <v>0</v>
      </c>
      <c r="I645" s="2133">
        <f>B645*E645</f>
        <v>0</v>
      </c>
      <c r="J645" s="2133">
        <f>B645*F645</f>
        <v>0</v>
      </c>
      <c r="L645" s="2133">
        <f>(B645/2)/0.2</f>
        <v>0</v>
      </c>
      <c r="M645" s="2133">
        <f>(B645/2)/0.1</f>
        <v>0</v>
      </c>
      <c r="N645" s="2133">
        <f>SUM(L645:M645)</f>
        <v>0</v>
      </c>
      <c r="O645" s="2133">
        <f>(0.05+0.15)*2</f>
        <v>0.4</v>
      </c>
      <c r="P645" s="2133">
        <f>N645*O645</f>
        <v>0</v>
      </c>
    </row>
    <row r="646" spans="1:16" ht="15" customHeight="1">
      <c r="A646" s="2134" t="s">
        <v>172</v>
      </c>
      <c r="B646" s="2135">
        <f>E61</f>
        <v>0</v>
      </c>
      <c r="C646" s="2135">
        <v>0</v>
      </c>
      <c r="D646" s="2133">
        <v>0</v>
      </c>
      <c r="E646" s="2133">
        <v>0</v>
      </c>
      <c r="F646" s="2134">
        <v>4</v>
      </c>
      <c r="G646" s="2133">
        <f>B646*C646</f>
        <v>0</v>
      </c>
      <c r="H646" s="2133">
        <f>B646*D646</f>
        <v>0</v>
      </c>
      <c r="I646" s="2133">
        <f>B646*E646</f>
        <v>0</v>
      </c>
      <c r="J646" s="2133">
        <f>B646*F646</f>
        <v>0</v>
      </c>
      <c r="L646" s="2133">
        <f>(B646/2)/0.2</f>
        <v>0</v>
      </c>
      <c r="M646" s="2133">
        <f>(B646/2)/0.1</f>
        <v>0</v>
      </c>
      <c r="N646" s="2133">
        <f>SUM(L646:M646)</f>
        <v>0</v>
      </c>
      <c r="O646" s="2133">
        <f>(0.05+0.15)*2</f>
        <v>0.4</v>
      </c>
      <c r="P646" s="2133">
        <f>N646*O646</f>
        <v>0</v>
      </c>
    </row>
    <row r="647" spans="1:16" s="2493" customFormat="1" ht="15" customHeight="1">
      <c r="A647" s="2134" t="s">
        <v>174</v>
      </c>
      <c r="B647" s="2135">
        <f>E62</f>
        <v>0</v>
      </c>
      <c r="C647" s="2135">
        <v>0</v>
      </c>
      <c r="D647" s="2133">
        <v>0</v>
      </c>
      <c r="E647" s="2133">
        <v>0</v>
      </c>
      <c r="F647" s="2134">
        <v>4</v>
      </c>
      <c r="G647" s="2133">
        <f>B647*C647</f>
        <v>0</v>
      </c>
      <c r="H647" s="2133">
        <f>B647*D647</f>
        <v>0</v>
      </c>
      <c r="I647" s="2133">
        <f>B647*E647</f>
        <v>0</v>
      </c>
      <c r="J647" s="2133">
        <f>B647*F647</f>
        <v>0</v>
      </c>
      <c r="L647" s="2133">
        <f>(B647/2)/0.2</f>
        <v>0</v>
      </c>
      <c r="M647" s="2133">
        <f>(B647/2)/0.1</f>
        <v>0</v>
      </c>
      <c r="N647" s="2133">
        <f>SUM(L647:M647)</f>
        <v>0</v>
      </c>
      <c r="O647" s="2133">
        <f>(0.05+0.15)*2</f>
        <v>0.4</v>
      </c>
      <c r="P647" s="2133">
        <f>N647*O647</f>
        <v>0</v>
      </c>
    </row>
    <row r="648" spans="1:16" ht="15" customHeight="1">
      <c r="A648" s="2134" t="s">
        <v>188</v>
      </c>
      <c r="B648" s="2135">
        <f>E63</f>
        <v>0</v>
      </c>
      <c r="C648" s="2135">
        <v>0</v>
      </c>
      <c r="D648" s="2133">
        <v>0</v>
      </c>
      <c r="E648" s="2133">
        <v>0</v>
      </c>
      <c r="F648" s="2134">
        <v>4</v>
      </c>
      <c r="G648" s="2133">
        <f>B648*C648</f>
        <v>0</v>
      </c>
      <c r="H648" s="2133">
        <f>B648*D648</f>
        <v>0</v>
      </c>
      <c r="I648" s="2133">
        <f>B648*E648</f>
        <v>0</v>
      </c>
      <c r="J648" s="2133">
        <f>B648*F648</f>
        <v>0</v>
      </c>
      <c r="L648" s="2133">
        <f>(B648/2)/0.2</f>
        <v>0</v>
      </c>
      <c r="M648" s="2133">
        <f>(B648/2)/0.1</f>
        <v>0</v>
      </c>
      <c r="N648" s="2133">
        <f>SUM(L648:M648)</f>
        <v>0</v>
      </c>
      <c r="O648" s="2133">
        <f>(0.05+0.15)*2</f>
        <v>0.4</v>
      </c>
      <c r="P648" s="2133">
        <f>N648*O648</f>
        <v>0</v>
      </c>
    </row>
    <row r="649" spans="1:16" ht="15" customHeight="1">
      <c r="A649" s="2107"/>
      <c r="B649" s="2107"/>
      <c r="C649" s="2107"/>
      <c r="D649" s="2107"/>
      <c r="E649" s="2804" t="s">
        <v>2074</v>
      </c>
      <c r="F649" s="2805"/>
      <c r="G649" s="2133">
        <f>SUM(G644:G648)</f>
        <v>0</v>
      </c>
      <c r="H649" s="2133">
        <f>SUM(H644:H648)</f>
        <v>0</v>
      </c>
      <c r="I649" s="2133">
        <f>SUM(I644:I648)</f>
        <v>0</v>
      </c>
      <c r="J649" s="2133">
        <f>SUM(J644:J648)</f>
        <v>0</v>
      </c>
      <c r="M649" s="2806" t="s">
        <v>2074</v>
      </c>
      <c r="N649" s="2806"/>
      <c r="O649" s="2806"/>
      <c r="P649" s="2133">
        <f>SUM(P644:P648)</f>
        <v>0</v>
      </c>
    </row>
    <row r="650" spans="1:16" ht="15">
      <c r="A650" s="2107"/>
      <c r="B650" s="2107"/>
      <c r="C650" s="2107"/>
      <c r="D650" s="2107"/>
      <c r="E650" s="2804" t="s">
        <v>2075</v>
      </c>
      <c r="F650" s="2805"/>
      <c r="G650" s="2133">
        <f>G649*1.58</f>
        <v>0</v>
      </c>
      <c r="H650" s="2133">
        <f>H649*1.04</f>
        <v>0</v>
      </c>
      <c r="I650" s="2133">
        <f>I649*0.89</f>
        <v>0</v>
      </c>
      <c r="J650" s="2183">
        <f>J649*0.62</f>
        <v>0</v>
      </c>
      <c r="M650" s="2806" t="s">
        <v>2075</v>
      </c>
      <c r="N650" s="2806"/>
      <c r="O650" s="2806"/>
      <c r="P650" s="2183">
        <f>P649*0.4</f>
        <v>0</v>
      </c>
    </row>
    <row r="651" spans="1:16">
      <c r="A651" s="2107"/>
      <c r="B651" s="2107"/>
      <c r="C651" s="2107"/>
      <c r="D651" s="2107"/>
      <c r="E651" s="2107"/>
      <c r="F651" s="2107"/>
      <c r="G651" s="2107"/>
      <c r="H651" s="2107"/>
      <c r="I651" s="2107"/>
      <c r="J651" s="2107"/>
    </row>
    <row r="652" spans="1:16">
      <c r="A652" s="2807" t="s">
        <v>2055</v>
      </c>
      <c r="B652" s="2808"/>
      <c r="C652" s="2808"/>
      <c r="D652" s="2808"/>
    </row>
    <row r="653" spans="1:16">
      <c r="A653" s="2133" t="s">
        <v>2130</v>
      </c>
      <c r="B653" s="2133" t="s">
        <v>1614</v>
      </c>
      <c r="C653" s="2133" t="s">
        <v>1615</v>
      </c>
      <c r="D653" s="2133"/>
    </row>
    <row r="654" spans="1:16">
      <c r="A654" s="2133" t="str">
        <f t="shared" ref="A654:B658" si="148">A644</f>
        <v>B1</v>
      </c>
      <c r="B654" s="2133">
        <f t="shared" si="148"/>
        <v>0</v>
      </c>
      <c r="C654" s="2133">
        <f>B59*C59</f>
        <v>3.7499999999999999E-2</v>
      </c>
      <c r="D654" s="2133">
        <f>B654*C654</f>
        <v>0</v>
      </c>
    </row>
    <row r="655" spans="1:16" ht="15" customHeight="1">
      <c r="A655" s="2133" t="str">
        <f t="shared" si="148"/>
        <v>B2</v>
      </c>
      <c r="B655" s="2133">
        <f t="shared" si="148"/>
        <v>0</v>
      </c>
      <c r="C655" s="2133">
        <f>B60*C60</f>
        <v>0</v>
      </c>
      <c r="D655" s="2133">
        <f>B655*C655</f>
        <v>0</v>
      </c>
    </row>
    <row r="656" spans="1:16" ht="15" customHeight="1">
      <c r="A656" s="2133" t="str">
        <f t="shared" si="148"/>
        <v>B3</v>
      </c>
      <c r="B656" s="2133">
        <f t="shared" si="148"/>
        <v>0</v>
      </c>
      <c r="C656" s="2133">
        <f>B61*C61</f>
        <v>0</v>
      </c>
      <c r="D656" s="2133">
        <f>B656*C656</f>
        <v>0</v>
      </c>
    </row>
    <row r="657" spans="1:15" s="2493" customFormat="1" ht="15" customHeight="1">
      <c r="A657" s="2133" t="str">
        <f t="shared" si="148"/>
        <v>B4</v>
      </c>
      <c r="B657" s="2133">
        <f t="shared" si="148"/>
        <v>0</v>
      </c>
      <c r="C657" s="2133">
        <f>B62*C62</f>
        <v>0</v>
      </c>
      <c r="D657" s="2133">
        <f>B657*C657</f>
        <v>0</v>
      </c>
    </row>
    <row r="658" spans="1:15" ht="15" customHeight="1">
      <c r="A658" s="2133" t="str">
        <f t="shared" si="148"/>
        <v>B5</v>
      </c>
      <c r="B658" s="2133">
        <f t="shared" si="148"/>
        <v>0</v>
      </c>
      <c r="C658" s="2133">
        <f>B63*C63</f>
        <v>0</v>
      </c>
      <c r="D658" s="2133">
        <f>B658*C658</f>
        <v>0</v>
      </c>
    </row>
    <row r="659" spans="1:15" ht="30">
      <c r="C659" s="2156" t="s">
        <v>2078</v>
      </c>
      <c r="D659" s="2159">
        <f>SUM(D654:D658)</f>
        <v>0</v>
      </c>
    </row>
    <row r="661" spans="1:15">
      <c r="A661" s="2807" t="s">
        <v>2095</v>
      </c>
      <c r="B661" s="2808"/>
      <c r="C661" s="2808"/>
      <c r="D661" s="2808"/>
    </row>
    <row r="662" spans="1:15">
      <c r="A662" s="2133" t="s">
        <v>2130</v>
      </c>
      <c r="B662" s="2133" t="s">
        <v>1614</v>
      </c>
      <c r="C662" s="2133" t="s">
        <v>1615</v>
      </c>
      <c r="D662" s="2133"/>
    </row>
    <row r="663" spans="1:15">
      <c r="A663" s="2133" t="str">
        <f t="shared" ref="A663:B665" si="149">A654</f>
        <v>B1</v>
      </c>
      <c r="B663" s="2133">
        <f t="shared" si="149"/>
        <v>0</v>
      </c>
      <c r="C663" s="2133">
        <f>B59+C59*2</f>
        <v>0.65</v>
      </c>
      <c r="D663" s="2133">
        <f>B663*C663</f>
        <v>0</v>
      </c>
    </row>
    <row r="664" spans="1:15">
      <c r="A664" s="2133" t="str">
        <f t="shared" si="149"/>
        <v>B2</v>
      </c>
      <c r="B664" s="2133">
        <f t="shared" si="149"/>
        <v>0</v>
      </c>
      <c r="C664" s="2133">
        <f>B60+C60*2</f>
        <v>0</v>
      </c>
      <c r="D664" s="2133">
        <f>B664*C664</f>
        <v>0</v>
      </c>
    </row>
    <row r="665" spans="1:15">
      <c r="A665" s="2133" t="str">
        <f t="shared" si="149"/>
        <v>B3</v>
      </c>
      <c r="B665" s="2133">
        <f t="shared" si="149"/>
        <v>0</v>
      </c>
      <c r="C665" s="2133">
        <f>B61</f>
        <v>0</v>
      </c>
      <c r="D665" s="2133">
        <f>B665*C665</f>
        <v>0</v>
      </c>
    </row>
    <row r="666" spans="1:15" s="2493" customFormat="1">
      <c r="A666" s="2133" t="str">
        <f>A657</f>
        <v>B4</v>
      </c>
      <c r="B666" s="2133">
        <f>B657</f>
        <v>0</v>
      </c>
      <c r="C666" s="2133">
        <f>B62</f>
        <v>0</v>
      </c>
      <c r="D666" s="2133">
        <f>B666*C666</f>
        <v>0</v>
      </c>
    </row>
    <row r="667" spans="1:15">
      <c r="A667" s="2133" t="str">
        <f>A658</f>
        <v>B5</v>
      </c>
      <c r="B667" s="2133">
        <f>B658</f>
        <v>0</v>
      </c>
      <c r="C667" s="2133">
        <f>B63</f>
        <v>0</v>
      </c>
      <c r="D667" s="2133">
        <f>B667*C667</f>
        <v>0</v>
      </c>
    </row>
    <row r="668" spans="1:15" ht="30">
      <c r="C668" s="2156" t="s">
        <v>2076</v>
      </c>
      <c r="D668" s="2159">
        <f>SUM(D663:D667)</f>
        <v>0</v>
      </c>
    </row>
    <row r="670" spans="1:15" s="2140" customFormat="1" ht="41.25" customHeight="1">
      <c r="A670" s="2190" t="s">
        <v>2624</v>
      </c>
      <c r="B670" s="2191"/>
      <c r="C670" s="2191"/>
      <c r="D670" s="2191"/>
      <c r="E670" s="2191"/>
      <c r="F670" s="2191"/>
      <c r="G670" s="2191"/>
      <c r="H670" s="2191"/>
      <c r="I670" s="2191"/>
      <c r="J670" s="2191"/>
      <c r="K670" s="2191"/>
      <c r="L670" s="2191"/>
      <c r="M670" s="2191"/>
      <c r="N670" s="2191"/>
      <c r="O670" s="2192"/>
    </row>
    <row r="671" spans="1:15" ht="14.25" customHeight="1">
      <c r="A671" s="2193"/>
      <c r="B671" s="2194"/>
      <c r="C671" s="2194"/>
      <c r="D671" s="2194"/>
      <c r="E671" s="2194"/>
      <c r="F671" s="2194"/>
      <c r="G671" s="2194"/>
      <c r="H671" s="2194"/>
      <c r="I671" s="2194"/>
      <c r="J671" s="2194"/>
      <c r="K671" s="2194"/>
      <c r="L671" s="2194"/>
      <c r="M671" s="2194"/>
      <c r="N671" s="2194"/>
      <c r="O671" s="2195"/>
    </row>
    <row r="672" spans="1:15" ht="14.25" customHeight="1">
      <c r="A672" s="2196"/>
      <c r="B672" s="2197"/>
      <c r="C672" s="2197"/>
      <c r="D672" s="2197"/>
      <c r="E672" s="2197"/>
      <c r="F672" s="2197"/>
      <c r="G672" s="2197"/>
      <c r="H672" s="2197"/>
      <c r="I672" s="2197"/>
      <c r="J672" s="2197"/>
      <c r="K672" s="2197"/>
      <c r="L672" s="2197"/>
      <c r="M672" s="2197"/>
      <c r="N672" s="2197"/>
      <c r="O672" s="2198"/>
    </row>
    <row r="674" spans="1:5">
      <c r="A674" s="2831" t="s">
        <v>2020</v>
      </c>
      <c r="B674" s="2832"/>
      <c r="C674" s="2832"/>
      <c r="D674" s="2832"/>
      <c r="E674" s="2875"/>
    </row>
    <row r="675" spans="1:5">
      <c r="A675" s="2176" t="s">
        <v>1987</v>
      </c>
      <c r="B675" s="2176" t="s">
        <v>1608</v>
      </c>
      <c r="C675" s="2189" t="s">
        <v>2062</v>
      </c>
      <c r="D675" s="2176" t="s">
        <v>2088</v>
      </c>
      <c r="E675" s="2176" t="s">
        <v>1568</v>
      </c>
    </row>
    <row r="676" spans="1:5">
      <c r="A676" s="2087" t="s">
        <v>1704</v>
      </c>
      <c r="B676" s="2119">
        <f>K8</f>
        <v>0</v>
      </c>
      <c r="C676" s="2133">
        <f t="shared" ref="C676:C693" si="150">K10</f>
        <v>0</v>
      </c>
      <c r="D676" s="2121">
        <f>$D$134</f>
        <v>0.30250000000000005</v>
      </c>
      <c r="E676" s="2087">
        <f t="shared" ref="E676:E693" si="151">B676*C676*D676</f>
        <v>0</v>
      </c>
    </row>
    <row r="677" spans="1:5">
      <c r="A677" s="2133" t="s">
        <v>1705</v>
      </c>
      <c r="B677" s="2119">
        <f>$B$676</f>
        <v>0</v>
      </c>
      <c r="C677" s="2133">
        <f t="shared" si="150"/>
        <v>0</v>
      </c>
      <c r="D677" s="2121">
        <f t="shared" ref="D677:D693" si="152">D135</f>
        <v>0</v>
      </c>
      <c r="E677" s="2133">
        <f t="shared" si="151"/>
        <v>0</v>
      </c>
    </row>
    <row r="678" spans="1:5" s="2238" customFormat="1">
      <c r="A678" s="2236" t="s">
        <v>1917</v>
      </c>
      <c r="B678" s="2119">
        <f t="shared" ref="B678:B693" si="153">$B$676</f>
        <v>0</v>
      </c>
      <c r="C678" s="2133">
        <f t="shared" si="150"/>
        <v>0</v>
      </c>
      <c r="D678" s="2121">
        <f t="shared" si="152"/>
        <v>8.0000000000000016E-2</v>
      </c>
      <c r="E678" s="2133">
        <f t="shared" ref="E678:E685" si="154">B678*C678*D678</f>
        <v>0</v>
      </c>
    </row>
    <row r="679" spans="1:5" s="2238" customFormat="1">
      <c r="A679" s="2133" t="s">
        <v>1918</v>
      </c>
      <c r="B679" s="2119">
        <f t="shared" si="153"/>
        <v>0</v>
      </c>
      <c r="C679" s="2133">
        <f t="shared" si="150"/>
        <v>0</v>
      </c>
      <c r="D679" s="2121">
        <f t="shared" si="152"/>
        <v>0.06</v>
      </c>
      <c r="E679" s="2133">
        <f t="shared" si="154"/>
        <v>0</v>
      </c>
    </row>
    <row r="680" spans="1:5" s="2238" customFormat="1">
      <c r="A680" s="2236" t="s">
        <v>1919</v>
      </c>
      <c r="B680" s="2119">
        <f t="shared" si="153"/>
        <v>0</v>
      </c>
      <c r="C680" s="2133">
        <f t="shared" si="150"/>
        <v>0</v>
      </c>
      <c r="D680" s="2121">
        <f t="shared" si="152"/>
        <v>4.4999999999999998E-2</v>
      </c>
      <c r="E680" s="2133">
        <f t="shared" si="154"/>
        <v>0</v>
      </c>
    </row>
    <row r="681" spans="1:5" s="2238" customFormat="1">
      <c r="A681" s="2133" t="s">
        <v>1992</v>
      </c>
      <c r="B681" s="2119">
        <f t="shared" si="153"/>
        <v>0</v>
      </c>
      <c r="C681" s="2133">
        <f t="shared" si="150"/>
        <v>0</v>
      </c>
      <c r="D681" s="2121">
        <f t="shared" si="152"/>
        <v>6.25E-2</v>
      </c>
      <c r="E681" s="2133">
        <f t="shared" si="154"/>
        <v>0</v>
      </c>
    </row>
    <row r="682" spans="1:5" s="2238" customFormat="1">
      <c r="A682" s="2236" t="s">
        <v>1993</v>
      </c>
      <c r="B682" s="2119">
        <f t="shared" si="153"/>
        <v>0</v>
      </c>
      <c r="C682" s="2133">
        <f t="shared" si="150"/>
        <v>0</v>
      </c>
      <c r="D682" s="2121">
        <f t="shared" si="152"/>
        <v>3.7499999999999999E-2</v>
      </c>
      <c r="E682" s="2133">
        <f t="shared" si="154"/>
        <v>0</v>
      </c>
    </row>
    <row r="683" spans="1:5" s="2238" customFormat="1">
      <c r="A683" s="2133" t="s">
        <v>1994</v>
      </c>
      <c r="B683" s="2119">
        <f t="shared" si="153"/>
        <v>0</v>
      </c>
      <c r="C683" s="2133">
        <f t="shared" si="150"/>
        <v>0</v>
      </c>
      <c r="D683" s="2121">
        <f t="shared" si="152"/>
        <v>0</v>
      </c>
      <c r="E683" s="2133">
        <f t="shared" si="154"/>
        <v>0</v>
      </c>
    </row>
    <row r="684" spans="1:5" s="2238" customFormat="1">
      <c r="A684" s="2236" t="s">
        <v>1995</v>
      </c>
      <c r="B684" s="2119">
        <f t="shared" si="153"/>
        <v>0</v>
      </c>
      <c r="C684" s="2133">
        <f t="shared" si="150"/>
        <v>0</v>
      </c>
      <c r="D684" s="2121">
        <f t="shared" si="152"/>
        <v>0</v>
      </c>
      <c r="E684" s="2133">
        <f t="shared" si="154"/>
        <v>0</v>
      </c>
    </row>
    <row r="685" spans="1:5" s="2238" customFormat="1">
      <c r="A685" s="2133" t="s">
        <v>1706</v>
      </c>
      <c r="B685" s="2119">
        <f t="shared" si="153"/>
        <v>0</v>
      </c>
      <c r="C685" s="2133">
        <f t="shared" si="150"/>
        <v>0</v>
      </c>
      <c r="D685" s="2121">
        <f t="shared" si="152"/>
        <v>0</v>
      </c>
      <c r="E685" s="2133">
        <f t="shared" si="154"/>
        <v>0</v>
      </c>
    </row>
    <row r="686" spans="1:5">
      <c r="A686" s="2236" t="s">
        <v>2451</v>
      </c>
      <c r="B686" s="2119">
        <f t="shared" si="153"/>
        <v>0</v>
      </c>
      <c r="C686" s="2133">
        <f t="shared" si="150"/>
        <v>0</v>
      </c>
      <c r="D686" s="2121">
        <f t="shared" si="152"/>
        <v>0</v>
      </c>
      <c r="E686" s="2133">
        <f t="shared" si="151"/>
        <v>0</v>
      </c>
    </row>
    <row r="687" spans="1:5">
      <c r="A687" s="2133" t="s">
        <v>2452</v>
      </c>
      <c r="B687" s="2119">
        <f t="shared" si="153"/>
        <v>0</v>
      </c>
      <c r="C687" s="2133">
        <f t="shared" si="150"/>
        <v>0</v>
      </c>
      <c r="D687" s="2121">
        <f t="shared" si="152"/>
        <v>0</v>
      </c>
      <c r="E687" s="2133">
        <f t="shared" si="151"/>
        <v>0</v>
      </c>
    </row>
    <row r="688" spans="1:5">
      <c r="A688" s="2236" t="s">
        <v>2453</v>
      </c>
      <c r="B688" s="2119">
        <f t="shared" si="153"/>
        <v>0</v>
      </c>
      <c r="C688" s="2133">
        <f t="shared" si="150"/>
        <v>0</v>
      </c>
      <c r="D688" s="2121">
        <f t="shared" si="152"/>
        <v>0</v>
      </c>
      <c r="E688" s="2133">
        <f t="shared" si="151"/>
        <v>0</v>
      </c>
    </row>
    <row r="689" spans="1:17">
      <c r="A689" s="2133" t="s">
        <v>2454</v>
      </c>
      <c r="B689" s="2119">
        <f t="shared" si="153"/>
        <v>0</v>
      </c>
      <c r="C689" s="2133">
        <f t="shared" si="150"/>
        <v>0</v>
      </c>
      <c r="D689" s="2121">
        <f t="shared" si="152"/>
        <v>0</v>
      </c>
      <c r="E689" s="2133">
        <f t="shared" si="151"/>
        <v>0</v>
      </c>
    </row>
    <row r="690" spans="1:17">
      <c r="A690" s="2236" t="s">
        <v>2455</v>
      </c>
      <c r="B690" s="2119">
        <f t="shared" si="153"/>
        <v>0</v>
      </c>
      <c r="C690" s="2133">
        <f t="shared" si="150"/>
        <v>0</v>
      </c>
      <c r="D690" s="2121">
        <f t="shared" si="152"/>
        <v>0</v>
      </c>
      <c r="E690" s="2133">
        <f t="shared" si="151"/>
        <v>0</v>
      </c>
    </row>
    <row r="691" spans="1:17">
      <c r="A691" s="2133" t="s">
        <v>2456</v>
      </c>
      <c r="B691" s="2119">
        <f t="shared" si="153"/>
        <v>0</v>
      </c>
      <c r="C691" s="2133">
        <f t="shared" si="150"/>
        <v>0</v>
      </c>
      <c r="D691" s="2121">
        <f t="shared" si="152"/>
        <v>0</v>
      </c>
      <c r="E691" s="2133">
        <f t="shared" si="151"/>
        <v>0</v>
      </c>
    </row>
    <row r="692" spans="1:17">
      <c r="A692" s="2236" t="s">
        <v>2457</v>
      </c>
      <c r="B692" s="2119">
        <f t="shared" si="153"/>
        <v>0</v>
      </c>
      <c r="C692" s="2133">
        <f t="shared" si="150"/>
        <v>0</v>
      </c>
      <c r="D692" s="2121">
        <f t="shared" si="152"/>
        <v>0</v>
      </c>
      <c r="E692" s="2133">
        <f t="shared" si="151"/>
        <v>0</v>
      </c>
    </row>
    <row r="693" spans="1:17">
      <c r="A693" s="2133" t="s">
        <v>2458</v>
      </c>
      <c r="B693" s="2119">
        <f t="shared" si="153"/>
        <v>0</v>
      </c>
      <c r="C693" s="2133">
        <f t="shared" si="150"/>
        <v>0</v>
      </c>
      <c r="D693" s="2121">
        <f t="shared" si="152"/>
        <v>0</v>
      </c>
      <c r="E693" s="2133">
        <f t="shared" si="151"/>
        <v>0</v>
      </c>
    </row>
    <row r="694" spans="1:17" ht="14.25" customHeight="1">
      <c r="C694" s="2286"/>
      <c r="D694" s="2301" t="s">
        <v>2070</v>
      </c>
      <c r="E694" s="2200">
        <f>SUM(E676:E693)</f>
        <v>0</v>
      </c>
    </row>
    <row r="695" spans="1:17" ht="14.25" customHeight="1">
      <c r="C695" s="2286"/>
      <c r="D695" s="2302"/>
      <c r="E695" s="2202"/>
    </row>
    <row r="697" spans="1:17">
      <c r="A697" s="2133" t="s">
        <v>1707</v>
      </c>
      <c r="B697" s="2119">
        <f>B693</f>
        <v>0</v>
      </c>
      <c r="C697" s="2133">
        <f>K28</f>
        <v>0</v>
      </c>
      <c r="D697" s="2135">
        <f>$D$155</f>
        <v>2.2499999999999999E-2</v>
      </c>
      <c r="E697" s="2133">
        <f>B697*C697*D697</f>
        <v>0</v>
      </c>
    </row>
    <row r="698" spans="1:17">
      <c r="A698" s="2133" t="s">
        <v>1708</v>
      </c>
      <c r="B698" s="2119">
        <v>0</v>
      </c>
      <c r="C698" s="2133">
        <f>K29</f>
        <v>0</v>
      </c>
      <c r="D698" s="2135">
        <f>$D$156</f>
        <v>2.2499999999999999E-2</v>
      </c>
      <c r="E698" s="2133">
        <f>B698*C698*D698</f>
        <v>0</v>
      </c>
    </row>
    <row r="699" spans="1:17" ht="60">
      <c r="D699" s="2175" t="s">
        <v>2071</v>
      </c>
      <c r="E699" s="2157">
        <f>SUM(E697:E698)</f>
        <v>0</v>
      </c>
    </row>
    <row r="701" spans="1:17">
      <c r="A701" s="2872" t="s">
        <v>2106</v>
      </c>
      <c r="B701" s="2872"/>
      <c r="C701" s="2872"/>
      <c r="D701" s="2831" t="s">
        <v>2069</v>
      </c>
      <c r="E701" s="2832"/>
      <c r="F701" s="2832"/>
      <c r="G701" s="2836"/>
      <c r="H701" s="2831" t="s">
        <v>2068</v>
      </c>
      <c r="I701" s="2832"/>
      <c r="J701" s="2832"/>
      <c r="K701" s="2836"/>
      <c r="M701" s="2831" t="s">
        <v>1610</v>
      </c>
      <c r="N701" s="2832"/>
      <c r="O701" s="2832"/>
      <c r="P701" s="2832"/>
      <c r="Q701" s="2836"/>
    </row>
    <row r="702" spans="1:17" ht="15">
      <c r="A702" s="2087" t="s">
        <v>1796</v>
      </c>
      <c r="B702" s="2087" t="s">
        <v>1608</v>
      </c>
      <c r="C702" s="2087" t="s">
        <v>1606</v>
      </c>
      <c r="D702" s="2087" t="s">
        <v>1609</v>
      </c>
      <c r="E702" s="2087" t="s">
        <v>1679</v>
      </c>
      <c r="F702" s="2088" t="s">
        <v>2435</v>
      </c>
      <c r="G702" s="2119" t="s">
        <v>1807</v>
      </c>
      <c r="H702" s="2087" t="s">
        <v>1568</v>
      </c>
      <c r="I702" s="2087" t="s">
        <v>1568</v>
      </c>
      <c r="J702" s="2087" t="s">
        <v>1568</v>
      </c>
      <c r="K702" s="2087" t="s">
        <v>1568</v>
      </c>
      <c r="M702" s="2087" t="s">
        <v>1607</v>
      </c>
      <c r="N702" s="2087" t="s">
        <v>1611</v>
      </c>
      <c r="O702" s="2087" t="s">
        <v>1168</v>
      </c>
      <c r="P702" s="2087" t="s">
        <v>1205</v>
      </c>
      <c r="Q702" s="2087" t="s">
        <v>1243</v>
      </c>
    </row>
    <row r="703" spans="1:17">
      <c r="A703" s="2133" t="str">
        <f t="shared" ref="A703:C720" si="155">A676</f>
        <v>K1</v>
      </c>
      <c r="B703" s="2133">
        <f t="shared" si="155"/>
        <v>0</v>
      </c>
      <c r="C703" s="2244">
        <f t="shared" si="155"/>
        <v>0</v>
      </c>
      <c r="D703" s="2244">
        <f t="shared" ref="D703:G720" si="156">D361</f>
        <v>8</v>
      </c>
      <c r="E703" s="2244">
        <f t="shared" si="156"/>
        <v>0</v>
      </c>
      <c r="F703" s="2244">
        <f t="shared" si="156"/>
        <v>0</v>
      </c>
      <c r="G703" s="2245">
        <f t="shared" si="156"/>
        <v>0</v>
      </c>
      <c r="H703" s="2133">
        <f>B703*C703*D703</f>
        <v>0</v>
      </c>
      <c r="I703" s="2133">
        <f t="shared" ref="I703:I720" si="157">B703*C703*E703</f>
        <v>0</v>
      </c>
      <c r="J703" s="2133">
        <f t="shared" ref="J703:J720" si="158">B703*C703*F703</f>
        <v>0</v>
      </c>
      <c r="K703" s="2133">
        <f t="shared" ref="K703:K720" si="159">B703*C703*G703</f>
        <v>0</v>
      </c>
      <c r="M703" s="2133">
        <f t="shared" ref="M703:M720" si="160">(B703/2)/0.2</f>
        <v>0</v>
      </c>
      <c r="N703" s="2133">
        <f t="shared" ref="N703:N720" si="161">(B703/2)/0.1</f>
        <v>0</v>
      </c>
      <c r="O703" s="2133">
        <f t="shared" ref="O703:O720" si="162">SUM(M703:N703)*C703</f>
        <v>0</v>
      </c>
      <c r="P703" s="2133">
        <f t="shared" ref="P703:P720" si="163">P361</f>
        <v>2</v>
      </c>
      <c r="Q703" s="2133">
        <f t="shared" ref="Q703:Q720" si="164">O703*P703</f>
        <v>0</v>
      </c>
    </row>
    <row r="704" spans="1:17">
      <c r="A704" s="2133" t="str">
        <f t="shared" si="155"/>
        <v>K2</v>
      </c>
      <c r="B704" s="2133">
        <f t="shared" si="155"/>
        <v>0</v>
      </c>
      <c r="C704" s="2244">
        <f t="shared" si="155"/>
        <v>0</v>
      </c>
      <c r="D704" s="2244">
        <f t="shared" si="156"/>
        <v>0</v>
      </c>
      <c r="E704" s="2244">
        <f t="shared" si="156"/>
        <v>0</v>
      </c>
      <c r="F704" s="2244">
        <f t="shared" si="156"/>
        <v>0</v>
      </c>
      <c r="G704" s="2245">
        <f t="shared" si="156"/>
        <v>0</v>
      </c>
      <c r="H704" s="2133">
        <f t="shared" ref="H704:H720" si="165">B704*C704*D704</f>
        <v>0</v>
      </c>
      <c r="I704" s="2133">
        <f t="shared" si="157"/>
        <v>0</v>
      </c>
      <c r="J704" s="2133">
        <f t="shared" si="158"/>
        <v>0</v>
      </c>
      <c r="K704" s="2133">
        <f t="shared" si="159"/>
        <v>0</v>
      </c>
      <c r="M704" s="2133">
        <f t="shared" si="160"/>
        <v>0</v>
      </c>
      <c r="N704" s="2133">
        <f t="shared" si="161"/>
        <v>0</v>
      </c>
      <c r="O704" s="2133">
        <f t="shared" si="162"/>
        <v>0</v>
      </c>
      <c r="P704" s="2133">
        <f t="shared" si="163"/>
        <v>-0.31400000000000006</v>
      </c>
      <c r="Q704" s="2133">
        <f t="shared" si="164"/>
        <v>0</v>
      </c>
    </row>
    <row r="705" spans="1:17" s="2238" customFormat="1">
      <c r="A705" s="2133" t="str">
        <f t="shared" si="155"/>
        <v>K3</v>
      </c>
      <c r="B705" s="2133">
        <f t="shared" si="155"/>
        <v>0</v>
      </c>
      <c r="C705" s="2244">
        <f t="shared" si="155"/>
        <v>0</v>
      </c>
      <c r="D705" s="2244">
        <f t="shared" si="156"/>
        <v>10</v>
      </c>
      <c r="E705" s="2244">
        <f t="shared" si="156"/>
        <v>0</v>
      </c>
      <c r="F705" s="2244">
        <f t="shared" si="156"/>
        <v>0</v>
      </c>
      <c r="G705" s="2245">
        <f t="shared" si="156"/>
        <v>0</v>
      </c>
      <c r="H705" s="2133">
        <f t="shared" ref="H705:H712" si="166">B705*C705*D705</f>
        <v>0</v>
      </c>
      <c r="I705" s="2133">
        <f t="shared" ref="I705:I712" si="167">B705*C705*E705</f>
        <v>0</v>
      </c>
      <c r="J705" s="2133">
        <f t="shared" ref="J705:J712" si="168">B705*C705*F705</f>
        <v>0</v>
      </c>
      <c r="K705" s="2133">
        <f t="shared" ref="K705:K712" si="169">B705*C705*G705</f>
        <v>0</v>
      </c>
      <c r="M705" s="2133">
        <f t="shared" ref="M705:M712" si="170">(B705/2)/0.2</f>
        <v>0</v>
      </c>
      <c r="N705" s="2133">
        <f t="shared" ref="N705:N712" si="171">(B705/2)/0.1</f>
        <v>0</v>
      </c>
      <c r="O705" s="2133">
        <f t="shared" ref="O705:O712" si="172">SUM(M705:N705)*C705</f>
        <v>0</v>
      </c>
      <c r="P705" s="2133">
        <f t="shared" si="163"/>
        <v>1</v>
      </c>
      <c r="Q705" s="2133">
        <f t="shared" ref="Q705:Q712" si="173">O705*P705</f>
        <v>0</v>
      </c>
    </row>
    <row r="706" spans="1:17" s="2238" customFormat="1">
      <c r="A706" s="2133" t="str">
        <f t="shared" si="155"/>
        <v>K4</v>
      </c>
      <c r="B706" s="2133">
        <f t="shared" si="155"/>
        <v>0</v>
      </c>
      <c r="C706" s="2244">
        <f t="shared" si="155"/>
        <v>0</v>
      </c>
      <c r="D706" s="2244">
        <f t="shared" si="156"/>
        <v>8</v>
      </c>
      <c r="E706" s="2244">
        <f t="shared" si="156"/>
        <v>0</v>
      </c>
      <c r="F706" s="2244">
        <f t="shared" si="156"/>
        <v>0</v>
      </c>
      <c r="G706" s="2245">
        <f t="shared" si="156"/>
        <v>0</v>
      </c>
      <c r="H706" s="2133">
        <f t="shared" si="166"/>
        <v>0</v>
      </c>
      <c r="I706" s="2133">
        <f t="shared" si="167"/>
        <v>0</v>
      </c>
      <c r="J706" s="2133">
        <f t="shared" si="168"/>
        <v>0</v>
      </c>
      <c r="K706" s="2133">
        <f t="shared" si="169"/>
        <v>0</v>
      </c>
      <c r="M706" s="2133">
        <f t="shared" si="170"/>
        <v>0</v>
      </c>
      <c r="N706" s="2133">
        <f t="shared" si="171"/>
        <v>0</v>
      </c>
      <c r="O706" s="2133">
        <f t="shared" si="172"/>
        <v>0</v>
      </c>
      <c r="P706" s="2133">
        <f t="shared" si="163"/>
        <v>0.9</v>
      </c>
      <c r="Q706" s="2133">
        <f t="shared" si="173"/>
        <v>0</v>
      </c>
    </row>
    <row r="707" spans="1:17" s="2238" customFormat="1">
      <c r="A707" s="2133" t="str">
        <f t="shared" si="155"/>
        <v>K5</v>
      </c>
      <c r="B707" s="2133">
        <f t="shared" si="155"/>
        <v>0</v>
      </c>
      <c r="C707" s="2244">
        <f t="shared" si="155"/>
        <v>0</v>
      </c>
      <c r="D707" s="2244">
        <f t="shared" si="156"/>
        <v>0</v>
      </c>
      <c r="E707" s="2244">
        <f t="shared" si="156"/>
        <v>0</v>
      </c>
      <c r="F707" s="2244">
        <f t="shared" si="156"/>
        <v>6</v>
      </c>
      <c r="G707" s="2245">
        <f t="shared" si="156"/>
        <v>0</v>
      </c>
      <c r="H707" s="2133">
        <f t="shared" si="166"/>
        <v>0</v>
      </c>
      <c r="I707" s="2133">
        <f t="shared" si="167"/>
        <v>0</v>
      </c>
      <c r="J707" s="2133">
        <f t="shared" si="168"/>
        <v>0</v>
      </c>
      <c r="K707" s="2133">
        <f t="shared" si="169"/>
        <v>0</v>
      </c>
      <c r="M707" s="2133">
        <f t="shared" si="170"/>
        <v>0</v>
      </c>
      <c r="N707" s="2133">
        <f t="shared" si="171"/>
        <v>0</v>
      </c>
      <c r="O707" s="2133">
        <f t="shared" si="172"/>
        <v>0</v>
      </c>
      <c r="P707" s="2133">
        <f t="shared" si="163"/>
        <v>0.70000000000000007</v>
      </c>
      <c r="Q707" s="2133">
        <f t="shared" si="173"/>
        <v>0</v>
      </c>
    </row>
    <row r="708" spans="1:17" s="2238" customFormat="1">
      <c r="A708" s="2133" t="str">
        <f t="shared" si="155"/>
        <v>K6</v>
      </c>
      <c r="B708" s="2133">
        <f t="shared" si="155"/>
        <v>0</v>
      </c>
      <c r="C708" s="2244">
        <f t="shared" si="155"/>
        <v>0</v>
      </c>
      <c r="D708" s="2244">
        <f t="shared" si="156"/>
        <v>0</v>
      </c>
      <c r="E708" s="2244">
        <f t="shared" si="156"/>
        <v>0</v>
      </c>
      <c r="F708" s="2244">
        <f t="shared" si="156"/>
        <v>8</v>
      </c>
      <c r="G708" s="2245">
        <f t="shared" si="156"/>
        <v>0</v>
      </c>
      <c r="H708" s="2133">
        <f t="shared" si="166"/>
        <v>0</v>
      </c>
      <c r="I708" s="2133">
        <f t="shared" si="167"/>
        <v>0</v>
      </c>
      <c r="J708" s="2133">
        <f t="shared" si="168"/>
        <v>0</v>
      </c>
      <c r="K708" s="2133">
        <f t="shared" si="169"/>
        <v>0</v>
      </c>
      <c r="M708" s="2133">
        <f t="shared" si="170"/>
        <v>0</v>
      </c>
      <c r="N708" s="2133">
        <f t="shared" si="171"/>
        <v>0</v>
      </c>
      <c r="O708" s="2133">
        <f t="shared" si="172"/>
        <v>0</v>
      </c>
      <c r="P708" s="2133">
        <f t="shared" si="163"/>
        <v>0.8</v>
      </c>
      <c r="Q708" s="2133">
        <f t="shared" si="173"/>
        <v>0</v>
      </c>
    </row>
    <row r="709" spans="1:17" s="2238" customFormat="1">
      <c r="A709" s="2133" t="str">
        <f t="shared" si="155"/>
        <v>K7</v>
      </c>
      <c r="B709" s="2133">
        <f t="shared" si="155"/>
        <v>0</v>
      </c>
      <c r="C709" s="2244">
        <f t="shared" si="155"/>
        <v>0</v>
      </c>
      <c r="D709" s="2244">
        <f t="shared" si="156"/>
        <v>0</v>
      </c>
      <c r="E709" s="2244">
        <f t="shared" si="156"/>
        <v>0</v>
      </c>
      <c r="F709" s="2244">
        <f t="shared" si="156"/>
        <v>6</v>
      </c>
      <c r="G709" s="2245">
        <f t="shared" si="156"/>
        <v>0</v>
      </c>
      <c r="H709" s="2133">
        <f t="shared" si="166"/>
        <v>0</v>
      </c>
      <c r="I709" s="2133">
        <f t="shared" si="167"/>
        <v>0</v>
      </c>
      <c r="J709" s="2133">
        <f t="shared" si="168"/>
        <v>0</v>
      </c>
      <c r="K709" s="2133">
        <f t="shared" si="169"/>
        <v>0</v>
      </c>
      <c r="M709" s="2133">
        <f t="shared" si="170"/>
        <v>0</v>
      </c>
      <c r="N709" s="2133">
        <f t="shared" si="171"/>
        <v>0</v>
      </c>
      <c r="O709" s="2133">
        <f t="shared" si="172"/>
        <v>0</v>
      </c>
      <c r="P709" s="2133">
        <f t="shared" si="163"/>
        <v>0.6</v>
      </c>
      <c r="Q709" s="2133">
        <f t="shared" si="173"/>
        <v>0</v>
      </c>
    </row>
    <row r="710" spans="1:17" s="2238" customFormat="1">
      <c r="A710" s="2133" t="str">
        <f t="shared" si="155"/>
        <v>K8</v>
      </c>
      <c r="B710" s="2133">
        <f t="shared" si="155"/>
        <v>0</v>
      </c>
      <c r="C710" s="2244">
        <f t="shared" si="155"/>
        <v>0</v>
      </c>
      <c r="D710" s="2244">
        <f t="shared" si="156"/>
        <v>0</v>
      </c>
      <c r="E710" s="2244">
        <f t="shared" si="156"/>
        <v>0</v>
      </c>
      <c r="F710" s="2244">
        <f t="shared" si="156"/>
        <v>0</v>
      </c>
      <c r="G710" s="2245">
        <f t="shared" si="156"/>
        <v>0</v>
      </c>
      <c r="H710" s="2133">
        <f t="shared" si="166"/>
        <v>0</v>
      </c>
      <c r="I710" s="2133">
        <f t="shared" si="167"/>
        <v>0</v>
      </c>
      <c r="J710" s="2133">
        <f t="shared" si="168"/>
        <v>0</v>
      </c>
      <c r="K710" s="2133">
        <f t="shared" si="169"/>
        <v>0</v>
      </c>
      <c r="M710" s="2133">
        <f t="shared" si="170"/>
        <v>0</v>
      </c>
      <c r="N710" s="2133">
        <f t="shared" si="171"/>
        <v>0</v>
      </c>
      <c r="O710" s="2133">
        <f t="shared" si="172"/>
        <v>0</v>
      </c>
      <c r="P710" s="2133">
        <f t="shared" si="163"/>
        <v>-0.31400000000000006</v>
      </c>
      <c r="Q710" s="2133">
        <f t="shared" si="173"/>
        <v>0</v>
      </c>
    </row>
    <row r="711" spans="1:17" s="2238" customFormat="1">
      <c r="A711" s="2133" t="str">
        <f t="shared" si="155"/>
        <v>K9</v>
      </c>
      <c r="B711" s="2133">
        <f t="shared" si="155"/>
        <v>0</v>
      </c>
      <c r="C711" s="2244">
        <f t="shared" si="155"/>
        <v>0</v>
      </c>
      <c r="D711" s="2244">
        <f t="shared" si="156"/>
        <v>0</v>
      </c>
      <c r="E711" s="2244">
        <f t="shared" si="156"/>
        <v>0</v>
      </c>
      <c r="F711" s="2244">
        <f t="shared" si="156"/>
        <v>0</v>
      </c>
      <c r="G711" s="2245">
        <f t="shared" si="156"/>
        <v>0</v>
      </c>
      <c r="H711" s="2133">
        <f t="shared" si="166"/>
        <v>0</v>
      </c>
      <c r="I711" s="2133">
        <f t="shared" si="167"/>
        <v>0</v>
      </c>
      <c r="J711" s="2133">
        <f t="shared" si="168"/>
        <v>0</v>
      </c>
      <c r="K711" s="2133">
        <f t="shared" si="169"/>
        <v>0</v>
      </c>
      <c r="M711" s="2133">
        <f t="shared" si="170"/>
        <v>0</v>
      </c>
      <c r="N711" s="2133">
        <f t="shared" si="171"/>
        <v>0</v>
      </c>
      <c r="O711" s="2133">
        <f t="shared" si="172"/>
        <v>0</v>
      </c>
      <c r="P711" s="2133">
        <f t="shared" si="163"/>
        <v>-0.31400000000000006</v>
      </c>
      <c r="Q711" s="2133">
        <f t="shared" si="173"/>
        <v>0</v>
      </c>
    </row>
    <row r="712" spans="1:17" s="2238" customFormat="1" ht="15" customHeight="1">
      <c r="A712" s="2133" t="str">
        <f t="shared" si="155"/>
        <v>K10</v>
      </c>
      <c r="B712" s="2133">
        <f t="shared" si="155"/>
        <v>0</v>
      </c>
      <c r="C712" s="2244">
        <f t="shared" si="155"/>
        <v>0</v>
      </c>
      <c r="D712" s="2244">
        <f t="shared" si="156"/>
        <v>0</v>
      </c>
      <c r="E712" s="2244">
        <f t="shared" si="156"/>
        <v>0</v>
      </c>
      <c r="F712" s="2244">
        <f t="shared" si="156"/>
        <v>0</v>
      </c>
      <c r="G712" s="2245">
        <f t="shared" si="156"/>
        <v>0</v>
      </c>
      <c r="H712" s="2133">
        <f t="shared" si="166"/>
        <v>0</v>
      </c>
      <c r="I712" s="2133">
        <f t="shared" si="167"/>
        <v>0</v>
      </c>
      <c r="J712" s="2133">
        <f t="shared" si="168"/>
        <v>0</v>
      </c>
      <c r="K712" s="2133">
        <f t="shared" si="169"/>
        <v>0</v>
      </c>
      <c r="M712" s="2237">
        <f t="shared" si="170"/>
        <v>0</v>
      </c>
      <c r="N712" s="2237">
        <f t="shared" si="171"/>
        <v>0</v>
      </c>
      <c r="O712" s="2237">
        <f t="shared" si="172"/>
        <v>0</v>
      </c>
      <c r="P712" s="2133">
        <f t="shared" si="163"/>
        <v>-0.31400000000000006</v>
      </c>
      <c r="Q712" s="2237">
        <f t="shared" si="173"/>
        <v>0</v>
      </c>
    </row>
    <row r="713" spans="1:17">
      <c r="A713" s="2133" t="str">
        <f t="shared" si="155"/>
        <v>K11</v>
      </c>
      <c r="B713" s="2133">
        <f t="shared" si="155"/>
        <v>0</v>
      </c>
      <c r="C713" s="2244">
        <f t="shared" si="155"/>
        <v>0</v>
      </c>
      <c r="D713" s="2244">
        <f t="shared" si="156"/>
        <v>0</v>
      </c>
      <c r="E713" s="2244">
        <f t="shared" si="156"/>
        <v>0</v>
      </c>
      <c r="F713" s="2244">
        <f t="shared" si="156"/>
        <v>0</v>
      </c>
      <c r="G713" s="2245">
        <f t="shared" si="156"/>
        <v>0</v>
      </c>
      <c r="H713" s="2133">
        <f t="shared" si="165"/>
        <v>0</v>
      </c>
      <c r="I713" s="2133">
        <f t="shared" si="157"/>
        <v>0</v>
      </c>
      <c r="J713" s="2133">
        <f t="shared" si="158"/>
        <v>0</v>
      </c>
      <c r="K713" s="2133">
        <f t="shared" si="159"/>
        <v>0</v>
      </c>
      <c r="M713" s="2133">
        <f t="shared" si="160"/>
        <v>0</v>
      </c>
      <c r="N713" s="2133">
        <f t="shared" si="161"/>
        <v>0</v>
      </c>
      <c r="O713" s="2133">
        <f t="shared" si="162"/>
        <v>0</v>
      </c>
      <c r="P713" s="2133">
        <f t="shared" si="163"/>
        <v>-0.31400000000000006</v>
      </c>
      <c r="Q713" s="2133">
        <f t="shared" si="164"/>
        <v>0</v>
      </c>
    </row>
    <row r="714" spans="1:17">
      <c r="A714" s="2133" t="str">
        <f t="shared" si="155"/>
        <v>K12</v>
      </c>
      <c r="B714" s="2133">
        <f t="shared" si="155"/>
        <v>0</v>
      </c>
      <c r="C714" s="2244">
        <f t="shared" si="155"/>
        <v>0</v>
      </c>
      <c r="D714" s="2244">
        <f t="shared" si="156"/>
        <v>0</v>
      </c>
      <c r="E714" s="2244">
        <f t="shared" si="156"/>
        <v>0</v>
      </c>
      <c r="F714" s="2244">
        <f t="shared" si="156"/>
        <v>0</v>
      </c>
      <c r="G714" s="2245">
        <f t="shared" si="156"/>
        <v>0</v>
      </c>
      <c r="H714" s="2133">
        <f t="shared" si="165"/>
        <v>0</v>
      </c>
      <c r="I714" s="2133">
        <f t="shared" si="157"/>
        <v>0</v>
      </c>
      <c r="J714" s="2133">
        <f t="shared" si="158"/>
        <v>0</v>
      </c>
      <c r="K714" s="2133">
        <f t="shared" si="159"/>
        <v>0</v>
      </c>
      <c r="M714" s="2133">
        <f t="shared" si="160"/>
        <v>0</v>
      </c>
      <c r="N714" s="2133">
        <f t="shared" si="161"/>
        <v>0</v>
      </c>
      <c r="O714" s="2133">
        <f t="shared" si="162"/>
        <v>0</v>
      </c>
      <c r="P714" s="2133">
        <f t="shared" si="163"/>
        <v>-0.31400000000000006</v>
      </c>
      <c r="Q714" s="2133">
        <f t="shared" si="164"/>
        <v>0</v>
      </c>
    </row>
    <row r="715" spans="1:17">
      <c r="A715" s="2133" t="str">
        <f t="shared" si="155"/>
        <v>K13</v>
      </c>
      <c r="B715" s="2133">
        <f t="shared" si="155"/>
        <v>0</v>
      </c>
      <c r="C715" s="2244">
        <f t="shared" si="155"/>
        <v>0</v>
      </c>
      <c r="D715" s="2244">
        <f t="shared" si="156"/>
        <v>0</v>
      </c>
      <c r="E715" s="2244">
        <f t="shared" si="156"/>
        <v>0</v>
      </c>
      <c r="F715" s="2244">
        <f t="shared" si="156"/>
        <v>0</v>
      </c>
      <c r="G715" s="2245">
        <f t="shared" si="156"/>
        <v>0</v>
      </c>
      <c r="H715" s="2133">
        <f t="shared" si="165"/>
        <v>0</v>
      </c>
      <c r="I715" s="2133">
        <f t="shared" si="157"/>
        <v>0</v>
      </c>
      <c r="J715" s="2133">
        <f t="shared" si="158"/>
        <v>0</v>
      </c>
      <c r="K715" s="2133">
        <f t="shared" si="159"/>
        <v>0</v>
      </c>
      <c r="M715" s="2133">
        <f t="shared" si="160"/>
        <v>0</v>
      </c>
      <c r="N715" s="2133">
        <f t="shared" si="161"/>
        <v>0</v>
      </c>
      <c r="O715" s="2133">
        <f t="shared" si="162"/>
        <v>0</v>
      </c>
      <c r="P715" s="2133">
        <f t="shared" si="163"/>
        <v>-0.31400000000000006</v>
      </c>
      <c r="Q715" s="2133">
        <f t="shared" si="164"/>
        <v>0</v>
      </c>
    </row>
    <row r="716" spans="1:17">
      <c r="A716" s="2133" t="str">
        <f t="shared" si="155"/>
        <v>K14</v>
      </c>
      <c r="B716" s="2133">
        <f t="shared" si="155"/>
        <v>0</v>
      </c>
      <c r="C716" s="2244">
        <f t="shared" si="155"/>
        <v>0</v>
      </c>
      <c r="D716" s="2244">
        <f t="shared" si="156"/>
        <v>0</v>
      </c>
      <c r="E716" s="2244">
        <f t="shared" si="156"/>
        <v>0</v>
      </c>
      <c r="F716" s="2244">
        <f t="shared" si="156"/>
        <v>0</v>
      </c>
      <c r="G716" s="2245">
        <f t="shared" si="156"/>
        <v>0</v>
      </c>
      <c r="H716" s="2133">
        <f t="shared" si="165"/>
        <v>0</v>
      </c>
      <c r="I716" s="2133">
        <f t="shared" si="157"/>
        <v>0</v>
      </c>
      <c r="J716" s="2133">
        <f t="shared" si="158"/>
        <v>0</v>
      </c>
      <c r="K716" s="2133">
        <f t="shared" si="159"/>
        <v>0</v>
      </c>
      <c r="M716" s="2133">
        <f t="shared" si="160"/>
        <v>0</v>
      </c>
      <c r="N716" s="2133">
        <f t="shared" si="161"/>
        <v>0</v>
      </c>
      <c r="O716" s="2133">
        <f t="shared" si="162"/>
        <v>0</v>
      </c>
      <c r="P716" s="2133">
        <f t="shared" si="163"/>
        <v>-0.31400000000000006</v>
      </c>
      <c r="Q716" s="2133">
        <f t="shared" si="164"/>
        <v>0</v>
      </c>
    </row>
    <row r="717" spans="1:17">
      <c r="A717" s="2133" t="str">
        <f t="shared" si="155"/>
        <v>K15</v>
      </c>
      <c r="B717" s="2133">
        <f t="shared" si="155"/>
        <v>0</v>
      </c>
      <c r="C717" s="2244">
        <f t="shared" si="155"/>
        <v>0</v>
      </c>
      <c r="D717" s="2244">
        <f t="shared" si="156"/>
        <v>0</v>
      </c>
      <c r="E717" s="2244">
        <f t="shared" si="156"/>
        <v>0</v>
      </c>
      <c r="F717" s="2244">
        <f t="shared" si="156"/>
        <v>0</v>
      </c>
      <c r="G717" s="2245">
        <f t="shared" si="156"/>
        <v>0</v>
      </c>
      <c r="H717" s="2133">
        <f t="shared" si="165"/>
        <v>0</v>
      </c>
      <c r="I717" s="2133">
        <f t="shared" si="157"/>
        <v>0</v>
      </c>
      <c r="J717" s="2133">
        <f t="shared" si="158"/>
        <v>0</v>
      </c>
      <c r="K717" s="2133">
        <f t="shared" si="159"/>
        <v>0</v>
      </c>
      <c r="M717" s="2133">
        <f t="shared" si="160"/>
        <v>0</v>
      </c>
      <c r="N717" s="2133">
        <f t="shared" si="161"/>
        <v>0</v>
      </c>
      <c r="O717" s="2133">
        <f t="shared" si="162"/>
        <v>0</v>
      </c>
      <c r="P717" s="2133">
        <f t="shared" si="163"/>
        <v>-0.31400000000000006</v>
      </c>
      <c r="Q717" s="2133">
        <f t="shared" si="164"/>
        <v>0</v>
      </c>
    </row>
    <row r="718" spans="1:17">
      <c r="A718" s="2133" t="str">
        <f t="shared" si="155"/>
        <v>K16</v>
      </c>
      <c r="B718" s="2133">
        <f t="shared" si="155"/>
        <v>0</v>
      </c>
      <c r="C718" s="2244">
        <f t="shared" si="155"/>
        <v>0</v>
      </c>
      <c r="D718" s="2244">
        <f t="shared" si="156"/>
        <v>0</v>
      </c>
      <c r="E718" s="2244">
        <f t="shared" si="156"/>
        <v>0</v>
      </c>
      <c r="F718" s="2244">
        <f t="shared" si="156"/>
        <v>0</v>
      </c>
      <c r="G718" s="2245">
        <f t="shared" si="156"/>
        <v>0</v>
      </c>
      <c r="H718" s="2133">
        <f t="shared" si="165"/>
        <v>0</v>
      </c>
      <c r="I718" s="2133">
        <f t="shared" si="157"/>
        <v>0</v>
      </c>
      <c r="J718" s="2133">
        <f t="shared" si="158"/>
        <v>0</v>
      </c>
      <c r="K718" s="2133">
        <f t="shared" si="159"/>
        <v>0</v>
      </c>
      <c r="M718" s="2133">
        <f t="shared" si="160"/>
        <v>0</v>
      </c>
      <c r="N718" s="2133">
        <f t="shared" si="161"/>
        <v>0</v>
      </c>
      <c r="O718" s="2133">
        <f t="shared" si="162"/>
        <v>0</v>
      </c>
      <c r="P718" s="2133">
        <f t="shared" si="163"/>
        <v>-0.31400000000000006</v>
      </c>
      <c r="Q718" s="2133">
        <f t="shared" si="164"/>
        <v>0</v>
      </c>
    </row>
    <row r="719" spans="1:17">
      <c r="A719" s="2133" t="str">
        <f t="shared" si="155"/>
        <v>K17</v>
      </c>
      <c r="B719" s="2133">
        <f t="shared" si="155"/>
        <v>0</v>
      </c>
      <c r="C719" s="2244">
        <f t="shared" si="155"/>
        <v>0</v>
      </c>
      <c r="D719" s="2244">
        <f t="shared" si="156"/>
        <v>0</v>
      </c>
      <c r="E719" s="2244">
        <f t="shared" si="156"/>
        <v>0</v>
      </c>
      <c r="F719" s="2244">
        <f t="shared" si="156"/>
        <v>0</v>
      </c>
      <c r="G719" s="2245">
        <f t="shared" si="156"/>
        <v>0</v>
      </c>
      <c r="H719" s="2133">
        <f t="shared" si="165"/>
        <v>0</v>
      </c>
      <c r="I719" s="2133">
        <f t="shared" si="157"/>
        <v>0</v>
      </c>
      <c r="J719" s="2133">
        <f t="shared" si="158"/>
        <v>0</v>
      </c>
      <c r="K719" s="2133">
        <f t="shared" si="159"/>
        <v>0</v>
      </c>
      <c r="M719" s="2133">
        <f t="shared" si="160"/>
        <v>0</v>
      </c>
      <c r="N719" s="2133">
        <f t="shared" si="161"/>
        <v>0</v>
      </c>
      <c r="O719" s="2133">
        <f t="shared" si="162"/>
        <v>0</v>
      </c>
      <c r="P719" s="2133">
        <f t="shared" si="163"/>
        <v>-0.31400000000000006</v>
      </c>
      <c r="Q719" s="2133">
        <f t="shared" si="164"/>
        <v>0</v>
      </c>
    </row>
    <row r="720" spans="1:17" ht="15" customHeight="1">
      <c r="A720" s="2133" t="str">
        <f t="shared" si="155"/>
        <v>K18</v>
      </c>
      <c r="B720" s="2133">
        <f t="shared" si="155"/>
        <v>0</v>
      </c>
      <c r="C720" s="2244">
        <f t="shared" si="155"/>
        <v>0</v>
      </c>
      <c r="D720" s="2244">
        <f t="shared" si="156"/>
        <v>0</v>
      </c>
      <c r="E720" s="2244">
        <f t="shared" si="156"/>
        <v>0</v>
      </c>
      <c r="F720" s="2244">
        <f t="shared" si="156"/>
        <v>0</v>
      </c>
      <c r="G720" s="2245">
        <f t="shared" si="156"/>
        <v>0</v>
      </c>
      <c r="H720" s="2133">
        <f t="shared" si="165"/>
        <v>0</v>
      </c>
      <c r="I720" s="2133">
        <f t="shared" si="157"/>
        <v>0</v>
      </c>
      <c r="J720" s="2133">
        <f t="shared" si="158"/>
        <v>0</v>
      </c>
      <c r="K720" s="2133">
        <f t="shared" si="159"/>
        <v>0</v>
      </c>
      <c r="M720" s="2145">
        <f t="shared" si="160"/>
        <v>0</v>
      </c>
      <c r="N720" s="2145">
        <f t="shared" si="161"/>
        <v>0</v>
      </c>
      <c r="O720" s="2145">
        <f t="shared" si="162"/>
        <v>0</v>
      </c>
      <c r="P720" s="2133">
        <f t="shared" si="163"/>
        <v>-0.31400000000000006</v>
      </c>
      <c r="Q720" s="2145">
        <f t="shared" si="164"/>
        <v>0</v>
      </c>
    </row>
    <row r="721" spans="1:19" ht="15" customHeight="1">
      <c r="F721" s="2804" t="s">
        <v>2074</v>
      </c>
      <c r="G721" s="2805"/>
      <c r="H721" s="2133">
        <f>SUM(H703:H720)</f>
        <v>0</v>
      </c>
      <c r="I721" s="2133">
        <f>SUM(I703:I720)</f>
        <v>0</v>
      </c>
      <c r="J721" s="2133">
        <f>SUM(J703:J720)</f>
        <v>0</v>
      </c>
      <c r="K721" s="2133">
        <f>SUM(K703:K720)</f>
        <v>0</v>
      </c>
      <c r="M721" s="2804" t="s">
        <v>1972</v>
      </c>
      <c r="N721" s="2805"/>
      <c r="O721" s="2805"/>
      <c r="P721" s="2837"/>
      <c r="Q721" s="2135">
        <f>SUMIF($I$134:$I$151,S721,$Q$703:$Q$720)</f>
        <v>0</v>
      </c>
      <c r="R721" s="2139">
        <f>Q721*0.4</f>
        <v>0</v>
      </c>
      <c r="S721" s="2086">
        <v>8</v>
      </c>
    </row>
    <row r="722" spans="1:19" ht="15">
      <c r="F722" s="2804" t="s">
        <v>2075</v>
      </c>
      <c r="G722" s="2805"/>
      <c r="H722" s="2159">
        <f>H721*1.58</f>
        <v>0</v>
      </c>
      <c r="I722" s="2133">
        <f>I721*1.04</f>
        <v>0</v>
      </c>
      <c r="J722" s="2159">
        <f>J721*0.89</f>
        <v>0</v>
      </c>
      <c r="K722" s="2203">
        <f>K721*0.62</f>
        <v>0</v>
      </c>
      <c r="M722" s="2804" t="s">
        <v>2431</v>
      </c>
      <c r="N722" s="2805"/>
      <c r="O722" s="2805"/>
      <c r="P722" s="2837"/>
      <c r="Q722" s="2135">
        <f>SUMIF($I$134:$I$151,S722,$Q$703:$Q$720)</f>
        <v>0</v>
      </c>
      <c r="R722" s="2139">
        <f>Q722*0.62</f>
        <v>0</v>
      </c>
      <c r="S722" s="2086">
        <v>10</v>
      </c>
    </row>
    <row r="724" spans="1:19">
      <c r="A724" s="2176" t="s">
        <v>1796</v>
      </c>
      <c r="B724" s="2176" t="s">
        <v>1608</v>
      </c>
      <c r="C724" s="2176" t="s">
        <v>2062</v>
      </c>
      <c r="D724" s="2176" t="s">
        <v>1807</v>
      </c>
      <c r="E724" s="2176" t="s">
        <v>1997</v>
      </c>
      <c r="F724" s="2176" t="s">
        <v>1568</v>
      </c>
      <c r="M724" s="2133" t="s">
        <v>1607</v>
      </c>
      <c r="N724" s="2133" t="s">
        <v>1611</v>
      </c>
      <c r="O724" s="2133" t="s">
        <v>1168</v>
      </c>
      <c r="P724" s="2133" t="s">
        <v>1205</v>
      </c>
      <c r="Q724" s="2133" t="s">
        <v>1243</v>
      </c>
    </row>
    <row r="725" spans="1:19">
      <c r="A725" s="2133" t="str">
        <f t="shared" ref="A725:C726" si="174">A697</f>
        <v>KP1</v>
      </c>
      <c r="B725" s="2133">
        <f t="shared" si="174"/>
        <v>0</v>
      </c>
      <c r="C725" s="2133">
        <f t="shared" si="174"/>
        <v>0</v>
      </c>
      <c r="D725" s="2133">
        <v>4</v>
      </c>
      <c r="E725" s="2133"/>
      <c r="F725" s="2133">
        <f>B725*C725*D725</f>
        <v>0</v>
      </c>
      <c r="M725" s="2133">
        <f>(B725/2)/0.2</f>
        <v>0</v>
      </c>
      <c r="N725" s="2133">
        <f>(B725/2)/0.1</f>
        <v>0</v>
      </c>
      <c r="O725" s="2133">
        <f>SUM(M725:N725)*C725</f>
        <v>0</v>
      </c>
      <c r="P725" s="2133">
        <f>P383</f>
        <v>0.4</v>
      </c>
      <c r="Q725" s="2133">
        <f>O725*P725</f>
        <v>0</v>
      </c>
    </row>
    <row r="726" spans="1:19" ht="15" customHeight="1">
      <c r="A726" s="2133" t="str">
        <f t="shared" si="174"/>
        <v>KP2</v>
      </c>
      <c r="B726" s="2133">
        <f t="shared" si="174"/>
        <v>0</v>
      </c>
      <c r="C726" s="2133">
        <f t="shared" si="174"/>
        <v>0</v>
      </c>
      <c r="D726" s="2133">
        <v>3</v>
      </c>
      <c r="E726" s="2133">
        <v>0</v>
      </c>
      <c r="F726" s="2133">
        <f>B726*C726*D726</f>
        <v>0</v>
      </c>
      <c r="M726" s="2145">
        <f>(B726/2)/0.2</f>
        <v>0</v>
      </c>
      <c r="N726" s="2145">
        <f>(B726/2)/0.1</f>
        <v>0</v>
      </c>
      <c r="O726" s="2145">
        <f>SUM(M726:N726)*C726</f>
        <v>0</v>
      </c>
      <c r="P726" s="2133">
        <f>P384</f>
        <v>0</v>
      </c>
      <c r="Q726" s="2145">
        <f>O726*P726</f>
        <v>0</v>
      </c>
    </row>
    <row r="727" spans="1:19" ht="15" customHeight="1">
      <c r="D727" s="2804" t="s">
        <v>2074</v>
      </c>
      <c r="E727" s="2805"/>
      <c r="F727" s="2133">
        <f>SUM(F725:F726)</f>
        <v>0</v>
      </c>
      <c r="M727" s="2804" t="s">
        <v>2109</v>
      </c>
      <c r="N727" s="2805"/>
      <c r="O727" s="2805"/>
      <c r="P727" s="2837"/>
      <c r="Q727" s="2135">
        <f>SUM(Q725:Q726)</f>
        <v>0</v>
      </c>
    </row>
    <row r="728" spans="1:19" ht="15">
      <c r="D728" s="2804" t="s">
        <v>2075</v>
      </c>
      <c r="E728" s="2805"/>
      <c r="F728" s="2159">
        <f>F727*0.62</f>
        <v>0</v>
      </c>
      <c r="M728" s="2804" t="s">
        <v>2108</v>
      </c>
      <c r="N728" s="2805"/>
      <c r="O728" s="2805"/>
      <c r="P728" s="2837"/>
      <c r="Q728" s="2159">
        <f>Q727*0.4</f>
        <v>0</v>
      </c>
    </row>
    <row r="730" spans="1:19">
      <c r="A730" s="2176" t="s">
        <v>1612</v>
      </c>
      <c r="B730" s="2176" t="s">
        <v>1608</v>
      </c>
      <c r="C730" s="2176" t="s">
        <v>2062</v>
      </c>
      <c r="D730" s="2176" t="s">
        <v>2089</v>
      </c>
      <c r="E730" s="2176" t="s">
        <v>1568</v>
      </c>
    </row>
    <row r="731" spans="1:19">
      <c r="A731" s="2087" t="str">
        <f t="shared" ref="A731:C748" si="175">A676</f>
        <v>K1</v>
      </c>
      <c r="B731" s="2087">
        <f t="shared" si="175"/>
        <v>0</v>
      </c>
      <c r="C731" s="2087">
        <f t="shared" si="175"/>
        <v>0</v>
      </c>
      <c r="D731" s="2087">
        <f t="shared" ref="D731:D748" si="176">D389</f>
        <v>2.2000000000000002</v>
      </c>
      <c r="E731" s="2087">
        <f t="shared" ref="E731:E748" si="177">B731*C731*D731</f>
        <v>0</v>
      </c>
    </row>
    <row r="732" spans="1:19">
      <c r="A732" s="2133" t="str">
        <f t="shared" si="175"/>
        <v>K2</v>
      </c>
      <c r="B732" s="2087">
        <f t="shared" si="175"/>
        <v>0</v>
      </c>
      <c r="C732" s="2087">
        <f t="shared" si="175"/>
        <v>0</v>
      </c>
      <c r="D732" s="2087">
        <f t="shared" si="176"/>
        <v>0</v>
      </c>
      <c r="E732" s="2133">
        <f t="shared" si="177"/>
        <v>0</v>
      </c>
    </row>
    <row r="733" spans="1:19" s="2238" customFormat="1">
      <c r="A733" s="2133" t="str">
        <f t="shared" si="175"/>
        <v>K3</v>
      </c>
      <c r="B733" s="2236">
        <f t="shared" si="175"/>
        <v>0</v>
      </c>
      <c r="C733" s="2236">
        <f t="shared" si="175"/>
        <v>0</v>
      </c>
      <c r="D733" s="2236">
        <f t="shared" si="176"/>
        <v>1.2000000000000002</v>
      </c>
      <c r="E733" s="2133">
        <f t="shared" ref="E733:E740" si="178">B733*C733*D733</f>
        <v>0</v>
      </c>
    </row>
    <row r="734" spans="1:19" s="2238" customFormat="1">
      <c r="A734" s="2133" t="str">
        <f t="shared" si="175"/>
        <v>K4</v>
      </c>
      <c r="B734" s="2236">
        <f t="shared" si="175"/>
        <v>0</v>
      </c>
      <c r="C734" s="2236">
        <f t="shared" si="175"/>
        <v>0</v>
      </c>
      <c r="D734" s="2236">
        <f t="shared" si="176"/>
        <v>1.1000000000000001</v>
      </c>
      <c r="E734" s="2133">
        <f t="shared" si="178"/>
        <v>0</v>
      </c>
    </row>
    <row r="735" spans="1:19" s="2238" customFormat="1">
      <c r="A735" s="2133" t="str">
        <f t="shared" si="175"/>
        <v>K5</v>
      </c>
      <c r="B735" s="2236">
        <f t="shared" si="175"/>
        <v>0</v>
      </c>
      <c r="C735" s="2236">
        <f t="shared" si="175"/>
        <v>0</v>
      </c>
      <c r="D735" s="2236">
        <f t="shared" si="176"/>
        <v>0.89999999999999991</v>
      </c>
      <c r="E735" s="2133">
        <f t="shared" si="178"/>
        <v>0</v>
      </c>
    </row>
    <row r="736" spans="1:19" s="2238" customFormat="1">
      <c r="A736" s="2133" t="str">
        <f t="shared" si="175"/>
        <v>K6</v>
      </c>
      <c r="B736" s="2236">
        <f t="shared" si="175"/>
        <v>0</v>
      </c>
      <c r="C736" s="2236">
        <f t="shared" si="175"/>
        <v>0</v>
      </c>
      <c r="D736" s="2236">
        <f t="shared" si="176"/>
        <v>1</v>
      </c>
      <c r="E736" s="2133">
        <f t="shared" si="178"/>
        <v>0</v>
      </c>
    </row>
    <row r="737" spans="1:5" s="2238" customFormat="1">
      <c r="A737" s="2133" t="str">
        <f t="shared" si="175"/>
        <v>K7</v>
      </c>
      <c r="B737" s="2236">
        <f t="shared" si="175"/>
        <v>0</v>
      </c>
      <c r="C737" s="2236">
        <f t="shared" si="175"/>
        <v>0</v>
      </c>
      <c r="D737" s="2236">
        <f t="shared" si="176"/>
        <v>0.8</v>
      </c>
      <c r="E737" s="2133">
        <f t="shared" si="178"/>
        <v>0</v>
      </c>
    </row>
    <row r="738" spans="1:5" s="2238" customFormat="1">
      <c r="A738" s="2133" t="str">
        <f t="shared" si="175"/>
        <v>K8</v>
      </c>
      <c r="B738" s="2236">
        <f t="shared" si="175"/>
        <v>0</v>
      </c>
      <c r="C738" s="2236">
        <f t="shared" si="175"/>
        <v>0</v>
      </c>
      <c r="D738" s="2236">
        <f t="shared" si="176"/>
        <v>0</v>
      </c>
      <c r="E738" s="2133">
        <f t="shared" si="178"/>
        <v>0</v>
      </c>
    </row>
    <row r="739" spans="1:5" s="2238" customFormat="1" ht="15" customHeight="1">
      <c r="A739" s="2133" t="str">
        <f t="shared" si="175"/>
        <v>K9</v>
      </c>
      <c r="B739" s="2236">
        <f t="shared" si="175"/>
        <v>0</v>
      </c>
      <c r="C739" s="2236">
        <f t="shared" si="175"/>
        <v>0</v>
      </c>
      <c r="D739" s="2236">
        <f t="shared" si="176"/>
        <v>0</v>
      </c>
      <c r="E739" s="2133">
        <f t="shared" si="178"/>
        <v>0</v>
      </c>
    </row>
    <row r="740" spans="1:5" s="2238" customFormat="1" ht="15" customHeight="1">
      <c r="A740" s="2133" t="str">
        <f t="shared" si="175"/>
        <v>K10</v>
      </c>
      <c r="B740" s="2236">
        <f t="shared" si="175"/>
        <v>0</v>
      </c>
      <c r="C740" s="2236">
        <f t="shared" si="175"/>
        <v>0</v>
      </c>
      <c r="D740" s="2236">
        <f t="shared" si="176"/>
        <v>0</v>
      </c>
      <c r="E740" s="2133">
        <f t="shared" si="178"/>
        <v>0</v>
      </c>
    </row>
    <row r="741" spans="1:5">
      <c r="A741" s="2133" t="str">
        <f t="shared" si="175"/>
        <v>K11</v>
      </c>
      <c r="B741" s="2087">
        <f t="shared" si="175"/>
        <v>0</v>
      </c>
      <c r="C741" s="2087">
        <f t="shared" si="175"/>
        <v>0</v>
      </c>
      <c r="D741" s="2087">
        <f t="shared" si="176"/>
        <v>0</v>
      </c>
      <c r="E741" s="2133">
        <f t="shared" si="177"/>
        <v>0</v>
      </c>
    </row>
    <row r="742" spans="1:5">
      <c r="A742" s="2133" t="str">
        <f t="shared" si="175"/>
        <v>K12</v>
      </c>
      <c r="B742" s="2087">
        <f t="shared" si="175"/>
        <v>0</v>
      </c>
      <c r="C742" s="2087">
        <f t="shared" si="175"/>
        <v>0</v>
      </c>
      <c r="D742" s="2087">
        <f t="shared" si="176"/>
        <v>0</v>
      </c>
      <c r="E742" s="2133">
        <f t="shared" si="177"/>
        <v>0</v>
      </c>
    </row>
    <row r="743" spans="1:5">
      <c r="A743" s="2133" t="str">
        <f t="shared" si="175"/>
        <v>K13</v>
      </c>
      <c r="B743" s="2087">
        <f t="shared" si="175"/>
        <v>0</v>
      </c>
      <c r="C743" s="2087">
        <f t="shared" si="175"/>
        <v>0</v>
      </c>
      <c r="D743" s="2087">
        <f t="shared" si="176"/>
        <v>0</v>
      </c>
      <c r="E743" s="2133">
        <f t="shared" si="177"/>
        <v>0</v>
      </c>
    </row>
    <row r="744" spans="1:5">
      <c r="A744" s="2133" t="str">
        <f t="shared" si="175"/>
        <v>K14</v>
      </c>
      <c r="B744" s="2087">
        <f t="shared" si="175"/>
        <v>0</v>
      </c>
      <c r="C744" s="2087">
        <f t="shared" si="175"/>
        <v>0</v>
      </c>
      <c r="D744" s="2087">
        <f t="shared" si="176"/>
        <v>0</v>
      </c>
      <c r="E744" s="2133">
        <f t="shared" si="177"/>
        <v>0</v>
      </c>
    </row>
    <row r="745" spans="1:5">
      <c r="A745" s="2133" t="str">
        <f t="shared" si="175"/>
        <v>K15</v>
      </c>
      <c r="B745" s="2087">
        <f t="shared" si="175"/>
        <v>0</v>
      </c>
      <c r="C745" s="2087">
        <f t="shared" si="175"/>
        <v>0</v>
      </c>
      <c r="D745" s="2087">
        <f t="shared" si="176"/>
        <v>0</v>
      </c>
      <c r="E745" s="2133">
        <f t="shared" si="177"/>
        <v>0</v>
      </c>
    </row>
    <row r="746" spans="1:5">
      <c r="A746" s="2133" t="str">
        <f t="shared" si="175"/>
        <v>K16</v>
      </c>
      <c r="B746" s="2087">
        <f t="shared" si="175"/>
        <v>0</v>
      </c>
      <c r="C746" s="2087">
        <f t="shared" si="175"/>
        <v>0</v>
      </c>
      <c r="D746" s="2087">
        <f t="shared" si="176"/>
        <v>0</v>
      </c>
      <c r="E746" s="2133">
        <f t="shared" si="177"/>
        <v>0</v>
      </c>
    </row>
    <row r="747" spans="1:5" ht="15" customHeight="1">
      <c r="A747" s="2133" t="str">
        <f t="shared" si="175"/>
        <v>K17</v>
      </c>
      <c r="B747" s="2087">
        <f t="shared" si="175"/>
        <v>0</v>
      </c>
      <c r="C747" s="2087">
        <f t="shared" si="175"/>
        <v>0</v>
      </c>
      <c r="D747" s="2087">
        <f t="shared" si="176"/>
        <v>0</v>
      </c>
      <c r="E747" s="2133">
        <f t="shared" si="177"/>
        <v>0</v>
      </c>
    </row>
    <row r="748" spans="1:5" ht="15" customHeight="1">
      <c r="A748" s="2133" t="str">
        <f t="shared" si="175"/>
        <v>K18</v>
      </c>
      <c r="B748" s="2087">
        <f t="shared" si="175"/>
        <v>0</v>
      </c>
      <c r="C748" s="2087">
        <f t="shared" si="175"/>
        <v>0</v>
      </c>
      <c r="D748" s="2087">
        <f t="shared" si="176"/>
        <v>0</v>
      </c>
      <c r="E748" s="2133">
        <f t="shared" si="177"/>
        <v>0</v>
      </c>
    </row>
    <row r="749" spans="1:5">
      <c r="D749" s="2876" t="s">
        <v>2076</v>
      </c>
      <c r="E749" s="2878">
        <f>SUM(E731:E748)</f>
        <v>0</v>
      </c>
    </row>
    <row r="750" spans="1:5">
      <c r="D750" s="2877"/>
      <c r="E750" s="2878"/>
    </row>
    <row r="753" spans="1:43">
      <c r="A753" s="2176" t="s">
        <v>1612</v>
      </c>
      <c r="B753" s="2176" t="s">
        <v>1608</v>
      </c>
      <c r="C753" s="2176" t="s">
        <v>2062</v>
      </c>
      <c r="D753" s="2176" t="s">
        <v>2088</v>
      </c>
      <c r="E753" s="2176" t="s">
        <v>1568</v>
      </c>
    </row>
    <row r="754" spans="1:43">
      <c r="A754" s="2087" t="str">
        <f t="shared" ref="A754:C755" si="179">A725</f>
        <v>KP1</v>
      </c>
      <c r="B754" s="2087">
        <f t="shared" si="179"/>
        <v>0</v>
      </c>
      <c r="C754" s="2087">
        <f t="shared" si="179"/>
        <v>0</v>
      </c>
      <c r="D754" s="2087">
        <f>D412</f>
        <v>0.6</v>
      </c>
      <c r="E754" s="2087">
        <f>B754*C754*D754</f>
        <v>0</v>
      </c>
    </row>
    <row r="755" spans="1:43">
      <c r="A755" s="2133" t="str">
        <f t="shared" si="179"/>
        <v>KP2</v>
      </c>
      <c r="B755" s="2133">
        <f t="shared" si="179"/>
        <v>0</v>
      </c>
      <c r="C755" s="2133">
        <f t="shared" si="179"/>
        <v>0</v>
      </c>
      <c r="D755" s="2087">
        <f>D413</f>
        <v>0.6</v>
      </c>
      <c r="E755" s="2133">
        <f>B755*C755*D755</f>
        <v>0</v>
      </c>
      <c r="V755" s="2107"/>
      <c r="W755" s="2107"/>
      <c r="X755" s="2107"/>
      <c r="Y755" s="2107"/>
      <c r="Z755" s="2107"/>
      <c r="AA755" s="2107"/>
      <c r="AB755" s="2107"/>
      <c r="AC755" s="2107"/>
      <c r="AD755" s="2107"/>
      <c r="AE755" s="2107"/>
      <c r="AF755" s="2107"/>
      <c r="AG755" s="2107"/>
      <c r="AH755" s="2107"/>
      <c r="AI755" s="2107"/>
      <c r="AJ755" s="2107"/>
      <c r="AK755" s="2107"/>
      <c r="AL755" s="2107"/>
      <c r="AM755" s="2107"/>
      <c r="AN755" s="2107"/>
      <c r="AO755" s="2107"/>
      <c r="AP755" s="2107"/>
      <c r="AQ755" s="2107"/>
    </row>
    <row r="756" spans="1:43" ht="30">
      <c r="D756" s="2138" t="s">
        <v>2076</v>
      </c>
      <c r="E756" s="2159">
        <f>SUM(E754:E755)</f>
        <v>0</v>
      </c>
      <c r="V756" s="2107"/>
      <c r="W756" s="2833"/>
      <c r="X756" s="2833"/>
      <c r="Y756" s="2833"/>
      <c r="Z756" s="2833"/>
      <c r="AA756" s="2833"/>
      <c r="AB756" s="2833"/>
      <c r="AC756" s="2833"/>
      <c r="AD756" s="2833"/>
      <c r="AE756" s="2107"/>
      <c r="AF756" s="2107"/>
      <c r="AG756" s="2107"/>
      <c r="AH756" s="2107"/>
      <c r="AI756" s="2107"/>
      <c r="AJ756" s="2107"/>
      <c r="AK756" s="2107"/>
      <c r="AL756" s="2107"/>
      <c r="AM756" s="2107"/>
      <c r="AN756" s="2107"/>
      <c r="AO756" s="2107"/>
      <c r="AP756" s="2107"/>
      <c r="AQ756" s="2107"/>
    </row>
    <row r="757" spans="1:43">
      <c r="U757" s="2107"/>
      <c r="V757" s="2107"/>
      <c r="W757" s="2107"/>
      <c r="X757" s="2107"/>
      <c r="Y757" s="2179"/>
      <c r="Z757" s="2107"/>
      <c r="AA757" s="2179"/>
      <c r="AB757" s="2107"/>
      <c r="AC757" s="2107"/>
      <c r="AD757" s="2107"/>
      <c r="AE757" s="2107"/>
      <c r="AF757" s="2107"/>
      <c r="AG757" s="2107"/>
      <c r="AH757" s="2107"/>
      <c r="AI757" s="2107"/>
      <c r="AJ757" s="2107"/>
      <c r="AK757" s="2107"/>
      <c r="AL757" s="2107"/>
      <c r="AM757" s="2107"/>
      <c r="AN757" s="2107"/>
      <c r="AO757" s="2107"/>
      <c r="AP757" s="2107"/>
    </row>
    <row r="758" spans="1:43">
      <c r="A758" s="2831" t="s">
        <v>2105</v>
      </c>
      <c r="B758" s="2832"/>
      <c r="C758" s="2832"/>
      <c r="D758" s="2832"/>
      <c r="E758" s="2832"/>
      <c r="F758" s="2832"/>
      <c r="G758" s="2836"/>
      <c r="H758" s="2831" t="s">
        <v>1568</v>
      </c>
      <c r="I758" s="2832"/>
      <c r="J758" s="2832"/>
      <c r="K758" s="2832"/>
      <c r="L758" s="2836"/>
      <c r="N758" s="2831" t="s">
        <v>1610</v>
      </c>
      <c r="O758" s="2832"/>
      <c r="P758" s="2832"/>
      <c r="Q758" s="2832"/>
      <c r="R758" s="2836"/>
      <c r="U758" s="2107"/>
      <c r="V758" s="2107"/>
      <c r="W758" s="2107"/>
      <c r="X758" s="2107"/>
      <c r="Y758" s="2107"/>
      <c r="Z758" s="2107"/>
      <c r="AA758" s="2107"/>
      <c r="AB758" s="2107"/>
      <c r="AC758" s="2107"/>
      <c r="AD758" s="2107"/>
      <c r="AE758" s="2107"/>
      <c r="AF758" s="2107"/>
      <c r="AG758" s="2107"/>
      <c r="AH758" s="2107"/>
      <c r="AI758" s="2107"/>
      <c r="AJ758" s="2107"/>
      <c r="AK758" s="2107"/>
      <c r="AL758" s="2107"/>
      <c r="AM758" s="2107"/>
      <c r="AN758" s="2107"/>
      <c r="AO758" s="2107"/>
      <c r="AP758" s="2107"/>
    </row>
    <row r="759" spans="1:43" ht="15">
      <c r="A759" s="2087" t="s">
        <v>1796</v>
      </c>
      <c r="B759" s="2154" t="s">
        <v>2004</v>
      </c>
      <c r="C759" s="2087" t="s">
        <v>1609</v>
      </c>
      <c r="D759" s="2088" t="s">
        <v>2098</v>
      </c>
      <c r="E759" s="2187" t="s">
        <v>2099</v>
      </c>
      <c r="F759" s="2088" t="s">
        <v>2440</v>
      </c>
      <c r="G759" s="2087" t="s">
        <v>2107</v>
      </c>
      <c r="H759" s="2087" t="s">
        <v>2100</v>
      </c>
      <c r="I759" s="2087" t="s">
        <v>2101</v>
      </c>
      <c r="J759" s="2087" t="s">
        <v>2102</v>
      </c>
      <c r="K759" s="2087" t="s">
        <v>2103</v>
      </c>
      <c r="L759" s="2087" t="s">
        <v>2104</v>
      </c>
      <c r="N759" s="2133" t="s">
        <v>1607</v>
      </c>
      <c r="O759" s="2133" t="s">
        <v>1611</v>
      </c>
      <c r="P759" s="2133" t="s">
        <v>1168</v>
      </c>
      <c r="Q759" s="2133" t="s">
        <v>1205</v>
      </c>
      <c r="R759" s="2133" t="s">
        <v>1243</v>
      </c>
      <c r="U759" s="2107"/>
      <c r="V759" s="2107"/>
      <c r="W759" s="2107"/>
      <c r="X759" s="2107"/>
      <c r="Y759" s="2107"/>
      <c r="Z759" s="2107"/>
      <c r="AA759" s="2107"/>
      <c r="AB759" s="2107"/>
      <c r="AC759" s="2107"/>
      <c r="AD759" s="2107"/>
      <c r="AE759" s="2107"/>
      <c r="AF759" s="2107"/>
      <c r="AG759" s="2107"/>
      <c r="AH759" s="2107"/>
      <c r="AI759" s="2107"/>
      <c r="AJ759" s="2107"/>
      <c r="AK759" s="2107"/>
      <c r="AL759" s="2107"/>
      <c r="AM759" s="2107"/>
      <c r="AN759" s="2107"/>
      <c r="AO759" s="2107"/>
      <c r="AP759" s="2107"/>
    </row>
    <row r="760" spans="1:43">
      <c r="A760" s="2134" t="s">
        <v>187</v>
      </c>
      <c r="B760" s="2133">
        <f t="shared" ref="B760:B779" si="180">O33</f>
        <v>0</v>
      </c>
      <c r="C760" s="2135">
        <f t="shared" ref="C760:G774" si="181">C418</f>
        <v>10</v>
      </c>
      <c r="D760" s="2133">
        <f t="shared" si="181"/>
        <v>0</v>
      </c>
      <c r="E760" s="2133">
        <f t="shared" si="181"/>
        <v>0</v>
      </c>
      <c r="F760" s="2133">
        <f t="shared" si="181"/>
        <v>0</v>
      </c>
      <c r="G760" s="2133">
        <f t="shared" si="181"/>
        <v>0</v>
      </c>
      <c r="H760" s="2133">
        <f t="shared" ref="H760:H780" si="182">B760*C760</f>
        <v>0</v>
      </c>
      <c r="I760" s="2133">
        <f>B760*D760</f>
        <v>0</v>
      </c>
      <c r="J760" s="2133">
        <f t="shared" ref="J760:J780" si="183">B760*E760</f>
        <v>0</v>
      </c>
      <c r="K760" s="2133">
        <f>B760*F760</f>
        <v>0</v>
      </c>
      <c r="L760" s="2133">
        <f t="shared" ref="L760:L780" si="184">B760*G760</f>
        <v>0</v>
      </c>
      <c r="N760" s="2133">
        <f t="shared" ref="N760:N780" si="185">(B760/2)/0.2</f>
        <v>0</v>
      </c>
      <c r="O760" s="2133">
        <f t="shared" ref="O760:O780" si="186">(B760/2)/0.1</f>
        <v>0</v>
      </c>
      <c r="P760" s="2133">
        <f t="shared" ref="P760:P780" si="187">SUM(N760:O760)</f>
        <v>0</v>
      </c>
      <c r="Q760" s="2133">
        <f t="shared" ref="Q760:Q774" si="188">Q418</f>
        <v>1</v>
      </c>
      <c r="R760" s="2133">
        <f t="shared" ref="R760:R780" si="189">P760*Q760</f>
        <v>0</v>
      </c>
      <c r="U760" s="2107"/>
      <c r="V760" s="2107"/>
      <c r="W760" s="2107"/>
      <c r="X760" s="2107"/>
      <c r="Y760" s="2107"/>
      <c r="Z760" s="2107"/>
      <c r="AA760" s="2107"/>
      <c r="AB760" s="2107"/>
      <c r="AC760" s="2107"/>
      <c r="AD760" s="2107"/>
      <c r="AE760" s="2107"/>
      <c r="AF760" s="2107"/>
      <c r="AG760" s="2107"/>
      <c r="AH760" s="2107"/>
      <c r="AI760" s="2107"/>
      <c r="AJ760" s="2107"/>
      <c r="AK760" s="2107"/>
      <c r="AL760" s="2107"/>
      <c r="AM760" s="2107"/>
      <c r="AN760" s="2107"/>
      <c r="AO760" s="2107"/>
      <c r="AP760" s="2107"/>
    </row>
    <row r="761" spans="1:43">
      <c r="A761" s="2134" t="s">
        <v>173</v>
      </c>
      <c r="B761" s="2133">
        <f t="shared" si="180"/>
        <v>0</v>
      </c>
      <c r="C761" s="2135">
        <f t="shared" si="181"/>
        <v>10</v>
      </c>
      <c r="D761" s="2133">
        <f t="shared" si="181"/>
        <v>0</v>
      </c>
      <c r="E761" s="2133">
        <f t="shared" si="181"/>
        <v>0</v>
      </c>
      <c r="F761" s="2133">
        <f t="shared" si="181"/>
        <v>1</v>
      </c>
      <c r="G761" s="2133">
        <f t="shared" si="181"/>
        <v>0</v>
      </c>
      <c r="H761" s="2133">
        <f>B761*C761</f>
        <v>0</v>
      </c>
      <c r="I761" s="2133">
        <f t="shared" ref="I761:I780" si="190">B761*D761</f>
        <v>0</v>
      </c>
      <c r="J761" s="2133">
        <f t="shared" si="183"/>
        <v>0</v>
      </c>
      <c r="K761" s="2133">
        <f t="shared" ref="K761:K780" si="191">B761*F761</f>
        <v>0</v>
      </c>
      <c r="L761" s="2133">
        <f t="shared" si="184"/>
        <v>0</v>
      </c>
      <c r="N761" s="2133">
        <f t="shared" si="185"/>
        <v>0</v>
      </c>
      <c r="O761" s="2133">
        <f t="shared" si="186"/>
        <v>0</v>
      </c>
      <c r="P761" s="2133">
        <f t="shared" si="187"/>
        <v>0</v>
      </c>
      <c r="Q761" s="2133">
        <f t="shared" si="188"/>
        <v>1.1000000000000001</v>
      </c>
      <c r="R761" s="2133">
        <f t="shared" si="189"/>
        <v>0</v>
      </c>
      <c r="U761" s="2107"/>
      <c r="V761" s="2107"/>
      <c r="W761" s="2107"/>
      <c r="X761" s="2107"/>
      <c r="Y761" s="2107"/>
      <c r="Z761" s="2107"/>
      <c r="AA761" s="2107"/>
      <c r="AB761" s="2107"/>
      <c r="AC761" s="2107"/>
      <c r="AD761" s="2107"/>
      <c r="AE761" s="2107"/>
      <c r="AF761" s="2107"/>
      <c r="AG761" s="2107"/>
      <c r="AH761" s="2107"/>
      <c r="AI761" s="2107"/>
      <c r="AJ761" s="2107"/>
      <c r="AK761" s="2107"/>
      <c r="AL761" s="2107"/>
      <c r="AM761" s="2107"/>
      <c r="AN761" s="2107"/>
      <c r="AO761" s="2107"/>
      <c r="AP761" s="2107"/>
    </row>
    <row r="762" spans="1:43">
      <c r="A762" s="2134" t="s">
        <v>172</v>
      </c>
      <c r="B762" s="2133">
        <f t="shared" si="180"/>
        <v>0</v>
      </c>
      <c r="C762" s="2135">
        <f t="shared" si="181"/>
        <v>10</v>
      </c>
      <c r="D762" s="2133">
        <f t="shared" si="181"/>
        <v>0</v>
      </c>
      <c r="E762" s="2133">
        <f t="shared" si="181"/>
        <v>0</v>
      </c>
      <c r="F762" s="2133">
        <f t="shared" si="181"/>
        <v>3</v>
      </c>
      <c r="G762" s="2133">
        <f t="shared" si="181"/>
        <v>0</v>
      </c>
      <c r="H762" s="2133">
        <f>B762*C762</f>
        <v>0</v>
      </c>
      <c r="I762" s="2133">
        <f t="shared" si="190"/>
        <v>0</v>
      </c>
      <c r="J762" s="2133">
        <f t="shared" si="183"/>
        <v>0</v>
      </c>
      <c r="K762" s="2133">
        <f t="shared" si="191"/>
        <v>0</v>
      </c>
      <c r="L762" s="2133">
        <f t="shared" si="184"/>
        <v>0</v>
      </c>
      <c r="N762" s="2133">
        <f t="shared" si="185"/>
        <v>0</v>
      </c>
      <c r="O762" s="2133">
        <f t="shared" si="186"/>
        <v>0</v>
      </c>
      <c r="P762" s="2133">
        <f t="shared" si="187"/>
        <v>0</v>
      </c>
      <c r="Q762" s="2133">
        <f t="shared" si="188"/>
        <v>1.35</v>
      </c>
      <c r="R762" s="2133">
        <f t="shared" si="189"/>
        <v>0</v>
      </c>
      <c r="U762" s="2107"/>
      <c r="V762" s="2107"/>
      <c r="W762" s="2107"/>
      <c r="X762" s="2107"/>
      <c r="Y762" s="2107"/>
      <c r="Z762" s="2107"/>
      <c r="AA762" s="2107"/>
      <c r="AB762" s="2107"/>
      <c r="AC762" s="2107"/>
      <c r="AD762" s="2107"/>
      <c r="AE762" s="2107"/>
      <c r="AF762" s="2107"/>
      <c r="AG762" s="2107"/>
      <c r="AH762" s="2107"/>
      <c r="AI762" s="2107"/>
      <c r="AJ762" s="2107"/>
      <c r="AK762" s="2107"/>
      <c r="AL762" s="2107"/>
      <c r="AM762" s="2107"/>
      <c r="AN762" s="2107"/>
      <c r="AO762" s="2107"/>
      <c r="AP762" s="2107"/>
    </row>
    <row r="763" spans="1:43">
      <c r="A763" s="2134" t="s">
        <v>174</v>
      </c>
      <c r="B763" s="2133">
        <f t="shared" si="180"/>
        <v>0</v>
      </c>
      <c r="C763" s="2135">
        <f t="shared" si="181"/>
        <v>6</v>
      </c>
      <c r="D763" s="2133">
        <f t="shared" si="181"/>
        <v>0</v>
      </c>
      <c r="E763" s="2133">
        <f t="shared" si="181"/>
        <v>0</v>
      </c>
      <c r="F763" s="2133">
        <f t="shared" si="181"/>
        <v>4</v>
      </c>
      <c r="G763" s="2133">
        <f t="shared" si="181"/>
        <v>0</v>
      </c>
      <c r="H763" s="2133">
        <f t="shared" si="182"/>
        <v>0</v>
      </c>
      <c r="I763" s="2133">
        <f t="shared" si="190"/>
        <v>0</v>
      </c>
      <c r="J763" s="2133">
        <f t="shared" si="183"/>
        <v>0</v>
      </c>
      <c r="K763" s="2133">
        <f t="shared" si="191"/>
        <v>0</v>
      </c>
      <c r="L763" s="2133">
        <f t="shared" si="184"/>
        <v>0</v>
      </c>
      <c r="N763" s="2133">
        <f t="shared" si="185"/>
        <v>0</v>
      </c>
      <c r="O763" s="2133">
        <f t="shared" si="186"/>
        <v>0</v>
      </c>
      <c r="P763" s="2133">
        <f t="shared" si="187"/>
        <v>0</v>
      </c>
      <c r="Q763" s="2133">
        <f t="shared" si="188"/>
        <v>0.7</v>
      </c>
      <c r="R763" s="2133">
        <f t="shared" si="189"/>
        <v>0</v>
      </c>
      <c r="U763" s="2107"/>
      <c r="V763" s="2107"/>
      <c r="W763" s="2107"/>
      <c r="X763" s="2107"/>
      <c r="Y763" s="2107"/>
      <c r="Z763" s="2107"/>
      <c r="AA763" s="2107"/>
      <c r="AB763" s="2107"/>
      <c r="AC763" s="2107"/>
      <c r="AD763" s="2107"/>
      <c r="AE763" s="2107"/>
      <c r="AF763" s="2107"/>
      <c r="AG763" s="2107"/>
      <c r="AH763" s="2107"/>
      <c r="AI763" s="2107"/>
      <c r="AJ763" s="2107"/>
      <c r="AK763" s="2107"/>
      <c r="AL763" s="2107"/>
      <c r="AM763" s="2107"/>
      <c r="AN763" s="2107"/>
      <c r="AO763" s="2107"/>
      <c r="AP763" s="2107"/>
    </row>
    <row r="764" spans="1:43">
      <c r="A764" s="2134" t="s">
        <v>188</v>
      </c>
      <c r="B764" s="2133">
        <f t="shared" si="180"/>
        <v>0</v>
      </c>
      <c r="C764" s="2135">
        <f t="shared" si="181"/>
        <v>0</v>
      </c>
      <c r="D764" s="2133">
        <f t="shared" si="181"/>
        <v>0</v>
      </c>
      <c r="E764" s="2133">
        <f t="shared" si="181"/>
        <v>0</v>
      </c>
      <c r="F764" s="2133">
        <f t="shared" si="181"/>
        <v>0</v>
      </c>
      <c r="G764" s="2133">
        <f t="shared" si="181"/>
        <v>0</v>
      </c>
      <c r="H764" s="2133">
        <f t="shared" si="182"/>
        <v>0</v>
      </c>
      <c r="I764" s="2133">
        <f t="shared" si="190"/>
        <v>0</v>
      </c>
      <c r="J764" s="2133">
        <f t="shared" si="183"/>
        <v>0</v>
      </c>
      <c r="K764" s="2133">
        <f t="shared" si="191"/>
        <v>0</v>
      </c>
      <c r="L764" s="2133">
        <f t="shared" si="184"/>
        <v>0</v>
      </c>
      <c r="N764" s="2133">
        <f t="shared" si="185"/>
        <v>0</v>
      </c>
      <c r="O764" s="2133">
        <f t="shared" si="186"/>
        <v>0</v>
      </c>
      <c r="P764" s="2133">
        <f t="shared" si="187"/>
        <v>0</v>
      </c>
      <c r="Q764" s="2133">
        <f t="shared" si="188"/>
        <v>-0.2</v>
      </c>
      <c r="R764" s="2133">
        <f t="shared" si="189"/>
        <v>0</v>
      </c>
      <c r="U764" s="2107"/>
      <c r="V764" s="2107"/>
      <c r="W764" s="2107"/>
      <c r="X764" s="2107"/>
      <c r="Y764" s="2107"/>
      <c r="Z764" s="2107"/>
      <c r="AA764" s="2107"/>
      <c r="AB764" s="2107"/>
      <c r="AC764" s="2107"/>
      <c r="AD764" s="2107"/>
      <c r="AE764" s="2107"/>
      <c r="AF764" s="2107"/>
      <c r="AG764" s="2107"/>
      <c r="AH764" s="2107"/>
      <c r="AI764" s="2107"/>
      <c r="AJ764" s="2107"/>
      <c r="AK764" s="2107"/>
      <c r="AL764" s="2107"/>
      <c r="AM764" s="2107"/>
      <c r="AN764" s="2107"/>
      <c r="AO764" s="2107"/>
      <c r="AP764" s="2107"/>
    </row>
    <row r="765" spans="1:43">
      <c r="A765" s="2134" t="s">
        <v>1998</v>
      </c>
      <c r="B765" s="2133">
        <f t="shared" si="180"/>
        <v>0</v>
      </c>
      <c r="C765" s="2135">
        <f t="shared" si="181"/>
        <v>0</v>
      </c>
      <c r="D765" s="2133">
        <f t="shared" si="181"/>
        <v>0</v>
      </c>
      <c r="E765" s="2133">
        <f t="shared" si="181"/>
        <v>0</v>
      </c>
      <c r="F765" s="2133">
        <f t="shared" si="181"/>
        <v>0</v>
      </c>
      <c r="G765" s="2133">
        <f t="shared" si="181"/>
        <v>0</v>
      </c>
      <c r="H765" s="2133">
        <f t="shared" si="182"/>
        <v>0</v>
      </c>
      <c r="I765" s="2133">
        <f t="shared" si="190"/>
        <v>0</v>
      </c>
      <c r="J765" s="2133">
        <f t="shared" si="183"/>
        <v>0</v>
      </c>
      <c r="K765" s="2133">
        <f t="shared" si="191"/>
        <v>0</v>
      </c>
      <c r="L765" s="2133">
        <f t="shared" si="184"/>
        <v>0</v>
      </c>
      <c r="N765" s="2133">
        <f t="shared" si="185"/>
        <v>0</v>
      </c>
      <c r="O765" s="2133">
        <f t="shared" si="186"/>
        <v>0</v>
      </c>
      <c r="P765" s="2133">
        <f t="shared" si="187"/>
        <v>0</v>
      </c>
      <c r="Q765" s="2133">
        <f t="shared" si="188"/>
        <v>-0.2</v>
      </c>
      <c r="R765" s="2133">
        <f t="shared" si="189"/>
        <v>0</v>
      </c>
      <c r="U765" s="2107"/>
      <c r="V765" s="2107"/>
      <c r="W765" s="2107"/>
      <c r="X765" s="2107"/>
      <c r="Y765" s="2107"/>
      <c r="Z765" s="2107"/>
      <c r="AA765" s="2107"/>
      <c r="AB765" s="2107"/>
      <c r="AC765" s="2107"/>
      <c r="AD765" s="2107"/>
      <c r="AE765" s="2107"/>
      <c r="AF765" s="2107"/>
      <c r="AG765" s="2107"/>
      <c r="AH765" s="2107"/>
      <c r="AI765" s="2107"/>
      <c r="AJ765" s="2107"/>
      <c r="AK765" s="2107"/>
      <c r="AL765" s="2107"/>
      <c r="AM765" s="2107"/>
      <c r="AN765" s="2107"/>
      <c r="AO765" s="2107"/>
      <c r="AP765" s="2107"/>
    </row>
    <row r="766" spans="1:43">
      <c r="A766" s="2134" t="s">
        <v>1999</v>
      </c>
      <c r="B766" s="2133">
        <f t="shared" si="180"/>
        <v>0</v>
      </c>
      <c r="C766" s="2135">
        <f t="shared" si="181"/>
        <v>0</v>
      </c>
      <c r="D766" s="2133">
        <f t="shared" si="181"/>
        <v>0</v>
      </c>
      <c r="E766" s="2133">
        <f t="shared" si="181"/>
        <v>0</v>
      </c>
      <c r="F766" s="2133">
        <f t="shared" si="181"/>
        <v>0</v>
      </c>
      <c r="G766" s="2133">
        <f t="shared" si="181"/>
        <v>0</v>
      </c>
      <c r="H766" s="2133">
        <f t="shared" si="182"/>
        <v>0</v>
      </c>
      <c r="I766" s="2133">
        <f t="shared" si="190"/>
        <v>0</v>
      </c>
      <c r="J766" s="2133">
        <f t="shared" si="183"/>
        <v>0</v>
      </c>
      <c r="K766" s="2133">
        <f t="shared" si="191"/>
        <v>0</v>
      </c>
      <c r="L766" s="2133">
        <f t="shared" si="184"/>
        <v>0</v>
      </c>
      <c r="N766" s="2133">
        <f t="shared" si="185"/>
        <v>0</v>
      </c>
      <c r="O766" s="2133">
        <f t="shared" si="186"/>
        <v>0</v>
      </c>
      <c r="P766" s="2133">
        <f t="shared" si="187"/>
        <v>0</v>
      </c>
      <c r="Q766" s="2133">
        <f t="shared" si="188"/>
        <v>-0.2</v>
      </c>
      <c r="R766" s="2133">
        <f t="shared" si="189"/>
        <v>0</v>
      </c>
      <c r="U766" s="2107"/>
      <c r="V766" s="2107"/>
      <c r="W766" s="2107"/>
      <c r="X766" s="2107"/>
      <c r="Y766" s="2107"/>
      <c r="Z766" s="2107"/>
      <c r="AA766" s="2107"/>
      <c r="AB766" s="2107"/>
      <c r="AC766" s="2107"/>
      <c r="AD766" s="2107"/>
      <c r="AE766" s="2107"/>
      <c r="AF766" s="2107"/>
      <c r="AG766" s="2107"/>
      <c r="AH766" s="2107"/>
      <c r="AI766" s="2107"/>
      <c r="AJ766" s="2107"/>
      <c r="AK766" s="2107"/>
      <c r="AL766" s="2107"/>
      <c r="AM766" s="2107"/>
      <c r="AN766" s="2107"/>
      <c r="AO766" s="2107"/>
      <c r="AP766" s="2107"/>
    </row>
    <row r="767" spans="1:43">
      <c r="A767" s="2134" t="s">
        <v>2000</v>
      </c>
      <c r="B767" s="2133">
        <f t="shared" si="180"/>
        <v>0</v>
      </c>
      <c r="C767" s="2135">
        <f t="shared" si="181"/>
        <v>0</v>
      </c>
      <c r="D767" s="2133">
        <f t="shared" si="181"/>
        <v>0</v>
      </c>
      <c r="E767" s="2133">
        <f t="shared" si="181"/>
        <v>0</v>
      </c>
      <c r="F767" s="2133">
        <f t="shared" si="181"/>
        <v>0</v>
      </c>
      <c r="G767" s="2133">
        <f t="shared" si="181"/>
        <v>0</v>
      </c>
      <c r="H767" s="2133">
        <f t="shared" si="182"/>
        <v>0</v>
      </c>
      <c r="I767" s="2133">
        <f t="shared" si="190"/>
        <v>0</v>
      </c>
      <c r="J767" s="2133">
        <f t="shared" si="183"/>
        <v>0</v>
      </c>
      <c r="K767" s="2133">
        <f t="shared" si="191"/>
        <v>0</v>
      </c>
      <c r="L767" s="2133">
        <f t="shared" si="184"/>
        <v>0</v>
      </c>
      <c r="N767" s="2133">
        <f t="shared" si="185"/>
        <v>0</v>
      </c>
      <c r="O767" s="2133">
        <f t="shared" si="186"/>
        <v>0</v>
      </c>
      <c r="P767" s="2133">
        <f t="shared" si="187"/>
        <v>0</v>
      </c>
      <c r="Q767" s="2133">
        <f t="shared" si="188"/>
        <v>-0.2</v>
      </c>
      <c r="R767" s="2133">
        <f t="shared" si="189"/>
        <v>0</v>
      </c>
      <c r="U767" s="2107"/>
      <c r="V767" s="2107"/>
      <c r="W767" s="2107"/>
      <c r="X767" s="2107"/>
      <c r="Y767" s="2107"/>
      <c r="Z767" s="2107"/>
      <c r="AA767" s="2107"/>
      <c r="AB767" s="2107"/>
      <c r="AC767" s="2107"/>
      <c r="AD767" s="2107"/>
      <c r="AE767" s="2107"/>
      <c r="AF767" s="2107"/>
      <c r="AG767" s="2107"/>
      <c r="AH767" s="2107"/>
      <c r="AI767" s="2107"/>
      <c r="AJ767" s="2107"/>
      <c r="AK767" s="2107"/>
      <c r="AL767" s="2107"/>
      <c r="AM767" s="2107"/>
      <c r="AN767" s="2107"/>
      <c r="AO767" s="2107"/>
      <c r="AP767" s="2107"/>
    </row>
    <row r="768" spans="1:43">
      <c r="A768" s="2134" t="s">
        <v>2001</v>
      </c>
      <c r="B768" s="2133">
        <f t="shared" si="180"/>
        <v>0</v>
      </c>
      <c r="C768" s="2135">
        <f t="shared" si="181"/>
        <v>0</v>
      </c>
      <c r="D768" s="2133">
        <f t="shared" si="181"/>
        <v>0</v>
      </c>
      <c r="E768" s="2133">
        <f t="shared" si="181"/>
        <v>0</v>
      </c>
      <c r="F768" s="2133">
        <f t="shared" si="181"/>
        <v>0</v>
      </c>
      <c r="G768" s="2133">
        <f t="shared" si="181"/>
        <v>0</v>
      </c>
      <c r="H768" s="2133">
        <f t="shared" si="182"/>
        <v>0</v>
      </c>
      <c r="I768" s="2133">
        <f t="shared" si="190"/>
        <v>0</v>
      </c>
      <c r="J768" s="2133">
        <f t="shared" si="183"/>
        <v>0</v>
      </c>
      <c r="K768" s="2133">
        <f>B768*F768</f>
        <v>0</v>
      </c>
      <c r="L768" s="2133">
        <f t="shared" si="184"/>
        <v>0</v>
      </c>
      <c r="N768" s="2133">
        <f t="shared" si="185"/>
        <v>0</v>
      </c>
      <c r="O768" s="2133">
        <f t="shared" si="186"/>
        <v>0</v>
      </c>
      <c r="P768" s="2133">
        <f t="shared" si="187"/>
        <v>0</v>
      </c>
      <c r="Q768" s="2133">
        <f t="shared" si="188"/>
        <v>-0.2</v>
      </c>
      <c r="R768" s="2133">
        <f t="shared" si="189"/>
        <v>0</v>
      </c>
      <c r="U768" s="2107"/>
      <c r="V768" s="2107"/>
      <c r="W768" s="2107"/>
      <c r="X768" s="2107"/>
      <c r="Y768" s="2107"/>
      <c r="Z768" s="2107"/>
      <c r="AA768" s="2107"/>
      <c r="AB768" s="2107"/>
      <c r="AC768" s="2107"/>
      <c r="AD768" s="2107"/>
      <c r="AE768" s="2107"/>
      <c r="AF768" s="2107"/>
      <c r="AG768" s="2107"/>
      <c r="AH768" s="2107"/>
      <c r="AI768" s="2107"/>
      <c r="AJ768" s="2107"/>
      <c r="AK768" s="2107"/>
      <c r="AL768" s="2107"/>
      <c r="AM768" s="2107"/>
      <c r="AN768" s="2107"/>
      <c r="AO768" s="2107"/>
      <c r="AP768" s="2107"/>
    </row>
    <row r="769" spans="1:43">
      <c r="A769" s="2134" t="s">
        <v>2002</v>
      </c>
      <c r="B769" s="2133">
        <f t="shared" si="180"/>
        <v>0</v>
      </c>
      <c r="C769" s="2135">
        <f t="shared" si="181"/>
        <v>0</v>
      </c>
      <c r="D769" s="2133">
        <f t="shared" si="181"/>
        <v>0</v>
      </c>
      <c r="E769" s="2133">
        <f t="shared" si="181"/>
        <v>0</v>
      </c>
      <c r="F769" s="2133">
        <f t="shared" si="181"/>
        <v>0</v>
      </c>
      <c r="G769" s="2133">
        <f t="shared" si="181"/>
        <v>0</v>
      </c>
      <c r="H769" s="2133">
        <f t="shared" si="182"/>
        <v>0</v>
      </c>
      <c r="I769" s="2133">
        <f t="shared" si="190"/>
        <v>0</v>
      </c>
      <c r="J769" s="2133">
        <f t="shared" si="183"/>
        <v>0</v>
      </c>
      <c r="K769" s="2133">
        <f t="shared" si="191"/>
        <v>0</v>
      </c>
      <c r="L769" s="2133">
        <f t="shared" si="184"/>
        <v>0</v>
      </c>
      <c r="N769" s="2133">
        <f t="shared" si="185"/>
        <v>0</v>
      </c>
      <c r="O769" s="2133">
        <f t="shared" si="186"/>
        <v>0</v>
      </c>
      <c r="P769" s="2133">
        <f t="shared" si="187"/>
        <v>0</v>
      </c>
      <c r="Q769" s="2133">
        <f t="shared" si="188"/>
        <v>-0.2</v>
      </c>
      <c r="R769" s="2133">
        <f t="shared" si="189"/>
        <v>0</v>
      </c>
      <c r="U769" s="2107"/>
      <c r="V769" s="2107"/>
      <c r="W769" s="2107"/>
      <c r="X769" s="2107"/>
      <c r="Y769" s="2107"/>
      <c r="Z769" s="2107"/>
      <c r="AA769" s="2107"/>
      <c r="AB769" s="2107"/>
      <c r="AC769" s="2107"/>
      <c r="AD769" s="2107"/>
      <c r="AE769" s="2107"/>
      <c r="AF769" s="2107"/>
      <c r="AG769" s="2107"/>
      <c r="AH769" s="2107"/>
      <c r="AI769" s="2107"/>
      <c r="AJ769" s="2107"/>
      <c r="AK769" s="2107"/>
      <c r="AL769" s="2107"/>
      <c r="AM769" s="2107"/>
      <c r="AN769" s="2107"/>
      <c r="AO769" s="2107"/>
      <c r="AP769" s="2107"/>
    </row>
    <row r="770" spans="1:43" ht="15" customHeight="1">
      <c r="A770" s="2134" t="s">
        <v>2003</v>
      </c>
      <c r="B770" s="2133">
        <f t="shared" si="180"/>
        <v>0</v>
      </c>
      <c r="C770" s="2135">
        <f t="shared" si="181"/>
        <v>0</v>
      </c>
      <c r="D770" s="2133">
        <f t="shared" si="181"/>
        <v>0</v>
      </c>
      <c r="E770" s="2133">
        <f t="shared" si="181"/>
        <v>0</v>
      </c>
      <c r="F770" s="2133">
        <f t="shared" si="181"/>
        <v>0</v>
      </c>
      <c r="G770" s="2133">
        <f t="shared" si="181"/>
        <v>0</v>
      </c>
      <c r="H770" s="2133">
        <f t="shared" si="182"/>
        <v>0</v>
      </c>
      <c r="I770" s="2133">
        <f t="shared" si="190"/>
        <v>0</v>
      </c>
      <c r="J770" s="2133">
        <f t="shared" si="183"/>
        <v>0</v>
      </c>
      <c r="K770" s="2133">
        <f t="shared" si="191"/>
        <v>0</v>
      </c>
      <c r="L770" s="2133">
        <f t="shared" si="184"/>
        <v>0</v>
      </c>
      <c r="N770" s="2133">
        <f t="shared" si="185"/>
        <v>0</v>
      </c>
      <c r="O770" s="2133">
        <f t="shared" si="186"/>
        <v>0</v>
      </c>
      <c r="P770" s="2133">
        <f t="shared" si="187"/>
        <v>0</v>
      </c>
      <c r="Q770" s="2133">
        <f t="shared" si="188"/>
        <v>-0.2</v>
      </c>
      <c r="R770" s="2133">
        <f t="shared" si="189"/>
        <v>0</v>
      </c>
      <c r="U770" s="2107"/>
      <c r="V770" s="2107"/>
      <c r="W770" s="2107"/>
      <c r="X770" s="2107"/>
      <c r="Y770" s="2107"/>
      <c r="Z770" s="2107"/>
      <c r="AA770" s="2107"/>
      <c r="AB770" s="2107"/>
      <c r="AC770" s="2107"/>
      <c r="AD770" s="2107"/>
      <c r="AE770" s="2107"/>
      <c r="AF770" s="2107"/>
      <c r="AG770" s="2107"/>
      <c r="AH770" s="2107"/>
      <c r="AI770" s="2107"/>
      <c r="AJ770" s="2107"/>
      <c r="AK770" s="2107"/>
      <c r="AL770" s="2107"/>
      <c r="AM770" s="2107"/>
      <c r="AN770" s="2107"/>
      <c r="AO770" s="2107"/>
    </row>
    <row r="771" spans="1:43" ht="15" customHeight="1">
      <c r="A771" s="2134" t="s">
        <v>2251</v>
      </c>
      <c r="B771" s="2133">
        <f t="shared" si="180"/>
        <v>0</v>
      </c>
      <c r="C771" s="2135">
        <f t="shared" si="181"/>
        <v>0</v>
      </c>
      <c r="D771" s="2133">
        <f t="shared" si="181"/>
        <v>0</v>
      </c>
      <c r="E771" s="2133">
        <f t="shared" si="181"/>
        <v>0</v>
      </c>
      <c r="F771" s="2133">
        <f t="shared" si="181"/>
        <v>0</v>
      </c>
      <c r="G771" s="2133">
        <f t="shared" si="181"/>
        <v>0</v>
      </c>
      <c r="H771" s="2133">
        <f t="shared" si="182"/>
        <v>0</v>
      </c>
      <c r="I771" s="2133">
        <f t="shared" si="190"/>
        <v>0</v>
      </c>
      <c r="J771" s="2133">
        <f t="shared" si="183"/>
        <v>0</v>
      </c>
      <c r="K771" s="2133">
        <f t="shared" si="191"/>
        <v>0</v>
      </c>
      <c r="L771" s="2133">
        <f t="shared" si="184"/>
        <v>0</v>
      </c>
      <c r="N771" s="2133">
        <f t="shared" si="185"/>
        <v>0</v>
      </c>
      <c r="O771" s="2133">
        <f t="shared" si="186"/>
        <v>0</v>
      </c>
      <c r="P771" s="2133">
        <f t="shared" si="187"/>
        <v>0</v>
      </c>
      <c r="Q771" s="2133">
        <f t="shared" si="188"/>
        <v>-0.2</v>
      </c>
      <c r="R771" s="2133">
        <f t="shared" si="189"/>
        <v>0</v>
      </c>
      <c r="U771" s="2107"/>
      <c r="V771" s="2107"/>
      <c r="W771" s="2107"/>
      <c r="X771" s="2107"/>
      <c r="Y771" s="2107"/>
      <c r="Z771" s="2107"/>
      <c r="AA771" s="2107"/>
      <c r="AB771" s="2107"/>
      <c r="AC771" s="2107"/>
      <c r="AD771" s="2107"/>
      <c r="AE771" s="2107"/>
      <c r="AF771" s="2107"/>
      <c r="AG771" s="2107"/>
      <c r="AH771" s="2107"/>
      <c r="AI771" s="2107"/>
      <c r="AJ771" s="2107"/>
      <c r="AK771" s="2107"/>
      <c r="AL771" s="2107"/>
      <c r="AM771" s="2107"/>
      <c r="AN771" s="2107"/>
      <c r="AO771" s="2107"/>
    </row>
    <row r="772" spans="1:43">
      <c r="A772" s="2134" t="s">
        <v>2273</v>
      </c>
      <c r="B772" s="2133">
        <f t="shared" si="180"/>
        <v>0</v>
      </c>
      <c r="C772" s="2135">
        <f t="shared" si="181"/>
        <v>0</v>
      </c>
      <c r="D772" s="2133">
        <f t="shared" si="181"/>
        <v>0</v>
      </c>
      <c r="E772" s="2133">
        <f t="shared" si="181"/>
        <v>0</v>
      </c>
      <c r="F772" s="2133">
        <f t="shared" si="181"/>
        <v>0</v>
      </c>
      <c r="G772" s="2133">
        <f t="shared" si="181"/>
        <v>0</v>
      </c>
      <c r="H772" s="2133">
        <f t="shared" si="182"/>
        <v>0</v>
      </c>
      <c r="I772" s="2133">
        <f t="shared" si="190"/>
        <v>0</v>
      </c>
      <c r="J772" s="2133">
        <f t="shared" si="183"/>
        <v>0</v>
      </c>
      <c r="K772" s="2133">
        <f t="shared" si="191"/>
        <v>0</v>
      </c>
      <c r="L772" s="2133">
        <f t="shared" si="184"/>
        <v>0</v>
      </c>
      <c r="N772" s="2133">
        <f t="shared" si="185"/>
        <v>0</v>
      </c>
      <c r="O772" s="2133">
        <f t="shared" si="186"/>
        <v>0</v>
      </c>
      <c r="P772" s="2133">
        <f t="shared" si="187"/>
        <v>0</v>
      </c>
      <c r="Q772" s="2133">
        <f t="shared" si="188"/>
        <v>-0.2</v>
      </c>
      <c r="R772" s="2133">
        <f t="shared" si="189"/>
        <v>0</v>
      </c>
      <c r="U772" s="2107"/>
      <c r="V772" s="2107"/>
      <c r="W772" s="2107"/>
      <c r="X772" s="2107"/>
      <c r="Y772" s="2107"/>
      <c r="Z772" s="2107"/>
      <c r="AA772" s="2107"/>
      <c r="AB772" s="2107"/>
      <c r="AC772" s="2107"/>
      <c r="AD772" s="2107"/>
      <c r="AE772" s="2107"/>
      <c r="AF772" s="2107"/>
      <c r="AG772" s="2107"/>
      <c r="AH772" s="2107"/>
      <c r="AI772" s="2107"/>
      <c r="AJ772" s="2107"/>
      <c r="AK772" s="2107"/>
      <c r="AL772" s="2107"/>
      <c r="AM772" s="2107"/>
      <c r="AN772" s="2107"/>
      <c r="AO772" s="2107"/>
      <c r="AP772" s="2107"/>
    </row>
    <row r="773" spans="1:43" ht="15" customHeight="1">
      <c r="A773" s="2134" t="s">
        <v>2274</v>
      </c>
      <c r="B773" s="2133">
        <f t="shared" si="180"/>
        <v>0</v>
      </c>
      <c r="C773" s="2135">
        <f t="shared" si="181"/>
        <v>0</v>
      </c>
      <c r="D773" s="2133">
        <f t="shared" si="181"/>
        <v>0</v>
      </c>
      <c r="E773" s="2133">
        <f t="shared" si="181"/>
        <v>0</v>
      </c>
      <c r="F773" s="2133">
        <f t="shared" si="181"/>
        <v>0</v>
      </c>
      <c r="G773" s="2133">
        <f t="shared" si="181"/>
        <v>0</v>
      </c>
      <c r="H773" s="2133">
        <f t="shared" si="182"/>
        <v>0</v>
      </c>
      <c r="I773" s="2133">
        <f t="shared" si="190"/>
        <v>0</v>
      </c>
      <c r="J773" s="2133">
        <f t="shared" si="183"/>
        <v>0</v>
      </c>
      <c r="K773" s="2133">
        <f t="shared" si="191"/>
        <v>0</v>
      </c>
      <c r="L773" s="2133">
        <f t="shared" si="184"/>
        <v>0</v>
      </c>
      <c r="N773" s="2133">
        <f t="shared" si="185"/>
        <v>0</v>
      </c>
      <c r="O773" s="2133">
        <f t="shared" si="186"/>
        <v>0</v>
      </c>
      <c r="P773" s="2133">
        <f t="shared" si="187"/>
        <v>0</v>
      </c>
      <c r="Q773" s="2133">
        <f t="shared" si="188"/>
        <v>-0.2</v>
      </c>
      <c r="R773" s="2133">
        <f t="shared" si="189"/>
        <v>0</v>
      </c>
      <c r="U773" s="2107"/>
      <c r="V773" s="2107"/>
      <c r="W773" s="2107"/>
      <c r="X773" s="2107"/>
      <c r="Y773" s="2107"/>
      <c r="Z773" s="2107"/>
      <c r="AA773" s="2107"/>
      <c r="AB773" s="2107"/>
      <c r="AC773" s="2107"/>
      <c r="AD773" s="2107"/>
      <c r="AE773" s="2107"/>
      <c r="AF773" s="2107"/>
      <c r="AG773" s="2107"/>
      <c r="AH773" s="2107"/>
      <c r="AI773" s="2107"/>
      <c r="AJ773" s="2107"/>
      <c r="AK773" s="2107"/>
      <c r="AL773" s="2107"/>
      <c r="AM773" s="2107"/>
      <c r="AN773" s="2107"/>
      <c r="AO773" s="2107"/>
    </row>
    <row r="774" spans="1:43" ht="15" customHeight="1">
      <c r="A774" s="2134" t="s">
        <v>2275</v>
      </c>
      <c r="B774" s="2133">
        <f t="shared" si="180"/>
        <v>0</v>
      </c>
      <c r="C774" s="2135">
        <f t="shared" si="181"/>
        <v>0</v>
      </c>
      <c r="D774" s="2133">
        <f t="shared" si="181"/>
        <v>0</v>
      </c>
      <c r="E774" s="2133">
        <f t="shared" si="181"/>
        <v>0</v>
      </c>
      <c r="F774" s="2133">
        <f t="shared" si="181"/>
        <v>0</v>
      </c>
      <c r="G774" s="2133">
        <f t="shared" si="181"/>
        <v>0</v>
      </c>
      <c r="H774" s="2133">
        <f t="shared" si="182"/>
        <v>0</v>
      </c>
      <c r="I774" s="2133">
        <f t="shared" si="190"/>
        <v>0</v>
      </c>
      <c r="J774" s="2133">
        <f t="shared" si="183"/>
        <v>0</v>
      </c>
      <c r="K774" s="2133">
        <f t="shared" si="191"/>
        <v>0</v>
      </c>
      <c r="L774" s="2133">
        <f t="shared" si="184"/>
        <v>0</v>
      </c>
      <c r="N774" s="2133">
        <f t="shared" si="185"/>
        <v>0</v>
      </c>
      <c r="O774" s="2133">
        <f t="shared" si="186"/>
        <v>0</v>
      </c>
      <c r="P774" s="2133">
        <f t="shared" si="187"/>
        <v>0</v>
      </c>
      <c r="Q774" s="2133">
        <f t="shared" si="188"/>
        <v>-0.2</v>
      </c>
      <c r="R774" s="2133">
        <f t="shared" si="189"/>
        <v>0</v>
      </c>
      <c r="U774" s="2107"/>
      <c r="V774" s="2107"/>
      <c r="W774" s="2107"/>
      <c r="X774" s="2107"/>
      <c r="Y774" s="2107"/>
      <c r="Z774" s="2107"/>
      <c r="AA774" s="2107"/>
      <c r="AB774" s="2107"/>
      <c r="AC774" s="2107"/>
      <c r="AD774" s="2107"/>
      <c r="AE774" s="2107"/>
      <c r="AF774" s="2107"/>
      <c r="AG774" s="2107"/>
      <c r="AH774" s="2107"/>
      <c r="AI774" s="2107"/>
      <c r="AJ774" s="2107"/>
      <c r="AK774" s="2107"/>
      <c r="AL774" s="2107"/>
      <c r="AM774" s="2107"/>
      <c r="AN774" s="2107"/>
      <c r="AO774" s="2107"/>
    </row>
    <row r="775" spans="1:43" s="2532" customFormat="1" ht="15" customHeight="1">
      <c r="A775" s="2134" t="s">
        <v>2851</v>
      </c>
      <c r="B775" s="2133">
        <f t="shared" si="180"/>
        <v>0</v>
      </c>
      <c r="C775" s="2135">
        <f t="shared" ref="C775:G780" si="192">C433</f>
        <v>0</v>
      </c>
      <c r="D775" s="2133">
        <f t="shared" si="192"/>
        <v>0</v>
      </c>
      <c r="E775" s="2133">
        <f t="shared" si="192"/>
        <v>0</v>
      </c>
      <c r="F775" s="2133">
        <f t="shared" si="192"/>
        <v>4</v>
      </c>
      <c r="G775" s="2133">
        <f t="shared" si="192"/>
        <v>0</v>
      </c>
      <c r="H775" s="2133">
        <f>B775*C775</f>
        <v>0</v>
      </c>
      <c r="I775" s="2133">
        <f>B775*D775</f>
        <v>0</v>
      </c>
      <c r="J775" s="2133">
        <f>B775*E775</f>
        <v>0</v>
      </c>
      <c r="K775" s="2133">
        <f>B775*F775</f>
        <v>0</v>
      </c>
      <c r="L775" s="2133">
        <f>B775*G775</f>
        <v>0</v>
      </c>
      <c r="N775" s="2133">
        <f>(B775/2)/0.2</f>
        <v>0</v>
      </c>
      <c r="O775" s="2133">
        <f>(B775/2)/0.1</f>
        <v>0</v>
      </c>
      <c r="P775" s="2133">
        <f>SUM(N775:O775)</f>
        <v>0</v>
      </c>
      <c r="Q775" s="2133">
        <f t="shared" ref="Q775:Q780" si="193">Q433</f>
        <v>0.5</v>
      </c>
      <c r="R775" s="2133">
        <f>P775*Q775</f>
        <v>0</v>
      </c>
      <c r="U775" s="2531"/>
      <c r="V775" s="2531"/>
      <c r="W775" s="2531"/>
      <c r="X775" s="2531"/>
      <c r="Y775" s="2531"/>
      <c r="Z775" s="2531"/>
      <c r="AA775" s="2531"/>
      <c r="AB775" s="2531"/>
      <c r="AC775" s="2531"/>
      <c r="AD775" s="2531"/>
      <c r="AE775" s="2531"/>
      <c r="AF775" s="2531"/>
      <c r="AG775" s="2531"/>
      <c r="AH775" s="2531"/>
      <c r="AI775" s="2531"/>
      <c r="AJ775" s="2531"/>
      <c r="AK775" s="2531"/>
      <c r="AL775" s="2531"/>
      <c r="AM775" s="2531"/>
      <c r="AN775" s="2531"/>
      <c r="AO775" s="2531"/>
    </row>
    <row r="776" spans="1:43" s="2532" customFormat="1" ht="15" customHeight="1">
      <c r="A776" s="2134" t="s">
        <v>2852</v>
      </c>
      <c r="B776" s="2133">
        <f t="shared" si="180"/>
        <v>0</v>
      </c>
      <c r="C776" s="2135">
        <f t="shared" si="192"/>
        <v>0</v>
      </c>
      <c r="D776" s="2133">
        <f t="shared" si="192"/>
        <v>0</v>
      </c>
      <c r="E776" s="2133">
        <f t="shared" si="192"/>
        <v>0</v>
      </c>
      <c r="F776" s="2133">
        <f t="shared" si="192"/>
        <v>0</v>
      </c>
      <c r="G776" s="2133">
        <f t="shared" si="192"/>
        <v>0</v>
      </c>
      <c r="H776" s="2133">
        <f>B776*C776</f>
        <v>0</v>
      </c>
      <c r="I776" s="2133">
        <f>B776*D776</f>
        <v>0</v>
      </c>
      <c r="J776" s="2133">
        <f>B776*E776</f>
        <v>0</v>
      </c>
      <c r="K776" s="2133">
        <f>B776*F776</f>
        <v>0</v>
      </c>
      <c r="L776" s="2133">
        <f>B776*G776</f>
        <v>0</v>
      </c>
      <c r="N776" s="2133">
        <f>(B776/2)/0.2</f>
        <v>0</v>
      </c>
      <c r="O776" s="2133">
        <f>(B776/2)/0.1</f>
        <v>0</v>
      </c>
      <c r="P776" s="2133">
        <f>SUM(N776:O776)</f>
        <v>0</v>
      </c>
      <c r="Q776" s="2133">
        <f t="shared" si="193"/>
        <v>-0.2</v>
      </c>
      <c r="R776" s="2133">
        <f>P776*Q776</f>
        <v>0</v>
      </c>
      <c r="U776" s="2531"/>
      <c r="V776" s="2531"/>
      <c r="W776" s="2531"/>
      <c r="X776" s="2531"/>
      <c r="Y776" s="2531"/>
      <c r="Z776" s="2531"/>
      <c r="AA776" s="2531"/>
      <c r="AB776" s="2531"/>
      <c r="AC776" s="2531"/>
      <c r="AD776" s="2531"/>
      <c r="AE776" s="2531"/>
      <c r="AF776" s="2531"/>
      <c r="AG776" s="2531"/>
      <c r="AH776" s="2531"/>
      <c r="AI776" s="2531"/>
      <c r="AJ776" s="2531"/>
      <c r="AK776" s="2531"/>
      <c r="AL776" s="2531"/>
      <c r="AM776" s="2531"/>
      <c r="AN776" s="2531"/>
      <c r="AO776" s="2531"/>
    </row>
    <row r="777" spans="1:43" s="2532" customFormat="1" ht="15" customHeight="1">
      <c r="A777" s="2134" t="s">
        <v>2853</v>
      </c>
      <c r="B777" s="2133">
        <f t="shared" si="180"/>
        <v>0</v>
      </c>
      <c r="C777" s="2135">
        <f t="shared" si="192"/>
        <v>0</v>
      </c>
      <c r="D777" s="2133">
        <f t="shared" si="192"/>
        <v>0</v>
      </c>
      <c r="E777" s="2133">
        <f t="shared" si="192"/>
        <v>0</v>
      </c>
      <c r="F777" s="2133">
        <f t="shared" si="192"/>
        <v>0</v>
      </c>
      <c r="G777" s="2133">
        <f t="shared" si="192"/>
        <v>0</v>
      </c>
      <c r="H777" s="2133">
        <f>B777*C777</f>
        <v>0</v>
      </c>
      <c r="I777" s="2133">
        <f>B777*D777</f>
        <v>0</v>
      </c>
      <c r="J777" s="2133">
        <f>B777*E777</f>
        <v>0</v>
      </c>
      <c r="K777" s="2133">
        <f>B777*F777</f>
        <v>0</v>
      </c>
      <c r="L777" s="2133">
        <f>B777*G777</f>
        <v>0</v>
      </c>
      <c r="N777" s="2133">
        <f>(B777/2)/0.2</f>
        <v>0</v>
      </c>
      <c r="O777" s="2133">
        <f>(B777/2)/0.1</f>
        <v>0</v>
      </c>
      <c r="P777" s="2133">
        <f>SUM(N777:O777)</f>
        <v>0</v>
      </c>
      <c r="Q777" s="2133">
        <f t="shared" si="193"/>
        <v>-0.2</v>
      </c>
      <c r="R777" s="2133">
        <f>P777*Q777</f>
        <v>0</v>
      </c>
      <c r="U777" s="2531"/>
      <c r="V777" s="2531"/>
      <c r="W777" s="2531"/>
      <c r="X777" s="2531"/>
      <c r="Y777" s="2531"/>
      <c r="Z777" s="2531"/>
      <c r="AA777" s="2531"/>
      <c r="AB777" s="2531"/>
      <c r="AC777" s="2531"/>
      <c r="AD777" s="2531"/>
      <c r="AE777" s="2531"/>
      <c r="AF777" s="2531"/>
      <c r="AG777" s="2531"/>
      <c r="AH777" s="2531"/>
      <c r="AI777" s="2531"/>
      <c r="AJ777" s="2531"/>
      <c r="AK777" s="2531"/>
      <c r="AL777" s="2531"/>
      <c r="AM777" s="2531"/>
      <c r="AN777" s="2531"/>
      <c r="AO777" s="2531"/>
    </row>
    <row r="778" spans="1:43" s="2532" customFormat="1" ht="15" customHeight="1">
      <c r="A778" s="2134" t="s">
        <v>2854</v>
      </c>
      <c r="B778" s="2133">
        <f t="shared" si="180"/>
        <v>0</v>
      </c>
      <c r="C778" s="2135">
        <f t="shared" si="192"/>
        <v>0</v>
      </c>
      <c r="D778" s="2133">
        <f t="shared" si="192"/>
        <v>0</v>
      </c>
      <c r="E778" s="2133">
        <f t="shared" si="192"/>
        <v>0</v>
      </c>
      <c r="F778" s="2133">
        <f t="shared" si="192"/>
        <v>0</v>
      </c>
      <c r="G778" s="2133">
        <f t="shared" si="192"/>
        <v>0</v>
      </c>
      <c r="H778" s="2133">
        <f>B778*C778</f>
        <v>0</v>
      </c>
      <c r="I778" s="2133">
        <f>B778*D778</f>
        <v>0</v>
      </c>
      <c r="J778" s="2133">
        <f>B778*E778</f>
        <v>0</v>
      </c>
      <c r="K778" s="2133">
        <f>B778*F778</f>
        <v>0</v>
      </c>
      <c r="L778" s="2133">
        <f>B778*G778</f>
        <v>0</v>
      </c>
      <c r="N778" s="2133">
        <f>(B778/2)/0.2</f>
        <v>0</v>
      </c>
      <c r="O778" s="2133">
        <f>(B778/2)/0.1</f>
        <v>0</v>
      </c>
      <c r="P778" s="2133">
        <f>SUM(N778:O778)</f>
        <v>0</v>
      </c>
      <c r="Q778" s="2133">
        <f t="shared" si="193"/>
        <v>-0.2</v>
      </c>
      <c r="R778" s="2133">
        <f>P778*Q778</f>
        <v>0</v>
      </c>
      <c r="U778" s="2531"/>
      <c r="V778" s="2531"/>
      <c r="W778" s="2531"/>
      <c r="X778" s="2531"/>
      <c r="Y778" s="2531"/>
      <c r="Z778" s="2531"/>
      <c r="AA778" s="2531"/>
      <c r="AB778" s="2531"/>
      <c r="AC778" s="2531"/>
      <c r="AD778" s="2531"/>
      <c r="AE778" s="2531"/>
      <c r="AF778" s="2531"/>
      <c r="AG778" s="2531"/>
      <c r="AH778" s="2531"/>
      <c r="AI778" s="2531"/>
      <c r="AJ778" s="2531"/>
      <c r="AK778" s="2531"/>
      <c r="AL778" s="2531"/>
      <c r="AM778" s="2531"/>
      <c r="AN778" s="2531"/>
      <c r="AO778" s="2531"/>
    </row>
    <row r="779" spans="1:43" s="2532" customFormat="1" ht="15" customHeight="1">
      <c r="A779" s="2134" t="s">
        <v>2855</v>
      </c>
      <c r="B779" s="2133">
        <f t="shared" si="180"/>
        <v>0</v>
      </c>
      <c r="C779" s="2135">
        <f t="shared" si="192"/>
        <v>0</v>
      </c>
      <c r="D779" s="2133">
        <f t="shared" si="192"/>
        <v>0</v>
      </c>
      <c r="E779" s="2133">
        <f t="shared" si="192"/>
        <v>0</v>
      </c>
      <c r="F779" s="2133">
        <f t="shared" si="192"/>
        <v>0</v>
      </c>
      <c r="G779" s="2133">
        <f t="shared" si="192"/>
        <v>0</v>
      </c>
      <c r="H779" s="2133">
        <f>B779*C779</f>
        <v>0</v>
      </c>
      <c r="I779" s="2133">
        <f>B779*D779</f>
        <v>0</v>
      </c>
      <c r="J779" s="2133">
        <f>B779*E779</f>
        <v>0</v>
      </c>
      <c r="K779" s="2133">
        <f>B779*F779</f>
        <v>0</v>
      </c>
      <c r="L779" s="2133">
        <f>B779*G779</f>
        <v>0</v>
      </c>
      <c r="N779" s="2133">
        <f>(B779/2)/0.2</f>
        <v>0</v>
      </c>
      <c r="O779" s="2133">
        <f>(B779/2)/0.1</f>
        <v>0</v>
      </c>
      <c r="P779" s="2133">
        <f>SUM(N779:O779)</f>
        <v>0</v>
      </c>
      <c r="Q779" s="2133">
        <f t="shared" si="193"/>
        <v>-0.2</v>
      </c>
      <c r="R779" s="2133">
        <f>P779*Q779</f>
        <v>0</v>
      </c>
      <c r="U779" s="2531"/>
      <c r="V779" s="2531"/>
      <c r="W779" s="2531"/>
      <c r="X779" s="2531"/>
      <c r="Y779" s="2531"/>
      <c r="Z779" s="2531"/>
      <c r="AA779" s="2531"/>
      <c r="AB779" s="2531"/>
      <c r="AC779" s="2531"/>
      <c r="AD779" s="2531"/>
      <c r="AE779" s="2531"/>
      <c r="AF779" s="2531"/>
      <c r="AG779" s="2531"/>
      <c r="AH779" s="2531"/>
      <c r="AI779" s="2531"/>
      <c r="AJ779" s="2531"/>
      <c r="AK779" s="2531"/>
      <c r="AL779" s="2531"/>
      <c r="AM779" s="2531"/>
      <c r="AN779" s="2531"/>
      <c r="AO779" s="2531"/>
    </row>
    <row r="780" spans="1:43">
      <c r="A780" s="2134" t="s">
        <v>175</v>
      </c>
      <c r="B780" s="2133">
        <f>O53</f>
        <v>0</v>
      </c>
      <c r="C780" s="2135">
        <f t="shared" si="192"/>
        <v>0</v>
      </c>
      <c r="D780" s="2133">
        <f t="shared" si="192"/>
        <v>0</v>
      </c>
      <c r="E780" s="2133">
        <f t="shared" si="192"/>
        <v>0</v>
      </c>
      <c r="F780" s="2133">
        <f t="shared" si="192"/>
        <v>4</v>
      </c>
      <c r="G780" s="2133">
        <f t="shared" si="192"/>
        <v>0</v>
      </c>
      <c r="H780" s="2133">
        <f t="shared" si="182"/>
        <v>0</v>
      </c>
      <c r="I780" s="2133">
        <f t="shared" si="190"/>
        <v>0</v>
      </c>
      <c r="J780" s="2133">
        <f t="shared" si="183"/>
        <v>0</v>
      </c>
      <c r="K780" s="2133">
        <f t="shared" si="191"/>
        <v>0</v>
      </c>
      <c r="L780" s="2133">
        <f t="shared" si="184"/>
        <v>0</v>
      </c>
      <c r="N780" s="2133">
        <f t="shared" si="185"/>
        <v>0</v>
      </c>
      <c r="O780" s="2133">
        <f t="shared" si="186"/>
        <v>0</v>
      </c>
      <c r="P780" s="2133">
        <f t="shared" si="187"/>
        <v>0</v>
      </c>
      <c r="Q780" s="2133">
        <f t="shared" si="193"/>
        <v>0.5</v>
      </c>
      <c r="R780" s="2133">
        <f t="shared" si="189"/>
        <v>0</v>
      </c>
      <c r="T780" s="2107"/>
      <c r="U780" s="2833"/>
      <c r="V780" s="2833"/>
      <c r="W780" s="2833"/>
      <c r="X780" s="2833"/>
      <c r="Y780" s="2107"/>
      <c r="Z780" s="2107"/>
      <c r="AA780" s="2107"/>
      <c r="AB780" s="2107"/>
      <c r="AC780" s="2107"/>
      <c r="AD780" s="2107"/>
      <c r="AE780" s="2107"/>
      <c r="AF780" s="2107"/>
      <c r="AG780" s="2107"/>
      <c r="AH780" s="2107"/>
      <c r="AI780" s="2107"/>
      <c r="AJ780" s="2107"/>
      <c r="AK780" s="2107"/>
      <c r="AL780" s="2107"/>
      <c r="AM780" s="2107"/>
      <c r="AN780" s="2107"/>
      <c r="AO780" s="2107"/>
    </row>
    <row r="781" spans="1:43" ht="15">
      <c r="A781" s="2107"/>
      <c r="B781" s="2107"/>
      <c r="C781" s="2107"/>
      <c r="D781" s="2107"/>
      <c r="E781" s="2107"/>
      <c r="F781" s="2804" t="s">
        <v>2074</v>
      </c>
      <c r="G781" s="2805"/>
      <c r="H781" s="2133">
        <f>SUM(H760:H780)</f>
        <v>0</v>
      </c>
      <c r="I781" s="2133">
        <f>SUM(I760:I780)</f>
        <v>0</v>
      </c>
      <c r="J781" s="2133">
        <f>SUM(J760:J780)</f>
        <v>0</v>
      </c>
      <c r="K781" s="2133">
        <f>SUM(K760:K780)</f>
        <v>0</v>
      </c>
      <c r="L781" s="2133">
        <f>SUM(L760:L780)</f>
        <v>0</v>
      </c>
      <c r="N781" s="2804" t="s">
        <v>1972</v>
      </c>
      <c r="O781" s="2805"/>
      <c r="P781" s="2805"/>
      <c r="Q781" s="2133">
        <f>SUMIF($K$445:$K$465,S781,$R$760:$R$780)</f>
        <v>0</v>
      </c>
      <c r="R781" s="2157">
        <f>Q781*0.4</f>
        <v>0</v>
      </c>
      <c r="S781" s="2086">
        <v>8</v>
      </c>
      <c r="T781" s="2107"/>
      <c r="V781" s="2107"/>
      <c r="W781" s="2107"/>
      <c r="X781" s="2107"/>
      <c r="Y781" s="2107"/>
      <c r="Z781" s="2107"/>
      <c r="AA781" s="2107"/>
      <c r="AB781" s="2107"/>
      <c r="AC781" s="2107"/>
      <c r="AD781" s="2107"/>
      <c r="AE781" s="2107"/>
      <c r="AF781" s="2107"/>
      <c r="AG781" s="2107"/>
      <c r="AH781" s="2107"/>
      <c r="AI781" s="2107"/>
      <c r="AJ781" s="2107"/>
      <c r="AK781" s="2107"/>
      <c r="AL781" s="2107"/>
      <c r="AM781" s="2107"/>
      <c r="AN781" s="2107"/>
      <c r="AO781" s="2107"/>
      <c r="AP781" s="2107"/>
      <c r="AQ781" s="2107"/>
    </row>
    <row r="782" spans="1:43" ht="15">
      <c r="A782" s="2107"/>
      <c r="B782" s="2107"/>
      <c r="C782" s="2107"/>
      <c r="D782" s="2107"/>
      <c r="E782" s="2107"/>
      <c r="F782" s="2804" t="s">
        <v>2075</v>
      </c>
      <c r="G782" s="2805"/>
      <c r="H782" s="2182">
        <f>H781*1.04</f>
        <v>0</v>
      </c>
      <c r="I782" s="2182">
        <f>I781*0.89</f>
        <v>0</v>
      </c>
      <c r="J782" s="2182">
        <f>J781*0.62</f>
        <v>0</v>
      </c>
      <c r="K782" s="2182">
        <f>K781*0.62</f>
        <v>0</v>
      </c>
      <c r="L782" s="2183">
        <f>L781*0.62</f>
        <v>0</v>
      </c>
      <c r="N782" s="2804" t="s">
        <v>2387</v>
      </c>
      <c r="O782" s="2805"/>
      <c r="P782" s="2805"/>
      <c r="Q782" s="2133">
        <f>SUMIF($K$445:$K$465,S782,$R$760:$R$780)</f>
        <v>0</v>
      </c>
      <c r="R782" s="2184">
        <f>Q782*0.62</f>
        <v>0</v>
      </c>
      <c r="S782" s="2086">
        <v>10</v>
      </c>
      <c r="V782" s="2107"/>
      <c r="W782" s="2107"/>
      <c r="X782" s="2107"/>
      <c r="Y782" s="2107"/>
      <c r="Z782" s="2107"/>
      <c r="AA782" s="2107"/>
      <c r="AB782" s="2107"/>
      <c r="AC782" s="2107"/>
      <c r="AD782" s="2107"/>
      <c r="AE782" s="2107"/>
      <c r="AF782" s="2107"/>
      <c r="AG782" s="2107"/>
      <c r="AH782" s="2107"/>
      <c r="AI782" s="2107"/>
      <c r="AJ782" s="2107"/>
      <c r="AK782" s="2107"/>
      <c r="AL782" s="2107"/>
      <c r="AM782" s="2107"/>
      <c r="AN782" s="2107"/>
      <c r="AO782" s="2107"/>
      <c r="AP782" s="2107"/>
      <c r="AQ782" s="2107"/>
    </row>
    <row r="783" spans="1:43" ht="15">
      <c r="A783" s="2107"/>
      <c r="B783" s="2107"/>
      <c r="C783" s="2107"/>
      <c r="D783" s="2107"/>
      <c r="E783" s="2107"/>
      <c r="F783" s="2107"/>
      <c r="G783" s="2107"/>
      <c r="N783" s="2804" t="s">
        <v>2443</v>
      </c>
      <c r="O783" s="2805"/>
      <c r="P783" s="2805"/>
      <c r="Q783" s="2133">
        <f>SUMIF($K$445:$K$465,S783,$R$760:$R$780)</f>
        <v>0</v>
      </c>
      <c r="R783" s="2184">
        <f>Q783*0.62</f>
        <v>0</v>
      </c>
      <c r="S783" s="2086" t="s">
        <v>1807</v>
      </c>
      <c r="V783" s="2107"/>
      <c r="W783" s="2107"/>
      <c r="X783" s="2107"/>
      <c r="Y783" s="2107"/>
      <c r="Z783" s="2107"/>
      <c r="AA783" s="2107"/>
      <c r="AB783" s="2107"/>
      <c r="AC783" s="2107"/>
      <c r="AD783" s="2107"/>
      <c r="AE783" s="2107"/>
      <c r="AF783" s="2107"/>
      <c r="AG783" s="2107"/>
      <c r="AH783" s="2107"/>
      <c r="AI783" s="2107"/>
      <c r="AJ783" s="2107"/>
      <c r="AK783" s="2107"/>
      <c r="AL783" s="2107"/>
      <c r="AM783" s="2107"/>
      <c r="AN783" s="2107"/>
      <c r="AO783" s="2107"/>
      <c r="AP783" s="2107"/>
      <c r="AQ783" s="2107"/>
    </row>
    <row r="784" spans="1:43">
      <c r="V784" s="2107"/>
      <c r="W784" s="2107"/>
      <c r="X784" s="2107"/>
      <c r="Y784" s="2107"/>
      <c r="Z784" s="2107"/>
      <c r="AA784" s="2107"/>
      <c r="AB784" s="2107"/>
      <c r="AC784" s="2107"/>
      <c r="AD784" s="2107"/>
      <c r="AE784" s="2107"/>
      <c r="AF784" s="2107"/>
      <c r="AG784" s="2107"/>
      <c r="AH784" s="2107"/>
      <c r="AI784" s="2107"/>
      <c r="AJ784" s="2107"/>
      <c r="AK784" s="2107"/>
      <c r="AL784" s="2107"/>
      <c r="AM784" s="2107"/>
      <c r="AN784" s="2107"/>
      <c r="AO784" s="2107"/>
      <c r="AP784" s="2107"/>
      <c r="AQ784" s="2107"/>
    </row>
    <row r="785" spans="1:43">
      <c r="A785" s="2831" t="s">
        <v>2005</v>
      </c>
      <c r="B785" s="2832"/>
      <c r="C785" s="2832"/>
      <c r="D785" s="2832"/>
      <c r="V785" s="2107"/>
      <c r="W785" s="2107"/>
      <c r="X785" s="2107"/>
      <c r="Y785" s="2107"/>
      <c r="Z785" s="2107"/>
      <c r="AA785" s="2107"/>
      <c r="AB785" s="2107"/>
      <c r="AC785" s="2107"/>
      <c r="AD785" s="2107"/>
      <c r="AE785" s="2107"/>
      <c r="AF785" s="2107"/>
      <c r="AG785" s="2107"/>
      <c r="AH785" s="2107"/>
      <c r="AI785" s="2107"/>
      <c r="AJ785" s="2107"/>
      <c r="AK785" s="2107"/>
      <c r="AL785" s="2107"/>
      <c r="AM785" s="2107"/>
      <c r="AN785" s="2107"/>
      <c r="AO785" s="2107"/>
      <c r="AP785" s="2107"/>
      <c r="AQ785" s="2107"/>
    </row>
    <row r="786" spans="1:43">
      <c r="A786" s="2133" t="s">
        <v>1796</v>
      </c>
      <c r="B786" s="2133" t="s">
        <v>2004</v>
      </c>
      <c r="C786" s="2133" t="s">
        <v>1791</v>
      </c>
      <c r="D786" s="2133" t="s">
        <v>2008</v>
      </c>
      <c r="E786" s="2086" t="s">
        <v>2368</v>
      </c>
      <c r="V786" s="2107"/>
      <c r="W786" s="2107"/>
      <c r="X786" s="2107"/>
      <c r="Y786" s="2107"/>
      <c r="Z786" s="2107"/>
      <c r="AA786" s="2107"/>
      <c r="AB786" s="2107"/>
      <c r="AC786" s="2107"/>
      <c r="AD786" s="2107"/>
      <c r="AE786" s="2107"/>
      <c r="AF786" s="2107"/>
      <c r="AG786" s="2107"/>
      <c r="AH786" s="2107"/>
      <c r="AI786" s="2107"/>
      <c r="AJ786" s="2107"/>
      <c r="AK786" s="2107"/>
      <c r="AL786" s="2107"/>
      <c r="AM786" s="2107"/>
      <c r="AN786" s="2107"/>
      <c r="AO786" s="2107"/>
      <c r="AP786" s="2107"/>
      <c r="AQ786" s="2107"/>
    </row>
    <row r="787" spans="1:43">
      <c r="A787" s="2133" t="str">
        <f t="shared" ref="A787:B801" si="194">A760</f>
        <v>B1</v>
      </c>
      <c r="B787" s="2133">
        <f t="shared" si="194"/>
        <v>0</v>
      </c>
      <c r="C787" s="2133">
        <f t="shared" ref="C787:C801" si="195">C445</f>
        <v>8.0000000000000016E-2</v>
      </c>
      <c r="D787" s="2133">
        <f>B787*C787</f>
        <v>0</v>
      </c>
      <c r="E787" s="2086">
        <f>$F$445*B787</f>
        <v>0</v>
      </c>
      <c r="G787" s="2099"/>
      <c r="V787" s="2107"/>
      <c r="W787" s="2107"/>
      <c r="X787" s="2107"/>
      <c r="Y787" s="2107"/>
      <c r="Z787" s="2107"/>
      <c r="AA787" s="2107"/>
      <c r="AB787" s="2107"/>
      <c r="AC787" s="2107"/>
      <c r="AD787" s="2107"/>
      <c r="AE787" s="2107"/>
      <c r="AF787" s="2107"/>
      <c r="AG787" s="2107"/>
      <c r="AH787" s="2107"/>
      <c r="AI787" s="2107"/>
      <c r="AJ787" s="2107"/>
      <c r="AK787" s="2107"/>
      <c r="AL787" s="2107"/>
      <c r="AM787" s="2107"/>
      <c r="AN787" s="2107"/>
      <c r="AO787" s="2107"/>
      <c r="AP787" s="2107"/>
      <c r="AQ787" s="2107"/>
    </row>
    <row r="788" spans="1:43">
      <c r="A788" s="2133" t="str">
        <f t="shared" si="194"/>
        <v>B2</v>
      </c>
      <c r="B788" s="2133">
        <f t="shared" si="194"/>
        <v>0</v>
      </c>
      <c r="C788" s="2133">
        <f t="shared" si="195"/>
        <v>6.7500000000000004E-2</v>
      </c>
      <c r="D788" s="2133">
        <f t="shared" ref="D788:D807" si="196">B788*C788</f>
        <v>0</v>
      </c>
      <c r="E788" s="2086">
        <f>$F$446*B788</f>
        <v>0</v>
      </c>
      <c r="V788" s="2107"/>
      <c r="W788" s="2107"/>
      <c r="X788" s="2107"/>
      <c r="Y788" s="2107"/>
      <c r="Z788" s="2107"/>
      <c r="AA788" s="2107"/>
      <c r="AB788" s="2107"/>
      <c r="AC788" s="2107"/>
      <c r="AD788" s="2107"/>
      <c r="AE788" s="2107"/>
      <c r="AF788" s="2107"/>
      <c r="AG788" s="2107"/>
      <c r="AH788" s="2107"/>
      <c r="AI788" s="2107"/>
      <c r="AJ788" s="2107"/>
      <c r="AK788" s="2107"/>
      <c r="AL788" s="2107"/>
      <c r="AM788" s="2107"/>
      <c r="AN788" s="2107"/>
      <c r="AO788" s="2107"/>
      <c r="AP788" s="2107"/>
      <c r="AQ788" s="2107"/>
    </row>
    <row r="789" spans="1:43">
      <c r="A789" s="2133" t="str">
        <f t="shared" si="194"/>
        <v>B3</v>
      </c>
      <c r="B789" s="2133">
        <f t="shared" si="194"/>
        <v>0</v>
      </c>
      <c r="C789" s="2133">
        <f t="shared" si="195"/>
        <v>7.9999999999999988E-2</v>
      </c>
      <c r="D789" s="2133">
        <f t="shared" si="196"/>
        <v>0</v>
      </c>
      <c r="E789" s="2086">
        <f>$F$447*B789</f>
        <v>0</v>
      </c>
      <c r="V789" s="2107"/>
      <c r="W789" s="2107"/>
      <c r="X789" s="2107"/>
      <c r="Y789" s="2107"/>
      <c r="Z789" s="2107"/>
      <c r="AA789" s="2107"/>
      <c r="AB789" s="2107"/>
      <c r="AC789" s="2107"/>
      <c r="AD789" s="2107"/>
      <c r="AE789" s="2107"/>
      <c r="AF789" s="2107"/>
      <c r="AG789" s="2107"/>
      <c r="AH789" s="2107"/>
      <c r="AI789" s="2107"/>
      <c r="AJ789" s="2107"/>
      <c r="AK789" s="2107"/>
      <c r="AL789" s="2107"/>
      <c r="AM789" s="2107"/>
      <c r="AN789" s="2107"/>
      <c r="AO789" s="2107"/>
      <c r="AP789" s="2107"/>
      <c r="AQ789" s="2107"/>
    </row>
    <row r="790" spans="1:43">
      <c r="A790" s="2133" t="str">
        <f t="shared" si="194"/>
        <v>B4</v>
      </c>
      <c r="B790" s="2133">
        <f t="shared" si="194"/>
        <v>0</v>
      </c>
      <c r="C790" s="2133">
        <f t="shared" si="195"/>
        <v>4.4999999999999998E-2</v>
      </c>
      <c r="D790" s="2133">
        <f t="shared" si="196"/>
        <v>0</v>
      </c>
      <c r="E790" s="2086">
        <f>$F$448*B790</f>
        <v>0</v>
      </c>
      <c r="V790" s="2107"/>
      <c r="W790" s="2107"/>
      <c r="X790" s="2107"/>
      <c r="Y790" s="2107"/>
      <c r="Z790" s="2107"/>
      <c r="AA790" s="2107"/>
      <c r="AB790" s="2107"/>
      <c r="AC790" s="2107"/>
      <c r="AD790" s="2107"/>
      <c r="AE790" s="2107"/>
      <c r="AF790" s="2107"/>
      <c r="AG790" s="2107"/>
      <c r="AH790" s="2107"/>
      <c r="AI790" s="2107"/>
      <c r="AJ790" s="2107"/>
      <c r="AK790" s="2107"/>
      <c r="AL790" s="2107"/>
      <c r="AM790" s="2107"/>
      <c r="AN790" s="2107"/>
      <c r="AO790" s="2107"/>
      <c r="AP790" s="2107"/>
      <c r="AQ790" s="2107"/>
    </row>
    <row r="791" spans="1:43">
      <c r="A791" s="2133" t="str">
        <f t="shared" si="194"/>
        <v>B5</v>
      </c>
      <c r="B791" s="2133">
        <f t="shared" si="194"/>
        <v>0</v>
      </c>
      <c r="C791" s="2133">
        <f t="shared" si="195"/>
        <v>0</v>
      </c>
      <c r="D791" s="2133">
        <f t="shared" si="196"/>
        <v>0</v>
      </c>
      <c r="E791" s="2086">
        <f>$F$449*B791</f>
        <v>0</v>
      </c>
      <c r="V791" s="2107"/>
      <c r="W791" s="2107"/>
      <c r="X791" s="2107"/>
      <c r="Y791" s="2107"/>
      <c r="Z791" s="2107"/>
      <c r="AA791" s="2107"/>
      <c r="AB791" s="2107"/>
      <c r="AC791" s="2107"/>
      <c r="AD791" s="2107"/>
      <c r="AE791" s="2107"/>
      <c r="AF791" s="2107"/>
      <c r="AG791" s="2107"/>
      <c r="AH791" s="2107"/>
      <c r="AI791" s="2107"/>
      <c r="AJ791" s="2107"/>
      <c r="AK791" s="2107"/>
      <c r="AL791" s="2107"/>
      <c r="AM791" s="2107"/>
      <c r="AN791" s="2107"/>
      <c r="AO791" s="2107"/>
      <c r="AP791" s="2107"/>
      <c r="AQ791" s="2107"/>
    </row>
    <row r="792" spans="1:43" ht="15" customHeight="1">
      <c r="A792" s="2133" t="str">
        <f t="shared" si="194"/>
        <v>B6</v>
      </c>
      <c r="B792" s="2133">
        <f t="shared" si="194"/>
        <v>0</v>
      </c>
      <c r="C792" s="2133">
        <f t="shared" si="195"/>
        <v>0</v>
      </c>
      <c r="D792" s="2133">
        <f t="shared" si="196"/>
        <v>0</v>
      </c>
      <c r="E792" s="2086">
        <f>$F$450*B792</f>
        <v>0</v>
      </c>
      <c r="V792" s="2107"/>
      <c r="W792" s="2107"/>
      <c r="X792" s="2107"/>
      <c r="Y792" s="2107"/>
      <c r="Z792" s="2107"/>
      <c r="AA792" s="2107"/>
      <c r="AB792" s="2107"/>
      <c r="AC792" s="2107"/>
      <c r="AD792" s="2107"/>
      <c r="AE792" s="2107"/>
      <c r="AF792" s="2107"/>
      <c r="AG792" s="2107"/>
      <c r="AH792" s="2107"/>
      <c r="AI792" s="2107"/>
      <c r="AJ792" s="2107"/>
      <c r="AK792" s="2107"/>
      <c r="AL792" s="2107"/>
      <c r="AM792" s="2107"/>
      <c r="AN792" s="2107"/>
      <c r="AO792" s="2107"/>
      <c r="AP792" s="2107"/>
      <c r="AQ792" s="2107"/>
    </row>
    <row r="793" spans="1:43" ht="15" customHeight="1">
      <c r="A793" s="2133" t="str">
        <f t="shared" si="194"/>
        <v>B7</v>
      </c>
      <c r="B793" s="2133">
        <f t="shared" si="194"/>
        <v>0</v>
      </c>
      <c r="C793" s="2133">
        <f t="shared" si="195"/>
        <v>0</v>
      </c>
      <c r="D793" s="2133">
        <f t="shared" si="196"/>
        <v>0</v>
      </c>
      <c r="E793" s="2086">
        <f>$F$451*B793</f>
        <v>0</v>
      </c>
      <c r="V793" s="2107"/>
      <c r="W793" s="2107"/>
      <c r="X793" s="2107"/>
      <c r="Y793" s="2107"/>
      <c r="Z793" s="2107"/>
      <c r="AA793" s="2107"/>
      <c r="AB793" s="2107"/>
      <c r="AC793" s="2107"/>
      <c r="AD793" s="2107"/>
      <c r="AE793" s="2107"/>
      <c r="AF793" s="2107"/>
      <c r="AG793" s="2107"/>
      <c r="AH793" s="2107"/>
      <c r="AI793" s="2107"/>
      <c r="AJ793" s="2107"/>
      <c r="AK793" s="2107"/>
      <c r="AL793" s="2107"/>
      <c r="AM793" s="2107"/>
      <c r="AN793" s="2107"/>
      <c r="AO793" s="2107"/>
      <c r="AP793" s="2107"/>
      <c r="AQ793" s="2107"/>
    </row>
    <row r="794" spans="1:43" ht="15" customHeight="1">
      <c r="A794" s="2133" t="str">
        <f t="shared" si="194"/>
        <v>B8</v>
      </c>
      <c r="B794" s="2133">
        <f t="shared" si="194"/>
        <v>0</v>
      </c>
      <c r="C794" s="2133">
        <f t="shared" si="195"/>
        <v>0</v>
      </c>
      <c r="D794" s="2133">
        <f t="shared" si="196"/>
        <v>0</v>
      </c>
      <c r="E794" s="2086">
        <f>$F$452*B794</f>
        <v>0</v>
      </c>
      <c r="V794" s="2107"/>
      <c r="W794" s="2107"/>
      <c r="X794" s="2107"/>
      <c r="Y794" s="2107"/>
      <c r="Z794" s="2107"/>
      <c r="AA794" s="2107"/>
      <c r="AB794" s="2107"/>
      <c r="AC794" s="2107"/>
      <c r="AD794" s="2107"/>
      <c r="AE794" s="2107"/>
      <c r="AF794" s="2107"/>
      <c r="AG794" s="2107"/>
      <c r="AH794" s="2107"/>
      <c r="AI794" s="2107"/>
      <c r="AJ794" s="2107"/>
      <c r="AK794" s="2107"/>
      <c r="AL794" s="2107"/>
      <c r="AM794" s="2107"/>
      <c r="AN794" s="2107"/>
      <c r="AO794" s="2107"/>
      <c r="AP794" s="2107"/>
      <c r="AQ794" s="2107"/>
    </row>
    <row r="795" spans="1:43">
      <c r="A795" s="2133" t="str">
        <f t="shared" si="194"/>
        <v>B9</v>
      </c>
      <c r="B795" s="2133">
        <f t="shared" si="194"/>
        <v>0</v>
      </c>
      <c r="C795" s="2133">
        <f t="shared" si="195"/>
        <v>0</v>
      </c>
      <c r="D795" s="2133">
        <f t="shared" si="196"/>
        <v>0</v>
      </c>
      <c r="E795" s="2086">
        <f>$F$453*B795</f>
        <v>0</v>
      </c>
      <c r="V795" s="2107"/>
      <c r="W795" s="2107"/>
      <c r="X795" s="2107"/>
      <c r="Y795" s="2107"/>
      <c r="Z795" s="2107"/>
      <c r="AA795" s="2107"/>
      <c r="AB795" s="2107"/>
      <c r="AC795" s="2107"/>
      <c r="AD795" s="2107"/>
      <c r="AE795" s="2107"/>
      <c r="AF795" s="2107"/>
      <c r="AG795" s="2107"/>
      <c r="AH795" s="2107"/>
      <c r="AI795" s="2107"/>
      <c r="AJ795" s="2107"/>
      <c r="AK795" s="2107"/>
      <c r="AL795" s="2107"/>
      <c r="AM795" s="2107"/>
      <c r="AN795" s="2107"/>
      <c r="AO795" s="2107"/>
      <c r="AP795" s="2107"/>
      <c r="AQ795" s="2107"/>
    </row>
    <row r="796" spans="1:43">
      <c r="A796" s="2133" t="str">
        <f t="shared" si="194"/>
        <v>B10</v>
      </c>
      <c r="B796" s="2133">
        <f t="shared" si="194"/>
        <v>0</v>
      </c>
      <c r="C796" s="2133">
        <f t="shared" si="195"/>
        <v>0</v>
      </c>
      <c r="D796" s="2133">
        <f t="shared" si="196"/>
        <v>0</v>
      </c>
      <c r="E796" s="2086">
        <f>$F$454*B796</f>
        <v>0</v>
      </c>
      <c r="V796" s="2107"/>
      <c r="W796" s="2833"/>
      <c r="X796" s="2833"/>
      <c r="Y796" s="2833"/>
      <c r="Z796" s="2833"/>
      <c r="AA796" s="2107"/>
      <c r="AB796" s="2107"/>
      <c r="AC796" s="2107"/>
      <c r="AD796" s="2107"/>
      <c r="AE796" s="2107"/>
      <c r="AF796" s="2107"/>
      <c r="AG796" s="2107"/>
      <c r="AH796" s="2107"/>
      <c r="AI796" s="2107"/>
      <c r="AJ796" s="2107"/>
      <c r="AK796" s="2107"/>
      <c r="AL796" s="2107"/>
      <c r="AM796" s="2107"/>
      <c r="AN796" s="2107"/>
      <c r="AO796" s="2107"/>
      <c r="AP796" s="2107"/>
      <c r="AQ796" s="2107"/>
    </row>
    <row r="797" spans="1:43">
      <c r="A797" s="2133" t="str">
        <f t="shared" si="194"/>
        <v>B11</v>
      </c>
      <c r="B797" s="2133">
        <f t="shared" si="194"/>
        <v>0</v>
      </c>
      <c r="C797" s="2133">
        <f t="shared" si="195"/>
        <v>0</v>
      </c>
      <c r="D797" s="2133">
        <f t="shared" si="196"/>
        <v>0</v>
      </c>
      <c r="E797" s="2086">
        <f>$F$455*B797</f>
        <v>0</v>
      </c>
      <c r="V797" s="2107"/>
      <c r="W797" s="2107"/>
      <c r="X797" s="2107"/>
      <c r="Y797" s="2107"/>
      <c r="Z797" s="2107"/>
      <c r="AA797" s="2107"/>
      <c r="AB797" s="2107"/>
      <c r="AC797" s="2107"/>
      <c r="AD797" s="2107"/>
      <c r="AE797" s="2107"/>
      <c r="AF797" s="2107"/>
      <c r="AG797" s="2107"/>
      <c r="AH797" s="2107"/>
      <c r="AI797" s="2107"/>
      <c r="AJ797" s="2107"/>
      <c r="AK797" s="2107"/>
      <c r="AL797" s="2107"/>
      <c r="AM797" s="2107"/>
      <c r="AN797" s="2107"/>
      <c r="AO797" s="2107"/>
      <c r="AP797" s="2107"/>
      <c r="AQ797" s="2107"/>
    </row>
    <row r="798" spans="1:43">
      <c r="A798" s="2133" t="str">
        <f t="shared" si="194"/>
        <v>B12</v>
      </c>
      <c r="B798" s="2133">
        <f t="shared" si="194"/>
        <v>0</v>
      </c>
      <c r="C798" s="2133">
        <f t="shared" si="195"/>
        <v>0</v>
      </c>
      <c r="D798" s="2133">
        <f t="shared" si="196"/>
        <v>0</v>
      </c>
      <c r="E798" s="2086">
        <f>$F$456*B798</f>
        <v>0</v>
      </c>
      <c r="V798" s="2107"/>
      <c r="W798" s="2107"/>
      <c r="X798" s="2107"/>
      <c r="Y798" s="2107"/>
      <c r="Z798" s="2107"/>
      <c r="AA798" s="2107"/>
      <c r="AB798" s="2107"/>
      <c r="AC798" s="2107"/>
      <c r="AD798" s="2107"/>
      <c r="AE798" s="2107"/>
      <c r="AF798" s="2107"/>
      <c r="AG798" s="2107"/>
      <c r="AH798" s="2107"/>
      <c r="AI798" s="2107"/>
      <c r="AJ798" s="2107"/>
      <c r="AK798" s="2107"/>
      <c r="AL798" s="2107"/>
      <c r="AM798" s="2107"/>
      <c r="AN798" s="2107"/>
      <c r="AO798" s="2107"/>
      <c r="AP798" s="2107"/>
      <c r="AQ798" s="2107"/>
    </row>
    <row r="799" spans="1:43">
      <c r="A799" s="2133" t="str">
        <f t="shared" si="194"/>
        <v>B13</v>
      </c>
      <c r="B799" s="2133">
        <f t="shared" si="194"/>
        <v>0</v>
      </c>
      <c r="C799" s="2133">
        <f t="shared" si="195"/>
        <v>0</v>
      </c>
      <c r="D799" s="2133">
        <f t="shared" si="196"/>
        <v>0</v>
      </c>
      <c r="E799" s="2086">
        <f>$F$457*B799</f>
        <v>0</v>
      </c>
      <c r="V799" s="2107"/>
      <c r="W799" s="2833"/>
      <c r="X799" s="2833"/>
      <c r="Y799" s="2833"/>
      <c r="Z799" s="2833"/>
      <c r="AA799" s="2107"/>
      <c r="AB799" s="2107"/>
      <c r="AC799" s="2107"/>
      <c r="AD799" s="2107"/>
      <c r="AE799" s="2107"/>
      <c r="AF799" s="2107"/>
      <c r="AG799" s="2107"/>
      <c r="AH799" s="2107"/>
      <c r="AI799" s="2107"/>
      <c r="AJ799" s="2107"/>
      <c r="AK799" s="2107"/>
      <c r="AL799" s="2107"/>
      <c r="AM799" s="2107"/>
      <c r="AN799" s="2107"/>
      <c r="AO799" s="2107"/>
      <c r="AP799" s="2107"/>
      <c r="AQ799" s="2107"/>
    </row>
    <row r="800" spans="1:43">
      <c r="A800" s="2133" t="str">
        <f t="shared" si="194"/>
        <v>B14</v>
      </c>
      <c r="B800" s="2133">
        <f t="shared" si="194"/>
        <v>0</v>
      </c>
      <c r="C800" s="2133">
        <f t="shared" si="195"/>
        <v>0</v>
      </c>
      <c r="D800" s="2133">
        <f t="shared" si="196"/>
        <v>0</v>
      </c>
      <c r="E800" s="2086">
        <f>$F$458*B800</f>
        <v>0</v>
      </c>
      <c r="V800" s="2107"/>
      <c r="W800" s="2107"/>
      <c r="X800" s="2107"/>
      <c r="Y800" s="2107"/>
      <c r="Z800" s="2107"/>
      <c r="AA800" s="2107"/>
      <c r="AB800" s="2107"/>
      <c r="AC800" s="2107"/>
      <c r="AD800" s="2107"/>
      <c r="AE800" s="2107"/>
      <c r="AF800" s="2107"/>
      <c r="AG800" s="2107"/>
      <c r="AH800" s="2107"/>
      <c r="AI800" s="2107"/>
      <c r="AJ800" s="2107"/>
      <c r="AK800" s="2107"/>
      <c r="AL800" s="2107"/>
      <c r="AM800" s="2107"/>
      <c r="AN800" s="2107"/>
      <c r="AO800" s="2107"/>
      <c r="AP800" s="2107"/>
      <c r="AQ800" s="2107"/>
    </row>
    <row r="801" spans="1:43">
      <c r="A801" s="2133" t="str">
        <f t="shared" si="194"/>
        <v>B15</v>
      </c>
      <c r="B801" s="2133">
        <f t="shared" si="194"/>
        <v>0</v>
      </c>
      <c r="C801" s="2133">
        <f t="shared" si="195"/>
        <v>0</v>
      </c>
      <c r="D801" s="2133">
        <f t="shared" si="196"/>
        <v>0</v>
      </c>
      <c r="E801" s="2086">
        <f t="shared" ref="E801:E806" si="197">$F$459*B801</f>
        <v>0</v>
      </c>
      <c r="V801" s="2107"/>
      <c r="W801" s="2107"/>
      <c r="X801" s="2107"/>
      <c r="Y801" s="2107"/>
      <c r="Z801" s="2107"/>
      <c r="AA801" s="2107"/>
      <c r="AB801" s="2107"/>
      <c r="AC801" s="2107"/>
      <c r="AD801" s="2107"/>
      <c r="AE801" s="2107"/>
      <c r="AF801" s="2107"/>
      <c r="AG801" s="2107"/>
      <c r="AH801" s="2107"/>
      <c r="AI801" s="2107"/>
      <c r="AJ801" s="2107"/>
      <c r="AK801" s="2107"/>
      <c r="AL801" s="2107"/>
      <c r="AM801" s="2107"/>
      <c r="AN801" s="2107"/>
      <c r="AO801" s="2107"/>
      <c r="AP801" s="2107"/>
      <c r="AQ801" s="2107"/>
    </row>
    <row r="802" spans="1:43" s="2532" customFormat="1">
      <c r="A802" s="2133" t="str">
        <f t="shared" ref="A802:B807" si="198">A775</f>
        <v>B16</v>
      </c>
      <c r="B802" s="2133">
        <f t="shared" si="198"/>
        <v>0</v>
      </c>
      <c r="C802" s="2133">
        <f t="shared" ref="C802:C807" si="199">C460</f>
        <v>0</v>
      </c>
      <c r="D802" s="2133">
        <f>B802*C802</f>
        <v>0</v>
      </c>
      <c r="E802" s="2532">
        <f t="shared" si="197"/>
        <v>0</v>
      </c>
      <c r="V802" s="2531"/>
      <c r="W802" s="2531"/>
      <c r="X802" s="2531"/>
      <c r="Y802" s="2531"/>
      <c r="Z802" s="2531"/>
      <c r="AA802" s="2531"/>
      <c r="AB802" s="2531"/>
      <c r="AC802" s="2531"/>
      <c r="AD802" s="2531"/>
      <c r="AE802" s="2531"/>
      <c r="AF802" s="2531"/>
      <c r="AG802" s="2531"/>
      <c r="AH802" s="2531"/>
      <c r="AI802" s="2531"/>
      <c r="AJ802" s="2531"/>
      <c r="AK802" s="2531"/>
      <c r="AL802" s="2531"/>
      <c r="AM802" s="2531"/>
      <c r="AN802" s="2531"/>
      <c r="AO802" s="2531"/>
      <c r="AP802" s="2531"/>
      <c r="AQ802" s="2531"/>
    </row>
    <row r="803" spans="1:43" s="2532" customFormat="1">
      <c r="A803" s="2133" t="str">
        <f t="shared" si="198"/>
        <v>B17</v>
      </c>
      <c r="B803" s="2133">
        <f t="shared" si="198"/>
        <v>0</v>
      </c>
      <c r="C803" s="2133">
        <f t="shared" si="199"/>
        <v>0</v>
      </c>
      <c r="D803" s="2133">
        <f>B803*C803</f>
        <v>0</v>
      </c>
      <c r="E803" s="2532">
        <f t="shared" si="197"/>
        <v>0</v>
      </c>
      <c r="V803" s="2531"/>
      <c r="W803" s="2531"/>
      <c r="X803" s="2531"/>
      <c r="Y803" s="2531"/>
      <c r="Z803" s="2531"/>
      <c r="AA803" s="2531"/>
      <c r="AB803" s="2531"/>
      <c r="AC803" s="2531"/>
      <c r="AD803" s="2531"/>
      <c r="AE803" s="2531"/>
      <c r="AF803" s="2531"/>
      <c r="AG803" s="2531"/>
      <c r="AH803" s="2531"/>
      <c r="AI803" s="2531"/>
      <c r="AJ803" s="2531"/>
      <c r="AK803" s="2531"/>
      <c r="AL803" s="2531"/>
      <c r="AM803" s="2531"/>
      <c r="AN803" s="2531"/>
      <c r="AO803" s="2531"/>
      <c r="AP803" s="2531"/>
      <c r="AQ803" s="2531"/>
    </row>
    <row r="804" spans="1:43" s="2532" customFormat="1">
      <c r="A804" s="2133" t="str">
        <f t="shared" si="198"/>
        <v>B18</v>
      </c>
      <c r="B804" s="2133">
        <f t="shared" si="198"/>
        <v>0</v>
      </c>
      <c r="C804" s="2133">
        <f t="shared" si="199"/>
        <v>0</v>
      </c>
      <c r="D804" s="2133">
        <f>B804*C804</f>
        <v>0</v>
      </c>
      <c r="E804" s="2532">
        <f t="shared" si="197"/>
        <v>0</v>
      </c>
      <c r="V804" s="2531"/>
      <c r="W804" s="2531"/>
      <c r="X804" s="2531"/>
      <c r="Y804" s="2531"/>
      <c r="Z804" s="2531"/>
      <c r="AA804" s="2531"/>
      <c r="AB804" s="2531"/>
      <c r="AC804" s="2531"/>
      <c r="AD804" s="2531"/>
      <c r="AE804" s="2531"/>
      <c r="AF804" s="2531"/>
      <c r="AG804" s="2531"/>
      <c r="AH804" s="2531"/>
      <c r="AI804" s="2531"/>
      <c r="AJ804" s="2531"/>
      <c r="AK804" s="2531"/>
      <c r="AL804" s="2531"/>
      <c r="AM804" s="2531"/>
      <c r="AN804" s="2531"/>
      <c r="AO804" s="2531"/>
      <c r="AP804" s="2531"/>
      <c r="AQ804" s="2531"/>
    </row>
    <row r="805" spans="1:43" s="2532" customFormat="1">
      <c r="A805" s="2133" t="str">
        <f t="shared" si="198"/>
        <v>B19</v>
      </c>
      <c r="B805" s="2133">
        <f t="shared" si="198"/>
        <v>0</v>
      </c>
      <c r="C805" s="2133">
        <f t="shared" si="199"/>
        <v>0</v>
      </c>
      <c r="D805" s="2133">
        <f>B805*C805</f>
        <v>0</v>
      </c>
      <c r="E805" s="2532">
        <f t="shared" si="197"/>
        <v>0</v>
      </c>
      <c r="V805" s="2531"/>
      <c r="W805" s="2531"/>
      <c r="X805" s="2531"/>
      <c r="Y805" s="2531"/>
      <c r="Z805" s="2531"/>
      <c r="AA805" s="2531"/>
      <c r="AB805" s="2531"/>
      <c r="AC805" s="2531"/>
      <c r="AD805" s="2531"/>
      <c r="AE805" s="2531"/>
      <c r="AF805" s="2531"/>
      <c r="AG805" s="2531"/>
      <c r="AH805" s="2531"/>
      <c r="AI805" s="2531"/>
      <c r="AJ805" s="2531"/>
      <c r="AK805" s="2531"/>
      <c r="AL805" s="2531"/>
      <c r="AM805" s="2531"/>
      <c r="AN805" s="2531"/>
      <c r="AO805" s="2531"/>
      <c r="AP805" s="2531"/>
      <c r="AQ805" s="2531"/>
    </row>
    <row r="806" spans="1:43" s="2532" customFormat="1">
      <c r="A806" s="2133" t="str">
        <f t="shared" si="198"/>
        <v>B20</v>
      </c>
      <c r="B806" s="2133">
        <f t="shared" si="198"/>
        <v>0</v>
      </c>
      <c r="C806" s="2133">
        <f t="shared" si="199"/>
        <v>0</v>
      </c>
      <c r="D806" s="2133">
        <f>B806*C806</f>
        <v>0</v>
      </c>
      <c r="E806" s="2532">
        <f t="shared" si="197"/>
        <v>0</v>
      </c>
      <c r="V806" s="2531"/>
      <c r="W806" s="2531"/>
      <c r="X806" s="2531"/>
      <c r="Y806" s="2531"/>
      <c r="Z806" s="2531"/>
      <c r="AA806" s="2531"/>
      <c r="AB806" s="2531"/>
      <c r="AC806" s="2531"/>
      <c r="AD806" s="2531"/>
      <c r="AE806" s="2531"/>
      <c r="AF806" s="2531"/>
      <c r="AG806" s="2531"/>
      <c r="AH806" s="2531"/>
      <c r="AI806" s="2531"/>
      <c r="AJ806" s="2531"/>
      <c r="AK806" s="2531"/>
      <c r="AL806" s="2531"/>
      <c r="AM806" s="2531"/>
      <c r="AN806" s="2531"/>
      <c r="AO806" s="2531"/>
      <c r="AP806" s="2531"/>
      <c r="AQ806" s="2531"/>
    </row>
    <row r="807" spans="1:43">
      <c r="A807" s="2133" t="str">
        <f t="shared" si="198"/>
        <v>RB</v>
      </c>
      <c r="B807" s="2133">
        <f t="shared" si="198"/>
        <v>0</v>
      </c>
      <c r="C807" s="2133">
        <f t="shared" si="199"/>
        <v>0.03</v>
      </c>
      <c r="D807" s="2145">
        <f t="shared" si="196"/>
        <v>0</v>
      </c>
      <c r="E807" s="2086">
        <f>$F$465*B807</f>
        <v>0</v>
      </c>
      <c r="G807" s="2099"/>
      <c r="V807" s="2107"/>
      <c r="W807" s="2107"/>
      <c r="X807" s="2107"/>
      <c r="Y807" s="2107"/>
      <c r="Z807" s="2107"/>
      <c r="AA807" s="2107"/>
      <c r="AB807" s="2107"/>
      <c r="AC807" s="2107"/>
      <c r="AD807" s="2107"/>
      <c r="AE807" s="2107"/>
      <c r="AF807" s="2107"/>
      <c r="AG807" s="2107"/>
      <c r="AH807" s="2107"/>
      <c r="AI807" s="2107"/>
      <c r="AJ807" s="2107"/>
      <c r="AK807" s="2107"/>
      <c r="AL807" s="2107"/>
      <c r="AM807" s="2107"/>
      <c r="AN807" s="2107"/>
      <c r="AO807" s="2107"/>
      <c r="AP807" s="2107"/>
      <c r="AQ807" s="2107"/>
    </row>
    <row r="808" spans="1:43" ht="30">
      <c r="C808" s="2138" t="s">
        <v>2078</v>
      </c>
      <c r="D808" s="2182">
        <f>SUM(D787:D807)</f>
        <v>0</v>
      </c>
      <c r="E808" s="2086">
        <f>SUM(E787:E807)</f>
        <v>0</v>
      </c>
      <c r="V808" s="2107"/>
      <c r="W808" s="2107"/>
      <c r="X808" s="2107"/>
      <c r="Y808" s="2107"/>
      <c r="Z808" s="2107"/>
      <c r="AA808" s="2107"/>
      <c r="AB808" s="2107"/>
      <c r="AC808" s="2107"/>
      <c r="AD808" s="2107"/>
      <c r="AE808" s="2107"/>
      <c r="AF808" s="2107"/>
      <c r="AG808" s="2107"/>
      <c r="AH808" s="2107"/>
      <c r="AI808" s="2107"/>
      <c r="AJ808" s="2107"/>
      <c r="AK808" s="2107"/>
      <c r="AL808" s="2107"/>
      <c r="AM808" s="2107"/>
      <c r="AN808" s="2107"/>
      <c r="AO808" s="2107"/>
      <c r="AP808" s="2107"/>
      <c r="AQ808" s="2107"/>
    </row>
    <row r="809" spans="1:43">
      <c r="V809" s="2107"/>
      <c r="W809" s="2107"/>
      <c r="X809" s="2107"/>
      <c r="Y809" s="2107"/>
      <c r="Z809" s="2107"/>
      <c r="AA809" s="2107"/>
      <c r="AB809" s="2107"/>
      <c r="AC809" s="2107"/>
      <c r="AD809" s="2107"/>
      <c r="AE809" s="2107"/>
      <c r="AF809" s="2107"/>
      <c r="AG809" s="2107"/>
      <c r="AH809" s="2107"/>
      <c r="AI809" s="2107"/>
      <c r="AJ809" s="2107"/>
      <c r="AK809" s="2107"/>
      <c r="AL809" s="2107"/>
      <c r="AM809" s="2107"/>
      <c r="AN809" s="2107"/>
      <c r="AO809" s="2107"/>
      <c r="AP809" s="2107"/>
      <c r="AQ809" s="2107"/>
    </row>
    <row r="810" spans="1:43">
      <c r="A810" s="2831" t="s">
        <v>2006</v>
      </c>
      <c r="B810" s="2832"/>
      <c r="C810" s="2832"/>
      <c r="D810" s="2832"/>
      <c r="V810" s="2107"/>
      <c r="W810" s="2107"/>
      <c r="X810" s="2107"/>
      <c r="Y810" s="2107"/>
      <c r="Z810" s="2107"/>
      <c r="AA810" s="2107"/>
      <c r="AB810" s="2107"/>
      <c r="AC810" s="2107"/>
      <c r="AD810" s="2107"/>
      <c r="AE810" s="2107"/>
      <c r="AF810" s="2107"/>
      <c r="AG810" s="2107"/>
      <c r="AH810" s="2107"/>
      <c r="AI810" s="2107"/>
      <c r="AJ810" s="2107"/>
      <c r="AK810" s="2107"/>
      <c r="AL810" s="2107"/>
      <c r="AM810" s="2107"/>
      <c r="AN810" s="2107"/>
      <c r="AO810" s="2107"/>
      <c r="AP810" s="2107"/>
      <c r="AQ810" s="2107"/>
    </row>
    <row r="811" spans="1:43">
      <c r="A811" s="2133" t="s">
        <v>1796</v>
      </c>
      <c r="B811" s="2133" t="s">
        <v>2004</v>
      </c>
      <c r="C811" s="2133" t="s">
        <v>1791</v>
      </c>
      <c r="D811" s="2133" t="s">
        <v>2007</v>
      </c>
      <c r="V811" s="2107"/>
      <c r="W811" s="2107"/>
      <c r="X811" s="2107"/>
      <c r="Y811" s="2107"/>
      <c r="Z811" s="2107"/>
      <c r="AA811" s="2107"/>
      <c r="AB811" s="2107"/>
      <c r="AC811" s="2107"/>
      <c r="AD811" s="2107"/>
      <c r="AE811" s="2107"/>
      <c r="AF811" s="2107"/>
      <c r="AG811" s="2107"/>
      <c r="AH811" s="2107"/>
      <c r="AI811" s="2107"/>
      <c r="AJ811" s="2107"/>
      <c r="AK811" s="2107"/>
      <c r="AL811" s="2107"/>
      <c r="AM811" s="2107"/>
      <c r="AN811" s="2107"/>
      <c r="AO811" s="2107"/>
      <c r="AP811" s="2107"/>
      <c r="AQ811" s="2107"/>
    </row>
    <row r="812" spans="1:43">
      <c r="A812" s="2133" t="str">
        <f t="shared" ref="A812:B823" si="200">A787</f>
        <v>B1</v>
      </c>
      <c r="B812" s="2133">
        <f t="shared" si="200"/>
        <v>0</v>
      </c>
      <c r="C812" s="2133">
        <f t="shared" ref="C812:C826" si="201">C470</f>
        <v>0.8</v>
      </c>
      <c r="D812" s="2133">
        <f t="shared" ref="D812:D832" si="202">B812*C812</f>
        <v>0</v>
      </c>
      <c r="V812" s="2107"/>
      <c r="W812" s="2107"/>
      <c r="X812" s="2107"/>
      <c r="Y812" s="2107"/>
      <c r="Z812" s="2107"/>
      <c r="AA812" s="2107"/>
      <c r="AB812" s="2107"/>
      <c r="AC812" s="2107"/>
      <c r="AD812" s="2107"/>
      <c r="AE812" s="2107"/>
      <c r="AF812" s="2107"/>
      <c r="AG812" s="2107"/>
      <c r="AH812" s="2107"/>
      <c r="AI812" s="2107"/>
      <c r="AJ812" s="2107"/>
      <c r="AK812" s="2107"/>
      <c r="AL812" s="2107"/>
      <c r="AM812" s="2107"/>
      <c r="AN812" s="2107"/>
      <c r="AO812" s="2107"/>
      <c r="AP812" s="2107"/>
      <c r="AQ812" s="2107"/>
    </row>
    <row r="813" spans="1:43">
      <c r="A813" s="2133" t="str">
        <f t="shared" si="200"/>
        <v>B2</v>
      </c>
      <c r="B813" s="2133">
        <f t="shared" si="200"/>
        <v>0</v>
      </c>
      <c r="C813" s="2133">
        <f t="shared" si="201"/>
        <v>1.1000000000000001</v>
      </c>
      <c r="D813" s="2133">
        <f t="shared" si="202"/>
        <v>0</v>
      </c>
      <c r="V813" s="2107"/>
      <c r="W813" s="2107"/>
      <c r="X813" s="2107"/>
      <c r="Y813" s="2107"/>
      <c r="Z813" s="2107"/>
      <c r="AA813" s="2107"/>
      <c r="AB813" s="2107"/>
      <c r="AC813" s="2107"/>
      <c r="AD813" s="2107"/>
      <c r="AE813" s="2107"/>
      <c r="AF813" s="2107"/>
      <c r="AG813" s="2107"/>
      <c r="AH813" s="2107"/>
      <c r="AI813" s="2107"/>
      <c r="AJ813" s="2107"/>
      <c r="AK813" s="2107"/>
      <c r="AL813" s="2107"/>
      <c r="AM813" s="2107"/>
      <c r="AN813" s="2107"/>
      <c r="AO813" s="2107"/>
      <c r="AP813" s="2107"/>
      <c r="AQ813" s="2107"/>
    </row>
    <row r="814" spans="1:43">
      <c r="A814" s="2133" t="str">
        <f t="shared" si="200"/>
        <v>B3</v>
      </c>
      <c r="B814" s="2133">
        <f t="shared" si="200"/>
        <v>0</v>
      </c>
      <c r="C814" s="2133">
        <f t="shared" si="201"/>
        <v>1.6</v>
      </c>
      <c r="D814" s="2133">
        <f t="shared" si="202"/>
        <v>0</v>
      </c>
      <c r="V814" s="2107"/>
      <c r="W814" s="2107"/>
      <c r="X814" s="2107"/>
      <c r="Y814" s="2107"/>
      <c r="Z814" s="2107"/>
      <c r="AA814" s="2107"/>
      <c r="AB814" s="2107"/>
      <c r="AC814" s="2107"/>
      <c r="AD814" s="2107"/>
      <c r="AE814" s="2107"/>
      <c r="AF814" s="2107"/>
      <c r="AG814" s="2107"/>
      <c r="AH814" s="2107"/>
      <c r="AI814" s="2107"/>
      <c r="AJ814" s="2107"/>
      <c r="AK814" s="2107"/>
      <c r="AL814" s="2107"/>
      <c r="AM814" s="2107"/>
      <c r="AN814" s="2107"/>
      <c r="AO814" s="2107"/>
      <c r="AP814" s="2107"/>
      <c r="AQ814" s="2107"/>
    </row>
    <row r="815" spans="1:43">
      <c r="A815" s="2133" t="str">
        <f t="shared" si="200"/>
        <v>B4</v>
      </c>
      <c r="B815" s="2133">
        <f t="shared" si="200"/>
        <v>0</v>
      </c>
      <c r="C815" s="2133">
        <f t="shared" si="201"/>
        <v>0.6</v>
      </c>
      <c r="D815" s="2133">
        <f t="shared" si="202"/>
        <v>0</v>
      </c>
      <c r="V815" s="2107"/>
      <c r="W815" s="2107"/>
      <c r="X815" s="2107"/>
      <c r="Y815" s="2107"/>
      <c r="Z815" s="2107"/>
      <c r="AA815" s="2107"/>
      <c r="AB815" s="2107"/>
      <c r="AC815" s="2107"/>
      <c r="AD815" s="2107"/>
      <c r="AE815" s="2107"/>
      <c r="AF815" s="2107"/>
      <c r="AG815" s="2107"/>
      <c r="AH815" s="2107"/>
      <c r="AI815" s="2107"/>
      <c r="AJ815" s="2107"/>
      <c r="AK815" s="2107"/>
      <c r="AL815" s="2107"/>
      <c r="AM815" s="2107"/>
      <c r="AN815" s="2107"/>
      <c r="AO815" s="2107"/>
      <c r="AP815" s="2107"/>
      <c r="AQ815" s="2107"/>
    </row>
    <row r="816" spans="1:43">
      <c r="A816" s="2133" t="str">
        <f t="shared" si="200"/>
        <v>B5</v>
      </c>
      <c r="B816" s="2133">
        <f t="shared" si="200"/>
        <v>0</v>
      </c>
      <c r="C816" s="2133">
        <f t="shared" si="201"/>
        <v>0</v>
      </c>
      <c r="D816" s="2133">
        <f t="shared" si="202"/>
        <v>0</v>
      </c>
      <c r="V816" s="2107"/>
      <c r="W816" s="2107"/>
      <c r="X816" s="2107"/>
      <c r="Y816" s="2107"/>
      <c r="Z816" s="2107"/>
      <c r="AA816" s="2107"/>
      <c r="AB816" s="2107"/>
      <c r="AC816" s="2107"/>
      <c r="AD816" s="2107"/>
      <c r="AE816" s="2107"/>
      <c r="AF816" s="2107"/>
      <c r="AG816" s="2107"/>
      <c r="AH816" s="2107"/>
      <c r="AI816" s="2107"/>
      <c r="AJ816" s="2107"/>
      <c r="AK816" s="2107"/>
      <c r="AL816" s="2107"/>
      <c r="AM816" s="2107"/>
      <c r="AN816" s="2107"/>
      <c r="AO816" s="2107"/>
      <c r="AP816" s="2107"/>
      <c r="AQ816" s="2107"/>
    </row>
    <row r="817" spans="1:43">
      <c r="A817" s="2133" t="str">
        <f t="shared" si="200"/>
        <v>B6</v>
      </c>
      <c r="B817" s="2133">
        <f t="shared" si="200"/>
        <v>0</v>
      </c>
      <c r="C817" s="2133">
        <f t="shared" si="201"/>
        <v>0</v>
      </c>
      <c r="D817" s="2133">
        <f t="shared" si="202"/>
        <v>0</v>
      </c>
      <c r="V817" s="2107"/>
      <c r="W817" s="2107"/>
      <c r="X817" s="2107"/>
      <c r="Y817" s="2107"/>
      <c r="Z817" s="2107"/>
      <c r="AA817" s="2107"/>
      <c r="AB817" s="2107"/>
      <c r="AC817" s="2107"/>
      <c r="AD817" s="2107"/>
      <c r="AE817" s="2107"/>
      <c r="AF817" s="2107"/>
      <c r="AG817" s="2107"/>
      <c r="AH817" s="2107"/>
      <c r="AI817" s="2107"/>
      <c r="AJ817" s="2107"/>
      <c r="AK817" s="2107"/>
      <c r="AL817" s="2107"/>
      <c r="AM817" s="2107"/>
      <c r="AN817" s="2107"/>
      <c r="AO817" s="2107"/>
      <c r="AP817" s="2107"/>
      <c r="AQ817" s="2107"/>
    </row>
    <row r="818" spans="1:43">
      <c r="A818" s="2133" t="str">
        <f t="shared" si="200"/>
        <v>B7</v>
      </c>
      <c r="B818" s="2133">
        <f t="shared" si="200"/>
        <v>0</v>
      </c>
      <c r="C818" s="2133">
        <f t="shared" si="201"/>
        <v>0</v>
      </c>
      <c r="D818" s="2133">
        <f t="shared" si="202"/>
        <v>0</v>
      </c>
      <c r="V818" s="2107"/>
      <c r="W818" s="2107"/>
      <c r="X818" s="2107"/>
      <c r="Y818" s="2107"/>
      <c r="Z818" s="2107"/>
      <c r="AA818" s="2107"/>
      <c r="AB818" s="2107"/>
      <c r="AC818" s="2107"/>
      <c r="AD818" s="2107"/>
      <c r="AE818" s="2107"/>
      <c r="AF818" s="2107"/>
      <c r="AG818" s="2107"/>
      <c r="AH818" s="2107"/>
      <c r="AI818" s="2107"/>
      <c r="AJ818" s="2107"/>
      <c r="AK818" s="2107"/>
      <c r="AL818" s="2107"/>
      <c r="AM818" s="2107"/>
      <c r="AN818" s="2107"/>
      <c r="AO818" s="2107"/>
      <c r="AP818" s="2107"/>
      <c r="AQ818" s="2107"/>
    </row>
    <row r="819" spans="1:43">
      <c r="A819" s="2133" t="str">
        <f t="shared" si="200"/>
        <v>B8</v>
      </c>
      <c r="B819" s="2133">
        <f t="shared" si="200"/>
        <v>0</v>
      </c>
      <c r="C819" s="2133">
        <f t="shared" si="201"/>
        <v>0</v>
      </c>
      <c r="D819" s="2133">
        <f t="shared" si="202"/>
        <v>0</v>
      </c>
      <c r="V819" s="2107"/>
      <c r="W819" s="2107"/>
      <c r="X819" s="2107"/>
      <c r="Y819" s="2107"/>
      <c r="Z819" s="2107"/>
      <c r="AA819" s="2107"/>
      <c r="AB819" s="2107"/>
      <c r="AC819" s="2107"/>
      <c r="AD819" s="2107"/>
      <c r="AE819" s="2107"/>
      <c r="AF819" s="2107"/>
      <c r="AG819" s="2107"/>
      <c r="AH819" s="2107"/>
      <c r="AI819" s="2107"/>
      <c r="AJ819" s="2107"/>
      <c r="AK819" s="2107"/>
      <c r="AL819" s="2107"/>
      <c r="AM819" s="2107"/>
      <c r="AN819" s="2107"/>
      <c r="AO819" s="2107"/>
      <c r="AP819" s="2107"/>
      <c r="AQ819" s="2107"/>
    </row>
    <row r="820" spans="1:43">
      <c r="A820" s="2133" t="str">
        <f t="shared" si="200"/>
        <v>B9</v>
      </c>
      <c r="B820" s="2133">
        <f t="shared" si="200"/>
        <v>0</v>
      </c>
      <c r="C820" s="2133">
        <f t="shared" si="201"/>
        <v>0</v>
      </c>
      <c r="D820" s="2133">
        <f t="shared" si="202"/>
        <v>0</v>
      </c>
      <c r="V820" s="2107"/>
      <c r="W820" s="2107"/>
      <c r="X820" s="2107"/>
      <c r="Y820" s="2107"/>
      <c r="Z820" s="2107"/>
      <c r="AA820" s="2107"/>
      <c r="AB820" s="2107"/>
      <c r="AC820" s="2107"/>
      <c r="AD820" s="2107"/>
      <c r="AE820" s="2107"/>
      <c r="AF820" s="2107"/>
      <c r="AG820" s="2107"/>
      <c r="AH820" s="2107"/>
      <c r="AI820" s="2107"/>
      <c r="AJ820" s="2107"/>
      <c r="AK820" s="2107"/>
      <c r="AL820" s="2107"/>
      <c r="AM820" s="2107"/>
      <c r="AN820" s="2107"/>
      <c r="AO820" s="2107"/>
      <c r="AP820" s="2107"/>
      <c r="AQ820" s="2107"/>
    </row>
    <row r="821" spans="1:43">
      <c r="A821" s="2133" t="str">
        <f t="shared" si="200"/>
        <v>B10</v>
      </c>
      <c r="B821" s="2133">
        <f t="shared" si="200"/>
        <v>0</v>
      </c>
      <c r="C821" s="2133">
        <f t="shared" si="201"/>
        <v>0</v>
      </c>
      <c r="D821" s="2133">
        <f t="shared" si="202"/>
        <v>0</v>
      </c>
      <c r="V821" s="2107"/>
      <c r="W821" s="2107"/>
      <c r="X821" s="2107"/>
      <c r="Y821" s="2107"/>
      <c r="Z821" s="2107"/>
      <c r="AA821" s="2107"/>
      <c r="AB821" s="2107"/>
      <c r="AC821" s="2107"/>
      <c r="AD821" s="2107"/>
      <c r="AE821" s="2107"/>
      <c r="AF821" s="2107"/>
      <c r="AG821" s="2107"/>
      <c r="AH821" s="2107"/>
      <c r="AI821" s="2107"/>
      <c r="AJ821" s="2107"/>
      <c r="AK821" s="2107"/>
      <c r="AL821" s="2107"/>
      <c r="AM821" s="2107"/>
      <c r="AN821" s="2107"/>
      <c r="AO821" s="2107"/>
      <c r="AP821" s="2107"/>
      <c r="AQ821" s="2107"/>
    </row>
    <row r="822" spans="1:43">
      <c r="A822" s="2133" t="str">
        <f t="shared" si="200"/>
        <v>B11</v>
      </c>
      <c r="B822" s="2133">
        <f t="shared" si="200"/>
        <v>0</v>
      </c>
      <c r="C822" s="2133">
        <f t="shared" si="201"/>
        <v>0</v>
      </c>
      <c r="D822" s="2133">
        <f t="shared" si="202"/>
        <v>0</v>
      </c>
      <c r="V822" s="2107"/>
      <c r="W822" s="2107"/>
      <c r="X822" s="2107"/>
      <c r="Y822" s="2107"/>
      <c r="Z822" s="2107"/>
      <c r="AA822" s="2107"/>
      <c r="AB822" s="2107"/>
      <c r="AC822" s="2107"/>
      <c r="AD822" s="2107"/>
      <c r="AE822" s="2107"/>
      <c r="AF822" s="2107"/>
      <c r="AG822" s="2107"/>
      <c r="AH822" s="2107"/>
      <c r="AI822" s="2107"/>
      <c r="AJ822" s="2107"/>
      <c r="AK822" s="2107"/>
      <c r="AL822" s="2107"/>
      <c r="AM822" s="2107"/>
      <c r="AN822" s="2107"/>
      <c r="AO822" s="2107"/>
      <c r="AP822" s="2107"/>
      <c r="AQ822" s="2107"/>
    </row>
    <row r="823" spans="1:43">
      <c r="A823" s="2133" t="str">
        <f t="shared" si="200"/>
        <v>B12</v>
      </c>
      <c r="B823" s="2133">
        <f t="shared" si="200"/>
        <v>0</v>
      </c>
      <c r="C823" s="2133">
        <f t="shared" si="201"/>
        <v>0</v>
      </c>
      <c r="D823" s="2133">
        <f t="shared" si="202"/>
        <v>0</v>
      </c>
      <c r="V823" s="2107"/>
      <c r="W823" s="2107"/>
      <c r="X823" s="2107"/>
      <c r="Y823" s="2107"/>
      <c r="Z823" s="2107"/>
      <c r="AA823" s="2107"/>
      <c r="AB823" s="2107"/>
      <c r="AC823" s="2107"/>
      <c r="AD823" s="2107"/>
      <c r="AE823" s="2107"/>
      <c r="AF823" s="2107"/>
      <c r="AG823" s="2107"/>
      <c r="AH823" s="2107"/>
      <c r="AI823" s="2107"/>
      <c r="AJ823" s="2107"/>
      <c r="AK823" s="2107"/>
      <c r="AL823" s="2107"/>
      <c r="AM823" s="2107"/>
      <c r="AN823" s="2107"/>
      <c r="AO823" s="2107"/>
      <c r="AP823" s="2107"/>
      <c r="AQ823" s="2107"/>
    </row>
    <row r="824" spans="1:43">
      <c r="A824" s="2133" t="str">
        <f t="shared" ref="A824:B832" si="203">A799</f>
        <v>B13</v>
      </c>
      <c r="B824" s="2133">
        <f t="shared" si="203"/>
        <v>0</v>
      </c>
      <c r="C824" s="2133">
        <f t="shared" si="201"/>
        <v>0</v>
      </c>
      <c r="D824" s="2133">
        <f t="shared" si="202"/>
        <v>0</v>
      </c>
      <c r="V824" s="2107"/>
      <c r="W824" s="2107"/>
      <c r="X824" s="2107"/>
      <c r="Y824" s="2107"/>
      <c r="Z824" s="2107"/>
      <c r="AA824" s="2107"/>
      <c r="AB824" s="2107"/>
      <c r="AC824" s="2107"/>
      <c r="AD824" s="2107"/>
      <c r="AE824" s="2107"/>
      <c r="AF824" s="2107"/>
      <c r="AG824" s="2107"/>
      <c r="AH824" s="2107"/>
      <c r="AI824" s="2107"/>
      <c r="AJ824" s="2107"/>
      <c r="AK824" s="2107"/>
      <c r="AL824" s="2107"/>
      <c r="AM824" s="2107"/>
      <c r="AN824" s="2107"/>
      <c r="AO824" s="2107"/>
      <c r="AP824" s="2107"/>
      <c r="AQ824" s="2107"/>
    </row>
    <row r="825" spans="1:43">
      <c r="A825" s="2133" t="str">
        <f t="shared" si="203"/>
        <v>B14</v>
      </c>
      <c r="B825" s="2133">
        <f t="shared" si="203"/>
        <v>0</v>
      </c>
      <c r="C825" s="2133">
        <f t="shared" si="201"/>
        <v>0</v>
      </c>
      <c r="D825" s="2133">
        <f t="shared" si="202"/>
        <v>0</v>
      </c>
      <c r="V825" s="2107"/>
      <c r="W825" s="2107"/>
      <c r="X825" s="2107"/>
      <c r="Y825" s="2107"/>
      <c r="Z825" s="2107"/>
      <c r="AA825" s="2107"/>
      <c r="AB825" s="2107"/>
      <c r="AC825" s="2107"/>
      <c r="AD825" s="2107"/>
      <c r="AE825" s="2107"/>
      <c r="AF825" s="2107"/>
      <c r="AG825" s="2107"/>
      <c r="AH825" s="2107"/>
      <c r="AI825" s="2107"/>
      <c r="AJ825" s="2107"/>
      <c r="AK825" s="2107"/>
      <c r="AL825" s="2107"/>
      <c r="AM825" s="2107"/>
      <c r="AN825" s="2107"/>
      <c r="AO825" s="2107"/>
      <c r="AP825" s="2107"/>
      <c r="AQ825" s="2107"/>
    </row>
    <row r="826" spans="1:43">
      <c r="A826" s="2133" t="str">
        <f t="shared" si="203"/>
        <v>B15</v>
      </c>
      <c r="B826" s="2133">
        <f t="shared" si="203"/>
        <v>0</v>
      </c>
      <c r="C826" s="2133">
        <f t="shared" si="201"/>
        <v>0</v>
      </c>
      <c r="D826" s="2133">
        <f t="shared" si="202"/>
        <v>0</v>
      </c>
      <c r="V826" s="2107"/>
      <c r="W826" s="2107"/>
      <c r="X826" s="2107"/>
      <c r="Y826" s="2107"/>
      <c r="Z826" s="2107"/>
      <c r="AA826" s="2107"/>
      <c r="AB826" s="2107"/>
      <c r="AC826" s="2107"/>
      <c r="AD826" s="2107"/>
      <c r="AE826" s="2107"/>
      <c r="AF826" s="2107"/>
      <c r="AG826" s="2107"/>
      <c r="AH826" s="2107"/>
      <c r="AI826" s="2107"/>
      <c r="AJ826" s="2107"/>
      <c r="AK826" s="2107"/>
      <c r="AL826" s="2107"/>
      <c r="AM826" s="2107"/>
      <c r="AN826" s="2107"/>
      <c r="AO826" s="2107"/>
      <c r="AP826" s="2107"/>
      <c r="AQ826" s="2107"/>
    </row>
    <row r="827" spans="1:43" s="2532" customFormat="1">
      <c r="A827" s="2133" t="str">
        <f t="shared" si="203"/>
        <v>B16</v>
      </c>
      <c r="B827" s="2133">
        <f t="shared" si="203"/>
        <v>0</v>
      </c>
      <c r="C827" s="2133">
        <f t="shared" ref="C827:C832" si="204">C485</f>
        <v>0</v>
      </c>
      <c r="D827" s="2133">
        <f>B827*C827</f>
        <v>0</v>
      </c>
      <c r="V827" s="2531"/>
      <c r="W827" s="2531"/>
      <c r="X827" s="2531"/>
      <c r="Y827" s="2531"/>
      <c r="Z827" s="2531"/>
      <c r="AA827" s="2531"/>
      <c r="AB827" s="2531"/>
      <c r="AC827" s="2531"/>
      <c r="AD827" s="2531"/>
      <c r="AE827" s="2531"/>
      <c r="AF827" s="2531"/>
      <c r="AG827" s="2531"/>
      <c r="AH827" s="2531"/>
      <c r="AI827" s="2531"/>
      <c r="AJ827" s="2531"/>
      <c r="AK827" s="2531"/>
      <c r="AL827" s="2531"/>
      <c r="AM827" s="2531"/>
      <c r="AN827" s="2531"/>
      <c r="AO827" s="2531"/>
      <c r="AP827" s="2531"/>
      <c r="AQ827" s="2531"/>
    </row>
    <row r="828" spans="1:43" s="2532" customFormat="1">
      <c r="A828" s="2133" t="str">
        <f t="shared" si="203"/>
        <v>B17</v>
      </c>
      <c r="B828" s="2133">
        <f t="shared" si="203"/>
        <v>0</v>
      </c>
      <c r="C828" s="2133">
        <f t="shared" si="204"/>
        <v>0</v>
      </c>
      <c r="D828" s="2133">
        <f>B828*C828</f>
        <v>0</v>
      </c>
      <c r="V828" s="2531"/>
      <c r="W828" s="2531"/>
      <c r="X828" s="2531"/>
      <c r="Y828" s="2531"/>
      <c r="Z828" s="2531"/>
      <c r="AA828" s="2531"/>
      <c r="AB828" s="2531"/>
      <c r="AC828" s="2531"/>
      <c r="AD828" s="2531"/>
      <c r="AE828" s="2531"/>
      <c r="AF828" s="2531"/>
      <c r="AG828" s="2531"/>
      <c r="AH828" s="2531"/>
      <c r="AI828" s="2531"/>
      <c r="AJ828" s="2531"/>
      <c r="AK828" s="2531"/>
      <c r="AL828" s="2531"/>
      <c r="AM828" s="2531"/>
      <c r="AN828" s="2531"/>
      <c r="AO828" s="2531"/>
      <c r="AP828" s="2531"/>
      <c r="AQ828" s="2531"/>
    </row>
    <row r="829" spans="1:43" s="2532" customFormat="1">
      <c r="A829" s="2133" t="str">
        <f t="shared" si="203"/>
        <v>B18</v>
      </c>
      <c r="B829" s="2133">
        <f t="shared" si="203"/>
        <v>0</v>
      </c>
      <c r="C829" s="2133">
        <f t="shared" si="204"/>
        <v>0</v>
      </c>
      <c r="D829" s="2133">
        <f>B829*C829</f>
        <v>0</v>
      </c>
      <c r="V829" s="2531"/>
      <c r="W829" s="2531"/>
      <c r="X829" s="2531"/>
      <c r="Y829" s="2531"/>
      <c r="Z829" s="2531"/>
      <c r="AA829" s="2531"/>
      <c r="AB829" s="2531"/>
      <c r="AC829" s="2531"/>
      <c r="AD829" s="2531"/>
      <c r="AE829" s="2531"/>
      <c r="AF829" s="2531"/>
      <c r="AG829" s="2531"/>
      <c r="AH829" s="2531"/>
      <c r="AI829" s="2531"/>
      <c r="AJ829" s="2531"/>
      <c r="AK829" s="2531"/>
      <c r="AL829" s="2531"/>
      <c r="AM829" s="2531"/>
      <c r="AN829" s="2531"/>
      <c r="AO829" s="2531"/>
      <c r="AP829" s="2531"/>
      <c r="AQ829" s="2531"/>
    </row>
    <row r="830" spans="1:43" s="2532" customFormat="1">
      <c r="A830" s="2133" t="str">
        <f t="shared" si="203"/>
        <v>B19</v>
      </c>
      <c r="B830" s="2133">
        <f t="shared" si="203"/>
        <v>0</v>
      </c>
      <c r="C830" s="2133">
        <f t="shared" si="204"/>
        <v>0</v>
      </c>
      <c r="D830" s="2133">
        <f>B830*C830</f>
        <v>0</v>
      </c>
      <c r="V830" s="2531"/>
      <c r="W830" s="2531"/>
      <c r="X830" s="2531"/>
      <c r="Y830" s="2531"/>
      <c r="Z830" s="2531"/>
      <c r="AA830" s="2531"/>
      <c r="AB830" s="2531"/>
      <c r="AC830" s="2531"/>
      <c r="AD830" s="2531"/>
      <c r="AE830" s="2531"/>
      <c r="AF830" s="2531"/>
      <c r="AG830" s="2531"/>
      <c r="AH830" s="2531"/>
      <c r="AI830" s="2531"/>
      <c r="AJ830" s="2531"/>
      <c r="AK830" s="2531"/>
      <c r="AL830" s="2531"/>
      <c r="AM830" s="2531"/>
      <c r="AN830" s="2531"/>
      <c r="AO830" s="2531"/>
      <c r="AP830" s="2531"/>
      <c r="AQ830" s="2531"/>
    </row>
    <row r="831" spans="1:43" s="2532" customFormat="1">
      <c r="A831" s="2133" t="str">
        <f t="shared" si="203"/>
        <v>B20</v>
      </c>
      <c r="B831" s="2133">
        <f t="shared" si="203"/>
        <v>0</v>
      </c>
      <c r="C831" s="2133">
        <f t="shared" si="204"/>
        <v>0</v>
      </c>
      <c r="D831" s="2133">
        <f>B831*C831</f>
        <v>0</v>
      </c>
      <c r="V831" s="2531"/>
      <c r="W831" s="2531"/>
      <c r="X831" s="2531"/>
      <c r="Y831" s="2531"/>
      <c r="Z831" s="2531"/>
      <c r="AA831" s="2531"/>
      <c r="AB831" s="2531"/>
      <c r="AC831" s="2531"/>
      <c r="AD831" s="2531"/>
      <c r="AE831" s="2531"/>
      <c r="AF831" s="2531"/>
      <c r="AG831" s="2531"/>
      <c r="AH831" s="2531"/>
      <c r="AI831" s="2531"/>
      <c r="AJ831" s="2531"/>
      <c r="AK831" s="2531"/>
      <c r="AL831" s="2531"/>
      <c r="AM831" s="2531"/>
      <c r="AN831" s="2531"/>
      <c r="AO831" s="2531"/>
      <c r="AP831" s="2531"/>
      <c r="AQ831" s="2531"/>
    </row>
    <row r="832" spans="1:43">
      <c r="A832" s="2133" t="str">
        <f t="shared" si="203"/>
        <v>RB</v>
      </c>
      <c r="B832" s="2133">
        <f t="shared" si="203"/>
        <v>0</v>
      </c>
      <c r="C832" s="2133">
        <f t="shared" si="204"/>
        <v>0.4</v>
      </c>
      <c r="D832" s="2133">
        <f t="shared" si="202"/>
        <v>0</v>
      </c>
      <c r="V832" s="2107"/>
      <c r="W832" s="2107"/>
      <c r="X832" s="2107"/>
      <c r="Y832" s="2107"/>
      <c r="Z832" s="2107"/>
      <c r="AA832" s="2107"/>
      <c r="AB832" s="2107"/>
      <c r="AC832" s="2107"/>
      <c r="AD832" s="2107"/>
      <c r="AE832" s="2107"/>
      <c r="AF832" s="2107"/>
      <c r="AG832" s="2107"/>
      <c r="AH832" s="2107"/>
      <c r="AI832" s="2107"/>
      <c r="AJ832" s="2107"/>
      <c r="AK832" s="2107"/>
      <c r="AL832" s="2107"/>
      <c r="AM832" s="2107"/>
      <c r="AN832" s="2107"/>
      <c r="AO832" s="2107"/>
      <c r="AP832" s="2107"/>
      <c r="AQ832" s="2107"/>
    </row>
    <row r="833" spans="1:43" ht="30">
      <c r="C833" s="2138" t="s">
        <v>2076</v>
      </c>
      <c r="D833" s="2182">
        <f>SUM(D812:D832)</f>
        <v>0</v>
      </c>
      <c r="V833" s="2107"/>
      <c r="W833" s="2107"/>
      <c r="X833" s="2107"/>
      <c r="Y833" s="2107"/>
      <c r="Z833" s="2107"/>
      <c r="AA833" s="2107"/>
      <c r="AB833" s="2107"/>
      <c r="AC833" s="2107"/>
      <c r="AD833" s="2107"/>
      <c r="AE833" s="2107"/>
      <c r="AF833" s="2107"/>
      <c r="AG833" s="2107"/>
      <c r="AH833" s="2107"/>
      <c r="AI833" s="2107"/>
      <c r="AJ833" s="2107"/>
      <c r="AK833" s="2107"/>
      <c r="AL833" s="2107"/>
      <c r="AM833" s="2107"/>
      <c r="AN833" s="2107"/>
      <c r="AO833" s="2107"/>
      <c r="AP833" s="2107"/>
      <c r="AQ833" s="2107"/>
    </row>
    <row r="835" spans="1:43" ht="15" customHeight="1">
      <c r="A835" s="2834" t="s">
        <v>2016</v>
      </c>
      <c r="B835" s="2835"/>
      <c r="C835" s="2835"/>
      <c r="D835" s="2835"/>
      <c r="E835" s="2812"/>
      <c r="G835" s="2406" t="s">
        <v>2684</v>
      </c>
      <c r="H835" s="2406"/>
      <c r="I835" s="2406"/>
      <c r="J835" s="2406" t="s">
        <v>228</v>
      </c>
      <c r="K835" s="2406"/>
    </row>
    <row r="836" spans="1:43" ht="15" customHeight="1" thickBot="1">
      <c r="A836" s="2176" t="s">
        <v>1987</v>
      </c>
      <c r="B836" s="2204" t="s">
        <v>1205</v>
      </c>
      <c r="C836" s="2189" t="s">
        <v>1111</v>
      </c>
      <c r="D836" s="2176" t="s">
        <v>1243</v>
      </c>
      <c r="E836" s="2205" t="s">
        <v>1568</v>
      </c>
      <c r="G836" s="2406" t="s">
        <v>2685</v>
      </c>
      <c r="H836" s="2430"/>
      <c r="I836" s="2429"/>
      <c r="J836" s="2431">
        <f>SUM(H836:I836)</f>
        <v>0</v>
      </c>
      <c r="K836" s="2406"/>
    </row>
    <row r="837" spans="1:43" ht="15" customHeight="1">
      <c r="A837" s="2119" t="s">
        <v>1709</v>
      </c>
      <c r="B837" s="2344"/>
      <c r="C837" s="2345"/>
      <c r="D837" s="2121">
        <v>0.15</v>
      </c>
      <c r="E837" s="2087">
        <f>B837*C837*D837</f>
        <v>0</v>
      </c>
      <c r="G837" s="2406"/>
      <c r="H837" s="2426"/>
      <c r="I837" s="2427"/>
      <c r="J837" s="2428">
        <f>SUM(H837:I837)</f>
        <v>0</v>
      </c>
      <c r="K837" s="2406"/>
    </row>
    <row r="838" spans="1:43" ht="15" customHeight="1">
      <c r="A838" s="2134"/>
      <c r="B838" s="2346"/>
      <c r="C838" s="2347"/>
      <c r="D838" s="2135">
        <v>0.15</v>
      </c>
      <c r="E838" s="2133">
        <f>B838*C838*D838</f>
        <v>0</v>
      </c>
      <c r="G838" s="2406"/>
      <c r="H838" s="2430"/>
      <c r="I838" s="2429"/>
      <c r="J838" s="2431">
        <f>SUM(H838:I838)</f>
        <v>0</v>
      </c>
      <c r="K838" s="2406"/>
    </row>
    <row r="839" spans="1:43" ht="15" customHeight="1">
      <c r="A839" s="2134" t="s">
        <v>1710</v>
      </c>
      <c r="B839" s="2247"/>
      <c r="C839" s="2248"/>
      <c r="D839" s="2135">
        <v>0.15</v>
      </c>
      <c r="E839" s="2133">
        <f>B839*C839*D839</f>
        <v>0</v>
      </c>
      <c r="G839" s="2406"/>
      <c r="H839" s="2426"/>
      <c r="I839" s="2427"/>
      <c r="J839" s="2428">
        <f>SUM(H839:I839)</f>
        <v>0</v>
      </c>
      <c r="K839" s="2406"/>
    </row>
    <row r="840" spans="1:43" ht="15" thickBot="1">
      <c r="A840" s="2134"/>
      <c r="B840" s="2127"/>
      <c r="C840" s="2137"/>
      <c r="D840" s="2135">
        <v>0.15</v>
      </c>
      <c r="E840" s="2133">
        <f>B840*C840*D840</f>
        <v>0</v>
      </c>
      <c r="G840" s="2406"/>
      <c r="H840" s="2406"/>
      <c r="I840" s="2406"/>
      <c r="J840" s="2432">
        <f>SUM(J836:J839)</f>
        <v>0</v>
      </c>
      <c r="K840" s="2406" t="s">
        <v>129</v>
      </c>
    </row>
    <row r="841" spans="1:43" ht="30">
      <c r="D841" s="2138" t="s">
        <v>2078</v>
      </c>
      <c r="E841" s="2086">
        <f>SUM(E837:E840)</f>
        <v>0</v>
      </c>
    </row>
    <row r="843" spans="1:43">
      <c r="A843" s="2831" t="s">
        <v>2018</v>
      </c>
      <c r="B843" s="2832"/>
      <c r="C843" s="2832"/>
      <c r="D843" s="2832"/>
      <c r="E843" s="2832"/>
      <c r="F843" s="2832"/>
      <c r="G843" s="2836"/>
    </row>
    <row r="844" spans="1:43">
      <c r="A844" s="2087" t="s">
        <v>1996</v>
      </c>
      <c r="B844" s="2087" t="s">
        <v>1205</v>
      </c>
      <c r="C844" s="2087" t="s">
        <v>1607</v>
      </c>
      <c r="D844" s="2087" t="s">
        <v>1168</v>
      </c>
      <c r="E844" s="2087" t="s">
        <v>1205</v>
      </c>
      <c r="F844" s="2087" t="s">
        <v>1243</v>
      </c>
      <c r="G844" s="2087"/>
    </row>
    <row r="845" spans="1:43">
      <c r="A845" s="2824" t="s">
        <v>2079</v>
      </c>
      <c r="B845" s="2133">
        <f>B837</f>
        <v>0</v>
      </c>
      <c r="C845" s="2133">
        <f>B845/0.2</f>
        <v>0</v>
      </c>
      <c r="D845" s="2133">
        <f>ROUNDUP(C845,0)</f>
        <v>0</v>
      </c>
      <c r="E845" s="2133">
        <f>(2*(B847-0.05))+0.2</f>
        <v>0.1</v>
      </c>
      <c r="F845" s="2133">
        <f>D845*E845</f>
        <v>0</v>
      </c>
      <c r="G845" s="2133">
        <f>F845*0.89</f>
        <v>0</v>
      </c>
      <c r="I845" s="2089"/>
      <c r="J845" s="2089"/>
      <c r="K845" s="2089"/>
      <c r="L845" s="2089"/>
    </row>
    <row r="846" spans="1:43">
      <c r="A846" s="2829"/>
      <c r="B846" s="2133"/>
      <c r="C846" s="2133"/>
      <c r="D846" s="2133"/>
      <c r="E846" s="2133"/>
      <c r="F846" s="2133"/>
      <c r="G846" s="2133"/>
      <c r="I846" s="2089"/>
      <c r="J846" s="2089"/>
      <c r="K846" s="2089"/>
      <c r="L846" s="2089"/>
    </row>
    <row r="847" spans="1:43">
      <c r="A847" s="2825"/>
      <c r="B847" s="2133">
        <f>C837</f>
        <v>0</v>
      </c>
      <c r="C847" s="2133">
        <f>B847/0.2</f>
        <v>0</v>
      </c>
      <c r="D847" s="2133">
        <f>ROUNDUP(C847,0)</f>
        <v>0</v>
      </c>
      <c r="E847" s="2133">
        <f>(2*(B845-0.05))+0.2</f>
        <v>0.1</v>
      </c>
      <c r="F847" s="2133">
        <f>D847*E847</f>
        <v>0</v>
      </c>
      <c r="G847" s="2133">
        <f>F847*0.4</f>
        <v>0</v>
      </c>
      <c r="L847" s="2089"/>
    </row>
    <row r="849" spans="1:7">
      <c r="A849" s="2831" t="s">
        <v>2017</v>
      </c>
      <c r="B849" s="2832"/>
      <c r="C849" s="2832"/>
      <c r="D849" s="2832"/>
      <c r="E849" s="2832"/>
      <c r="F849" s="2832"/>
      <c r="G849" s="2836"/>
    </row>
    <row r="850" spans="1:7">
      <c r="A850" s="2824" t="s">
        <v>2079</v>
      </c>
      <c r="B850" s="2087">
        <f>B838</f>
        <v>0</v>
      </c>
      <c r="C850" s="2087">
        <f>B850/0.2</f>
        <v>0</v>
      </c>
      <c r="D850" s="2087">
        <f>ROUNDUP(C850,0)</f>
        <v>0</v>
      </c>
      <c r="E850" s="2087">
        <f>(2*(B851-0.05))+0.2</f>
        <v>0.1</v>
      </c>
      <c r="F850" s="2087">
        <f>D850*E850</f>
        <v>0</v>
      </c>
      <c r="G850" s="2087">
        <f>F850*0.89</f>
        <v>0</v>
      </c>
    </row>
    <row r="851" spans="1:7">
      <c r="A851" s="2825"/>
      <c r="B851" s="2133">
        <f>C838</f>
        <v>0</v>
      </c>
      <c r="C851" s="2133"/>
      <c r="D851" s="2133">
        <f>ROUNDUP(C851,0)</f>
        <v>0</v>
      </c>
      <c r="E851" s="2133">
        <f>(2*(B850-0.05))+0.2</f>
        <v>0.1</v>
      </c>
      <c r="F851" s="2133">
        <f>D851*E851</f>
        <v>0</v>
      </c>
      <c r="G851" s="2133">
        <f>F851*0.4</f>
        <v>0</v>
      </c>
    </row>
    <row r="853" spans="1:7">
      <c r="A853" s="2826" t="s">
        <v>2019</v>
      </c>
      <c r="B853" s="2827"/>
      <c r="C853" s="2827"/>
      <c r="D853" s="2827"/>
      <c r="E853" s="2827"/>
      <c r="F853" s="2827"/>
      <c r="G853" s="2828"/>
    </row>
    <row r="854" spans="1:7">
      <c r="A854" s="2087" t="s">
        <v>1996</v>
      </c>
      <c r="B854" s="2087" t="s">
        <v>1205</v>
      </c>
      <c r="C854" s="2087" t="s">
        <v>1607</v>
      </c>
      <c r="D854" s="2087" t="s">
        <v>1168</v>
      </c>
      <c r="E854" s="2087" t="s">
        <v>1205</v>
      </c>
      <c r="F854" s="2087" t="s">
        <v>1243</v>
      </c>
      <c r="G854" s="2087"/>
    </row>
    <row r="855" spans="1:7">
      <c r="A855" s="2824" t="s">
        <v>2080</v>
      </c>
      <c r="B855" s="2133">
        <f>B839</f>
        <v>0</v>
      </c>
      <c r="C855" s="2133">
        <f>B855/0.2</f>
        <v>0</v>
      </c>
      <c r="D855" s="2133">
        <f>ROUNDUP(C855,0)</f>
        <v>0</v>
      </c>
      <c r="E855" s="2133">
        <f>(2*(B857-0.05))+0.2</f>
        <v>0.1</v>
      </c>
      <c r="F855" s="2133">
        <f>D855*E855</f>
        <v>0</v>
      </c>
      <c r="G855" s="2133">
        <f>F855*0.89</f>
        <v>0</v>
      </c>
    </row>
    <row r="856" spans="1:7">
      <c r="A856" s="2829"/>
      <c r="B856" s="2133"/>
      <c r="C856" s="2133"/>
      <c r="D856" s="2133"/>
      <c r="E856" s="2133"/>
      <c r="F856" s="2133"/>
      <c r="G856" s="2133"/>
    </row>
    <row r="857" spans="1:7">
      <c r="A857" s="2825"/>
      <c r="B857" s="2133">
        <v>0</v>
      </c>
      <c r="C857" s="2133">
        <f>B857/0.2</f>
        <v>0</v>
      </c>
      <c r="D857" s="2133">
        <f>ROUNDUP(C857,0)</f>
        <v>0</v>
      </c>
      <c r="E857" s="2133">
        <f>(2*(B855-0.05))+0.2</f>
        <v>0.1</v>
      </c>
      <c r="F857" s="2133">
        <f>D857*E857</f>
        <v>0</v>
      </c>
      <c r="G857" s="2133">
        <f>F857*0.4</f>
        <v>0</v>
      </c>
    </row>
    <row r="859" spans="1:7">
      <c r="A859" s="2826" t="s">
        <v>2017</v>
      </c>
      <c r="B859" s="2827"/>
      <c r="C859" s="2827"/>
      <c r="D859" s="2827"/>
      <c r="E859" s="2827"/>
      <c r="F859" s="2827"/>
      <c r="G859" s="2828"/>
    </row>
    <row r="860" spans="1:7">
      <c r="A860" s="2830" t="s">
        <v>2080</v>
      </c>
      <c r="B860" s="2087">
        <f>B840</f>
        <v>0</v>
      </c>
      <c r="C860" s="2087">
        <f>B860/0.2</f>
        <v>0</v>
      </c>
      <c r="D860" s="2087">
        <f>ROUNDUP(C860,0)</f>
        <v>0</v>
      </c>
      <c r="E860" s="2087">
        <f>(2*(B861-0.05))+0.2</f>
        <v>0.1</v>
      </c>
      <c r="F860" s="2087">
        <f>D860*E860</f>
        <v>0</v>
      </c>
      <c r="G860" s="2087">
        <f>F860*0.89</f>
        <v>0</v>
      </c>
    </row>
    <row r="861" spans="1:7">
      <c r="A861" s="2825"/>
      <c r="B861" s="2133">
        <v>0</v>
      </c>
      <c r="C861" s="2133">
        <f>B861/0.2</f>
        <v>0</v>
      </c>
      <c r="D861" s="2133">
        <f>ROUNDUP(C861,0)</f>
        <v>0</v>
      </c>
      <c r="E861" s="2133">
        <f>(2*(B860-0.05))+0.2</f>
        <v>0.1</v>
      </c>
      <c r="F861" s="2133">
        <f>D861*E861</f>
        <v>0</v>
      </c>
      <c r="G861" s="2133">
        <f>F861*0.4</f>
        <v>0</v>
      </c>
    </row>
    <row r="862" spans="1:7" ht="15">
      <c r="E862" s="2804" t="s">
        <v>2097</v>
      </c>
      <c r="F862" s="2805"/>
      <c r="G862" s="2086">
        <f>G845+G850+G855+G860</f>
        <v>0</v>
      </c>
    </row>
    <row r="863" spans="1:7" ht="15">
      <c r="E863" s="2804" t="s">
        <v>2096</v>
      </c>
      <c r="F863" s="2805"/>
      <c r="G863" s="2086">
        <f>G847+G851+G857+G861</f>
        <v>0</v>
      </c>
    </row>
    <row r="865" spans="1:6">
      <c r="A865" s="2176" t="s">
        <v>2047</v>
      </c>
      <c r="B865" s="2176" t="s">
        <v>2009</v>
      </c>
      <c r="C865" s="2176" t="s">
        <v>2045</v>
      </c>
      <c r="D865" s="2176" t="s">
        <v>1568</v>
      </c>
    </row>
    <row r="866" spans="1:6">
      <c r="A866" s="2830" t="s">
        <v>2079</v>
      </c>
      <c r="B866" s="2087">
        <f t="shared" ref="B866:C869" si="205">B837</f>
        <v>0</v>
      </c>
      <c r="C866" s="2087">
        <f t="shared" si="205"/>
        <v>0</v>
      </c>
      <c r="D866" s="2087">
        <f>B866*C866</f>
        <v>0</v>
      </c>
    </row>
    <row r="867" spans="1:6">
      <c r="A867" s="2825"/>
      <c r="B867" s="2133">
        <f t="shared" si="205"/>
        <v>0</v>
      </c>
      <c r="C867" s="2133">
        <f t="shared" si="205"/>
        <v>0</v>
      </c>
      <c r="D867" s="2133">
        <f>B867*C867</f>
        <v>0</v>
      </c>
    </row>
    <row r="868" spans="1:6">
      <c r="A868" s="2824" t="s">
        <v>2081</v>
      </c>
      <c r="B868" s="2133">
        <f t="shared" si="205"/>
        <v>0</v>
      </c>
      <c r="C868" s="2133">
        <f t="shared" si="205"/>
        <v>0</v>
      </c>
      <c r="D868" s="2133">
        <f>B868*C868</f>
        <v>0</v>
      </c>
    </row>
    <row r="869" spans="1:6">
      <c r="A869" s="2825"/>
      <c r="B869" s="2133">
        <f t="shared" si="205"/>
        <v>0</v>
      </c>
      <c r="C869" s="2133">
        <f t="shared" si="205"/>
        <v>0</v>
      </c>
      <c r="D869" s="2133">
        <f>B869*C869</f>
        <v>0</v>
      </c>
    </row>
    <row r="870" spans="1:6" ht="30">
      <c r="C870" s="2156" t="s">
        <v>2076</v>
      </c>
      <c r="D870" s="2133">
        <f>SUM(D866:D869)</f>
        <v>0</v>
      </c>
    </row>
    <row r="871" spans="1:6" ht="14.25" customHeight="1"/>
    <row r="872" spans="1:6" ht="15" thickBot="1">
      <c r="A872" s="2810" t="s">
        <v>2085</v>
      </c>
      <c r="B872" s="2189" t="s">
        <v>2009</v>
      </c>
      <c r="C872" s="2189" t="s">
        <v>2045</v>
      </c>
      <c r="D872" s="2176" t="s">
        <v>1568</v>
      </c>
    </row>
    <row r="873" spans="1:6" ht="15" thickBot="1">
      <c r="A873" s="2811"/>
      <c r="B873" s="2348"/>
      <c r="C873" s="2349"/>
      <c r="D873" s="2135">
        <v>0.1</v>
      </c>
    </row>
    <row r="874" spans="1:6" ht="15" customHeight="1">
      <c r="A874" s="2812"/>
      <c r="B874" s="2814" t="s">
        <v>2078</v>
      </c>
      <c r="C874" s="2815"/>
      <c r="D874" s="2133">
        <f>B873*C873*D873</f>
        <v>0</v>
      </c>
    </row>
    <row r="875" spans="1:6" ht="15">
      <c r="A875" s="2813"/>
      <c r="B875" s="2816" t="s">
        <v>2082</v>
      </c>
      <c r="C875" s="2817"/>
      <c r="D875" s="2133">
        <f>D874-(0.4*0.1)*0</f>
        <v>0</v>
      </c>
    </row>
    <row r="876" spans="1:6" ht="14.25" customHeight="1"/>
    <row r="877" spans="1:6">
      <c r="A877" s="2818" t="s">
        <v>2084</v>
      </c>
      <c r="B877" s="2176" t="s">
        <v>1205</v>
      </c>
      <c r="C877" s="2176" t="s">
        <v>1607</v>
      </c>
      <c r="D877" s="2176" t="s">
        <v>2093</v>
      </c>
      <c r="E877" s="2176" t="s">
        <v>1205</v>
      </c>
      <c r="F877" s="2176" t="s">
        <v>1568</v>
      </c>
    </row>
    <row r="878" spans="1:6">
      <c r="A878" s="2819"/>
      <c r="B878" s="2135">
        <f>B873</f>
        <v>0</v>
      </c>
      <c r="C878" s="2133">
        <f>B878/0.15</f>
        <v>0</v>
      </c>
      <c r="D878" s="2133">
        <f>ROUNDUP(C878,0)</f>
        <v>0</v>
      </c>
      <c r="E878" s="2133">
        <f>B879-0.05</f>
        <v>-0.05</v>
      </c>
      <c r="F878" s="2133">
        <f>D878*E878</f>
        <v>0</v>
      </c>
    </row>
    <row r="879" spans="1:6">
      <c r="A879" s="2820"/>
      <c r="B879" s="2135">
        <f>C873</f>
        <v>0</v>
      </c>
      <c r="C879" s="2133">
        <f>B879/0.15</f>
        <v>0</v>
      </c>
      <c r="D879" s="2145">
        <f>ROUNDUP(C879,0)</f>
        <v>0</v>
      </c>
      <c r="E879" s="2145">
        <f>B878-0.05</f>
        <v>-0.05</v>
      </c>
      <c r="F879" s="2145">
        <f>D879*E879</f>
        <v>0</v>
      </c>
    </row>
    <row r="880" spans="1:6" ht="15">
      <c r="A880" s="2107"/>
      <c r="B880" s="2107"/>
      <c r="C880" s="2107"/>
      <c r="D880" s="2821" t="s">
        <v>2086</v>
      </c>
      <c r="E880" s="2821"/>
      <c r="F880" s="2133">
        <f>F878*0.62</f>
        <v>0</v>
      </c>
    </row>
    <row r="881" spans="1:16" ht="15">
      <c r="A881" s="2107"/>
      <c r="B881" s="2107"/>
      <c r="C881" s="2107"/>
      <c r="D881" s="2821" t="s">
        <v>2087</v>
      </c>
      <c r="E881" s="2821"/>
      <c r="F881" s="2133">
        <f>F879*0.62</f>
        <v>0</v>
      </c>
    </row>
    <row r="883" spans="1:16">
      <c r="A883" s="2818" t="s">
        <v>2083</v>
      </c>
      <c r="B883" s="2176" t="s">
        <v>1205</v>
      </c>
      <c r="C883" s="2176" t="s">
        <v>1111</v>
      </c>
      <c r="D883" s="2176" t="s">
        <v>1568</v>
      </c>
    </row>
    <row r="884" spans="1:16">
      <c r="A884" s="2822"/>
      <c r="B884" s="2135">
        <f>B873</f>
        <v>0</v>
      </c>
      <c r="C884" s="2133">
        <f>C873</f>
        <v>0</v>
      </c>
      <c r="D884" s="2133">
        <f>B884*C884</f>
        <v>0</v>
      </c>
    </row>
    <row r="885" spans="1:16">
      <c r="A885" s="2823"/>
      <c r="B885" s="2135">
        <f>B873</f>
        <v>0</v>
      </c>
      <c r="C885" s="2133">
        <f>D873</f>
        <v>0.1</v>
      </c>
      <c r="D885" s="2133">
        <f>B885*C885</f>
        <v>0</v>
      </c>
    </row>
    <row r="886" spans="1:16" ht="30">
      <c r="C886" s="2156" t="s">
        <v>2076</v>
      </c>
      <c r="D886" s="2133">
        <f>SUM(D884:D885)</f>
        <v>0</v>
      </c>
    </row>
    <row r="888" spans="1:16">
      <c r="A888" s="2807" t="s">
        <v>2056</v>
      </c>
      <c r="B888" s="2808"/>
      <c r="C888" s="2808"/>
      <c r="D888" s="2808"/>
      <c r="E888" s="2808"/>
      <c r="F888" s="2809"/>
      <c r="G888" s="2166" t="s">
        <v>1568</v>
      </c>
      <c r="H888" s="2167"/>
      <c r="I888" s="2167"/>
      <c r="J888" s="2168"/>
      <c r="L888" s="2807" t="s">
        <v>2094</v>
      </c>
      <c r="M888" s="2808"/>
      <c r="N888" s="2808"/>
      <c r="O888" s="2808"/>
      <c r="P888" s="2808"/>
    </row>
    <row r="889" spans="1:16" ht="15.75" thickBot="1">
      <c r="A889" s="2133" t="s">
        <v>2090</v>
      </c>
      <c r="B889" s="2145" t="s">
        <v>2009</v>
      </c>
      <c r="C889" s="2133" t="s">
        <v>1609</v>
      </c>
      <c r="D889" s="2133" t="s">
        <v>1679</v>
      </c>
      <c r="E889" s="2169" t="s">
        <v>2435</v>
      </c>
      <c r="F889" s="2170" t="s">
        <v>2440</v>
      </c>
      <c r="G889" s="2133" t="s">
        <v>2050</v>
      </c>
      <c r="H889" s="2133" t="s">
        <v>2051</v>
      </c>
      <c r="I889" s="2133" t="s">
        <v>2441</v>
      </c>
      <c r="J889" s="2133" t="s">
        <v>2442</v>
      </c>
      <c r="L889" s="2133" t="s">
        <v>1607</v>
      </c>
      <c r="M889" s="2133" t="s">
        <v>1611</v>
      </c>
      <c r="N889" s="2133" t="s">
        <v>1168</v>
      </c>
      <c r="O889" s="2133" t="s">
        <v>1205</v>
      </c>
      <c r="P889" s="2133" t="s">
        <v>1243</v>
      </c>
    </row>
    <row r="890" spans="1:16">
      <c r="A890" s="2134" t="s">
        <v>187</v>
      </c>
      <c r="B890" s="2350">
        <f>K7</f>
        <v>0</v>
      </c>
      <c r="C890" s="2135">
        <v>0</v>
      </c>
      <c r="D890" s="2133">
        <v>0</v>
      </c>
      <c r="E890" s="2133">
        <v>0</v>
      </c>
      <c r="F890" s="2134">
        <v>4</v>
      </c>
      <c r="G890" s="2133">
        <f>B890*C890</f>
        <v>0</v>
      </c>
      <c r="H890" s="2133">
        <f>B890*D890</f>
        <v>0</v>
      </c>
      <c r="I890" s="2133">
        <f>B890*E890</f>
        <v>0</v>
      </c>
      <c r="J890" s="2133">
        <f>B890*F890</f>
        <v>0</v>
      </c>
      <c r="L890" s="2133">
        <f>(B890/2)/0.2</f>
        <v>0</v>
      </c>
      <c r="M890" s="2133">
        <f>(B890/2)/0.1</f>
        <v>0</v>
      </c>
      <c r="N890" s="2133">
        <f>SUM(L890:M890)</f>
        <v>0</v>
      </c>
      <c r="O890" s="2133">
        <f>2*(0.07+0.07)</f>
        <v>0.28000000000000003</v>
      </c>
      <c r="P890" s="2133">
        <f>N890*O890</f>
        <v>0</v>
      </c>
    </row>
    <row r="891" spans="1:16" ht="15" customHeight="1" thickBot="1">
      <c r="A891" s="2134" t="s">
        <v>173</v>
      </c>
      <c r="B891" s="2126"/>
      <c r="C891" s="2135">
        <v>0</v>
      </c>
      <c r="D891" s="2133">
        <v>0</v>
      </c>
      <c r="E891" s="2133">
        <v>0</v>
      </c>
      <c r="F891" s="2134">
        <v>4</v>
      </c>
      <c r="G891" s="2133">
        <f>B891*C891</f>
        <v>0</v>
      </c>
      <c r="H891" s="2133">
        <f>B891*D891</f>
        <v>0</v>
      </c>
      <c r="I891" s="2133">
        <f>B891*E891</f>
        <v>0</v>
      </c>
      <c r="J891" s="2133">
        <f>B891*F891</f>
        <v>0</v>
      </c>
      <c r="L891" s="2133">
        <f>(B891/2)/0.2</f>
        <v>0</v>
      </c>
      <c r="M891" s="2133">
        <f>(B891/2)/0.1</f>
        <v>0</v>
      </c>
      <c r="N891" s="2133">
        <f>SUM(L891:M891)</f>
        <v>0</v>
      </c>
      <c r="O891" s="2133"/>
      <c r="P891" s="2133">
        <f>N891*O891</f>
        <v>0</v>
      </c>
    </row>
    <row r="892" spans="1:16" ht="15" customHeight="1">
      <c r="A892" s="2107"/>
      <c r="B892" s="2107"/>
      <c r="C892" s="2107"/>
      <c r="D892" s="2107"/>
      <c r="E892" s="2804" t="s">
        <v>2074</v>
      </c>
      <c r="F892" s="2805"/>
      <c r="G892" s="2133">
        <f>SUM(G890:G891)</f>
        <v>0</v>
      </c>
      <c r="H892" s="2133">
        <f>SUM(H890:H891)</f>
        <v>0</v>
      </c>
      <c r="I892" s="2133">
        <f>SUM(I890:I891)</f>
        <v>0</v>
      </c>
      <c r="J892" s="2133">
        <f>SUM(J890:J891)</f>
        <v>0</v>
      </c>
      <c r="M892" s="2806" t="s">
        <v>2074</v>
      </c>
      <c r="N892" s="2806"/>
      <c r="O892" s="2806"/>
      <c r="P892" s="2133">
        <f>SUM(P890:P891)</f>
        <v>0</v>
      </c>
    </row>
    <row r="893" spans="1:16" ht="15">
      <c r="A893" s="2107"/>
      <c r="B893" s="2107"/>
      <c r="C893" s="2107"/>
      <c r="D893" s="2107"/>
      <c r="E893" s="2804" t="s">
        <v>2075</v>
      </c>
      <c r="F893" s="2805"/>
      <c r="G893" s="2133">
        <f>G892*1.58</f>
        <v>0</v>
      </c>
      <c r="H893" s="2133">
        <f>H892*1.04</f>
        <v>0</v>
      </c>
      <c r="I893" s="2133">
        <f>I892*0.89</f>
        <v>0</v>
      </c>
      <c r="J893" s="2159">
        <f>J892*0.62</f>
        <v>0</v>
      </c>
      <c r="M893" s="2806" t="s">
        <v>2075</v>
      </c>
      <c r="N893" s="2806"/>
      <c r="O893" s="2806"/>
      <c r="P893" s="2159">
        <f>P892*0.4</f>
        <v>0</v>
      </c>
    </row>
    <row r="894" spans="1:16">
      <c r="A894" s="2107"/>
      <c r="B894" s="2107"/>
      <c r="C894" s="2107"/>
      <c r="D894" s="2107"/>
      <c r="E894" s="2107"/>
      <c r="F894" s="2107"/>
      <c r="G894" s="2107"/>
      <c r="H894" s="2107"/>
      <c r="I894" s="2107"/>
      <c r="J894" s="2107"/>
    </row>
    <row r="895" spans="1:16">
      <c r="A895" s="2807" t="s">
        <v>2052</v>
      </c>
      <c r="B895" s="2808"/>
      <c r="C895" s="2808"/>
      <c r="D895" s="2808"/>
    </row>
    <row r="896" spans="1:16">
      <c r="A896" s="2133" t="s">
        <v>1711</v>
      </c>
      <c r="B896" s="2133" t="s">
        <v>1614</v>
      </c>
      <c r="C896" s="2133" t="s">
        <v>1615</v>
      </c>
      <c r="D896" s="2133"/>
    </row>
    <row r="897" spans="1:16">
      <c r="A897" s="2133" t="str">
        <f>A890</f>
        <v>B1</v>
      </c>
      <c r="B897" s="2133">
        <f>B890</f>
        <v>0</v>
      </c>
      <c r="C897" s="2133">
        <f>0.15*0.15</f>
        <v>2.2499999999999999E-2</v>
      </c>
      <c r="D897" s="2133">
        <f>B897*C897</f>
        <v>0</v>
      </c>
    </row>
    <row r="898" spans="1:16" ht="15" customHeight="1">
      <c r="A898" s="2133" t="str">
        <f>A891</f>
        <v>B2</v>
      </c>
      <c r="B898" s="2133">
        <f>B891</f>
        <v>0</v>
      </c>
      <c r="C898" s="2133"/>
      <c r="D898" s="2133">
        <f>B898*C898</f>
        <v>0</v>
      </c>
    </row>
    <row r="899" spans="1:16" ht="30">
      <c r="C899" s="2156" t="s">
        <v>2078</v>
      </c>
      <c r="D899" s="2159">
        <f>SUM(D897:D898)</f>
        <v>0</v>
      </c>
    </row>
    <row r="901" spans="1:16">
      <c r="A901" s="2807" t="s">
        <v>2053</v>
      </c>
      <c r="B901" s="2808"/>
      <c r="C901" s="2808"/>
      <c r="D901" s="2808"/>
    </row>
    <row r="902" spans="1:16">
      <c r="A902" s="2133" t="s">
        <v>1711</v>
      </c>
      <c r="B902" s="2133" t="s">
        <v>1614</v>
      </c>
      <c r="C902" s="2133" t="s">
        <v>1615</v>
      </c>
      <c r="D902" s="2133"/>
    </row>
    <row r="903" spans="1:16">
      <c r="A903" s="2133" t="str">
        <f>A897</f>
        <v>B1</v>
      </c>
      <c r="B903" s="2133">
        <f>B897</f>
        <v>0</v>
      </c>
      <c r="C903" s="2133">
        <f>0.15*3</f>
        <v>0.44999999999999996</v>
      </c>
      <c r="D903" s="2133">
        <f>B903*C903</f>
        <v>0</v>
      </c>
    </row>
    <row r="904" spans="1:16">
      <c r="A904" s="2133" t="str">
        <f>A898</f>
        <v>B2</v>
      </c>
      <c r="B904" s="2133">
        <f>B898</f>
        <v>0</v>
      </c>
      <c r="C904" s="2133"/>
      <c r="D904" s="2133">
        <f>B904*C904</f>
        <v>0</v>
      </c>
    </row>
    <row r="905" spans="1:16" ht="30">
      <c r="C905" s="2156" t="s">
        <v>2076</v>
      </c>
      <c r="D905" s="2159">
        <f>SUM(D903:D904)</f>
        <v>0</v>
      </c>
    </row>
    <row r="907" spans="1:16">
      <c r="A907" s="2807" t="s">
        <v>2054</v>
      </c>
      <c r="B907" s="2808"/>
      <c r="C907" s="2808"/>
      <c r="D907" s="2808"/>
      <c r="E907" s="2808"/>
      <c r="F907" s="2809"/>
      <c r="G907" s="2166" t="s">
        <v>1568</v>
      </c>
      <c r="H907" s="2167"/>
      <c r="I907" s="2167"/>
      <c r="J907" s="2168"/>
      <c r="L907" s="2807" t="s">
        <v>2094</v>
      </c>
      <c r="M907" s="2808"/>
      <c r="N907" s="2808"/>
      <c r="O907" s="2808"/>
      <c r="P907" s="2808"/>
    </row>
    <row r="908" spans="1:16" ht="15">
      <c r="A908" s="2133" t="s">
        <v>2130</v>
      </c>
      <c r="B908" s="2145" t="s">
        <v>2009</v>
      </c>
      <c r="C908" s="2133" t="s">
        <v>1609</v>
      </c>
      <c r="D908" s="2133" t="s">
        <v>1679</v>
      </c>
      <c r="E908" s="2169" t="s">
        <v>2435</v>
      </c>
      <c r="F908" s="2170" t="s">
        <v>2440</v>
      </c>
      <c r="G908" s="2133" t="s">
        <v>2050</v>
      </c>
      <c r="H908" s="2133" t="s">
        <v>2051</v>
      </c>
      <c r="I908" s="2133" t="s">
        <v>2441</v>
      </c>
      <c r="J908" s="2133" t="s">
        <v>2442</v>
      </c>
      <c r="L908" s="2133" t="s">
        <v>1607</v>
      </c>
      <c r="M908" s="2133" t="s">
        <v>1611</v>
      </c>
      <c r="N908" s="2133" t="s">
        <v>1168</v>
      </c>
      <c r="O908" s="2133" t="s">
        <v>1205</v>
      </c>
      <c r="P908" s="2133" t="s">
        <v>1243</v>
      </c>
    </row>
    <row r="909" spans="1:16">
      <c r="A909" s="2134" t="s">
        <v>187</v>
      </c>
      <c r="B909" s="2135">
        <f>F59</f>
        <v>0</v>
      </c>
      <c r="C909" s="2135">
        <v>0</v>
      </c>
      <c r="D909" s="2133">
        <v>0</v>
      </c>
      <c r="E909" s="2133">
        <v>0</v>
      </c>
      <c r="F909" s="2134">
        <v>4</v>
      </c>
      <c r="G909" s="2133">
        <f>B909*C909</f>
        <v>0</v>
      </c>
      <c r="H909" s="2133">
        <f>B909*D909</f>
        <v>0</v>
      </c>
      <c r="I909" s="2133">
        <f>B909*E909</f>
        <v>0</v>
      </c>
      <c r="J909" s="2133">
        <f>B909*F909</f>
        <v>0</v>
      </c>
      <c r="L909" s="2133">
        <f>(B909/2)/0.2</f>
        <v>0</v>
      </c>
      <c r="M909" s="2133">
        <f>(B909/2)/0.1</f>
        <v>0</v>
      </c>
      <c r="N909" s="2133">
        <f>SUM(L909:M909)</f>
        <v>0</v>
      </c>
      <c r="O909" s="2133">
        <f>(0.05+0.15)*2</f>
        <v>0.4</v>
      </c>
      <c r="P909" s="2133">
        <f>N909*O909</f>
        <v>0</v>
      </c>
    </row>
    <row r="910" spans="1:16" s="2274" customFormat="1" ht="15" customHeight="1">
      <c r="A910" s="2134" t="s">
        <v>173</v>
      </c>
      <c r="B910" s="2135">
        <f>F60</f>
        <v>0</v>
      </c>
      <c r="C910" s="2135">
        <v>0</v>
      </c>
      <c r="D910" s="2133">
        <v>0</v>
      </c>
      <c r="E910" s="2133">
        <v>0</v>
      </c>
      <c r="F910" s="2134">
        <v>4</v>
      </c>
      <c r="G910" s="2133">
        <f>B910*C910</f>
        <v>0</v>
      </c>
      <c r="H910" s="2133">
        <f>B910*D910</f>
        <v>0</v>
      </c>
      <c r="I910" s="2133">
        <f>B910*E910</f>
        <v>0</v>
      </c>
      <c r="J910" s="2133">
        <f>B910*F910</f>
        <v>0</v>
      </c>
      <c r="L910" s="2133">
        <f>(B910/2)/0.2</f>
        <v>0</v>
      </c>
      <c r="M910" s="2133">
        <f>(B910/2)/0.1</f>
        <v>0</v>
      </c>
      <c r="N910" s="2133">
        <f>SUM(L910:M910)</f>
        <v>0</v>
      </c>
      <c r="O910" s="2133">
        <f>(0.05+0.15)*2</f>
        <v>0.4</v>
      </c>
      <c r="P910" s="2133">
        <f>N910*O910</f>
        <v>0</v>
      </c>
    </row>
    <row r="911" spans="1:16" s="2493" customFormat="1" ht="15" customHeight="1">
      <c r="A911" s="2134" t="s">
        <v>172</v>
      </c>
      <c r="B911" s="2135">
        <f>F61</f>
        <v>0</v>
      </c>
      <c r="C911" s="2135">
        <v>0</v>
      </c>
      <c r="D911" s="2133">
        <v>0</v>
      </c>
      <c r="E911" s="2133">
        <v>0</v>
      </c>
      <c r="F911" s="2134">
        <v>4</v>
      </c>
      <c r="G911" s="2133">
        <f>B911*C911</f>
        <v>0</v>
      </c>
      <c r="H911" s="2133">
        <f>B911*D911</f>
        <v>0</v>
      </c>
      <c r="I911" s="2133">
        <f>B911*E911</f>
        <v>0</v>
      </c>
      <c r="J911" s="2133">
        <f>B911*F911</f>
        <v>0</v>
      </c>
      <c r="L911" s="2133">
        <f>(B911/2)/0.2</f>
        <v>0</v>
      </c>
      <c r="M911" s="2133">
        <f>(B911/2)/0.1</f>
        <v>0</v>
      </c>
      <c r="N911" s="2133">
        <f>SUM(L911:M911)</f>
        <v>0</v>
      </c>
      <c r="O911" s="2133">
        <f>(0.05+0.15)*2</f>
        <v>0.4</v>
      </c>
      <c r="P911" s="2133">
        <f>N911*O911</f>
        <v>0</v>
      </c>
    </row>
    <row r="912" spans="1:16" s="2493" customFormat="1" ht="15" customHeight="1">
      <c r="A912" s="2134" t="s">
        <v>174</v>
      </c>
      <c r="B912" s="2135">
        <f>F62</f>
        <v>0</v>
      </c>
      <c r="C912" s="2135">
        <v>0</v>
      </c>
      <c r="D912" s="2133">
        <v>0</v>
      </c>
      <c r="E912" s="2133">
        <v>0</v>
      </c>
      <c r="F912" s="2134">
        <v>4</v>
      </c>
      <c r="G912" s="2133">
        <f>B912*C912</f>
        <v>0</v>
      </c>
      <c r="H912" s="2133">
        <f>B912*D912</f>
        <v>0</v>
      </c>
      <c r="I912" s="2133">
        <f>B912*E912</f>
        <v>0</v>
      </c>
      <c r="J912" s="2133">
        <f>B912*F912</f>
        <v>0</v>
      </c>
      <c r="L912" s="2133">
        <f>(B912/2)/0.2</f>
        <v>0</v>
      </c>
      <c r="M912" s="2133">
        <f>(B912/2)/0.1</f>
        <v>0</v>
      </c>
      <c r="N912" s="2133">
        <f>SUM(L912:M912)</f>
        <v>0</v>
      </c>
      <c r="O912" s="2133">
        <f>(0.05+0.15)*2</f>
        <v>0.4</v>
      </c>
      <c r="P912" s="2133">
        <f>N912*O912</f>
        <v>0</v>
      </c>
    </row>
    <row r="913" spans="1:16" ht="15" customHeight="1">
      <c r="A913" s="2134" t="s">
        <v>188</v>
      </c>
      <c r="B913" s="2135">
        <f>F63</f>
        <v>0</v>
      </c>
      <c r="C913" s="2135">
        <v>0</v>
      </c>
      <c r="D913" s="2133">
        <v>0</v>
      </c>
      <c r="E913" s="2133">
        <v>0</v>
      </c>
      <c r="F913" s="2134">
        <v>4</v>
      </c>
      <c r="G913" s="2133">
        <f>B913*C913</f>
        <v>0</v>
      </c>
      <c r="H913" s="2133">
        <f>B913*D913</f>
        <v>0</v>
      </c>
      <c r="I913" s="2133">
        <f>B913*E913</f>
        <v>0</v>
      </c>
      <c r="J913" s="2133">
        <f>B913*F913</f>
        <v>0</v>
      </c>
      <c r="L913" s="2133">
        <f>(B913/2)/0.2</f>
        <v>0</v>
      </c>
      <c r="M913" s="2133">
        <f>(B913/2)/0.1</f>
        <v>0</v>
      </c>
      <c r="N913" s="2133">
        <f>SUM(L913:M913)</f>
        <v>0</v>
      </c>
      <c r="O913" s="2133">
        <f>(0.05+0.15)*2</f>
        <v>0.4</v>
      </c>
      <c r="P913" s="2133">
        <f>N913*O913</f>
        <v>0</v>
      </c>
    </row>
    <row r="914" spans="1:16" ht="15" customHeight="1">
      <c r="A914" s="2107"/>
      <c r="B914" s="2107"/>
      <c r="C914" s="2107"/>
      <c r="D914" s="2107"/>
      <c r="E914" s="2804" t="s">
        <v>2074</v>
      </c>
      <c r="F914" s="2805"/>
      <c r="G914" s="2133">
        <f>SUM(G909:G913)</f>
        <v>0</v>
      </c>
      <c r="H914" s="2133">
        <f>SUM(H909:H913)</f>
        <v>0</v>
      </c>
      <c r="I914" s="2133">
        <f>SUM(I909:I913)</f>
        <v>0</v>
      </c>
      <c r="J914" s="2133">
        <f>SUM(J909:J913)</f>
        <v>0</v>
      </c>
      <c r="M914" s="2806" t="s">
        <v>2074</v>
      </c>
      <c r="N914" s="2806"/>
      <c r="O914" s="2806"/>
      <c r="P914" s="2133">
        <f>SUM(P909:P913)</f>
        <v>0</v>
      </c>
    </row>
    <row r="915" spans="1:16" ht="15">
      <c r="A915" s="2107"/>
      <c r="B915" s="2107"/>
      <c r="C915" s="2107"/>
      <c r="D915" s="2107"/>
      <c r="E915" s="2804" t="s">
        <v>2075</v>
      </c>
      <c r="F915" s="2805"/>
      <c r="G915" s="2133">
        <f>G914*1.58</f>
        <v>0</v>
      </c>
      <c r="H915" s="2133">
        <f>H914*1.04</f>
        <v>0</v>
      </c>
      <c r="I915" s="2133">
        <f>I914*0.89</f>
        <v>0</v>
      </c>
      <c r="J915" s="2183">
        <f>J914*0.62</f>
        <v>0</v>
      </c>
      <c r="M915" s="2806" t="s">
        <v>2075</v>
      </c>
      <c r="N915" s="2806"/>
      <c r="O915" s="2806"/>
      <c r="P915" s="2183">
        <f>P914*0.4</f>
        <v>0</v>
      </c>
    </row>
    <row r="916" spans="1:16">
      <c r="A916" s="2107"/>
      <c r="B916" s="2107"/>
      <c r="C916" s="2107"/>
      <c r="D916" s="2107"/>
      <c r="E916" s="2107"/>
      <c r="F916" s="2107"/>
      <c r="G916" s="2107"/>
      <c r="H916" s="2107"/>
      <c r="I916" s="2107"/>
      <c r="J916" s="2107"/>
    </row>
    <row r="917" spans="1:16">
      <c r="A917" s="2807" t="s">
        <v>2055</v>
      </c>
      <c r="B917" s="2808"/>
      <c r="C917" s="2808"/>
      <c r="D917" s="2808"/>
    </row>
    <row r="918" spans="1:16">
      <c r="A918" s="2133" t="s">
        <v>2130</v>
      </c>
      <c r="B918" s="2133" t="s">
        <v>1614</v>
      </c>
      <c r="C918" s="2133" t="s">
        <v>1615</v>
      </c>
      <c r="D918" s="2133"/>
    </row>
    <row r="919" spans="1:16">
      <c r="A919" s="2133" t="str">
        <f t="shared" ref="A919:B923" si="206">A909</f>
        <v>B1</v>
      </c>
      <c r="B919" s="2133">
        <f t="shared" si="206"/>
        <v>0</v>
      </c>
      <c r="C919" s="2133">
        <f>B59*C59</f>
        <v>3.7499999999999999E-2</v>
      </c>
      <c r="D919" s="2133">
        <f>B919*C919</f>
        <v>0</v>
      </c>
    </row>
    <row r="920" spans="1:16" s="2274" customFormat="1" ht="15" customHeight="1">
      <c r="A920" s="2133" t="str">
        <f t="shared" si="206"/>
        <v>B2</v>
      </c>
      <c r="B920" s="2133">
        <f t="shared" si="206"/>
        <v>0</v>
      </c>
      <c r="C920" s="2133">
        <f>B60*C60</f>
        <v>0</v>
      </c>
      <c r="D920" s="2133">
        <f>B920*C920</f>
        <v>0</v>
      </c>
    </row>
    <row r="921" spans="1:16" s="2493" customFormat="1" ht="15" customHeight="1">
      <c r="A921" s="2133" t="str">
        <f t="shared" si="206"/>
        <v>B3</v>
      </c>
      <c r="B921" s="2133">
        <f t="shared" si="206"/>
        <v>0</v>
      </c>
      <c r="C921" s="2133">
        <f>B61*C61</f>
        <v>0</v>
      </c>
      <c r="D921" s="2133">
        <f>B921*C921</f>
        <v>0</v>
      </c>
    </row>
    <row r="922" spans="1:16" s="2493" customFormat="1" ht="15" customHeight="1">
      <c r="A922" s="2133" t="str">
        <f t="shared" si="206"/>
        <v>B4</v>
      </c>
      <c r="B922" s="2133">
        <f t="shared" si="206"/>
        <v>0</v>
      </c>
      <c r="C922" s="2133">
        <f>B62*C62</f>
        <v>0</v>
      </c>
      <c r="D922" s="2133">
        <f>B922*C922</f>
        <v>0</v>
      </c>
    </row>
    <row r="923" spans="1:16" ht="15" customHeight="1">
      <c r="A923" s="2133" t="str">
        <f t="shared" si="206"/>
        <v>B5</v>
      </c>
      <c r="B923" s="2133">
        <f t="shared" si="206"/>
        <v>0</v>
      </c>
      <c r="C923" s="2133">
        <f>B63*C63</f>
        <v>0</v>
      </c>
      <c r="D923" s="2133">
        <f>B923*C923</f>
        <v>0</v>
      </c>
    </row>
    <row r="924" spans="1:16" ht="30">
      <c r="C924" s="2156" t="s">
        <v>2078</v>
      </c>
      <c r="D924" s="2159">
        <f>SUM(D919:D923)</f>
        <v>0</v>
      </c>
    </row>
    <row r="926" spans="1:16">
      <c r="A926" s="2807" t="s">
        <v>2095</v>
      </c>
      <c r="B926" s="2808"/>
      <c r="C926" s="2808"/>
      <c r="D926" s="2808"/>
    </row>
    <row r="927" spans="1:16">
      <c r="A927" s="2133" t="s">
        <v>2130</v>
      </c>
      <c r="B927" s="2133" t="s">
        <v>1614</v>
      </c>
      <c r="C927" s="2133" t="s">
        <v>1615</v>
      </c>
      <c r="D927" s="2133"/>
    </row>
    <row r="928" spans="1:16">
      <c r="A928" s="2133" t="str">
        <f t="shared" ref="A928:B932" si="207">A919</f>
        <v>B1</v>
      </c>
      <c r="B928" s="2133">
        <f t="shared" si="207"/>
        <v>0</v>
      </c>
      <c r="C928" s="2133">
        <f>B59+C59*2</f>
        <v>0.65</v>
      </c>
      <c r="D928" s="2133">
        <f>B928*C928</f>
        <v>0</v>
      </c>
    </row>
    <row r="929" spans="1:15" s="2274" customFormat="1">
      <c r="A929" s="2133" t="str">
        <f t="shared" si="207"/>
        <v>B2</v>
      </c>
      <c r="B929" s="2133">
        <f t="shared" si="207"/>
        <v>0</v>
      </c>
      <c r="C929" s="2133">
        <f>B60+C60*2</f>
        <v>0</v>
      </c>
      <c r="D929" s="2133">
        <f>B929*C929</f>
        <v>0</v>
      </c>
    </row>
    <row r="930" spans="1:15" s="2493" customFormat="1">
      <c r="A930" s="2133" t="str">
        <f t="shared" si="207"/>
        <v>B3</v>
      </c>
      <c r="B930" s="2133">
        <f t="shared" si="207"/>
        <v>0</v>
      </c>
      <c r="C930" s="2133">
        <f>B61</f>
        <v>0</v>
      </c>
      <c r="D930" s="2133">
        <f>B930*C930</f>
        <v>0</v>
      </c>
    </row>
    <row r="931" spans="1:15" s="2493" customFormat="1">
      <c r="A931" s="2133" t="str">
        <f t="shared" si="207"/>
        <v>B4</v>
      </c>
      <c r="B931" s="2133">
        <f t="shared" si="207"/>
        <v>0</v>
      </c>
      <c r="C931" s="2133">
        <f>B62</f>
        <v>0</v>
      </c>
      <c r="D931" s="2133">
        <f>B931*C931</f>
        <v>0</v>
      </c>
    </row>
    <row r="932" spans="1:15">
      <c r="A932" s="2133" t="str">
        <f t="shared" si="207"/>
        <v>B5</v>
      </c>
      <c r="B932" s="2133">
        <f t="shared" si="207"/>
        <v>0</v>
      </c>
      <c r="C932" s="2133">
        <f>B63</f>
        <v>0</v>
      </c>
      <c r="D932" s="2133">
        <f>B932*C932</f>
        <v>0</v>
      </c>
    </row>
    <row r="933" spans="1:15" ht="30">
      <c r="C933" s="2156" t="s">
        <v>2076</v>
      </c>
      <c r="D933" s="2159">
        <f>SUM(D928:D932)</f>
        <v>0</v>
      </c>
    </row>
    <row r="934" spans="1:15" ht="14.25" customHeight="1"/>
    <row r="935" spans="1:15" s="2140" customFormat="1" ht="41.25" customHeight="1">
      <c r="A935" s="2362" t="s">
        <v>2625</v>
      </c>
      <c r="B935" s="2363"/>
      <c r="C935" s="2363"/>
      <c r="D935" s="2363"/>
      <c r="E935" s="2363"/>
      <c r="F935" s="2363"/>
      <c r="G935" s="2363"/>
      <c r="H935" s="2363"/>
      <c r="I935" s="2363"/>
      <c r="J935" s="2363"/>
      <c r="K935" s="2363"/>
      <c r="L935" s="2363"/>
      <c r="M935" s="2363"/>
      <c r="N935" s="2363"/>
      <c r="O935" s="2364"/>
    </row>
    <row r="936" spans="1:15" s="2359" customFormat="1" ht="14.25" customHeight="1">
      <c r="A936" s="2193"/>
      <c r="B936" s="2194"/>
      <c r="C936" s="2194"/>
      <c r="D936" s="2194"/>
      <c r="E936" s="2194"/>
      <c r="F936" s="2194"/>
      <c r="G936" s="2194"/>
      <c r="H936" s="2194"/>
      <c r="I936" s="2194"/>
      <c r="J936" s="2194"/>
      <c r="K936" s="2194"/>
      <c r="L936" s="2194"/>
      <c r="M936" s="2194"/>
      <c r="N936" s="2194"/>
      <c r="O936" s="2195"/>
    </row>
    <row r="937" spans="1:15" s="2359" customFormat="1" ht="14.25" customHeight="1">
      <c r="A937" s="2196"/>
      <c r="B937" s="2197"/>
      <c r="C937" s="2197"/>
      <c r="D937" s="2197"/>
      <c r="E937" s="2197"/>
      <c r="F937" s="2197"/>
      <c r="G937" s="2197"/>
      <c r="H937" s="2197"/>
      <c r="I937" s="2197"/>
      <c r="J937" s="2197"/>
      <c r="K937" s="2197"/>
      <c r="L937" s="2197"/>
      <c r="M937" s="2197"/>
      <c r="N937" s="2197"/>
      <c r="O937" s="2198"/>
    </row>
    <row r="938" spans="1:15" s="2359" customFormat="1"/>
    <row r="939" spans="1:15" s="2359" customFormat="1">
      <c r="A939" s="2831" t="s">
        <v>2020</v>
      </c>
      <c r="B939" s="2832"/>
      <c r="C939" s="2832"/>
      <c r="D939" s="2832"/>
      <c r="E939" s="2875"/>
    </row>
    <row r="940" spans="1:15" s="2359" customFormat="1">
      <c r="A940" s="2371" t="s">
        <v>1987</v>
      </c>
      <c r="B940" s="2371" t="s">
        <v>1608</v>
      </c>
      <c r="C940" s="2189" t="s">
        <v>2062</v>
      </c>
      <c r="D940" s="2371" t="s">
        <v>2088</v>
      </c>
      <c r="E940" s="2371" t="s">
        <v>1568</v>
      </c>
    </row>
    <row r="941" spans="1:15" s="2359" customFormat="1">
      <c r="A941" s="2367" t="s">
        <v>1704</v>
      </c>
      <c r="B941" s="2119">
        <f>L8</f>
        <v>0</v>
      </c>
      <c r="C941" s="2133">
        <f t="shared" ref="C941:C958" si="208">L10</f>
        <v>0</v>
      </c>
      <c r="D941" s="2121">
        <f>$D$134</f>
        <v>0.30250000000000005</v>
      </c>
      <c r="E941" s="2367">
        <f t="shared" ref="E941:E958" si="209">B941*C941*D941</f>
        <v>0</v>
      </c>
    </row>
    <row r="942" spans="1:15" s="2359" customFormat="1">
      <c r="A942" s="2133" t="s">
        <v>1705</v>
      </c>
      <c r="B942" s="2119">
        <f>$B$941</f>
        <v>0</v>
      </c>
      <c r="C942" s="2133">
        <f t="shared" si="208"/>
        <v>0</v>
      </c>
      <c r="D942" s="2121">
        <f>$D$135</f>
        <v>0</v>
      </c>
      <c r="E942" s="2133">
        <f t="shared" si="209"/>
        <v>0</v>
      </c>
    </row>
    <row r="943" spans="1:15" s="2359" customFormat="1">
      <c r="A943" s="2367" t="s">
        <v>1917</v>
      </c>
      <c r="B943" s="2119">
        <f t="shared" ref="B943:B958" si="210">$B$941</f>
        <v>0</v>
      </c>
      <c r="C943" s="2133">
        <f t="shared" si="208"/>
        <v>0</v>
      </c>
      <c r="D943" s="2121">
        <f>$D$136</f>
        <v>8.0000000000000016E-2</v>
      </c>
      <c r="E943" s="2133">
        <f t="shared" si="209"/>
        <v>0</v>
      </c>
    </row>
    <row r="944" spans="1:15" s="2359" customFormat="1">
      <c r="A944" s="2133" t="s">
        <v>1918</v>
      </c>
      <c r="B944" s="2119">
        <f t="shared" si="210"/>
        <v>0</v>
      </c>
      <c r="C944" s="2133">
        <f t="shared" si="208"/>
        <v>0</v>
      </c>
      <c r="D944" s="2121">
        <f>$D$137</f>
        <v>0.06</v>
      </c>
      <c r="E944" s="2133">
        <f t="shared" si="209"/>
        <v>0</v>
      </c>
    </row>
    <row r="945" spans="1:5" s="2359" customFormat="1">
      <c r="A945" s="2367" t="s">
        <v>1919</v>
      </c>
      <c r="B945" s="2119">
        <f t="shared" si="210"/>
        <v>0</v>
      </c>
      <c r="C945" s="2133">
        <f t="shared" si="208"/>
        <v>0</v>
      </c>
      <c r="D945" s="2121">
        <f>$D$138</f>
        <v>4.4999999999999998E-2</v>
      </c>
      <c r="E945" s="2133">
        <f t="shared" si="209"/>
        <v>0</v>
      </c>
    </row>
    <row r="946" spans="1:5" s="2359" customFormat="1">
      <c r="A946" s="2133" t="s">
        <v>1992</v>
      </c>
      <c r="B946" s="2119">
        <f t="shared" si="210"/>
        <v>0</v>
      </c>
      <c r="C946" s="2133">
        <f t="shared" si="208"/>
        <v>0</v>
      </c>
      <c r="D946" s="2121">
        <f>$D$139</f>
        <v>6.25E-2</v>
      </c>
      <c r="E946" s="2133">
        <f t="shared" si="209"/>
        <v>0</v>
      </c>
    </row>
    <row r="947" spans="1:5" s="2359" customFormat="1">
      <c r="A947" s="2367" t="s">
        <v>1993</v>
      </c>
      <c r="B947" s="2119">
        <f t="shared" si="210"/>
        <v>0</v>
      </c>
      <c r="C947" s="2133">
        <f t="shared" si="208"/>
        <v>0</v>
      </c>
      <c r="D947" s="2121">
        <f>$D$140</f>
        <v>3.7499999999999999E-2</v>
      </c>
      <c r="E947" s="2133">
        <f t="shared" si="209"/>
        <v>0</v>
      </c>
    </row>
    <row r="948" spans="1:5" s="2359" customFormat="1">
      <c r="A948" s="2133" t="s">
        <v>1994</v>
      </c>
      <c r="B948" s="2119">
        <f t="shared" si="210"/>
        <v>0</v>
      </c>
      <c r="C948" s="2133">
        <f t="shared" si="208"/>
        <v>0</v>
      </c>
      <c r="D948" s="2121">
        <f>$D$141</f>
        <v>0</v>
      </c>
      <c r="E948" s="2133">
        <f t="shared" si="209"/>
        <v>0</v>
      </c>
    </row>
    <row r="949" spans="1:5" s="2359" customFormat="1">
      <c r="A949" s="2367" t="s">
        <v>1995</v>
      </c>
      <c r="B949" s="2119">
        <f t="shared" si="210"/>
        <v>0</v>
      </c>
      <c r="C949" s="2133">
        <f t="shared" si="208"/>
        <v>0</v>
      </c>
      <c r="D949" s="2121">
        <f>$D$142</f>
        <v>0</v>
      </c>
      <c r="E949" s="2133">
        <f t="shared" si="209"/>
        <v>0</v>
      </c>
    </row>
    <row r="950" spans="1:5" s="2359" customFormat="1">
      <c r="A950" s="2133" t="s">
        <v>1706</v>
      </c>
      <c r="B950" s="2119">
        <f t="shared" si="210"/>
        <v>0</v>
      </c>
      <c r="C950" s="2133">
        <f t="shared" si="208"/>
        <v>0</v>
      </c>
      <c r="D950" s="2121">
        <f>$D$143</f>
        <v>0</v>
      </c>
      <c r="E950" s="2133">
        <f t="shared" si="209"/>
        <v>0</v>
      </c>
    </row>
    <row r="951" spans="1:5" s="2359" customFormat="1">
      <c r="A951" s="2367" t="s">
        <v>2451</v>
      </c>
      <c r="B951" s="2119">
        <f t="shared" si="210"/>
        <v>0</v>
      </c>
      <c r="C951" s="2133">
        <f t="shared" si="208"/>
        <v>0</v>
      </c>
      <c r="D951" s="2121">
        <f>$D$144</f>
        <v>0</v>
      </c>
      <c r="E951" s="2133">
        <f t="shared" si="209"/>
        <v>0</v>
      </c>
    </row>
    <row r="952" spans="1:5" s="2359" customFormat="1">
      <c r="A952" s="2133" t="s">
        <v>2452</v>
      </c>
      <c r="B952" s="2119">
        <f t="shared" si="210"/>
        <v>0</v>
      </c>
      <c r="C952" s="2133">
        <f t="shared" si="208"/>
        <v>0</v>
      </c>
      <c r="D952" s="2121">
        <f>$D$145</f>
        <v>0</v>
      </c>
      <c r="E952" s="2133">
        <f t="shared" si="209"/>
        <v>0</v>
      </c>
    </row>
    <row r="953" spans="1:5" s="2359" customFormat="1">
      <c r="A953" s="2367" t="s">
        <v>2453</v>
      </c>
      <c r="B953" s="2119">
        <f t="shared" si="210"/>
        <v>0</v>
      </c>
      <c r="C953" s="2133">
        <f t="shared" si="208"/>
        <v>0</v>
      </c>
      <c r="D953" s="2121">
        <f>$D$146</f>
        <v>0</v>
      </c>
      <c r="E953" s="2133">
        <f t="shared" si="209"/>
        <v>0</v>
      </c>
    </row>
    <row r="954" spans="1:5" s="2359" customFormat="1">
      <c r="A954" s="2133" t="s">
        <v>2454</v>
      </c>
      <c r="B954" s="2119">
        <f t="shared" si="210"/>
        <v>0</v>
      </c>
      <c r="C954" s="2133">
        <f t="shared" si="208"/>
        <v>0</v>
      </c>
      <c r="D954" s="2121">
        <f>$D$147</f>
        <v>0</v>
      </c>
      <c r="E954" s="2133">
        <f t="shared" si="209"/>
        <v>0</v>
      </c>
    </row>
    <row r="955" spans="1:5" s="2359" customFormat="1">
      <c r="A955" s="2367" t="s">
        <v>2455</v>
      </c>
      <c r="B955" s="2119">
        <f t="shared" si="210"/>
        <v>0</v>
      </c>
      <c r="C955" s="2133">
        <f t="shared" si="208"/>
        <v>0</v>
      </c>
      <c r="D955" s="2121">
        <f>$D$148</f>
        <v>0</v>
      </c>
      <c r="E955" s="2133">
        <f t="shared" si="209"/>
        <v>0</v>
      </c>
    </row>
    <row r="956" spans="1:5" s="2359" customFormat="1">
      <c r="A956" s="2133" t="s">
        <v>2456</v>
      </c>
      <c r="B956" s="2119">
        <f t="shared" si="210"/>
        <v>0</v>
      </c>
      <c r="C956" s="2133">
        <f t="shared" si="208"/>
        <v>0</v>
      </c>
      <c r="D956" s="2121">
        <f>$D$149</f>
        <v>0</v>
      </c>
      <c r="E956" s="2133">
        <f t="shared" si="209"/>
        <v>0</v>
      </c>
    </row>
    <row r="957" spans="1:5" s="2359" customFormat="1">
      <c r="A957" s="2367" t="s">
        <v>2457</v>
      </c>
      <c r="B957" s="2119">
        <f t="shared" si="210"/>
        <v>0</v>
      </c>
      <c r="C957" s="2133">
        <f t="shared" si="208"/>
        <v>0</v>
      </c>
      <c r="D957" s="2121">
        <f>$D$150</f>
        <v>0</v>
      </c>
      <c r="E957" s="2133">
        <f t="shared" si="209"/>
        <v>0</v>
      </c>
    </row>
    <row r="958" spans="1:5" s="2359" customFormat="1">
      <c r="A958" s="2133" t="s">
        <v>2458</v>
      </c>
      <c r="B958" s="2119">
        <f t="shared" si="210"/>
        <v>0</v>
      </c>
      <c r="C958" s="2133">
        <f t="shared" si="208"/>
        <v>0</v>
      </c>
      <c r="D958" s="2121">
        <f>$D$151</f>
        <v>0</v>
      </c>
      <c r="E958" s="2133">
        <f t="shared" si="209"/>
        <v>0</v>
      </c>
    </row>
    <row r="959" spans="1:5" s="2359" customFormat="1" ht="14.25" customHeight="1">
      <c r="C959" s="2358"/>
      <c r="D959" s="2301" t="s">
        <v>2070</v>
      </c>
      <c r="E959" s="2200">
        <f>SUM(E941:E958)</f>
        <v>0</v>
      </c>
    </row>
    <row r="960" spans="1:5" s="2359" customFormat="1" ht="14.25" customHeight="1">
      <c r="C960" s="2358"/>
      <c r="D960" s="2302"/>
      <c r="E960" s="2202"/>
    </row>
    <row r="961" spans="1:17" s="2359" customFormat="1"/>
    <row r="962" spans="1:17" s="2359" customFormat="1">
      <c r="A962" s="2133" t="s">
        <v>1707</v>
      </c>
      <c r="B962" s="2119">
        <f>B958</f>
        <v>0</v>
      </c>
      <c r="C962" s="2133">
        <f>L28</f>
        <v>0</v>
      </c>
      <c r="D962" s="2135">
        <f>$D$155</f>
        <v>2.2499999999999999E-2</v>
      </c>
      <c r="E962" s="2133">
        <f>B962*C962*D962</f>
        <v>0</v>
      </c>
    </row>
    <row r="963" spans="1:17" s="2359" customFormat="1">
      <c r="A963" s="2133" t="s">
        <v>1708</v>
      </c>
      <c r="B963" s="2119">
        <v>1.52</v>
      </c>
      <c r="C963" s="2133">
        <f>L29</f>
        <v>0</v>
      </c>
      <c r="D963" s="2135">
        <f>$D$156</f>
        <v>2.2499999999999999E-2</v>
      </c>
      <c r="E963" s="2133">
        <f>B963*C963*D963</f>
        <v>0</v>
      </c>
    </row>
    <row r="964" spans="1:17" s="2359" customFormat="1" ht="60">
      <c r="D964" s="2175" t="s">
        <v>2071</v>
      </c>
      <c r="E964" s="2157">
        <f>SUM(E962:E963)</f>
        <v>0</v>
      </c>
    </row>
    <row r="965" spans="1:17" s="2359" customFormat="1"/>
    <row r="966" spans="1:17" s="2359" customFormat="1">
      <c r="A966" s="2872" t="s">
        <v>2106</v>
      </c>
      <c r="B966" s="2872"/>
      <c r="C966" s="2872"/>
      <c r="D966" s="2831" t="s">
        <v>2069</v>
      </c>
      <c r="E966" s="2832"/>
      <c r="F966" s="2832"/>
      <c r="G966" s="2836"/>
      <c r="H966" s="2831" t="s">
        <v>2068</v>
      </c>
      <c r="I966" s="2832"/>
      <c r="J966" s="2832"/>
      <c r="K966" s="2836"/>
      <c r="M966" s="2831" t="s">
        <v>1610</v>
      </c>
      <c r="N966" s="2832"/>
      <c r="O966" s="2832"/>
      <c r="P966" s="2832"/>
      <c r="Q966" s="2836"/>
    </row>
    <row r="967" spans="1:17" s="2359" customFormat="1" ht="15">
      <c r="A967" s="2367" t="s">
        <v>1796</v>
      </c>
      <c r="B967" s="2367" t="s">
        <v>1608</v>
      </c>
      <c r="C967" s="2367" t="s">
        <v>1606</v>
      </c>
      <c r="D967" s="2367" t="s">
        <v>1609</v>
      </c>
      <c r="E967" s="2367" t="s">
        <v>1679</v>
      </c>
      <c r="F967" s="2088" t="s">
        <v>2435</v>
      </c>
      <c r="G967" s="2119" t="s">
        <v>1807</v>
      </c>
      <c r="H967" s="2367" t="s">
        <v>1568</v>
      </c>
      <c r="I967" s="2367" t="s">
        <v>1568</v>
      </c>
      <c r="J967" s="2367" t="s">
        <v>1568</v>
      </c>
      <c r="K967" s="2367" t="s">
        <v>1568</v>
      </c>
      <c r="M967" s="2367" t="s">
        <v>1607</v>
      </c>
      <c r="N967" s="2367" t="s">
        <v>1611</v>
      </c>
      <c r="O967" s="2367" t="s">
        <v>1168</v>
      </c>
      <c r="P967" s="2367" t="s">
        <v>1205</v>
      </c>
      <c r="Q967" s="2367" t="s">
        <v>1243</v>
      </c>
    </row>
    <row r="968" spans="1:17" s="2359" customFormat="1">
      <c r="A968" s="2133" t="str">
        <f t="shared" ref="A968:B985" si="211">A941</f>
        <v>K1</v>
      </c>
      <c r="B968" s="2133">
        <f t="shared" si="211"/>
        <v>0</v>
      </c>
      <c r="C968" s="2244">
        <f t="shared" ref="C968:C985" si="212">L10</f>
        <v>0</v>
      </c>
      <c r="D968" s="2244">
        <f>D707</f>
        <v>0</v>
      </c>
      <c r="E968" s="2244">
        <f t="shared" ref="E968:G985" si="213">F10</f>
        <v>0</v>
      </c>
      <c r="F968" s="2244">
        <f t="shared" si="213"/>
        <v>0</v>
      </c>
      <c r="G968" s="2244">
        <f t="shared" si="213"/>
        <v>0</v>
      </c>
      <c r="H968" s="2133">
        <f>B968*C968*D968</f>
        <v>0</v>
      </c>
      <c r="I968" s="2133">
        <f t="shared" ref="I968:I985" si="214">B968*C968*E968</f>
        <v>0</v>
      </c>
      <c r="J968" s="2133">
        <f t="shared" ref="J968:J985" si="215">B968*C968*F968</f>
        <v>0</v>
      </c>
      <c r="K968" s="2133">
        <f t="shared" ref="K968:K985" si="216">B968*C968*G968</f>
        <v>0</v>
      </c>
      <c r="M968" s="2133">
        <f t="shared" ref="M968:M985" si="217">(B968/2)/0.2</f>
        <v>0</v>
      </c>
      <c r="N968" s="2133">
        <f t="shared" ref="N968:N985" si="218">(B968/2)/0.1</f>
        <v>0</v>
      </c>
      <c r="O968" s="2133">
        <f t="shared" ref="O968:O985" si="219">SUM(M968:N968)*C968</f>
        <v>0</v>
      </c>
      <c r="P968" s="2133">
        <f t="shared" ref="P968:P985" si="220">P703</f>
        <v>2</v>
      </c>
      <c r="Q968" s="2133">
        <f t="shared" ref="Q968:Q985" si="221">O968*P968</f>
        <v>0</v>
      </c>
    </row>
    <row r="969" spans="1:17" s="2359" customFormat="1">
      <c r="A969" s="2133" t="str">
        <f t="shared" si="211"/>
        <v>K2</v>
      </c>
      <c r="B969" s="2133">
        <f t="shared" si="211"/>
        <v>0</v>
      </c>
      <c r="C969" s="2244">
        <f t="shared" si="212"/>
        <v>0</v>
      </c>
      <c r="D969" s="2244">
        <f t="shared" ref="D969:D985" si="222">E11</f>
        <v>0</v>
      </c>
      <c r="E969" s="2244">
        <f t="shared" si="213"/>
        <v>0</v>
      </c>
      <c r="F969" s="2244">
        <f t="shared" si="213"/>
        <v>0</v>
      </c>
      <c r="G969" s="2244">
        <f t="shared" si="213"/>
        <v>0</v>
      </c>
      <c r="H969" s="2133">
        <f t="shared" ref="H969:H985" si="223">B969*C969*D969</f>
        <v>0</v>
      </c>
      <c r="I969" s="2133">
        <f t="shared" si="214"/>
        <v>0</v>
      </c>
      <c r="J969" s="2133">
        <f t="shared" si="215"/>
        <v>0</v>
      </c>
      <c r="K969" s="2133">
        <f t="shared" si="216"/>
        <v>0</v>
      </c>
      <c r="M969" s="2133">
        <f t="shared" si="217"/>
        <v>0</v>
      </c>
      <c r="N969" s="2133">
        <f t="shared" si="218"/>
        <v>0</v>
      </c>
      <c r="O969" s="2133">
        <f t="shared" si="219"/>
        <v>0</v>
      </c>
      <c r="P969" s="2133">
        <f t="shared" si="220"/>
        <v>-0.31400000000000006</v>
      </c>
      <c r="Q969" s="2133">
        <f t="shared" si="221"/>
        <v>0</v>
      </c>
    </row>
    <row r="970" spans="1:17" s="2359" customFormat="1">
      <c r="A970" s="2133" t="str">
        <f t="shared" si="211"/>
        <v>K3</v>
      </c>
      <c r="B970" s="2133">
        <f t="shared" si="211"/>
        <v>0</v>
      </c>
      <c r="C970" s="2244">
        <f t="shared" si="212"/>
        <v>0</v>
      </c>
      <c r="D970" s="2244">
        <f t="shared" si="222"/>
        <v>10</v>
      </c>
      <c r="E970" s="2244">
        <f t="shared" si="213"/>
        <v>0</v>
      </c>
      <c r="F970" s="2244">
        <f t="shared" si="213"/>
        <v>0</v>
      </c>
      <c r="G970" s="2244">
        <f t="shared" si="213"/>
        <v>0</v>
      </c>
      <c r="H970" s="2133">
        <f t="shared" si="223"/>
        <v>0</v>
      </c>
      <c r="I970" s="2133">
        <f t="shared" si="214"/>
        <v>0</v>
      </c>
      <c r="J970" s="2133">
        <f t="shared" si="215"/>
        <v>0</v>
      </c>
      <c r="K970" s="2133">
        <f t="shared" si="216"/>
        <v>0</v>
      </c>
      <c r="M970" s="2133">
        <f t="shared" si="217"/>
        <v>0</v>
      </c>
      <c r="N970" s="2133">
        <f t="shared" si="218"/>
        <v>0</v>
      </c>
      <c r="O970" s="2133">
        <f t="shared" si="219"/>
        <v>0</v>
      </c>
      <c r="P970" s="2133">
        <f t="shared" si="220"/>
        <v>1</v>
      </c>
      <c r="Q970" s="2133">
        <f t="shared" si="221"/>
        <v>0</v>
      </c>
    </row>
    <row r="971" spans="1:17" s="2359" customFormat="1">
      <c r="A971" s="2133" t="str">
        <f t="shared" si="211"/>
        <v>K4</v>
      </c>
      <c r="B971" s="2133">
        <f t="shared" si="211"/>
        <v>0</v>
      </c>
      <c r="C971" s="2244">
        <f t="shared" si="212"/>
        <v>0</v>
      </c>
      <c r="D971" s="2244">
        <f t="shared" si="222"/>
        <v>8</v>
      </c>
      <c r="E971" s="2244">
        <f t="shared" si="213"/>
        <v>0</v>
      </c>
      <c r="F971" s="2244">
        <f t="shared" si="213"/>
        <v>0</v>
      </c>
      <c r="G971" s="2244">
        <f t="shared" si="213"/>
        <v>0</v>
      </c>
      <c r="H971" s="2133">
        <f t="shared" si="223"/>
        <v>0</v>
      </c>
      <c r="I971" s="2133">
        <f t="shared" si="214"/>
        <v>0</v>
      </c>
      <c r="J971" s="2133">
        <f t="shared" si="215"/>
        <v>0</v>
      </c>
      <c r="K971" s="2133">
        <f t="shared" si="216"/>
        <v>0</v>
      </c>
      <c r="M971" s="2133">
        <f t="shared" si="217"/>
        <v>0</v>
      </c>
      <c r="N971" s="2133">
        <f t="shared" si="218"/>
        <v>0</v>
      </c>
      <c r="O971" s="2133">
        <f t="shared" si="219"/>
        <v>0</v>
      </c>
      <c r="P971" s="2133">
        <f t="shared" si="220"/>
        <v>0.9</v>
      </c>
      <c r="Q971" s="2133">
        <f t="shared" si="221"/>
        <v>0</v>
      </c>
    </row>
    <row r="972" spans="1:17" s="2359" customFormat="1">
      <c r="A972" s="2133" t="str">
        <f t="shared" si="211"/>
        <v>K5</v>
      </c>
      <c r="B972" s="2133">
        <f t="shared" si="211"/>
        <v>0</v>
      </c>
      <c r="C972" s="2244">
        <f t="shared" si="212"/>
        <v>0</v>
      </c>
      <c r="D972" s="2244">
        <f t="shared" si="222"/>
        <v>0</v>
      </c>
      <c r="E972" s="2244">
        <f t="shared" si="213"/>
        <v>0</v>
      </c>
      <c r="F972" s="2244">
        <f t="shared" si="213"/>
        <v>6</v>
      </c>
      <c r="G972" s="2244">
        <f t="shared" si="213"/>
        <v>0</v>
      </c>
      <c r="H972" s="2133">
        <f t="shared" si="223"/>
        <v>0</v>
      </c>
      <c r="I972" s="2133">
        <f t="shared" si="214"/>
        <v>0</v>
      </c>
      <c r="J972" s="2133">
        <f t="shared" si="215"/>
        <v>0</v>
      </c>
      <c r="K972" s="2133">
        <f t="shared" si="216"/>
        <v>0</v>
      </c>
      <c r="M972" s="2133">
        <f t="shared" si="217"/>
        <v>0</v>
      </c>
      <c r="N972" s="2133">
        <f t="shared" si="218"/>
        <v>0</v>
      </c>
      <c r="O972" s="2133">
        <f t="shared" si="219"/>
        <v>0</v>
      </c>
      <c r="P972" s="2133">
        <f t="shared" si="220"/>
        <v>0.70000000000000007</v>
      </c>
      <c r="Q972" s="2133">
        <f t="shared" si="221"/>
        <v>0</v>
      </c>
    </row>
    <row r="973" spans="1:17" s="2359" customFormat="1">
      <c r="A973" s="2133" t="str">
        <f t="shared" si="211"/>
        <v>K6</v>
      </c>
      <c r="B973" s="2133">
        <f t="shared" si="211"/>
        <v>0</v>
      </c>
      <c r="C973" s="2244">
        <f t="shared" si="212"/>
        <v>0</v>
      </c>
      <c r="D973" s="2244">
        <f t="shared" si="222"/>
        <v>0</v>
      </c>
      <c r="E973" s="2244">
        <f t="shared" si="213"/>
        <v>0</v>
      </c>
      <c r="F973" s="2244">
        <f t="shared" si="213"/>
        <v>8</v>
      </c>
      <c r="G973" s="2244">
        <f t="shared" si="213"/>
        <v>0</v>
      </c>
      <c r="H973" s="2133">
        <f t="shared" si="223"/>
        <v>0</v>
      </c>
      <c r="I973" s="2133">
        <f t="shared" si="214"/>
        <v>0</v>
      </c>
      <c r="J973" s="2133">
        <f t="shared" si="215"/>
        <v>0</v>
      </c>
      <c r="K973" s="2133">
        <f t="shared" si="216"/>
        <v>0</v>
      </c>
      <c r="M973" s="2133">
        <f t="shared" si="217"/>
        <v>0</v>
      </c>
      <c r="N973" s="2133">
        <f t="shared" si="218"/>
        <v>0</v>
      </c>
      <c r="O973" s="2133">
        <f t="shared" si="219"/>
        <v>0</v>
      </c>
      <c r="P973" s="2133">
        <f t="shared" si="220"/>
        <v>0.8</v>
      </c>
      <c r="Q973" s="2133">
        <f t="shared" si="221"/>
        <v>0</v>
      </c>
    </row>
    <row r="974" spans="1:17" s="2359" customFormat="1">
      <c r="A974" s="2133" t="str">
        <f t="shared" si="211"/>
        <v>K7</v>
      </c>
      <c r="B974" s="2133">
        <f t="shared" si="211"/>
        <v>0</v>
      </c>
      <c r="C974" s="2244">
        <f t="shared" si="212"/>
        <v>0</v>
      </c>
      <c r="D974" s="2244">
        <f t="shared" si="222"/>
        <v>0</v>
      </c>
      <c r="E974" s="2244">
        <f t="shared" si="213"/>
        <v>0</v>
      </c>
      <c r="F974" s="2244">
        <f t="shared" si="213"/>
        <v>6</v>
      </c>
      <c r="G974" s="2244">
        <f t="shared" si="213"/>
        <v>0</v>
      </c>
      <c r="H974" s="2133">
        <f t="shared" si="223"/>
        <v>0</v>
      </c>
      <c r="I974" s="2133">
        <f t="shared" si="214"/>
        <v>0</v>
      </c>
      <c r="J974" s="2133">
        <f t="shared" si="215"/>
        <v>0</v>
      </c>
      <c r="K974" s="2133">
        <f t="shared" si="216"/>
        <v>0</v>
      </c>
      <c r="M974" s="2133">
        <f t="shared" si="217"/>
        <v>0</v>
      </c>
      <c r="N974" s="2133">
        <f t="shared" si="218"/>
        <v>0</v>
      </c>
      <c r="O974" s="2133">
        <f t="shared" si="219"/>
        <v>0</v>
      </c>
      <c r="P974" s="2133">
        <f t="shared" si="220"/>
        <v>0.6</v>
      </c>
      <c r="Q974" s="2133">
        <f t="shared" si="221"/>
        <v>0</v>
      </c>
    </row>
    <row r="975" spans="1:17" s="2359" customFormat="1">
      <c r="A975" s="2133" t="str">
        <f t="shared" si="211"/>
        <v>K8</v>
      </c>
      <c r="B975" s="2133">
        <f t="shared" si="211"/>
        <v>0</v>
      </c>
      <c r="C975" s="2244">
        <f t="shared" si="212"/>
        <v>0</v>
      </c>
      <c r="D975" s="2244">
        <f t="shared" si="222"/>
        <v>0</v>
      </c>
      <c r="E975" s="2244">
        <f t="shared" si="213"/>
        <v>0</v>
      </c>
      <c r="F975" s="2244">
        <f t="shared" si="213"/>
        <v>0</v>
      </c>
      <c r="G975" s="2244">
        <f t="shared" si="213"/>
        <v>0</v>
      </c>
      <c r="H975" s="2133">
        <f t="shared" si="223"/>
        <v>0</v>
      </c>
      <c r="I975" s="2133">
        <f t="shared" si="214"/>
        <v>0</v>
      </c>
      <c r="J975" s="2133">
        <f t="shared" si="215"/>
        <v>0</v>
      </c>
      <c r="K975" s="2133">
        <f t="shared" si="216"/>
        <v>0</v>
      </c>
      <c r="M975" s="2133">
        <f t="shared" si="217"/>
        <v>0</v>
      </c>
      <c r="N975" s="2133">
        <f t="shared" si="218"/>
        <v>0</v>
      </c>
      <c r="O975" s="2133">
        <f t="shared" si="219"/>
        <v>0</v>
      </c>
      <c r="P975" s="2133">
        <f t="shared" si="220"/>
        <v>-0.31400000000000006</v>
      </c>
      <c r="Q975" s="2133">
        <f t="shared" si="221"/>
        <v>0</v>
      </c>
    </row>
    <row r="976" spans="1:17" s="2359" customFormat="1">
      <c r="A976" s="2133" t="str">
        <f t="shared" si="211"/>
        <v>K9</v>
      </c>
      <c r="B976" s="2133">
        <f t="shared" si="211"/>
        <v>0</v>
      </c>
      <c r="C976" s="2244">
        <f t="shared" si="212"/>
        <v>0</v>
      </c>
      <c r="D976" s="2244">
        <f t="shared" si="222"/>
        <v>0</v>
      </c>
      <c r="E976" s="2244">
        <f t="shared" si="213"/>
        <v>0</v>
      </c>
      <c r="F976" s="2244">
        <f t="shared" si="213"/>
        <v>0</v>
      </c>
      <c r="G976" s="2244">
        <f t="shared" si="213"/>
        <v>0</v>
      </c>
      <c r="H976" s="2133">
        <f t="shared" si="223"/>
        <v>0</v>
      </c>
      <c r="I976" s="2133">
        <f t="shared" si="214"/>
        <v>0</v>
      </c>
      <c r="J976" s="2133">
        <f t="shared" si="215"/>
        <v>0</v>
      </c>
      <c r="K976" s="2133">
        <f t="shared" si="216"/>
        <v>0</v>
      </c>
      <c r="M976" s="2133">
        <f t="shared" si="217"/>
        <v>0</v>
      </c>
      <c r="N976" s="2133">
        <f t="shared" si="218"/>
        <v>0</v>
      </c>
      <c r="O976" s="2133">
        <f t="shared" si="219"/>
        <v>0</v>
      </c>
      <c r="P976" s="2133">
        <f t="shared" si="220"/>
        <v>-0.31400000000000006</v>
      </c>
      <c r="Q976" s="2133">
        <f t="shared" si="221"/>
        <v>0</v>
      </c>
    </row>
    <row r="977" spans="1:19" s="2359" customFormat="1" ht="15" customHeight="1">
      <c r="A977" s="2133" t="str">
        <f t="shared" si="211"/>
        <v>K10</v>
      </c>
      <c r="B977" s="2133">
        <f t="shared" si="211"/>
        <v>0</v>
      </c>
      <c r="C977" s="2244">
        <f t="shared" si="212"/>
        <v>0</v>
      </c>
      <c r="D977" s="2244">
        <f t="shared" si="222"/>
        <v>0</v>
      </c>
      <c r="E977" s="2244">
        <f t="shared" si="213"/>
        <v>0</v>
      </c>
      <c r="F977" s="2244">
        <f t="shared" si="213"/>
        <v>0</v>
      </c>
      <c r="G977" s="2244">
        <f t="shared" si="213"/>
        <v>0</v>
      </c>
      <c r="H977" s="2133">
        <f t="shared" si="223"/>
        <v>0</v>
      </c>
      <c r="I977" s="2133">
        <f t="shared" si="214"/>
        <v>0</v>
      </c>
      <c r="J977" s="2133">
        <f t="shared" si="215"/>
        <v>0</v>
      </c>
      <c r="K977" s="2133">
        <f t="shared" si="216"/>
        <v>0</v>
      </c>
      <c r="M977" s="2368">
        <f t="shared" si="217"/>
        <v>0</v>
      </c>
      <c r="N977" s="2368">
        <f t="shared" si="218"/>
        <v>0</v>
      </c>
      <c r="O977" s="2368">
        <f t="shared" si="219"/>
        <v>0</v>
      </c>
      <c r="P977" s="2133">
        <f t="shared" si="220"/>
        <v>-0.31400000000000006</v>
      </c>
      <c r="Q977" s="2368">
        <f t="shared" si="221"/>
        <v>0</v>
      </c>
    </row>
    <row r="978" spans="1:19" s="2359" customFormat="1">
      <c r="A978" s="2133" t="str">
        <f t="shared" si="211"/>
        <v>K11</v>
      </c>
      <c r="B978" s="2133">
        <f t="shared" si="211"/>
        <v>0</v>
      </c>
      <c r="C978" s="2244">
        <f t="shared" si="212"/>
        <v>0</v>
      </c>
      <c r="D978" s="2244">
        <f t="shared" si="222"/>
        <v>0</v>
      </c>
      <c r="E978" s="2244">
        <f t="shared" si="213"/>
        <v>0</v>
      </c>
      <c r="F978" s="2244">
        <f t="shared" si="213"/>
        <v>0</v>
      </c>
      <c r="G978" s="2244">
        <f t="shared" si="213"/>
        <v>0</v>
      </c>
      <c r="H978" s="2133">
        <f t="shared" si="223"/>
        <v>0</v>
      </c>
      <c r="I978" s="2133">
        <f t="shared" si="214"/>
        <v>0</v>
      </c>
      <c r="J978" s="2133">
        <f t="shared" si="215"/>
        <v>0</v>
      </c>
      <c r="K978" s="2133">
        <f t="shared" si="216"/>
        <v>0</v>
      </c>
      <c r="M978" s="2133">
        <f t="shared" si="217"/>
        <v>0</v>
      </c>
      <c r="N978" s="2133">
        <f t="shared" si="218"/>
        <v>0</v>
      </c>
      <c r="O978" s="2133">
        <f t="shared" si="219"/>
        <v>0</v>
      </c>
      <c r="P978" s="2133">
        <f t="shared" si="220"/>
        <v>-0.31400000000000006</v>
      </c>
      <c r="Q978" s="2133">
        <f t="shared" si="221"/>
        <v>0</v>
      </c>
    </row>
    <row r="979" spans="1:19" s="2359" customFormat="1">
      <c r="A979" s="2133" t="str">
        <f t="shared" si="211"/>
        <v>K12</v>
      </c>
      <c r="B979" s="2133">
        <f t="shared" si="211"/>
        <v>0</v>
      </c>
      <c r="C979" s="2244">
        <f t="shared" si="212"/>
        <v>0</v>
      </c>
      <c r="D979" s="2244">
        <f t="shared" si="222"/>
        <v>0</v>
      </c>
      <c r="E979" s="2244">
        <f t="shared" si="213"/>
        <v>0</v>
      </c>
      <c r="F979" s="2244">
        <f t="shared" si="213"/>
        <v>0</v>
      </c>
      <c r="G979" s="2244">
        <f t="shared" si="213"/>
        <v>0</v>
      </c>
      <c r="H979" s="2133">
        <f t="shared" si="223"/>
        <v>0</v>
      </c>
      <c r="I979" s="2133">
        <f t="shared" si="214"/>
        <v>0</v>
      </c>
      <c r="J979" s="2133">
        <f t="shared" si="215"/>
        <v>0</v>
      </c>
      <c r="K979" s="2133">
        <f t="shared" si="216"/>
        <v>0</v>
      </c>
      <c r="M979" s="2133">
        <f t="shared" si="217"/>
        <v>0</v>
      </c>
      <c r="N979" s="2133">
        <f t="shared" si="218"/>
        <v>0</v>
      </c>
      <c r="O979" s="2133">
        <f t="shared" si="219"/>
        <v>0</v>
      </c>
      <c r="P979" s="2133">
        <f t="shared" si="220"/>
        <v>-0.31400000000000006</v>
      </c>
      <c r="Q979" s="2133">
        <f t="shared" si="221"/>
        <v>0</v>
      </c>
    </row>
    <row r="980" spans="1:19" s="2359" customFormat="1">
      <c r="A980" s="2133" t="str">
        <f t="shared" si="211"/>
        <v>K13</v>
      </c>
      <c r="B980" s="2133">
        <f t="shared" si="211"/>
        <v>0</v>
      </c>
      <c r="C980" s="2244">
        <f t="shared" si="212"/>
        <v>0</v>
      </c>
      <c r="D980" s="2244">
        <f t="shared" si="222"/>
        <v>0</v>
      </c>
      <c r="E980" s="2244">
        <f t="shared" si="213"/>
        <v>0</v>
      </c>
      <c r="F980" s="2244">
        <f t="shared" si="213"/>
        <v>0</v>
      </c>
      <c r="G980" s="2244">
        <f t="shared" si="213"/>
        <v>0</v>
      </c>
      <c r="H980" s="2133">
        <f t="shared" si="223"/>
        <v>0</v>
      </c>
      <c r="I980" s="2133">
        <f t="shared" si="214"/>
        <v>0</v>
      </c>
      <c r="J980" s="2133">
        <f t="shared" si="215"/>
        <v>0</v>
      </c>
      <c r="K980" s="2133">
        <f t="shared" si="216"/>
        <v>0</v>
      </c>
      <c r="M980" s="2133">
        <f t="shared" si="217"/>
        <v>0</v>
      </c>
      <c r="N980" s="2133">
        <f t="shared" si="218"/>
        <v>0</v>
      </c>
      <c r="O980" s="2133">
        <f t="shared" si="219"/>
        <v>0</v>
      </c>
      <c r="P980" s="2133">
        <f t="shared" si="220"/>
        <v>-0.31400000000000006</v>
      </c>
      <c r="Q980" s="2133">
        <f t="shared" si="221"/>
        <v>0</v>
      </c>
    </row>
    <row r="981" spans="1:19" s="2359" customFormat="1">
      <c r="A981" s="2133" t="str">
        <f t="shared" si="211"/>
        <v>K14</v>
      </c>
      <c r="B981" s="2133">
        <f t="shared" si="211"/>
        <v>0</v>
      </c>
      <c r="C981" s="2244">
        <f t="shared" si="212"/>
        <v>0</v>
      </c>
      <c r="D981" s="2244">
        <f t="shared" si="222"/>
        <v>0</v>
      </c>
      <c r="E981" s="2244">
        <f t="shared" si="213"/>
        <v>0</v>
      </c>
      <c r="F981" s="2244">
        <f t="shared" si="213"/>
        <v>0</v>
      </c>
      <c r="G981" s="2244">
        <f t="shared" si="213"/>
        <v>0</v>
      </c>
      <c r="H981" s="2133">
        <f t="shared" si="223"/>
        <v>0</v>
      </c>
      <c r="I981" s="2133">
        <f t="shared" si="214"/>
        <v>0</v>
      </c>
      <c r="J981" s="2133">
        <f t="shared" si="215"/>
        <v>0</v>
      </c>
      <c r="K981" s="2133">
        <f t="shared" si="216"/>
        <v>0</v>
      </c>
      <c r="M981" s="2133">
        <f t="shared" si="217"/>
        <v>0</v>
      </c>
      <c r="N981" s="2133">
        <f t="shared" si="218"/>
        <v>0</v>
      </c>
      <c r="O981" s="2133">
        <f t="shared" si="219"/>
        <v>0</v>
      </c>
      <c r="P981" s="2133">
        <f t="shared" si="220"/>
        <v>-0.31400000000000006</v>
      </c>
      <c r="Q981" s="2133">
        <f t="shared" si="221"/>
        <v>0</v>
      </c>
    </row>
    <row r="982" spans="1:19" s="2359" customFormat="1">
      <c r="A982" s="2133" t="str">
        <f t="shared" si="211"/>
        <v>K15</v>
      </c>
      <c r="B982" s="2133">
        <f t="shared" si="211"/>
        <v>0</v>
      </c>
      <c r="C982" s="2244">
        <f t="shared" si="212"/>
        <v>0</v>
      </c>
      <c r="D982" s="2244">
        <f t="shared" si="222"/>
        <v>0</v>
      </c>
      <c r="E982" s="2244">
        <f t="shared" si="213"/>
        <v>0</v>
      </c>
      <c r="F982" s="2244">
        <f t="shared" si="213"/>
        <v>0</v>
      </c>
      <c r="G982" s="2244">
        <f t="shared" si="213"/>
        <v>0</v>
      </c>
      <c r="H982" s="2133">
        <f t="shared" si="223"/>
        <v>0</v>
      </c>
      <c r="I982" s="2133">
        <f t="shared" si="214"/>
        <v>0</v>
      </c>
      <c r="J982" s="2133">
        <f t="shared" si="215"/>
        <v>0</v>
      </c>
      <c r="K982" s="2133">
        <f t="shared" si="216"/>
        <v>0</v>
      </c>
      <c r="M982" s="2133">
        <f t="shared" si="217"/>
        <v>0</v>
      </c>
      <c r="N982" s="2133">
        <f t="shared" si="218"/>
        <v>0</v>
      </c>
      <c r="O982" s="2133">
        <f t="shared" si="219"/>
        <v>0</v>
      </c>
      <c r="P982" s="2133">
        <f t="shared" si="220"/>
        <v>-0.31400000000000006</v>
      </c>
      <c r="Q982" s="2133">
        <f t="shared" si="221"/>
        <v>0</v>
      </c>
    </row>
    <row r="983" spans="1:19" s="2359" customFormat="1">
      <c r="A983" s="2133" t="str">
        <f t="shared" si="211"/>
        <v>K16</v>
      </c>
      <c r="B983" s="2133">
        <f t="shared" si="211"/>
        <v>0</v>
      </c>
      <c r="C983" s="2244">
        <f t="shared" si="212"/>
        <v>0</v>
      </c>
      <c r="D983" s="2244">
        <f t="shared" si="222"/>
        <v>0</v>
      </c>
      <c r="E983" s="2244">
        <f t="shared" si="213"/>
        <v>0</v>
      </c>
      <c r="F983" s="2244">
        <f t="shared" si="213"/>
        <v>0</v>
      </c>
      <c r="G983" s="2244">
        <f t="shared" si="213"/>
        <v>0</v>
      </c>
      <c r="H983" s="2133">
        <f t="shared" si="223"/>
        <v>0</v>
      </c>
      <c r="I983" s="2133">
        <f t="shared" si="214"/>
        <v>0</v>
      </c>
      <c r="J983" s="2133">
        <f t="shared" si="215"/>
        <v>0</v>
      </c>
      <c r="K983" s="2133">
        <f t="shared" si="216"/>
        <v>0</v>
      </c>
      <c r="M983" s="2133">
        <f t="shared" si="217"/>
        <v>0</v>
      </c>
      <c r="N983" s="2133">
        <f t="shared" si="218"/>
        <v>0</v>
      </c>
      <c r="O983" s="2133">
        <f t="shared" si="219"/>
        <v>0</v>
      </c>
      <c r="P983" s="2133">
        <f t="shared" si="220"/>
        <v>-0.31400000000000006</v>
      </c>
      <c r="Q983" s="2133">
        <f t="shared" si="221"/>
        <v>0</v>
      </c>
    </row>
    <row r="984" spans="1:19" s="2359" customFormat="1">
      <c r="A984" s="2133" t="str">
        <f t="shared" si="211"/>
        <v>K17</v>
      </c>
      <c r="B984" s="2133">
        <f t="shared" si="211"/>
        <v>0</v>
      </c>
      <c r="C984" s="2244">
        <f t="shared" si="212"/>
        <v>0</v>
      </c>
      <c r="D984" s="2244">
        <f t="shared" si="222"/>
        <v>0</v>
      </c>
      <c r="E984" s="2244">
        <f t="shared" si="213"/>
        <v>0</v>
      </c>
      <c r="F984" s="2244">
        <f t="shared" si="213"/>
        <v>0</v>
      </c>
      <c r="G984" s="2244">
        <f t="shared" si="213"/>
        <v>0</v>
      </c>
      <c r="H984" s="2133">
        <f t="shared" si="223"/>
        <v>0</v>
      </c>
      <c r="I984" s="2133">
        <f t="shared" si="214"/>
        <v>0</v>
      </c>
      <c r="J984" s="2133">
        <f t="shared" si="215"/>
        <v>0</v>
      </c>
      <c r="K984" s="2133">
        <f t="shared" si="216"/>
        <v>0</v>
      </c>
      <c r="M984" s="2133">
        <f t="shared" si="217"/>
        <v>0</v>
      </c>
      <c r="N984" s="2133">
        <f t="shared" si="218"/>
        <v>0</v>
      </c>
      <c r="O984" s="2133">
        <f t="shared" si="219"/>
        <v>0</v>
      </c>
      <c r="P984" s="2133">
        <f t="shared" si="220"/>
        <v>-0.31400000000000006</v>
      </c>
      <c r="Q984" s="2133">
        <f t="shared" si="221"/>
        <v>0</v>
      </c>
    </row>
    <row r="985" spans="1:19" s="2359" customFormat="1" ht="15" customHeight="1">
      <c r="A985" s="2133" t="str">
        <f t="shared" si="211"/>
        <v>K18</v>
      </c>
      <c r="B985" s="2133">
        <f t="shared" si="211"/>
        <v>0</v>
      </c>
      <c r="C985" s="2244">
        <f t="shared" si="212"/>
        <v>0</v>
      </c>
      <c r="D985" s="2244">
        <f t="shared" si="222"/>
        <v>0</v>
      </c>
      <c r="E985" s="2244">
        <f t="shared" si="213"/>
        <v>0</v>
      </c>
      <c r="F985" s="2244">
        <f t="shared" si="213"/>
        <v>0</v>
      </c>
      <c r="G985" s="2244">
        <f t="shared" si="213"/>
        <v>0</v>
      </c>
      <c r="H985" s="2133">
        <f t="shared" si="223"/>
        <v>0</v>
      </c>
      <c r="I985" s="2133">
        <f t="shared" si="214"/>
        <v>0</v>
      </c>
      <c r="J985" s="2133">
        <f t="shared" si="215"/>
        <v>0</v>
      </c>
      <c r="K985" s="2133">
        <f t="shared" si="216"/>
        <v>0</v>
      </c>
      <c r="M985" s="2368">
        <f t="shared" si="217"/>
        <v>0</v>
      </c>
      <c r="N985" s="2368">
        <f t="shared" si="218"/>
        <v>0</v>
      </c>
      <c r="O985" s="2368">
        <f t="shared" si="219"/>
        <v>0</v>
      </c>
      <c r="P985" s="2133">
        <f t="shared" si="220"/>
        <v>-0.31400000000000006</v>
      </c>
      <c r="Q985" s="2368">
        <f t="shared" si="221"/>
        <v>0</v>
      </c>
    </row>
    <row r="986" spans="1:19" s="2359" customFormat="1" ht="15" customHeight="1">
      <c r="F986" s="2804" t="s">
        <v>2074</v>
      </c>
      <c r="G986" s="2805"/>
      <c r="H986" s="2133">
        <f>SUM(H968:H985)</f>
        <v>0</v>
      </c>
      <c r="I986" s="2133">
        <f>SUM(I968:I985)</f>
        <v>0</v>
      </c>
      <c r="J986" s="2133">
        <f>SUM(J968:J985)</f>
        <v>0</v>
      </c>
      <c r="K986" s="2133">
        <f>SUM(K968:K985)</f>
        <v>0</v>
      </c>
      <c r="M986" s="2804" t="s">
        <v>1972</v>
      </c>
      <c r="N986" s="2805"/>
      <c r="O986" s="2805"/>
      <c r="P986" s="2837"/>
      <c r="Q986" s="2135">
        <f>SUMIF($I$134:$I$151,S986,$Q$968:$Q$985)</f>
        <v>0</v>
      </c>
      <c r="R986" s="2139">
        <f>Q986*0.4</f>
        <v>0</v>
      </c>
      <c r="S986" s="2359">
        <v>8</v>
      </c>
    </row>
    <row r="987" spans="1:19" s="2359" customFormat="1" ht="15">
      <c r="F987" s="2804" t="s">
        <v>2075</v>
      </c>
      <c r="G987" s="2805"/>
      <c r="H987" s="2372">
        <f>H986*1.58</f>
        <v>0</v>
      </c>
      <c r="I987" s="2133">
        <f>I986*1.04</f>
        <v>0</v>
      </c>
      <c r="J987" s="2372">
        <f>J986*0.89</f>
        <v>0</v>
      </c>
      <c r="K987" s="2203">
        <f>K986*0.62</f>
        <v>0</v>
      </c>
      <c r="M987" s="2804" t="s">
        <v>2431</v>
      </c>
      <c r="N987" s="2805"/>
      <c r="O987" s="2805"/>
      <c r="P987" s="2837"/>
      <c r="Q987" s="2135">
        <f>SUMIF($I$134:$I$151,S987,$Q$968:$Q$985)</f>
        <v>0</v>
      </c>
      <c r="R987" s="2139">
        <f>Q987*0.62</f>
        <v>0</v>
      </c>
      <c r="S987" s="2359">
        <v>10</v>
      </c>
    </row>
    <row r="988" spans="1:19" s="2359" customFormat="1"/>
    <row r="989" spans="1:19" s="2359" customFormat="1">
      <c r="A989" s="2371" t="s">
        <v>1796</v>
      </c>
      <c r="B989" s="2371" t="s">
        <v>1608</v>
      </c>
      <c r="C989" s="2371" t="s">
        <v>2062</v>
      </c>
      <c r="D989" s="2371" t="s">
        <v>1807</v>
      </c>
      <c r="E989" s="2371" t="s">
        <v>1997</v>
      </c>
      <c r="F989" s="2371" t="s">
        <v>1568</v>
      </c>
      <c r="M989" s="2133" t="s">
        <v>1607</v>
      </c>
      <c r="N989" s="2133" t="s">
        <v>1611</v>
      </c>
      <c r="O989" s="2133" t="s">
        <v>1168</v>
      </c>
      <c r="P989" s="2133" t="s">
        <v>1205</v>
      </c>
      <c r="Q989" s="2133" t="s">
        <v>1243</v>
      </c>
    </row>
    <row r="990" spans="1:19" s="2359" customFormat="1">
      <c r="A990" s="2133" t="str">
        <f t="shared" ref="A990:C991" si="224">A962</f>
        <v>KP1</v>
      </c>
      <c r="B990" s="2133">
        <f t="shared" si="224"/>
        <v>0</v>
      </c>
      <c r="C990" s="2133">
        <f t="shared" si="224"/>
        <v>0</v>
      </c>
      <c r="D990" s="2133">
        <v>4</v>
      </c>
      <c r="E990" s="2133"/>
      <c r="F990" s="2133">
        <f>B990*C990*D990</f>
        <v>0</v>
      </c>
      <c r="M990" s="2133">
        <f>(B990/2)/0.2</f>
        <v>0</v>
      </c>
      <c r="N990" s="2133">
        <f>(B990/2)/0.1</f>
        <v>0</v>
      </c>
      <c r="O990" s="2133">
        <f>SUM(M990:N990)*C990</f>
        <v>0</v>
      </c>
      <c r="P990" s="2133">
        <f>P183</f>
        <v>0.4</v>
      </c>
      <c r="Q990" s="2133">
        <f>O990*P990</f>
        <v>0</v>
      </c>
    </row>
    <row r="991" spans="1:19" s="2359" customFormat="1" ht="15" customHeight="1">
      <c r="A991" s="2133" t="str">
        <f t="shared" si="224"/>
        <v>KP2</v>
      </c>
      <c r="B991" s="2133">
        <f t="shared" si="224"/>
        <v>1.52</v>
      </c>
      <c r="C991" s="2133">
        <f t="shared" si="224"/>
        <v>0</v>
      </c>
      <c r="D991" s="2133">
        <v>4</v>
      </c>
      <c r="E991" s="2133">
        <v>0</v>
      </c>
      <c r="F991" s="2133">
        <f>B991*C991*D991</f>
        <v>0</v>
      </c>
      <c r="M991" s="2368">
        <f>(B991/2)/0.2</f>
        <v>3.8</v>
      </c>
      <c r="N991" s="2368">
        <f>(B991/2)/0.1</f>
        <v>7.6</v>
      </c>
      <c r="O991" s="2368">
        <f>SUM(M991:N991)*C991</f>
        <v>0</v>
      </c>
      <c r="P991" s="2133">
        <f>P184</f>
        <v>0</v>
      </c>
      <c r="Q991" s="2368">
        <f>O991*P991</f>
        <v>0</v>
      </c>
    </row>
    <row r="992" spans="1:19" s="2359" customFormat="1" ht="15" customHeight="1">
      <c r="D992" s="2804" t="s">
        <v>2074</v>
      </c>
      <c r="E992" s="2805"/>
      <c r="F992" s="2133">
        <f>SUM(F990:F991)</f>
        <v>0</v>
      </c>
      <c r="M992" s="2804" t="s">
        <v>2109</v>
      </c>
      <c r="N992" s="2805"/>
      <c r="O992" s="2805"/>
      <c r="P992" s="2837"/>
      <c r="Q992" s="2135">
        <f>SUM(Q990:Q991)</f>
        <v>0</v>
      </c>
    </row>
    <row r="993" spans="1:17" s="2359" customFormat="1" ht="15">
      <c r="D993" s="2804" t="s">
        <v>2075</v>
      </c>
      <c r="E993" s="2805"/>
      <c r="F993" s="2372">
        <f>F992*0.62</f>
        <v>0</v>
      </c>
      <c r="M993" s="2804" t="s">
        <v>2108</v>
      </c>
      <c r="N993" s="2805"/>
      <c r="O993" s="2805"/>
      <c r="P993" s="2837"/>
      <c r="Q993" s="2372">
        <f>Q992*0.4</f>
        <v>0</v>
      </c>
    </row>
    <row r="994" spans="1:17" s="2359" customFormat="1"/>
    <row r="995" spans="1:17" s="2359" customFormat="1">
      <c r="A995" s="2371" t="s">
        <v>1612</v>
      </c>
      <c r="B995" s="2371" t="s">
        <v>1608</v>
      </c>
      <c r="C995" s="2371" t="s">
        <v>2062</v>
      </c>
      <c r="D995" s="2371" t="s">
        <v>2089</v>
      </c>
      <c r="E995" s="2371" t="s">
        <v>1568</v>
      </c>
    </row>
    <row r="996" spans="1:17" s="2359" customFormat="1">
      <c r="A996" s="2367" t="str">
        <f t="shared" ref="A996:C1013" si="225">A941</f>
        <v>K1</v>
      </c>
      <c r="B996" s="2367">
        <f t="shared" si="225"/>
        <v>0</v>
      </c>
      <c r="C996" s="2367">
        <f t="shared" si="225"/>
        <v>0</v>
      </c>
      <c r="D996" s="2367">
        <f>$D$189</f>
        <v>2.2000000000000002</v>
      </c>
      <c r="E996" s="2367">
        <f t="shared" ref="E996:E1013" si="226">B996*C996*D996</f>
        <v>0</v>
      </c>
    </row>
    <row r="997" spans="1:17" s="2359" customFormat="1">
      <c r="A997" s="2133" t="str">
        <f t="shared" si="225"/>
        <v>K2</v>
      </c>
      <c r="B997" s="2388">
        <f t="shared" si="225"/>
        <v>0</v>
      </c>
      <c r="C997" s="2367">
        <f t="shared" si="225"/>
        <v>0</v>
      </c>
      <c r="D997" s="2367">
        <f>$D$190</f>
        <v>0</v>
      </c>
      <c r="E997" s="2133">
        <f t="shared" si="226"/>
        <v>0</v>
      </c>
    </row>
    <row r="998" spans="1:17" s="2359" customFormat="1">
      <c r="A998" s="2133" t="str">
        <f t="shared" si="225"/>
        <v>K3</v>
      </c>
      <c r="B998" s="2388">
        <f t="shared" si="225"/>
        <v>0</v>
      </c>
      <c r="C998" s="2367">
        <f t="shared" si="225"/>
        <v>0</v>
      </c>
      <c r="D998" s="2367">
        <f>$D$191</f>
        <v>1.2000000000000002</v>
      </c>
      <c r="E998" s="2133">
        <f t="shared" si="226"/>
        <v>0</v>
      </c>
    </row>
    <row r="999" spans="1:17" s="2359" customFormat="1">
      <c r="A999" s="2133" t="str">
        <f t="shared" si="225"/>
        <v>K4</v>
      </c>
      <c r="B999" s="2367">
        <f t="shared" si="225"/>
        <v>0</v>
      </c>
      <c r="C999" s="2367">
        <f t="shared" si="225"/>
        <v>0</v>
      </c>
      <c r="D999" s="2367">
        <f>$D$192</f>
        <v>1.1000000000000001</v>
      </c>
      <c r="E999" s="2133">
        <f t="shared" si="226"/>
        <v>0</v>
      </c>
    </row>
    <row r="1000" spans="1:17" s="2359" customFormat="1">
      <c r="A1000" s="2133" t="str">
        <f t="shared" si="225"/>
        <v>K5</v>
      </c>
      <c r="B1000" s="2367">
        <f t="shared" si="225"/>
        <v>0</v>
      </c>
      <c r="C1000" s="2367">
        <f t="shared" si="225"/>
        <v>0</v>
      </c>
      <c r="D1000" s="2367">
        <f>$D$193</f>
        <v>0.89999999999999991</v>
      </c>
      <c r="E1000" s="2133">
        <f t="shared" si="226"/>
        <v>0</v>
      </c>
    </row>
    <row r="1001" spans="1:17" s="2359" customFormat="1">
      <c r="A1001" s="2133" t="str">
        <f t="shared" si="225"/>
        <v>K6</v>
      </c>
      <c r="B1001" s="2367">
        <f t="shared" si="225"/>
        <v>0</v>
      </c>
      <c r="C1001" s="2367">
        <f t="shared" si="225"/>
        <v>0</v>
      </c>
      <c r="D1001" s="2367">
        <f>$D$194</f>
        <v>1</v>
      </c>
      <c r="E1001" s="2133">
        <f t="shared" si="226"/>
        <v>0</v>
      </c>
    </row>
    <row r="1002" spans="1:17" s="2359" customFormat="1">
      <c r="A1002" s="2133" t="str">
        <f t="shared" si="225"/>
        <v>K7</v>
      </c>
      <c r="B1002" s="2367">
        <f t="shared" si="225"/>
        <v>0</v>
      </c>
      <c r="C1002" s="2367">
        <f t="shared" si="225"/>
        <v>0</v>
      </c>
      <c r="D1002" s="2367">
        <f>$D$195</f>
        <v>0.8</v>
      </c>
      <c r="E1002" s="2133">
        <f t="shared" si="226"/>
        <v>0</v>
      </c>
    </row>
    <row r="1003" spans="1:17" s="2359" customFormat="1">
      <c r="A1003" s="2133" t="str">
        <f t="shared" si="225"/>
        <v>K8</v>
      </c>
      <c r="B1003" s="2367">
        <f t="shared" si="225"/>
        <v>0</v>
      </c>
      <c r="C1003" s="2367">
        <f t="shared" si="225"/>
        <v>0</v>
      </c>
      <c r="D1003" s="2367">
        <f>$D$196</f>
        <v>0</v>
      </c>
      <c r="E1003" s="2133">
        <f t="shared" si="226"/>
        <v>0</v>
      </c>
    </row>
    <row r="1004" spans="1:17" s="2359" customFormat="1" ht="15" customHeight="1">
      <c r="A1004" s="2133" t="str">
        <f t="shared" si="225"/>
        <v>K9</v>
      </c>
      <c r="B1004" s="2367">
        <f t="shared" si="225"/>
        <v>0</v>
      </c>
      <c r="C1004" s="2367">
        <f t="shared" si="225"/>
        <v>0</v>
      </c>
      <c r="D1004" s="2367">
        <f>$D$197</f>
        <v>0</v>
      </c>
      <c r="E1004" s="2133">
        <f t="shared" si="226"/>
        <v>0</v>
      </c>
    </row>
    <row r="1005" spans="1:17" s="2359" customFormat="1" ht="15" customHeight="1">
      <c r="A1005" s="2133" t="str">
        <f t="shared" si="225"/>
        <v>K10</v>
      </c>
      <c r="B1005" s="2367">
        <f t="shared" si="225"/>
        <v>0</v>
      </c>
      <c r="C1005" s="2367">
        <f t="shared" si="225"/>
        <v>0</v>
      </c>
      <c r="D1005" s="2367">
        <f>$D$198</f>
        <v>0</v>
      </c>
      <c r="E1005" s="2133">
        <f t="shared" si="226"/>
        <v>0</v>
      </c>
    </row>
    <row r="1006" spans="1:17" s="2359" customFormat="1">
      <c r="A1006" s="2133" t="str">
        <f t="shared" si="225"/>
        <v>K11</v>
      </c>
      <c r="B1006" s="2367">
        <f t="shared" si="225"/>
        <v>0</v>
      </c>
      <c r="C1006" s="2367">
        <f t="shared" si="225"/>
        <v>0</v>
      </c>
      <c r="D1006" s="2367">
        <f>$D$199</f>
        <v>0</v>
      </c>
      <c r="E1006" s="2133">
        <f t="shared" si="226"/>
        <v>0</v>
      </c>
    </row>
    <row r="1007" spans="1:17" s="2359" customFormat="1">
      <c r="A1007" s="2133" t="str">
        <f t="shared" si="225"/>
        <v>K12</v>
      </c>
      <c r="B1007" s="2367">
        <f t="shared" si="225"/>
        <v>0</v>
      </c>
      <c r="C1007" s="2367">
        <f t="shared" si="225"/>
        <v>0</v>
      </c>
      <c r="D1007" s="2367">
        <f>$D$200</f>
        <v>0</v>
      </c>
      <c r="E1007" s="2133">
        <f t="shared" si="226"/>
        <v>0</v>
      </c>
    </row>
    <row r="1008" spans="1:17" s="2359" customFormat="1">
      <c r="A1008" s="2133" t="str">
        <f t="shared" si="225"/>
        <v>K13</v>
      </c>
      <c r="B1008" s="2367">
        <f t="shared" si="225"/>
        <v>0</v>
      </c>
      <c r="C1008" s="2367">
        <f t="shared" si="225"/>
        <v>0</v>
      </c>
      <c r="D1008" s="2367">
        <f>$D$201</f>
        <v>0</v>
      </c>
      <c r="E1008" s="2133">
        <f t="shared" si="226"/>
        <v>0</v>
      </c>
    </row>
    <row r="1009" spans="1:43" s="2359" customFormat="1">
      <c r="A1009" s="2133" t="str">
        <f t="shared" si="225"/>
        <v>K14</v>
      </c>
      <c r="B1009" s="2367">
        <f t="shared" si="225"/>
        <v>0</v>
      </c>
      <c r="C1009" s="2367">
        <f t="shared" si="225"/>
        <v>0</v>
      </c>
      <c r="D1009" s="2367">
        <f>$D$202</f>
        <v>0</v>
      </c>
      <c r="E1009" s="2133">
        <f t="shared" si="226"/>
        <v>0</v>
      </c>
    </row>
    <row r="1010" spans="1:43" s="2359" customFormat="1">
      <c r="A1010" s="2133" t="str">
        <f t="shared" si="225"/>
        <v>K15</v>
      </c>
      <c r="B1010" s="2367">
        <f t="shared" si="225"/>
        <v>0</v>
      </c>
      <c r="C1010" s="2367">
        <f t="shared" si="225"/>
        <v>0</v>
      </c>
      <c r="D1010" s="2367">
        <f>$D$203</f>
        <v>0</v>
      </c>
      <c r="E1010" s="2133">
        <f t="shared" si="226"/>
        <v>0</v>
      </c>
    </row>
    <row r="1011" spans="1:43" s="2359" customFormat="1">
      <c r="A1011" s="2133" t="str">
        <f t="shared" si="225"/>
        <v>K16</v>
      </c>
      <c r="B1011" s="2367">
        <f t="shared" si="225"/>
        <v>0</v>
      </c>
      <c r="C1011" s="2367">
        <f t="shared" si="225"/>
        <v>0</v>
      </c>
      <c r="D1011" s="2367">
        <f>$D$204</f>
        <v>0</v>
      </c>
      <c r="E1011" s="2133">
        <f t="shared" si="226"/>
        <v>0</v>
      </c>
    </row>
    <row r="1012" spans="1:43" s="2359" customFormat="1" ht="15" customHeight="1">
      <c r="A1012" s="2133" t="str">
        <f t="shared" si="225"/>
        <v>K17</v>
      </c>
      <c r="B1012" s="2367">
        <f t="shared" si="225"/>
        <v>0</v>
      </c>
      <c r="C1012" s="2367">
        <f t="shared" si="225"/>
        <v>0</v>
      </c>
      <c r="D1012" s="2367">
        <f>$D$205</f>
        <v>0</v>
      </c>
      <c r="E1012" s="2133">
        <f t="shared" si="226"/>
        <v>0</v>
      </c>
    </row>
    <row r="1013" spans="1:43" s="2359" customFormat="1" ht="15" customHeight="1">
      <c r="A1013" s="2133" t="str">
        <f t="shared" si="225"/>
        <v>K18</v>
      </c>
      <c r="B1013" s="2367">
        <f t="shared" si="225"/>
        <v>0</v>
      </c>
      <c r="C1013" s="2367">
        <f t="shared" si="225"/>
        <v>0</v>
      </c>
      <c r="D1013" s="2367">
        <f>$D$206</f>
        <v>0</v>
      </c>
      <c r="E1013" s="2133">
        <f t="shared" si="226"/>
        <v>0</v>
      </c>
      <c r="G1013" s="2367"/>
    </row>
    <row r="1014" spans="1:43" s="2359" customFormat="1">
      <c r="D1014" s="2876" t="s">
        <v>2076</v>
      </c>
      <c r="E1014" s="2878">
        <f>SUM(E996:E1013)</f>
        <v>0</v>
      </c>
      <c r="G1014" s="2367"/>
    </row>
    <row r="1015" spans="1:43" s="2359" customFormat="1">
      <c r="D1015" s="2877"/>
      <c r="E1015" s="2878"/>
      <c r="G1015" s="2367"/>
    </row>
    <row r="1016" spans="1:43" s="2359" customFormat="1">
      <c r="G1016" s="2367"/>
    </row>
    <row r="1017" spans="1:43" s="2359" customFormat="1">
      <c r="G1017" s="2367"/>
    </row>
    <row r="1018" spans="1:43" s="2359" customFormat="1">
      <c r="A1018" s="2371" t="s">
        <v>1612</v>
      </c>
      <c r="B1018" s="2371" t="s">
        <v>1608</v>
      </c>
      <c r="C1018" s="2371" t="s">
        <v>2062</v>
      </c>
      <c r="D1018" s="2371" t="s">
        <v>2088</v>
      </c>
      <c r="E1018" s="2371" t="s">
        <v>1568</v>
      </c>
      <c r="G1018" s="2367"/>
    </row>
    <row r="1019" spans="1:43" s="2359" customFormat="1">
      <c r="A1019" s="2367" t="str">
        <f t="shared" ref="A1019:C1020" si="227">A990</f>
        <v>KP1</v>
      </c>
      <c r="B1019" s="2367">
        <f t="shared" si="227"/>
        <v>0</v>
      </c>
      <c r="C1019" s="2367">
        <f t="shared" si="227"/>
        <v>0</v>
      </c>
      <c r="D1019" s="2367">
        <f>$D$212</f>
        <v>0.6</v>
      </c>
      <c r="E1019" s="2367">
        <f>B1019*C1019*D1019</f>
        <v>0</v>
      </c>
      <c r="G1019" s="2367"/>
    </row>
    <row r="1020" spans="1:43" s="2359" customFormat="1">
      <c r="A1020" s="2133" t="str">
        <f t="shared" si="227"/>
        <v>KP2</v>
      </c>
      <c r="B1020" s="2133">
        <f t="shared" si="227"/>
        <v>1.52</v>
      </c>
      <c r="C1020" s="2133">
        <f t="shared" si="227"/>
        <v>0</v>
      </c>
      <c r="D1020" s="2367">
        <f>$D$213</f>
        <v>0.6</v>
      </c>
      <c r="E1020" s="2133">
        <f>B1020*C1020*D1020</f>
        <v>0</v>
      </c>
      <c r="G1020" s="2367"/>
      <c r="V1020" s="2358"/>
      <c r="W1020" s="2358"/>
      <c r="X1020" s="2358"/>
      <c r="Y1020" s="2358"/>
      <c r="Z1020" s="2358"/>
      <c r="AA1020" s="2358"/>
      <c r="AB1020" s="2358"/>
      <c r="AC1020" s="2358"/>
      <c r="AD1020" s="2358"/>
      <c r="AE1020" s="2358"/>
      <c r="AF1020" s="2358"/>
      <c r="AG1020" s="2358"/>
      <c r="AH1020" s="2358"/>
      <c r="AI1020" s="2358"/>
      <c r="AJ1020" s="2358"/>
      <c r="AK1020" s="2358"/>
      <c r="AL1020" s="2358"/>
      <c r="AM1020" s="2358"/>
      <c r="AN1020" s="2358"/>
      <c r="AO1020" s="2358"/>
      <c r="AP1020" s="2358"/>
      <c r="AQ1020" s="2358"/>
    </row>
    <row r="1021" spans="1:43" s="2359" customFormat="1" ht="30">
      <c r="D1021" s="2138" t="s">
        <v>2076</v>
      </c>
      <c r="E1021" s="2372">
        <f>SUM(E1019:E1020)</f>
        <v>0</v>
      </c>
      <c r="V1021" s="2358"/>
      <c r="W1021" s="2833"/>
      <c r="X1021" s="2833"/>
      <c r="Y1021" s="2833"/>
      <c r="Z1021" s="2833"/>
      <c r="AA1021" s="2833"/>
      <c r="AB1021" s="2833"/>
      <c r="AC1021" s="2833"/>
      <c r="AD1021" s="2833"/>
      <c r="AE1021" s="2358"/>
      <c r="AF1021" s="2358"/>
      <c r="AG1021" s="2358"/>
      <c r="AH1021" s="2358"/>
      <c r="AI1021" s="2358"/>
      <c r="AJ1021" s="2358"/>
      <c r="AK1021" s="2358"/>
      <c r="AL1021" s="2358"/>
      <c r="AM1021" s="2358"/>
      <c r="AN1021" s="2358"/>
      <c r="AO1021" s="2358"/>
      <c r="AP1021" s="2358"/>
      <c r="AQ1021" s="2358"/>
    </row>
    <row r="1022" spans="1:43" s="2359" customFormat="1">
      <c r="U1022" s="2358"/>
      <c r="V1022" s="2358"/>
      <c r="W1022" s="2358"/>
      <c r="X1022" s="2358"/>
      <c r="Y1022" s="2179"/>
      <c r="Z1022" s="2358"/>
      <c r="AA1022" s="2179"/>
      <c r="AB1022" s="2358"/>
      <c r="AC1022" s="2358"/>
      <c r="AD1022" s="2358"/>
      <c r="AE1022" s="2358"/>
      <c r="AF1022" s="2358"/>
      <c r="AG1022" s="2358"/>
      <c r="AH1022" s="2358"/>
      <c r="AI1022" s="2358"/>
      <c r="AJ1022" s="2358"/>
      <c r="AK1022" s="2358"/>
      <c r="AL1022" s="2358"/>
      <c r="AM1022" s="2358"/>
      <c r="AN1022" s="2358"/>
      <c r="AO1022" s="2358"/>
      <c r="AP1022" s="2358"/>
    </row>
    <row r="1023" spans="1:43" s="2359" customFormat="1">
      <c r="A1023" s="2831" t="s">
        <v>2105</v>
      </c>
      <c r="B1023" s="2832"/>
      <c r="C1023" s="2832"/>
      <c r="D1023" s="2832"/>
      <c r="E1023" s="2832"/>
      <c r="F1023" s="2832"/>
      <c r="G1023" s="2836"/>
      <c r="H1023" s="2831" t="s">
        <v>1568</v>
      </c>
      <c r="I1023" s="2832"/>
      <c r="J1023" s="2832"/>
      <c r="K1023" s="2832"/>
      <c r="L1023" s="2836"/>
      <c r="N1023" s="2831" t="s">
        <v>1610</v>
      </c>
      <c r="O1023" s="2832"/>
      <c r="P1023" s="2832"/>
      <c r="Q1023" s="2832"/>
      <c r="R1023" s="2836"/>
      <c r="U1023" s="2358"/>
      <c r="V1023" s="2358"/>
      <c r="W1023" s="2358"/>
      <c r="X1023" s="2358"/>
      <c r="Y1023" s="2358"/>
      <c r="Z1023" s="2358"/>
      <c r="AA1023" s="2358"/>
      <c r="AB1023" s="2358"/>
      <c r="AC1023" s="2358"/>
      <c r="AD1023" s="2358"/>
      <c r="AE1023" s="2358"/>
      <c r="AF1023" s="2358"/>
      <c r="AG1023" s="2358"/>
      <c r="AH1023" s="2358"/>
      <c r="AI1023" s="2358"/>
      <c r="AJ1023" s="2358"/>
      <c r="AK1023" s="2358"/>
      <c r="AL1023" s="2358"/>
      <c r="AM1023" s="2358"/>
      <c r="AN1023" s="2358"/>
      <c r="AO1023" s="2358"/>
      <c r="AP1023" s="2358"/>
    </row>
    <row r="1024" spans="1:43" s="2359" customFormat="1" ht="15">
      <c r="A1024" s="2367" t="s">
        <v>1796</v>
      </c>
      <c r="B1024" s="2369" t="s">
        <v>2004</v>
      </c>
      <c r="C1024" s="2367" t="s">
        <v>1609</v>
      </c>
      <c r="D1024" s="2088" t="s">
        <v>2098</v>
      </c>
      <c r="E1024" s="2187" t="s">
        <v>2099</v>
      </c>
      <c r="F1024" s="2088" t="s">
        <v>2440</v>
      </c>
      <c r="G1024" s="2367" t="s">
        <v>2107</v>
      </c>
      <c r="H1024" s="2367" t="s">
        <v>2100</v>
      </c>
      <c r="I1024" s="2367" t="s">
        <v>2101</v>
      </c>
      <c r="J1024" s="2367" t="s">
        <v>2102</v>
      </c>
      <c r="K1024" s="2367" t="s">
        <v>2103</v>
      </c>
      <c r="L1024" s="2367" t="s">
        <v>2104</v>
      </c>
      <c r="N1024" s="2133" t="s">
        <v>1607</v>
      </c>
      <c r="O1024" s="2133" t="s">
        <v>1611</v>
      </c>
      <c r="P1024" s="2133" t="s">
        <v>1168</v>
      </c>
      <c r="Q1024" s="2133" t="s">
        <v>1205</v>
      </c>
      <c r="R1024" s="2133" t="s">
        <v>1243</v>
      </c>
      <c r="U1024" s="2358"/>
      <c r="V1024" s="2358"/>
      <c r="W1024" s="2358"/>
      <c r="X1024" s="2358"/>
      <c r="Y1024" s="2358"/>
      <c r="Z1024" s="2358"/>
      <c r="AA1024" s="2358"/>
      <c r="AB1024" s="2358"/>
      <c r="AC1024" s="2358"/>
      <c r="AD1024" s="2358"/>
      <c r="AE1024" s="2358"/>
      <c r="AF1024" s="2358"/>
      <c r="AG1024" s="2358"/>
      <c r="AH1024" s="2358"/>
      <c r="AI1024" s="2358"/>
      <c r="AJ1024" s="2358"/>
      <c r="AK1024" s="2358"/>
      <c r="AL1024" s="2358"/>
      <c r="AM1024" s="2358"/>
      <c r="AN1024" s="2358"/>
      <c r="AO1024" s="2358"/>
      <c r="AP1024" s="2358"/>
    </row>
    <row r="1025" spans="1:42" s="2359" customFormat="1">
      <c r="A1025" s="2134" t="s">
        <v>187</v>
      </c>
      <c r="B1025" s="2133">
        <f t="shared" ref="B1025:B1044" si="228">P33</f>
        <v>0</v>
      </c>
      <c r="C1025" s="2135">
        <f t="shared" ref="C1025:C1039" si="229">H33</f>
        <v>10</v>
      </c>
      <c r="D1025" s="2135">
        <f t="shared" ref="D1025:D1039" si="230">I33</f>
        <v>0</v>
      </c>
      <c r="E1025" s="2135">
        <f t="shared" ref="E1025:E1039" si="231">J33</f>
        <v>0</v>
      </c>
      <c r="F1025" s="2135">
        <f t="shared" ref="F1025:F1039" si="232">K33</f>
        <v>0</v>
      </c>
      <c r="G1025" s="2135">
        <f t="shared" ref="G1025:G1039" si="233">L33</f>
        <v>0</v>
      </c>
      <c r="H1025" s="2133">
        <f>B1025*C1025</f>
        <v>0</v>
      </c>
      <c r="I1025" s="2133">
        <f>B1025*D1025</f>
        <v>0</v>
      </c>
      <c r="J1025" s="2133">
        <f t="shared" ref="J1025:J1045" si="234">B1025*E1025</f>
        <v>0</v>
      </c>
      <c r="K1025" s="2133">
        <f>B1025*F1025</f>
        <v>0</v>
      </c>
      <c r="L1025" s="2133">
        <f t="shared" ref="L1025:L1045" si="235">B1025*G1025</f>
        <v>0</v>
      </c>
      <c r="N1025" s="2133">
        <f t="shared" ref="N1025:N1045" si="236">(B1025/2)/0.2</f>
        <v>0</v>
      </c>
      <c r="O1025" s="2133">
        <f t="shared" ref="O1025:O1045" si="237">(B1025/2)/0.1</f>
        <v>0</v>
      </c>
      <c r="P1025" s="2133">
        <f t="shared" ref="P1025:P1045" si="238">SUM(N1025:O1025)</f>
        <v>0</v>
      </c>
      <c r="Q1025" s="2133">
        <f t="shared" ref="Q1025:Q1039" si="239">Q418</f>
        <v>1</v>
      </c>
      <c r="R1025" s="2133">
        <f t="shared" ref="R1025:R1045" si="240">P1025*Q1025</f>
        <v>0</v>
      </c>
      <c r="U1025" s="2358"/>
      <c r="V1025" s="2358"/>
      <c r="W1025" s="2358"/>
      <c r="X1025" s="2358"/>
      <c r="Y1025" s="2358"/>
      <c r="Z1025" s="2358"/>
      <c r="AA1025" s="2358"/>
      <c r="AB1025" s="2358"/>
      <c r="AC1025" s="2358"/>
      <c r="AD1025" s="2358"/>
      <c r="AE1025" s="2358"/>
      <c r="AF1025" s="2358"/>
      <c r="AG1025" s="2358"/>
      <c r="AH1025" s="2358"/>
      <c r="AI1025" s="2358"/>
      <c r="AJ1025" s="2358"/>
      <c r="AK1025" s="2358"/>
      <c r="AL1025" s="2358"/>
      <c r="AM1025" s="2358"/>
      <c r="AN1025" s="2358"/>
      <c r="AO1025" s="2358"/>
      <c r="AP1025" s="2358"/>
    </row>
    <row r="1026" spans="1:42" s="2359" customFormat="1">
      <c r="A1026" s="2134" t="s">
        <v>173</v>
      </c>
      <c r="B1026" s="2133">
        <f t="shared" si="228"/>
        <v>0</v>
      </c>
      <c r="C1026" s="2135">
        <f t="shared" si="229"/>
        <v>10</v>
      </c>
      <c r="D1026" s="2135">
        <f t="shared" si="230"/>
        <v>0</v>
      </c>
      <c r="E1026" s="2135">
        <f t="shared" si="231"/>
        <v>0</v>
      </c>
      <c r="F1026" s="2135">
        <f t="shared" si="232"/>
        <v>1</v>
      </c>
      <c r="G1026" s="2135">
        <f t="shared" si="233"/>
        <v>0</v>
      </c>
      <c r="H1026" s="2133">
        <f>B1026*C1026</f>
        <v>0</v>
      </c>
      <c r="I1026" s="2133">
        <f t="shared" ref="I1026:I1045" si="241">B1026*D1026</f>
        <v>0</v>
      </c>
      <c r="J1026" s="2133">
        <f t="shared" si="234"/>
        <v>0</v>
      </c>
      <c r="K1026" s="2133">
        <f t="shared" ref="K1026:K1032" si="242">B1026*F1026</f>
        <v>0</v>
      </c>
      <c r="L1026" s="2133">
        <f t="shared" si="235"/>
        <v>0</v>
      </c>
      <c r="N1026" s="2133">
        <f t="shared" si="236"/>
        <v>0</v>
      </c>
      <c r="O1026" s="2133">
        <f t="shared" si="237"/>
        <v>0</v>
      </c>
      <c r="P1026" s="2133">
        <f t="shared" si="238"/>
        <v>0</v>
      </c>
      <c r="Q1026" s="2133">
        <f t="shared" si="239"/>
        <v>1.1000000000000001</v>
      </c>
      <c r="R1026" s="2133">
        <f t="shared" si="240"/>
        <v>0</v>
      </c>
      <c r="U1026" s="2358"/>
      <c r="V1026" s="2358"/>
      <c r="W1026" s="2358"/>
      <c r="X1026" s="2358"/>
      <c r="Y1026" s="2358"/>
      <c r="Z1026" s="2358"/>
      <c r="AA1026" s="2358"/>
      <c r="AB1026" s="2358"/>
      <c r="AC1026" s="2358"/>
      <c r="AD1026" s="2358"/>
      <c r="AE1026" s="2358"/>
      <c r="AF1026" s="2358"/>
      <c r="AG1026" s="2358"/>
      <c r="AH1026" s="2358"/>
      <c r="AI1026" s="2358"/>
      <c r="AJ1026" s="2358"/>
      <c r="AK1026" s="2358"/>
      <c r="AL1026" s="2358"/>
      <c r="AM1026" s="2358"/>
      <c r="AN1026" s="2358"/>
      <c r="AO1026" s="2358"/>
      <c r="AP1026" s="2358"/>
    </row>
    <row r="1027" spans="1:42" s="2359" customFormat="1">
      <c r="A1027" s="2134" t="s">
        <v>172</v>
      </c>
      <c r="B1027" s="2133">
        <f t="shared" si="228"/>
        <v>0</v>
      </c>
      <c r="C1027" s="2135">
        <f t="shared" si="229"/>
        <v>10</v>
      </c>
      <c r="D1027" s="2135">
        <f t="shared" si="230"/>
        <v>0</v>
      </c>
      <c r="E1027" s="2135">
        <f t="shared" si="231"/>
        <v>0</v>
      </c>
      <c r="F1027" s="2135">
        <f t="shared" si="232"/>
        <v>3</v>
      </c>
      <c r="G1027" s="2135">
        <f t="shared" si="233"/>
        <v>0</v>
      </c>
      <c r="H1027" s="2133">
        <f>B1027*C1027</f>
        <v>0</v>
      </c>
      <c r="I1027" s="2133">
        <f t="shared" si="241"/>
        <v>0</v>
      </c>
      <c r="J1027" s="2133">
        <f t="shared" si="234"/>
        <v>0</v>
      </c>
      <c r="K1027" s="2133">
        <f t="shared" si="242"/>
        <v>0</v>
      </c>
      <c r="L1027" s="2133">
        <f t="shared" si="235"/>
        <v>0</v>
      </c>
      <c r="N1027" s="2133">
        <f t="shared" si="236"/>
        <v>0</v>
      </c>
      <c r="O1027" s="2133">
        <f t="shared" si="237"/>
        <v>0</v>
      </c>
      <c r="P1027" s="2133">
        <f t="shared" si="238"/>
        <v>0</v>
      </c>
      <c r="Q1027" s="2133">
        <f t="shared" si="239"/>
        <v>1.35</v>
      </c>
      <c r="R1027" s="2133">
        <f t="shared" si="240"/>
        <v>0</v>
      </c>
      <c r="U1027" s="2358"/>
      <c r="V1027" s="2358"/>
      <c r="W1027" s="2358"/>
      <c r="X1027" s="2358"/>
      <c r="Y1027" s="2358"/>
      <c r="Z1027" s="2358"/>
      <c r="AA1027" s="2358"/>
      <c r="AB1027" s="2358"/>
      <c r="AC1027" s="2358"/>
      <c r="AD1027" s="2358"/>
      <c r="AE1027" s="2358"/>
      <c r="AF1027" s="2358"/>
      <c r="AG1027" s="2358"/>
      <c r="AH1027" s="2358"/>
      <c r="AI1027" s="2358"/>
      <c r="AJ1027" s="2358"/>
      <c r="AK1027" s="2358"/>
      <c r="AL1027" s="2358"/>
      <c r="AM1027" s="2358"/>
      <c r="AN1027" s="2358"/>
      <c r="AO1027" s="2358"/>
      <c r="AP1027" s="2358"/>
    </row>
    <row r="1028" spans="1:42" s="2359" customFormat="1">
      <c r="A1028" s="2134" t="s">
        <v>174</v>
      </c>
      <c r="B1028" s="2133">
        <f t="shared" si="228"/>
        <v>0</v>
      </c>
      <c r="C1028" s="2135">
        <f t="shared" si="229"/>
        <v>6</v>
      </c>
      <c r="D1028" s="2135">
        <f t="shared" si="230"/>
        <v>0</v>
      </c>
      <c r="E1028" s="2135">
        <f t="shared" si="231"/>
        <v>0</v>
      </c>
      <c r="F1028" s="2135">
        <f t="shared" si="232"/>
        <v>4</v>
      </c>
      <c r="G1028" s="2135">
        <f t="shared" si="233"/>
        <v>0</v>
      </c>
      <c r="H1028" s="2133">
        <f t="shared" ref="H1028:H1045" si="243">B1028*C1028</f>
        <v>0</v>
      </c>
      <c r="I1028" s="2133">
        <f t="shared" si="241"/>
        <v>0</v>
      </c>
      <c r="J1028" s="2133">
        <f t="shared" si="234"/>
        <v>0</v>
      </c>
      <c r="K1028" s="2133">
        <f t="shared" si="242"/>
        <v>0</v>
      </c>
      <c r="L1028" s="2133">
        <f t="shared" si="235"/>
        <v>0</v>
      </c>
      <c r="N1028" s="2133">
        <f t="shared" si="236"/>
        <v>0</v>
      </c>
      <c r="O1028" s="2133">
        <f t="shared" si="237"/>
        <v>0</v>
      </c>
      <c r="P1028" s="2133">
        <f t="shared" si="238"/>
        <v>0</v>
      </c>
      <c r="Q1028" s="2133">
        <f t="shared" si="239"/>
        <v>0.7</v>
      </c>
      <c r="R1028" s="2133">
        <f t="shared" si="240"/>
        <v>0</v>
      </c>
      <c r="U1028" s="2358"/>
      <c r="V1028" s="2358"/>
      <c r="W1028" s="2358"/>
      <c r="X1028" s="2358"/>
      <c r="Y1028" s="2358"/>
      <c r="Z1028" s="2358"/>
      <c r="AA1028" s="2358"/>
      <c r="AB1028" s="2358"/>
      <c r="AC1028" s="2358"/>
      <c r="AD1028" s="2358"/>
      <c r="AE1028" s="2358"/>
      <c r="AF1028" s="2358"/>
      <c r="AG1028" s="2358"/>
      <c r="AH1028" s="2358"/>
      <c r="AI1028" s="2358"/>
      <c r="AJ1028" s="2358"/>
      <c r="AK1028" s="2358"/>
      <c r="AL1028" s="2358"/>
      <c r="AM1028" s="2358"/>
      <c r="AN1028" s="2358"/>
      <c r="AO1028" s="2358"/>
      <c r="AP1028" s="2358"/>
    </row>
    <row r="1029" spans="1:42" s="2359" customFormat="1">
      <c r="A1029" s="2134" t="s">
        <v>188</v>
      </c>
      <c r="B1029" s="2133">
        <f t="shared" si="228"/>
        <v>0</v>
      </c>
      <c r="C1029" s="2135">
        <f t="shared" si="229"/>
        <v>0</v>
      </c>
      <c r="D1029" s="2135">
        <f t="shared" si="230"/>
        <v>0</v>
      </c>
      <c r="E1029" s="2135">
        <f t="shared" si="231"/>
        <v>0</v>
      </c>
      <c r="F1029" s="2135">
        <f t="shared" si="232"/>
        <v>0</v>
      </c>
      <c r="G1029" s="2135">
        <f t="shared" si="233"/>
        <v>0</v>
      </c>
      <c r="H1029" s="2133">
        <f t="shared" si="243"/>
        <v>0</v>
      </c>
      <c r="I1029" s="2133">
        <f t="shared" si="241"/>
        <v>0</v>
      </c>
      <c r="J1029" s="2133">
        <f t="shared" si="234"/>
        <v>0</v>
      </c>
      <c r="K1029" s="2133">
        <f t="shared" si="242"/>
        <v>0</v>
      </c>
      <c r="L1029" s="2133">
        <f t="shared" si="235"/>
        <v>0</v>
      </c>
      <c r="N1029" s="2133">
        <f t="shared" si="236"/>
        <v>0</v>
      </c>
      <c r="O1029" s="2133">
        <f t="shared" si="237"/>
        <v>0</v>
      </c>
      <c r="P1029" s="2133">
        <f t="shared" si="238"/>
        <v>0</v>
      </c>
      <c r="Q1029" s="2133">
        <f t="shared" si="239"/>
        <v>-0.2</v>
      </c>
      <c r="R1029" s="2133">
        <f t="shared" si="240"/>
        <v>0</v>
      </c>
      <c r="U1029" s="2358"/>
      <c r="V1029" s="2358"/>
      <c r="W1029" s="2358"/>
      <c r="X1029" s="2358"/>
      <c r="Y1029" s="2358"/>
      <c r="Z1029" s="2358"/>
      <c r="AA1029" s="2358"/>
      <c r="AB1029" s="2358"/>
      <c r="AC1029" s="2358"/>
      <c r="AD1029" s="2358"/>
      <c r="AE1029" s="2358"/>
      <c r="AF1029" s="2358"/>
      <c r="AG1029" s="2358"/>
      <c r="AH1029" s="2358"/>
      <c r="AI1029" s="2358"/>
      <c r="AJ1029" s="2358"/>
      <c r="AK1029" s="2358"/>
      <c r="AL1029" s="2358"/>
      <c r="AM1029" s="2358"/>
      <c r="AN1029" s="2358"/>
      <c r="AO1029" s="2358"/>
      <c r="AP1029" s="2358"/>
    </row>
    <row r="1030" spans="1:42" s="2359" customFormat="1">
      <c r="A1030" s="2134" t="s">
        <v>1998</v>
      </c>
      <c r="B1030" s="2133">
        <f t="shared" si="228"/>
        <v>0</v>
      </c>
      <c r="C1030" s="2135">
        <f t="shared" si="229"/>
        <v>0</v>
      </c>
      <c r="D1030" s="2135">
        <f t="shared" si="230"/>
        <v>0</v>
      </c>
      <c r="E1030" s="2135">
        <f t="shared" si="231"/>
        <v>0</v>
      </c>
      <c r="F1030" s="2135">
        <f t="shared" si="232"/>
        <v>0</v>
      </c>
      <c r="G1030" s="2135">
        <f t="shared" si="233"/>
        <v>0</v>
      </c>
      <c r="H1030" s="2133">
        <f t="shared" si="243"/>
        <v>0</v>
      </c>
      <c r="I1030" s="2133">
        <f t="shared" si="241"/>
        <v>0</v>
      </c>
      <c r="J1030" s="2133">
        <f t="shared" si="234"/>
        <v>0</v>
      </c>
      <c r="K1030" s="2133">
        <f t="shared" si="242"/>
        <v>0</v>
      </c>
      <c r="L1030" s="2133">
        <f t="shared" si="235"/>
        <v>0</v>
      </c>
      <c r="N1030" s="2133">
        <f t="shared" si="236"/>
        <v>0</v>
      </c>
      <c r="O1030" s="2133">
        <f t="shared" si="237"/>
        <v>0</v>
      </c>
      <c r="P1030" s="2133">
        <f t="shared" si="238"/>
        <v>0</v>
      </c>
      <c r="Q1030" s="2133">
        <f t="shared" si="239"/>
        <v>-0.2</v>
      </c>
      <c r="R1030" s="2133">
        <f t="shared" si="240"/>
        <v>0</v>
      </c>
      <c r="U1030" s="2358"/>
      <c r="V1030" s="2358"/>
      <c r="W1030" s="2358"/>
      <c r="X1030" s="2358"/>
      <c r="Y1030" s="2358"/>
      <c r="Z1030" s="2358"/>
      <c r="AA1030" s="2358"/>
      <c r="AB1030" s="2358"/>
      <c r="AC1030" s="2358"/>
      <c r="AD1030" s="2358"/>
      <c r="AE1030" s="2358"/>
      <c r="AF1030" s="2358"/>
      <c r="AG1030" s="2358"/>
      <c r="AH1030" s="2358"/>
      <c r="AI1030" s="2358"/>
      <c r="AJ1030" s="2358"/>
      <c r="AK1030" s="2358"/>
      <c r="AL1030" s="2358"/>
      <c r="AM1030" s="2358"/>
      <c r="AN1030" s="2358"/>
      <c r="AO1030" s="2358"/>
      <c r="AP1030" s="2358"/>
    </row>
    <row r="1031" spans="1:42" s="2359" customFormat="1">
      <c r="A1031" s="2134" t="s">
        <v>1999</v>
      </c>
      <c r="B1031" s="2133">
        <f t="shared" si="228"/>
        <v>0</v>
      </c>
      <c r="C1031" s="2135">
        <f t="shared" si="229"/>
        <v>0</v>
      </c>
      <c r="D1031" s="2135">
        <f t="shared" si="230"/>
        <v>0</v>
      </c>
      <c r="E1031" s="2135">
        <f t="shared" si="231"/>
        <v>0</v>
      </c>
      <c r="F1031" s="2135">
        <f t="shared" si="232"/>
        <v>0</v>
      </c>
      <c r="G1031" s="2135">
        <f t="shared" si="233"/>
        <v>0</v>
      </c>
      <c r="H1031" s="2133">
        <f t="shared" si="243"/>
        <v>0</v>
      </c>
      <c r="I1031" s="2133">
        <f t="shared" si="241"/>
        <v>0</v>
      </c>
      <c r="J1031" s="2133">
        <f t="shared" si="234"/>
        <v>0</v>
      </c>
      <c r="K1031" s="2133">
        <f t="shared" si="242"/>
        <v>0</v>
      </c>
      <c r="L1031" s="2133">
        <f t="shared" si="235"/>
        <v>0</v>
      </c>
      <c r="N1031" s="2133">
        <f t="shared" si="236"/>
        <v>0</v>
      </c>
      <c r="O1031" s="2133">
        <f t="shared" si="237"/>
        <v>0</v>
      </c>
      <c r="P1031" s="2133">
        <f t="shared" si="238"/>
        <v>0</v>
      </c>
      <c r="Q1031" s="2133">
        <f t="shared" si="239"/>
        <v>-0.2</v>
      </c>
      <c r="R1031" s="2133">
        <f t="shared" si="240"/>
        <v>0</v>
      </c>
      <c r="U1031" s="2358"/>
      <c r="V1031" s="2358"/>
      <c r="W1031" s="2358"/>
      <c r="X1031" s="2358"/>
      <c r="Y1031" s="2358"/>
      <c r="Z1031" s="2358"/>
      <c r="AA1031" s="2358"/>
      <c r="AB1031" s="2358"/>
      <c r="AC1031" s="2358"/>
      <c r="AD1031" s="2358"/>
      <c r="AE1031" s="2358"/>
      <c r="AF1031" s="2358"/>
      <c r="AG1031" s="2358"/>
      <c r="AH1031" s="2358"/>
      <c r="AI1031" s="2358"/>
      <c r="AJ1031" s="2358"/>
      <c r="AK1031" s="2358"/>
      <c r="AL1031" s="2358"/>
      <c r="AM1031" s="2358"/>
      <c r="AN1031" s="2358"/>
      <c r="AO1031" s="2358"/>
      <c r="AP1031" s="2358"/>
    </row>
    <row r="1032" spans="1:42" s="2359" customFormat="1">
      <c r="A1032" s="2134" t="s">
        <v>2000</v>
      </c>
      <c r="B1032" s="2133">
        <f t="shared" si="228"/>
        <v>0</v>
      </c>
      <c r="C1032" s="2135">
        <f t="shared" si="229"/>
        <v>0</v>
      </c>
      <c r="D1032" s="2135">
        <f t="shared" si="230"/>
        <v>0</v>
      </c>
      <c r="E1032" s="2135">
        <f t="shared" si="231"/>
        <v>0</v>
      </c>
      <c r="F1032" s="2135">
        <f t="shared" si="232"/>
        <v>0</v>
      </c>
      <c r="G1032" s="2135">
        <f t="shared" si="233"/>
        <v>0</v>
      </c>
      <c r="H1032" s="2133">
        <f t="shared" si="243"/>
        <v>0</v>
      </c>
      <c r="I1032" s="2133">
        <f t="shared" si="241"/>
        <v>0</v>
      </c>
      <c r="J1032" s="2133">
        <f t="shared" si="234"/>
        <v>0</v>
      </c>
      <c r="K1032" s="2133">
        <f t="shared" si="242"/>
        <v>0</v>
      </c>
      <c r="L1032" s="2133">
        <f t="shared" si="235"/>
        <v>0</v>
      </c>
      <c r="N1032" s="2133">
        <f t="shared" si="236"/>
        <v>0</v>
      </c>
      <c r="O1032" s="2133">
        <f t="shared" si="237"/>
        <v>0</v>
      </c>
      <c r="P1032" s="2133">
        <f t="shared" si="238"/>
        <v>0</v>
      </c>
      <c r="Q1032" s="2133">
        <f t="shared" si="239"/>
        <v>-0.2</v>
      </c>
      <c r="R1032" s="2133">
        <f t="shared" si="240"/>
        <v>0</v>
      </c>
      <c r="U1032" s="2358"/>
      <c r="V1032" s="2358"/>
      <c r="W1032" s="2358"/>
      <c r="X1032" s="2358"/>
      <c r="Y1032" s="2358"/>
      <c r="Z1032" s="2358"/>
      <c r="AA1032" s="2358"/>
      <c r="AB1032" s="2358"/>
      <c r="AC1032" s="2358"/>
      <c r="AD1032" s="2358"/>
      <c r="AE1032" s="2358"/>
      <c r="AF1032" s="2358"/>
      <c r="AG1032" s="2358"/>
      <c r="AH1032" s="2358"/>
      <c r="AI1032" s="2358"/>
      <c r="AJ1032" s="2358"/>
      <c r="AK1032" s="2358"/>
      <c r="AL1032" s="2358"/>
      <c r="AM1032" s="2358"/>
      <c r="AN1032" s="2358"/>
      <c r="AO1032" s="2358"/>
      <c r="AP1032" s="2358"/>
    </row>
    <row r="1033" spans="1:42" s="2359" customFormat="1">
      <c r="A1033" s="2134" t="s">
        <v>2001</v>
      </c>
      <c r="B1033" s="2133">
        <f t="shared" si="228"/>
        <v>0</v>
      </c>
      <c r="C1033" s="2135">
        <f t="shared" si="229"/>
        <v>0</v>
      </c>
      <c r="D1033" s="2135">
        <f t="shared" si="230"/>
        <v>0</v>
      </c>
      <c r="E1033" s="2135">
        <f t="shared" si="231"/>
        <v>0</v>
      </c>
      <c r="F1033" s="2135">
        <f t="shared" si="232"/>
        <v>0</v>
      </c>
      <c r="G1033" s="2135">
        <f t="shared" si="233"/>
        <v>0</v>
      </c>
      <c r="H1033" s="2133">
        <f t="shared" si="243"/>
        <v>0</v>
      </c>
      <c r="I1033" s="2133">
        <f t="shared" si="241"/>
        <v>0</v>
      </c>
      <c r="J1033" s="2133">
        <f t="shared" si="234"/>
        <v>0</v>
      </c>
      <c r="K1033" s="2133">
        <f>B1033*F1033</f>
        <v>0</v>
      </c>
      <c r="L1033" s="2133">
        <f t="shared" si="235"/>
        <v>0</v>
      </c>
      <c r="N1033" s="2133">
        <f t="shared" si="236"/>
        <v>0</v>
      </c>
      <c r="O1033" s="2133">
        <f t="shared" si="237"/>
        <v>0</v>
      </c>
      <c r="P1033" s="2133">
        <f t="shared" si="238"/>
        <v>0</v>
      </c>
      <c r="Q1033" s="2133">
        <f t="shared" si="239"/>
        <v>-0.2</v>
      </c>
      <c r="R1033" s="2133">
        <f t="shared" si="240"/>
        <v>0</v>
      </c>
      <c r="U1033" s="2358"/>
      <c r="V1033" s="2358"/>
      <c r="W1033" s="2358"/>
      <c r="X1033" s="2358"/>
      <c r="Y1033" s="2358"/>
      <c r="Z1033" s="2358"/>
      <c r="AA1033" s="2358"/>
      <c r="AB1033" s="2358"/>
      <c r="AC1033" s="2358"/>
      <c r="AD1033" s="2358"/>
      <c r="AE1033" s="2358"/>
      <c r="AF1033" s="2358"/>
      <c r="AG1033" s="2358"/>
      <c r="AH1033" s="2358"/>
      <c r="AI1033" s="2358"/>
      <c r="AJ1033" s="2358"/>
      <c r="AK1033" s="2358"/>
      <c r="AL1033" s="2358"/>
      <c r="AM1033" s="2358"/>
      <c r="AN1033" s="2358"/>
      <c r="AO1033" s="2358"/>
      <c r="AP1033" s="2358"/>
    </row>
    <row r="1034" spans="1:42" s="2359" customFormat="1">
      <c r="A1034" s="2134" t="s">
        <v>2002</v>
      </c>
      <c r="B1034" s="2133">
        <f t="shared" si="228"/>
        <v>0</v>
      </c>
      <c r="C1034" s="2135">
        <f t="shared" si="229"/>
        <v>0</v>
      </c>
      <c r="D1034" s="2135">
        <f t="shared" si="230"/>
        <v>0</v>
      </c>
      <c r="E1034" s="2135">
        <f t="shared" si="231"/>
        <v>0</v>
      </c>
      <c r="F1034" s="2135">
        <f t="shared" si="232"/>
        <v>0</v>
      </c>
      <c r="G1034" s="2135">
        <f t="shared" si="233"/>
        <v>0</v>
      </c>
      <c r="H1034" s="2133">
        <f t="shared" si="243"/>
        <v>0</v>
      </c>
      <c r="I1034" s="2133">
        <f t="shared" si="241"/>
        <v>0</v>
      </c>
      <c r="J1034" s="2133">
        <f t="shared" si="234"/>
        <v>0</v>
      </c>
      <c r="K1034" s="2133">
        <f t="shared" ref="K1034:K1045" si="244">B1034*F1034</f>
        <v>0</v>
      </c>
      <c r="L1034" s="2133">
        <f t="shared" si="235"/>
        <v>0</v>
      </c>
      <c r="N1034" s="2133">
        <f t="shared" si="236"/>
        <v>0</v>
      </c>
      <c r="O1034" s="2133">
        <f t="shared" si="237"/>
        <v>0</v>
      </c>
      <c r="P1034" s="2133">
        <f t="shared" si="238"/>
        <v>0</v>
      </c>
      <c r="Q1034" s="2133">
        <f t="shared" si="239"/>
        <v>-0.2</v>
      </c>
      <c r="R1034" s="2133">
        <f t="shared" si="240"/>
        <v>0</v>
      </c>
      <c r="U1034" s="2358"/>
      <c r="V1034" s="2358"/>
      <c r="W1034" s="2358"/>
      <c r="X1034" s="2358"/>
      <c r="Y1034" s="2358"/>
      <c r="Z1034" s="2358"/>
      <c r="AA1034" s="2358"/>
      <c r="AB1034" s="2358"/>
      <c r="AC1034" s="2358"/>
      <c r="AD1034" s="2358"/>
      <c r="AE1034" s="2358"/>
      <c r="AF1034" s="2358"/>
      <c r="AG1034" s="2358"/>
      <c r="AH1034" s="2358"/>
      <c r="AI1034" s="2358"/>
      <c r="AJ1034" s="2358"/>
      <c r="AK1034" s="2358"/>
      <c r="AL1034" s="2358"/>
      <c r="AM1034" s="2358"/>
      <c r="AN1034" s="2358"/>
      <c r="AO1034" s="2358"/>
      <c r="AP1034" s="2358"/>
    </row>
    <row r="1035" spans="1:42" s="2359" customFormat="1" ht="15" customHeight="1">
      <c r="A1035" s="2134" t="s">
        <v>2003</v>
      </c>
      <c r="B1035" s="2133">
        <f t="shared" si="228"/>
        <v>0</v>
      </c>
      <c r="C1035" s="2135">
        <f t="shared" si="229"/>
        <v>0</v>
      </c>
      <c r="D1035" s="2135">
        <f t="shared" si="230"/>
        <v>0</v>
      </c>
      <c r="E1035" s="2135">
        <f t="shared" si="231"/>
        <v>0</v>
      </c>
      <c r="F1035" s="2135">
        <f t="shared" si="232"/>
        <v>0</v>
      </c>
      <c r="G1035" s="2135">
        <f t="shared" si="233"/>
        <v>0</v>
      </c>
      <c r="H1035" s="2133">
        <f t="shared" si="243"/>
        <v>0</v>
      </c>
      <c r="I1035" s="2133">
        <f t="shared" si="241"/>
        <v>0</v>
      </c>
      <c r="J1035" s="2133">
        <f t="shared" si="234"/>
        <v>0</v>
      </c>
      <c r="K1035" s="2133">
        <f t="shared" si="244"/>
        <v>0</v>
      </c>
      <c r="L1035" s="2133">
        <f t="shared" si="235"/>
        <v>0</v>
      </c>
      <c r="N1035" s="2133">
        <f t="shared" si="236"/>
        <v>0</v>
      </c>
      <c r="O1035" s="2133">
        <f t="shared" si="237"/>
        <v>0</v>
      </c>
      <c r="P1035" s="2133">
        <f t="shared" si="238"/>
        <v>0</v>
      </c>
      <c r="Q1035" s="2133">
        <f t="shared" si="239"/>
        <v>-0.2</v>
      </c>
      <c r="R1035" s="2133">
        <f t="shared" si="240"/>
        <v>0</v>
      </c>
      <c r="U1035" s="2358"/>
      <c r="V1035" s="2358"/>
      <c r="W1035" s="2358"/>
      <c r="X1035" s="2358"/>
      <c r="Y1035" s="2358"/>
      <c r="Z1035" s="2358"/>
      <c r="AA1035" s="2358"/>
      <c r="AB1035" s="2358"/>
      <c r="AC1035" s="2358"/>
      <c r="AD1035" s="2358"/>
      <c r="AE1035" s="2358"/>
      <c r="AF1035" s="2358"/>
      <c r="AG1035" s="2358"/>
      <c r="AH1035" s="2358"/>
      <c r="AI1035" s="2358"/>
      <c r="AJ1035" s="2358"/>
      <c r="AK1035" s="2358"/>
      <c r="AL1035" s="2358"/>
      <c r="AM1035" s="2358"/>
      <c r="AN1035" s="2358"/>
      <c r="AO1035" s="2358"/>
    </row>
    <row r="1036" spans="1:42" s="2359" customFormat="1" ht="15" customHeight="1">
      <c r="A1036" s="2134" t="s">
        <v>2251</v>
      </c>
      <c r="B1036" s="2133">
        <f t="shared" si="228"/>
        <v>0</v>
      </c>
      <c r="C1036" s="2135">
        <f t="shared" si="229"/>
        <v>0</v>
      </c>
      <c r="D1036" s="2135">
        <f t="shared" si="230"/>
        <v>0</v>
      </c>
      <c r="E1036" s="2135">
        <f t="shared" si="231"/>
        <v>0</v>
      </c>
      <c r="F1036" s="2135">
        <f t="shared" si="232"/>
        <v>0</v>
      </c>
      <c r="G1036" s="2135">
        <f t="shared" si="233"/>
        <v>0</v>
      </c>
      <c r="H1036" s="2133">
        <f t="shared" si="243"/>
        <v>0</v>
      </c>
      <c r="I1036" s="2133">
        <f t="shared" si="241"/>
        <v>0</v>
      </c>
      <c r="J1036" s="2133">
        <f t="shared" si="234"/>
        <v>0</v>
      </c>
      <c r="K1036" s="2133">
        <f t="shared" si="244"/>
        <v>0</v>
      </c>
      <c r="L1036" s="2133">
        <f t="shared" si="235"/>
        <v>0</v>
      </c>
      <c r="N1036" s="2133">
        <f t="shared" si="236"/>
        <v>0</v>
      </c>
      <c r="O1036" s="2133">
        <f t="shared" si="237"/>
        <v>0</v>
      </c>
      <c r="P1036" s="2133">
        <f t="shared" si="238"/>
        <v>0</v>
      </c>
      <c r="Q1036" s="2133">
        <f t="shared" si="239"/>
        <v>-0.2</v>
      </c>
      <c r="R1036" s="2133">
        <f t="shared" si="240"/>
        <v>0</v>
      </c>
      <c r="U1036" s="2358"/>
      <c r="V1036" s="2358"/>
      <c r="W1036" s="2358"/>
      <c r="X1036" s="2358"/>
      <c r="Y1036" s="2358"/>
      <c r="Z1036" s="2358"/>
      <c r="AA1036" s="2358"/>
      <c r="AB1036" s="2358"/>
      <c r="AC1036" s="2358"/>
      <c r="AD1036" s="2358"/>
      <c r="AE1036" s="2358"/>
      <c r="AF1036" s="2358"/>
      <c r="AG1036" s="2358"/>
      <c r="AH1036" s="2358"/>
      <c r="AI1036" s="2358"/>
      <c r="AJ1036" s="2358"/>
      <c r="AK1036" s="2358"/>
      <c r="AL1036" s="2358"/>
      <c r="AM1036" s="2358"/>
      <c r="AN1036" s="2358"/>
      <c r="AO1036" s="2358"/>
    </row>
    <row r="1037" spans="1:42" s="2359" customFormat="1">
      <c r="A1037" s="2134" t="s">
        <v>2273</v>
      </c>
      <c r="B1037" s="2133">
        <f t="shared" si="228"/>
        <v>0</v>
      </c>
      <c r="C1037" s="2135">
        <f t="shared" si="229"/>
        <v>0</v>
      </c>
      <c r="D1037" s="2135">
        <f t="shared" si="230"/>
        <v>0</v>
      </c>
      <c r="E1037" s="2135">
        <f t="shared" si="231"/>
        <v>0</v>
      </c>
      <c r="F1037" s="2135">
        <f t="shared" si="232"/>
        <v>0</v>
      </c>
      <c r="G1037" s="2135">
        <f t="shared" si="233"/>
        <v>0</v>
      </c>
      <c r="H1037" s="2133">
        <f t="shared" si="243"/>
        <v>0</v>
      </c>
      <c r="I1037" s="2133">
        <f t="shared" si="241"/>
        <v>0</v>
      </c>
      <c r="J1037" s="2133">
        <f t="shared" si="234"/>
        <v>0</v>
      </c>
      <c r="K1037" s="2133">
        <f t="shared" si="244"/>
        <v>0</v>
      </c>
      <c r="L1037" s="2133">
        <f t="shared" si="235"/>
        <v>0</v>
      </c>
      <c r="N1037" s="2133">
        <f t="shared" si="236"/>
        <v>0</v>
      </c>
      <c r="O1037" s="2133">
        <f t="shared" si="237"/>
        <v>0</v>
      </c>
      <c r="P1037" s="2133">
        <f t="shared" si="238"/>
        <v>0</v>
      </c>
      <c r="Q1037" s="2133">
        <f t="shared" si="239"/>
        <v>-0.2</v>
      </c>
      <c r="R1037" s="2133">
        <f t="shared" si="240"/>
        <v>0</v>
      </c>
      <c r="U1037" s="2358"/>
      <c r="V1037" s="2358"/>
      <c r="W1037" s="2358"/>
      <c r="X1037" s="2358"/>
      <c r="Y1037" s="2358"/>
      <c r="Z1037" s="2358"/>
      <c r="AA1037" s="2358"/>
      <c r="AB1037" s="2358"/>
      <c r="AC1037" s="2358"/>
      <c r="AD1037" s="2358"/>
      <c r="AE1037" s="2358"/>
      <c r="AF1037" s="2358"/>
      <c r="AG1037" s="2358"/>
      <c r="AH1037" s="2358"/>
      <c r="AI1037" s="2358"/>
      <c r="AJ1037" s="2358"/>
      <c r="AK1037" s="2358"/>
      <c r="AL1037" s="2358"/>
      <c r="AM1037" s="2358"/>
      <c r="AN1037" s="2358"/>
      <c r="AO1037" s="2358"/>
      <c r="AP1037" s="2358"/>
    </row>
    <row r="1038" spans="1:42" s="2359" customFormat="1" ht="15" customHeight="1">
      <c r="A1038" s="2134" t="s">
        <v>2274</v>
      </c>
      <c r="B1038" s="2133">
        <f t="shared" si="228"/>
        <v>0</v>
      </c>
      <c r="C1038" s="2135">
        <f t="shared" si="229"/>
        <v>0</v>
      </c>
      <c r="D1038" s="2135">
        <f t="shared" si="230"/>
        <v>0</v>
      </c>
      <c r="E1038" s="2135">
        <f t="shared" si="231"/>
        <v>0</v>
      </c>
      <c r="F1038" s="2135">
        <f t="shared" si="232"/>
        <v>0</v>
      </c>
      <c r="G1038" s="2135">
        <f t="shared" si="233"/>
        <v>0</v>
      </c>
      <c r="H1038" s="2133">
        <f t="shared" si="243"/>
        <v>0</v>
      </c>
      <c r="I1038" s="2133">
        <f t="shared" si="241"/>
        <v>0</v>
      </c>
      <c r="J1038" s="2133">
        <f t="shared" si="234"/>
        <v>0</v>
      </c>
      <c r="K1038" s="2133">
        <f t="shared" si="244"/>
        <v>0</v>
      </c>
      <c r="L1038" s="2133">
        <f t="shared" si="235"/>
        <v>0</v>
      </c>
      <c r="N1038" s="2133">
        <f t="shared" si="236"/>
        <v>0</v>
      </c>
      <c r="O1038" s="2133">
        <f t="shared" si="237"/>
        <v>0</v>
      </c>
      <c r="P1038" s="2133">
        <f t="shared" si="238"/>
        <v>0</v>
      </c>
      <c r="Q1038" s="2133">
        <f t="shared" si="239"/>
        <v>-0.2</v>
      </c>
      <c r="R1038" s="2133">
        <f t="shared" si="240"/>
        <v>0</v>
      </c>
      <c r="U1038" s="2358"/>
      <c r="V1038" s="2358"/>
      <c r="W1038" s="2358"/>
      <c r="X1038" s="2358"/>
      <c r="Y1038" s="2358"/>
      <c r="Z1038" s="2358"/>
      <c r="AA1038" s="2358"/>
      <c r="AB1038" s="2358"/>
      <c r="AC1038" s="2358"/>
      <c r="AD1038" s="2358"/>
      <c r="AE1038" s="2358"/>
      <c r="AF1038" s="2358"/>
      <c r="AG1038" s="2358"/>
      <c r="AH1038" s="2358"/>
      <c r="AI1038" s="2358"/>
      <c r="AJ1038" s="2358"/>
      <c r="AK1038" s="2358"/>
      <c r="AL1038" s="2358"/>
      <c r="AM1038" s="2358"/>
      <c r="AN1038" s="2358"/>
      <c r="AO1038" s="2358"/>
    </row>
    <row r="1039" spans="1:42" s="2359" customFormat="1" ht="15" customHeight="1">
      <c r="A1039" s="2134" t="s">
        <v>2275</v>
      </c>
      <c r="B1039" s="2133">
        <f t="shared" si="228"/>
        <v>0</v>
      </c>
      <c r="C1039" s="2135">
        <f t="shared" si="229"/>
        <v>0</v>
      </c>
      <c r="D1039" s="2135">
        <f t="shared" si="230"/>
        <v>0</v>
      </c>
      <c r="E1039" s="2135">
        <f t="shared" si="231"/>
        <v>0</v>
      </c>
      <c r="F1039" s="2135">
        <f t="shared" si="232"/>
        <v>0</v>
      </c>
      <c r="G1039" s="2135">
        <f t="shared" si="233"/>
        <v>0</v>
      </c>
      <c r="H1039" s="2133">
        <f t="shared" si="243"/>
        <v>0</v>
      </c>
      <c r="I1039" s="2133">
        <f t="shared" si="241"/>
        <v>0</v>
      </c>
      <c r="J1039" s="2133">
        <f t="shared" si="234"/>
        <v>0</v>
      </c>
      <c r="K1039" s="2133">
        <f t="shared" si="244"/>
        <v>0</v>
      </c>
      <c r="L1039" s="2133">
        <f t="shared" si="235"/>
        <v>0</v>
      </c>
      <c r="N1039" s="2133">
        <f t="shared" si="236"/>
        <v>0</v>
      </c>
      <c r="O1039" s="2133">
        <f t="shared" si="237"/>
        <v>0</v>
      </c>
      <c r="P1039" s="2133">
        <f t="shared" si="238"/>
        <v>0</v>
      </c>
      <c r="Q1039" s="2133">
        <f t="shared" si="239"/>
        <v>-0.2</v>
      </c>
      <c r="R1039" s="2133">
        <f t="shared" si="240"/>
        <v>0</v>
      </c>
      <c r="U1039" s="2358"/>
      <c r="V1039" s="2358"/>
      <c r="W1039" s="2358"/>
      <c r="X1039" s="2358"/>
      <c r="Y1039" s="2358"/>
      <c r="Z1039" s="2358"/>
      <c r="AA1039" s="2358"/>
      <c r="AB1039" s="2358"/>
      <c r="AC1039" s="2358"/>
      <c r="AD1039" s="2358"/>
      <c r="AE1039" s="2358"/>
      <c r="AF1039" s="2358"/>
      <c r="AG1039" s="2358"/>
      <c r="AH1039" s="2358"/>
      <c r="AI1039" s="2358"/>
      <c r="AJ1039" s="2358"/>
      <c r="AK1039" s="2358"/>
      <c r="AL1039" s="2358"/>
      <c r="AM1039" s="2358"/>
      <c r="AN1039" s="2358"/>
      <c r="AO1039" s="2358"/>
    </row>
    <row r="1040" spans="1:42" s="2532" customFormat="1" ht="15" customHeight="1">
      <c r="A1040" s="2134" t="s">
        <v>2851</v>
      </c>
      <c r="B1040" s="2133">
        <f t="shared" si="228"/>
        <v>0</v>
      </c>
      <c r="C1040" s="2135">
        <f t="shared" ref="C1040:G1045" si="245">H48</f>
        <v>0</v>
      </c>
      <c r="D1040" s="2135">
        <f t="shared" si="245"/>
        <v>0</v>
      </c>
      <c r="E1040" s="2135">
        <f t="shared" si="245"/>
        <v>0</v>
      </c>
      <c r="F1040" s="2135">
        <f t="shared" si="245"/>
        <v>0</v>
      </c>
      <c r="G1040" s="2135">
        <f t="shared" si="245"/>
        <v>0</v>
      </c>
      <c r="H1040" s="2133">
        <f>B1040*C1040</f>
        <v>0</v>
      </c>
      <c r="I1040" s="2133">
        <f>B1040*D1040</f>
        <v>0</v>
      </c>
      <c r="J1040" s="2133">
        <f>B1040*E1040</f>
        <v>0</v>
      </c>
      <c r="K1040" s="2133">
        <f>B1040*F1040</f>
        <v>0</v>
      </c>
      <c r="L1040" s="2133">
        <f>B1040*G1040</f>
        <v>0</v>
      </c>
      <c r="N1040" s="2133">
        <f>(B1040/2)/0.2</f>
        <v>0</v>
      </c>
      <c r="O1040" s="2133">
        <f>(B1040/2)/0.1</f>
        <v>0</v>
      </c>
      <c r="P1040" s="2133">
        <f>SUM(N1040:O1040)</f>
        <v>0</v>
      </c>
      <c r="Q1040" s="2133">
        <f t="shared" ref="Q1040:Q1045" si="246">Q433</f>
        <v>0.5</v>
      </c>
      <c r="R1040" s="2133">
        <f>P1040*Q1040</f>
        <v>0</v>
      </c>
      <c r="U1040" s="2531"/>
      <c r="V1040" s="2531"/>
      <c r="W1040" s="2531"/>
      <c r="X1040" s="2531"/>
      <c r="Y1040" s="2531"/>
      <c r="Z1040" s="2531"/>
      <c r="AA1040" s="2531"/>
      <c r="AB1040" s="2531"/>
      <c r="AC1040" s="2531"/>
      <c r="AD1040" s="2531"/>
      <c r="AE1040" s="2531"/>
      <c r="AF1040" s="2531"/>
      <c r="AG1040" s="2531"/>
      <c r="AH1040" s="2531"/>
      <c r="AI1040" s="2531"/>
      <c r="AJ1040" s="2531"/>
      <c r="AK1040" s="2531"/>
      <c r="AL1040" s="2531"/>
      <c r="AM1040" s="2531"/>
      <c r="AN1040" s="2531"/>
      <c r="AO1040" s="2531"/>
    </row>
    <row r="1041" spans="1:43" s="2532" customFormat="1" ht="15" customHeight="1">
      <c r="A1041" s="2134" t="s">
        <v>2852</v>
      </c>
      <c r="B1041" s="2133">
        <f t="shared" si="228"/>
        <v>0</v>
      </c>
      <c r="C1041" s="2135">
        <f t="shared" si="245"/>
        <v>0</v>
      </c>
      <c r="D1041" s="2135">
        <f t="shared" si="245"/>
        <v>0</v>
      </c>
      <c r="E1041" s="2135">
        <f t="shared" si="245"/>
        <v>0</v>
      </c>
      <c r="F1041" s="2135">
        <f t="shared" si="245"/>
        <v>0</v>
      </c>
      <c r="G1041" s="2135">
        <f t="shared" si="245"/>
        <v>0</v>
      </c>
      <c r="H1041" s="2133">
        <f>B1041*C1041</f>
        <v>0</v>
      </c>
      <c r="I1041" s="2133">
        <f>B1041*D1041</f>
        <v>0</v>
      </c>
      <c r="J1041" s="2133">
        <f>B1041*E1041</f>
        <v>0</v>
      </c>
      <c r="K1041" s="2133">
        <f>B1041*F1041</f>
        <v>0</v>
      </c>
      <c r="L1041" s="2133">
        <f>B1041*G1041</f>
        <v>0</v>
      </c>
      <c r="N1041" s="2133">
        <f>(B1041/2)/0.2</f>
        <v>0</v>
      </c>
      <c r="O1041" s="2133">
        <f>(B1041/2)/0.1</f>
        <v>0</v>
      </c>
      <c r="P1041" s="2133">
        <f>SUM(N1041:O1041)</f>
        <v>0</v>
      </c>
      <c r="Q1041" s="2133">
        <f t="shared" si="246"/>
        <v>-0.2</v>
      </c>
      <c r="R1041" s="2133">
        <f>P1041*Q1041</f>
        <v>0</v>
      </c>
      <c r="U1041" s="2531"/>
      <c r="V1041" s="2531"/>
      <c r="W1041" s="2531"/>
      <c r="X1041" s="2531"/>
      <c r="Y1041" s="2531"/>
      <c r="Z1041" s="2531"/>
      <c r="AA1041" s="2531"/>
      <c r="AB1041" s="2531"/>
      <c r="AC1041" s="2531"/>
      <c r="AD1041" s="2531"/>
      <c r="AE1041" s="2531"/>
      <c r="AF1041" s="2531"/>
      <c r="AG1041" s="2531"/>
      <c r="AH1041" s="2531"/>
      <c r="AI1041" s="2531"/>
      <c r="AJ1041" s="2531"/>
      <c r="AK1041" s="2531"/>
      <c r="AL1041" s="2531"/>
      <c r="AM1041" s="2531"/>
      <c r="AN1041" s="2531"/>
      <c r="AO1041" s="2531"/>
    </row>
    <row r="1042" spans="1:43" s="2532" customFormat="1" ht="15" customHeight="1">
      <c r="A1042" s="2134" t="s">
        <v>2853</v>
      </c>
      <c r="B1042" s="2133">
        <f t="shared" si="228"/>
        <v>0</v>
      </c>
      <c r="C1042" s="2135">
        <f t="shared" si="245"/>
        <v>0</v>
      </c>
      <c r="D1042" s="2135">
        <f t="shared" si="245"/>
        <v>0</v>
      </c>
      <c r="E1042" s="2135">
        <f t="shared" si="245"/>
        <v>0</v>
      </c>
      <c r="F1042" s="2135">
        <f t="shared" si="245"/>
        <v>0</v>
      </c>
      <c r="G1042" s="2135">
        <f t="shared" si="245"/>
        <v>0</v>
      </c>
      <c r="H1042" s="2133">
        <f>B1042*C1042</f>
        <v>0</v>
      </c>
      <c r="I1042" s="2133">
        <f>B1042*D1042</f>
        <v>0</v>
      </c>
      <c r="J1042" s="2133">
        <f>B1042*E1042</f>
        <v>0</v>
      </c>
      <c r="K1042" s="2133">
        <f>B1042*F1042</f>
        <v>0</v>
      </c>
      <c r="L1042" s="2133">
        <f>B1042*G1042</f>
        <v>0</v>
      </c>
      <c r="N1042" s="2133">
        <f>(B1042/2)/0.2</f>
        <v>0</v>
      </c>
      <c r="O1042" s="2133">
        <f>(B1042/2)/0.1</f>
        <v>0</v>
      </c>
      <c r="P1042" s="2133">
        <f>SUM(N1042:O1042)</f>
        <v>0</v>
      </c>
      <c r="Q1042" s="2133">
        <f t="shared" si="246"/>
        <v>-0.2</v>
      </c>
      <c r="R1042" s="2133">
        <f>P1042*Q1042</f>
        <v>0</v>
      </c>
      <c r="U1042" s="2531"/>
      <c r="V1042" s="2531"/>
      <c r="W1042" s="2531"/>
      <c r="X1042" s="2531"/>
      <c r="Y1042" s="2531"/>
      <c r="Z1042" s="2531"/>
      <c r="AA1042" s="2531"/>
      <c r="AB1042" s="2531"/>
      <c r="AC1042" s="2531"/>
      <c r="AD1042" s="2531"/>
      <c r="AE1042" s="2531"/>
      <c r="AF1042" s="2531"/>
      <c r="AG1042" s="2531"/>
      <c r="AH1042" s="2531"/>
      <c r="AI1042" s="2531"/>
      <c r="AJ1042" s="2531"/>
      <c r="AK1042" s="2531"/>
      <c r="AL1042" s="2531"/>
      <c r="AM1042" s="2531"/>
      <c r="AN1042" s="2531"/>
      <c r="AO1042" s="2531"/>
    </row>
    <row r="1043" spans="1:43" s="2532" customFormat="1" ht="15" customHeight="1">
      <c r="A1043" s="2134" t="s">
        <v>2854</v>
      </c>
      <c r="B1043" s="2133">
        <f t="shared" si="228"/>
        <v>0</v>
      </c>
      <c r="C1043" s="2135">
        <f t="shared" si="245"/>
        <v>0</v>
      </c>
      <c r="D1043" s="2135">
        <f t="shared" si="245"/>
        <v>0</v>
      </c>
      <c r="E1043" s="2135">
        <f t="shared" si="245"/>
        <v>0</v>
      </c>
      <c r="F1043" s="2135">
        <f t="shared" si="245"/>
        <v>0</v>
      </c>
      <c r="G1043" s="2135">
        <f t="shared" si="245"/>
        <v>0</v>
      </c>
      <c r="H1043" s="2133">
        <f>B1043*C1043</f>
        <v>0</v>
      </c>
      <c r="I1043" s="2133">
        <f>B1043*D1043</f>
        <v>0</v>
      </c>
      <c r="J1043" s="2133">
        <f>B1043*E1043</f>
        <v>0</v>
      </c>
      <c r="K1043" s="2133">
        <f>B1043*F1043</f>
        <v>0</v>
      </c>
      <c r="L1043" s="2133">
        <f>B1043*G1043</f>
        <v>0</v>
      </c>
      <c r="N1043" s="2133">
        <f>(B1043/2)/0.2</f>
        <v>0</v>
      </c>
      <c r="O1043" s="2133">
        <f>(B1043/2)/0.1</f>
        <v>0</v>
      </c>
      <c r="P1043" s="2133">
        <f>SUM(N1043:O1043)</f>
        <v>0</v>
      </c>
      <c r="Q1043" s="2133">
        <f t="shared" si="246"/>
        <v>-0.2</v>
      </c>
      <c r="R1043" s="2133">
        <f>P1043*Q1043</f>
        <v>0</v>
      </c>
      <c r="U1043" s="2531"/>
      <c r="V1043" s="2531"/>
      <c r="W1043" s="2531"/>
      <c r="X1043" s="2531"/>
      <c r="Y1043" s="2531"/>
      <c r="Z1043" s="2531"/>
      <c r="AA1043" s="2531"/>
      <c r="AB1043" s="2531"/>
      <c r="AC1043" s="2531"/>
      <c r="AD1043" s="2531"/>
      <c r="AE1043" s="2531"/>
      <c r="AF1043" s="2531"/>
      <c r="AG1043" s="2531"/>
      <c r="AH1043" s="2531"/>
      <c r="AI1043" s="2531"/>
      <c r="AJ1043" s="2531"/>
      <c r="AK1043" s="2531"/>
      <c r="AL1043" s="2531"/>
      <c r="AM1043" s="2531"/>
      <c r="AN1043" s="2531"/>
      <c r="AO1043" s="2531"/>
    </row>
    <row r="1044" spans="1:43" s="2532" customFormat="1" ht="15" customHeight="1">
      <c r="A1044" s="2134" t="s">
        <v>2855</v>
      </c>
      <c r="B1044" s="2133">
        <f t="shared" si="228"/>
        <v>0</v>
      </c>
      <c r="C1044" s="2135">
        <f t="shared" si="245"/>
        <v>0</v>
      </c>
      <c r="D1044" s="2135">
        <f t="shared" si="245"/>
        <v>0</v>
      </c>
      <c r="E1044" s="2135">
        <f t="shared" si="245"/>
        <v>0</v>
      </c>
      <c r="F1044" s="2135">
        <f t="shared" si="245"/>
        <v>0</v>
      </c>
      <c r="G1044" s="2135">
        <f t="shared" si="245"/>
        <v>0</v>
      </c>
      <c r="H1044" s="2133">
        <f>B1044*C1044</f>
        <v>0</v>
      </c>
      <c r="I1044" s="2133">
        <f>B1044*D1044</f>
        <v>0</v>
      </c>
      <c r="J1044" s="2133">
        <f>B1044*E1044</f>
        <v>0</v>
      </c>
      <c r="K1044" s="2133">
        <f>B1044*F1044</f>
        <v>0</v>
      </c>
      <c r="L1044" s="2133">
        <f>B1044*G1044</f>
        <v>0</v>
      </c>
      <c r="N1044" s="2133">
        <f>(B1044/2)/0.2</f>
        <v>0</v>
      </c>
      <c r="O1044" s="2133">
        <f>(B1044/2)/0.1</f>
        <v>0</v>
      </c>
      <c r="P1044" s="2133">
        <f>SUM(N1044:O1044)</f>
        <v>0</v>
      </c>
      <c r="Q1044" s="2133">
        <f t="shared" si="246"/>
        <v>-0.2</v>
      </c>
      <c r="R1044" s="2133">
        <f>P1044*Q1044</f>
        <v>0</v>
      </c>
      <c r="U1044" s="2531"/>
      <c r="V1044" s="2531"/>
      <c r="W1044" s="2531"/>
      <c r="X1044" s="2531"/>
      <c r="Y1044" s="2531"/>
      <c r="Z1044" s="2531"/>
      <c r="AA1044" s="2531"/>
      <c r="AB1044" s="2531"/>
      <c r="AC1044" s="2531"/>
      <c r="AD1044" s="2531"/>
      <c r="AE1044" s="2531"/>
      <c r="AF1044" s="2531"/>
      <c r="AG1044" s="2531"/>
      <c r="AH1044" s="2531"/>
      <c r="AI1044" s="2531"/>
      <c r="AJ1044" s="2531"/>
      <c r="AK1044" s="2531"/>
      <c r="AL1044" s="2531"/>
      <c r="AM1044" s="2531"/>
      <c r="AN1044" s="2531"/>
      <c r="AO1044" s="2531"/>
    </row>
    <row r="1045" spans="1:43" s="2532" customFormat="1">
      <c r="A1045" s="2134" t="s">
        <v>175</v>
      </c>
      <c r="B1045" s="2133">
        <f>P53</f>
        <v>0</v>
      </c>
      <c r="C1045" s="2135">
        <f t="shared" si="245"/>
        <v>0</v>
      </c>
      <c r="D1045" s="2135">
        <f t="shared" si="245"/>
        <v>0</v>
      </c>
      <c r="E1045" s="2135">
        <f t="shared" si="245"/>
        <v>0</v>
      </c>
      <c r="F1045" s="2135">
        <f t="shared" si="245"/>
        <v>4</v>
      </c>
      <c r="G1045" s="2135">
        <f t="shared" si="245"/>
        <v>0</v>
      </c>
      <c r="H1045" s="2133">
        <f t="shared" si="243"/>
        <v>0</v>
      </c>
      <c r="I1045" s="2133">
        <f t="shared" si="241"/>
        <v>0</v>
      </c>
      <c r="J1045" s="2133">
        <f t="shared" si="234"/>
        <v>0</v>
      </c>
      <c r="K1045" s="2133">
        <f t="shared" si="244"/>
        <v>0</v>
      </c>
      <c r="L1045" s="2133">
        <f t="shared" si="235"/>
        <v>0</v>
      </c>
      <c r="N1045" s="2133">
        <f t="shared" si="236"/>
        <v>0</v>
      </c>
      <c r="O1045" s="2133">
        <f t="shared" si="237"/>
        <v>0</v>
      </c>
      <c r="P1045" s="2133">
        <f t="shared" si="238"/>
        <v>0</v>
      </c>
      <c r="Q1045" s="2133">
        <f t="shared" si="246"/>
        <v>0.5</v>
      </c>
      <c r="R1045" s="2133">
        <f t="shared" si="240"/>
        <v>0</v>
      </c>
      <c r="T1045" s="2531"/>
      <c r="U1045" s="2833"/>
      <c r="V1045" s="2833"/>
      <c r="W1045" s="2833"/>
      <c r="X1045" s="2833"/>
      <c r="Y1045" s="2531"/>
      <c r="Z1045" s="2531"/>
      <c r="AA1045" s="2531"/>
      <c r="AB1045" s="2531"/>
      <c r="AC1045" s="2531"/>
      <c r="AD1045" s="2531"/>
      <c r="AE1045" s="2531"/>
      <c r="AF1045" s="2531"/>
      <c r="AG1045" s="2531"/>
      <c r="AH1045" s="2531"/>
      <c r="AI1045" s="2531"/>
      <c r="AJ1045" s="2531"/>
      <c r="AK1045" s="2531"/>
      <c r="AL1045" s="2531"/>
      <c r="AM1045" s="2531"/>
      <c r="AN1045" s="2531"/>
      <c r="AO1045" s="2531"/>
    </row>
    <row r="1046" spans="1:43" s="2532" customFormat="1" ht="15">
      <c r="A1046" s="2531"/>
      <c r="B1046" s="2531"/>
      <c r="C1046" s="2531"/>
      <c r="D1046" s="2531"/>
      <c r="E1046" s="2531"/>
      <c r="F1046" s="2816" t="s">
        <v>2074</v>
      </c>
      <c r="G1046" s="2817"/>
      <c r="H1046" s="2133">
        <f>SUM(H1025:H1045)</f>
        <v>0</v>
      </c>
      <c r="I1046" s="2133">
        <f>SUM(I1025:I1045)</f>
        <v>0</v>
      </c>
      <c r="J1046" s="2133">
        <f>SUM(J1025:J1045)</f>
        <v>0</v>
      </c>
      <c r="K1046" s="2133">
        <f>SUM(K1025:K1045)</f>
        <v>0</v>
      </c>
      <c r="L1046" s="2133">
        <f>SUM(L1025:L1045)</f>
        <v>0</v>
      </c>
      <c r="N1046" s="2816" t="s">
        <v>1972</v>
      </c>
      <c r="O1046" s="2900"/>
      <c r="P1046" s="2817"/>
      <c r="Q1046" s="2133">
        <f>SUMIF($K$445:$K$465,S1046,$R$1025:$R$1045)</f>
        <v>0</v>
      </c>
      <c r="R1046" s="2157">
        <f>Q1046*0.4</f>
        <v>0</v>
      </c>
      <c r="S1046" s="2532">
        <v>8</v>
      </c>
      <c r="T1046" s="2531"/>
      <c r="V1046" s="2531"/>
      <c r="W1046" s="2531"/>
      <c r="X1046" s="2531"/>
      <c r="Y1046" s="2531"/>
      <c r="Z1046" s="2531"/>
      <c r="AA1046" s="2531"/>
      <c r="AB1046" s="2531"/>
      <c r="AC1046" s="2531"/>
      <c r="AD1046" s="2531"/>
      <c r="AE1046" s="2531"/>
      <c r="AF1046" s="2531"/>
      <c r="AG1046" s="2531"/>
      <c r="AH1046" s="2531"/>
      <c r="AI1046" s="2531"/>
      <c r="AJ1046" s="2531"/>
      <c r="AK1046" s="2531"/>
      <c r="AL1046" s="2531"/>
      <c r="AM1046" s="2531"/>
      <c r="AN1046" s="2531"/>
      <c r="AO1046" s="2531"/>
      <c r="AP1046" s="2531"/>
      <c r="AQ1046" s="2531"/>
    </row>
    <row r="1047" spans="1:43" s="2532" customFormat="1" ht="15">
      <c r="A1047" s="2531"/>
      <c r="B1047" s="2531"/>
      <c r="C1047" s="2531"/>
      <c r="D1047" s="2531"/>
      <c r="E1047" s="2531"/>
      <c r="F1047" s="2804" t="s">
        <v>2075</v>
      </c>
      <c r="G1047" s="2901"/>
      <c r="H1047" s="2182">
        <f>H1046*1.04</f>
        <v>0</v>
      </c>
      <c r="I1047" s="2182">
        <f>I1046*0.89</f>
        <v>0</v>
      </c>
      <c r="J1047" s="2182">
        <f>J1046*0.62</f>
        <v>0</v>
      </c>
      <c r="K1047" s="2182">
        <f>K1046*0.62</f>
        <v>0</v>
      </c>
      <c r="L1047" s="2183">
        <f>L1046*0.62</f>
        <v>0</v>
      </c>
      <c r="N1047" s="2804" t="s">
        <v>2387</v>
      </c>
      <c r="O1047" s="2805"/>
      <c r="P1047" s="2901"/>
      <c r="Q1047" s="2133">
        <f>SUMIF($K$445:$K$465,S1047,$R$1025:$R$1045)</f>
        <v>0</v>
      </c>
      <c r="R1047" s="2184">
        <f>Q1047*0.62</f>
        <v>0</v>
      </c>
      <c r="S1047" s="2532">
        <v>10</v>
      </c>
      <c r="V1047" s="2531"/>
      <c r="W1047" s="2531"/>
      <c r="X1047" s="2531"/>
      <c r="Y1047" s="2531"/>
      <c r="Z1047" s="2531"/>
      <c r="AA1047" s="2531"/>
      <c r="AB1047" s="2531"/>
      <c r="AC1047" s="2531"/>
      <c r="AD1047" s="2531"/>
      <c r="AE1047" s="2531"/>
      <c r="AF1047" s="2531"/>
      <c r="AG1047" s="2531"/>
      <c r="AH1047" s="2531"/>
      <c r="AI1047" s="2531"/>
      <c r="AJ1047" s="2531"/>
      <c r="AK1047" s="2531"/>
      <c r="AL1047" s="2531"/>
      <c r="AM1047" s="2531"/>
      <c r="AN1047" s="2531"/>
      <c r="AO1047" s="2531"/>
      <c r="AP1047" s="2531"/>
      <c r="AQ1047" s="2531"/>
    </row>
    <row r="1048" spans="1:43" s="2532" customFormat="1" ht="15">
      <c r="A1048" s="2531"/>
      <c r="B1048" s="2531"/>
      <c r="C1048" s="2531"/>
      <c r="D1048" s="2531"/>
      <c r="E1048" s="2531"/>
      <c r="F1048" s="2531"/>
      <c r="G1048" s="2531"/>
      <c r="N1048" s="2804" t="s">
        <v>2443</v>
      </c>
      <c r="O1048" s="2805"/>
      <c r="P1048" s="2901"/>
      <c r="Q1048" s="2133">
        <f>SUMIF($K$445:$K$465,S1048,$R$1025:$R$1045)</f>
        <v>0</v>
      </c>
      <c r="R1048" s="2184">
        <f>Q1048*0.62</f>
        <v>0</v>
      </c>
      <c r="S1048" s="2532" t="s">
        <v>1807</v>
      </c>
      <c r="V1048" s="2531"/>
      <c r="W1048" s="2531"/>
      <c r="X1048" s="2531"/>
      <c r="Y1048" s="2531"/>
      <c r="Z1048" s="2531"/>
      <c r="AA1048" s="2531"/>
      <c r="AB1048" s="2531"/>
      <c r="AC1048" s="2531"/>
      <c r="AD1048" s="2531"/>
      <c r="AE1048" s="2531"/>
      <c r="AF1048" s="2531"/>
      <c r="AG1048" s="2531"/>
      <c r="AH1048" s="2531"/>
      <c r="AI1048" s="2531"/>
      <c r="AJ1048" s="2531"/>
      <c r="AK1048" s="2531"/>
      <c r="AL1048" s="2531"/>
      <c r="AM1048" s="2531"/>
      <c r="AN1048" s="2531"/>
      <c r="AO1048" s="2531"/>
      <c r="AP1048" s="2531"/>
      <c r="AQ1048" s="2531"/>
    </row>
    <row r="1049" spans="1:43" s="2532" customFormat="1">
      <c r="V1049" s="2531"/>
      <c r="W1049" s="2531"/>
      <c r="X1049" s="2531"/>
      <c r="Y1049" s="2531"/>
      <c r="Z1049" s="2531"/>
      <c r="AA1049" s="2531"/>
      <c r="AB1049" s="2531"/>
      <c r="AC1049" s="2531"/>
      <c r="AD1049" s="2531"/>
      <c r="AE1049" s="2531"/>
      <c r="AF1049" s="2531"/>
      <c r="AG1049" s="2531"/>
      <c r="AH1049" s="2531"/>
      <c r="AI1049" s="2531"/>
      <c r="AJ1049" s="2531"/>
      <c r="AK1049" s="2531"/>
      <c r="AL1049" s="2531"/>
      <c r="AM1049" s="2531"/>
      <c r="AN1049" s="2531"/>
      <c r="AO1049" s="2531"/>
      <c r="AP1049" s="2531"/>
      <c r="AQ1049" s="2531"/>
    </row>
    <row r="1050" spans="1:43" s="2359" customFormat="1">
      <c r="A1050" s="2831" t="s">
        <v>2005</v>
      </c>
      <c r="B1050" s="2832"/>
      <c r="C1050" s="2832"/>
      <c r="D1050" s="2832"/>
      <c r="V1050" s="2358"/>
      <c r="W1050" s="2358"/>
      <c r="X1050" s="2358"/>
      <c r="Y1050" s="2358"/>
      <c r="Z1050" s="2358"/>
      <c r="AA1050" s="2358"/>
      <c r="AB1050" s="2358"/>
      <c r="AC1050" s="2358"/>
      <c r="AD1050" s="2358"/>
      <c r="AE1050" s="2358"/>
      <c r="AF1050" s="2358"/>
      <c r="AG1050" s="2358"/>
      <c r="AH1050" s="2358"/>
      <c r="AI1050" s="2358"/>
      <c r="AJ1050" s="2358"/>
      <c r="AK1050" s="2358"/>
      <c r="AL1050" s="2358"/>
      <c r="AM1050" s="2358"/>
      <c r="AN1050" s="2358"/>
      <c r="AO1050" s="2358"/>
      <c r="AP1050" s="2358"/>
      <c r="AQ1050" s="2358"/>
    </row>
    <row r="1051" spans="1:43" s="2359" customFormat="1">
      <c r="A1051" s="2133" t="s">
        <v>1796</v>
      </c>
      <c r="B1051" s="2133" t="s">
        <v>2004</v>
      </c>
      <c r="C1051" s="2133" t="s">
        <v>1791</v>
      </c>
      <c r="D1051" s="2133" t="s">
        <v>2008</v>
      </c>
      <c r="E1051" s="2359" t="s">
        <v>2368</v>
      </c>
      <c r="V1051" s="2358"/>
      <c r="W1051" s="2358"/>
      <c r="X1051" s="2358"/>
      <c r="Y1051" s="2358"/>
      <c r="Z1051" s="2358"/>
      <c r="AA1051" s="2358"/>
      <c r="AB1051" s="2358"/>
      <c r="AC1051" s="2358"/>
      <c r="AD1051" s="2358"/>
      <c r="AE1051" s="2358"/>
      <c r="AF1051" s="2358"/>
      <c r="AG1051" s="2358"/>
      <c r="AH1051" s="2358"/>
      <c r="AI1051" s="2358"/>
      <c r="AJ1051" s="2358"/>
      <c r="AK1051" s="2358"/>
      <c r="AL1051" s="2358"/>
      <c r="AM1051" s="2358"/>
      <c r="AN1051" s="2358"/>
      <c r="AO1051" s="2358"/>
      <c r="AP1051" s="2358"/>
      <c r="AQ1051" s="2358"/>
    </row>
    <row r="1052" spans="1:43" s="2359" customFormat="1">
      <c r="A1052" s="2133" t="str">
        <f t="shared" ref="A1052:B1072" si="247">A1025</f>
        <v>B1</v>
      </c>
      <c r="B1052" s="2133">
        <f t="shared" si="247"/>
        <v>0</v>
      </c>
      <c r="C1052" s="2133">
        <f t="shared" ref="C1052:C1066" si="248">C522</f>
        <v>8.0000000000000016E-2</v>
      </c>
      <c r="D1052" s="2133">
        <f>B1052*C1052</f>
        <v>0</v>
      </c>
      <c r="E1052" s="2359">
        <f>$F$445*B1052</f>
        <v>0</v>
      </c>
      <c r="G1052" s="2099"/>
      <c r="V1052" s="2358"/>
      <c r="W1052" s="2358"/>
      <c r="X1052" s="2358"/>
      <c r="Y1052" s="2358"/>
      <c r="Z1052" s="2358"/>
      <c r="AA1052" s="2358"/>
      <c r="AB1052" s="2358"/>
      <c r="AC1052" s="2358"/>
      <c r="AD1052" s="2358"/>
      <c r="AE1052" s="2358"/>
      <c r="AF1052" s="2358"/>
      <c r="AG1052" s="2358"/>
      <c r="AH1052" s="2358"/>
      <c r="AI1052" s="2358"/>
      <c r="AJ1052" s="2358"/>
      <c r="AK1052" s="2358"/>
      <c r="AL1052" s="2358"/>
      <c r="AM1052" s="2358"/>
      <c r="AN1052" s="2358"/>
      <c r="AO1052" s="2358"/>
      <c r="AP1052" s="2358"/>
      <c r="AQ1052" s="2358"/>
    </row>
    <row r="1053" spans="1:43" s="2359" customFormat="1">
      <c r="A1053" s="2133" t="str">
        <f t="shared" si="247"/>
        <v>B2</v>
      </c>
      <c r="B1053" s="2133">
        <f t="shared" si="247"/>
        <v>0</v>
      </c>
      <c r="C1053" s="2133">
        <f t="shared" si="248"/>
        <v>6.7500000000000004E-2</v>
      </c>
      <c r="D1053" s="2133">
        <f t="shared" ref="D1053:D1072" si="249">B1053*C1053</f>
        <v>0</v>
      </c>
      <c r="E1053" s="2359">
        <f>$F$446*B1053</f>
        <v>0</v>
      </c>
      <c r="V1053" s="2358"/>
      <c r="W1053" s="2358"/>
      <c r="X1053" s="2358"/>
      <c r="Y1053" s="2358"/>
      <c r="Z1053" s="2358"/>
      <c r="AA1053" s="2358"/>
      <c r="AB1053" s="2358"/>
      <c r="AC1053" s="2358"/>
      <c r="AD1053" s="2358"/>
      <c r="AE1053" s="2358"/>
      <c r="AF1053" s="2358"/>
      <c r="AG1053" s="2358"/>
      <c r="AH1053" s="2358"/>
      <c r="AI1053" s="2358"/>
      <c r="AJ1053" s="2358"/>
      <c r="AK1053" s="2358"/>
      <c r="AL1053" s="2358"/>
      <c r="AM1053" s="2358"/>
      <c r="AN1053" s="2358"/>
      <c r="AO1053" s="2358"/>
      <c r="AP1053" s="2358"/>
      <c r="AQ1053" s="2358"/>
    </row>
    <row r="1054" spans="1:43" s="2359" customFormat="1">
      <c r="A1054" s="2133" t="str">
        <f t="shared" si="247"/>
        <v>B3</v>
      </c>
      <c r="B1054" s="2133">
        <f t="shared" si="247"/>
        <v>0</v>
      </c>
      <c r="C1054" s="2133">
        <f t="shared" si="248"/>
        <v>7.9999999999999988E-2</v>
      </c>
      <c r="D1054" s="2133">
        <f t="shared" si="249"/>
        <v>0</v>
      </c>
      <c r="E1054" s="2359">
        <f>$F$447*B1054</f>
        <v>0</v>
      </c>
      <c r="V1054" s="2358"/>
      <c r="W1054" s="2358"/>
      <c r="X1054" s="2358"/>
      <c r="Y1054" s="2358"/>
      <c r="Z1054" s="2358"/>
      <c r="AA1054" s="2358"/>
      <c r="AB1054" s="2358"/>
      <c r="AC1054" s="2358"/>
      <c r="AD1054" s="2358"/>
      <c r="AE1054" s="2358"/>
      <c r="AF1054" s="2358"/>
      <c r="AG1054" s="2358"/>
      <c r="AH1054" s="2358"/>
      <c r="AI1054" s="2358"/>
      <c r="AJ1054" s="2358"/>
      <c r="AK1054" s="2358"/>
      <c r="AL1054" s="2358"/>
      <c r="AM1054" s="2358"/>
      <c r="AN1054" s="2358"/>
      <c r="AO1054" s="2358"/>
      <c r="AP1054" s="2358"/>
      <c r="AQ1054" s="2358"/>
    </row>
    <row r="1055" spans="1:43" s="2359" customFormat="1">
      <c r="A1055" s="2133" t="str">
        <f t="shared" si="247"/>
        <v>B4</v>
      </c>
      <c r="B1055" s="2133">
        <f t="shared" si="247"/>
        <v>0</v>
      </c>
      <c r="C1055" s="2133">
        <f t="shared" si="248"/>
        <v>4.4999999999999998E-2</v>
      </c>
      <c r="D1055" s="2133">
        <f t="shared" si="249"/>
        <v>0</v>
      </c>
      <c r="E1055" s="2359">
        <f>$F$448*B1055</f>
        <v>0</v>
      </c>
      <c r="V1055" s="2358"/>
      <c r="W1055" s="2358"/>
      <c r="X1055" s="2358"/>
      <c r="Y1055" s="2358"/>
      <c r="Z1055" s="2358"/>
      <c r="AA1055" s="2358"/>
      <c r="AB1055" s="2358"/>
      <c r="AC1055" s="2358"/>
      <c r="AD1055" s="2358"/>
      <c r="AE1055" s="2358"/>
      <c r="AF1055" s="2358"/>
      <c r="AG1055" s="2358"/>
      <c r="AH1055" s="2358"/>
      <c r="AI1055" s="2358"/>
      <c r="AJ1055" s="2358"/>
      <c r="AK1055" s="2358"/>
      <c r="AL1055" s="2358"/>
      <c r="AM1055" s="2358"/>
      <c r="AN1055" s="2358"/>
      <c r="AO1055" s="2358"/>
      <c r="AP1055" s="2358"/>
      <c r="AQ1055" s="2358"/>
    </row>
    <row r="1056" spans="1:43" s="2359" customFormat="1">
      <c r="A1056" s="2133" t="str">
        <f t="shared" si="247"/>
        <v>B5</v>
      </c>
      <c r="B1056" s="2133">
        <f t="shared" si="247"/>
        <v>0</v>
      </c>
      <c r="C1056" s="2133">
        <f t="shared" si="248"/>
        <v>0</v>
      </c>
      <c r="D1056" s="2133">
        <f t="shared" si="249"/>
        <v>0</v>
      </c>
      <c r="E1056" s="2359">
        <f>$F$449*B1056</f>
        <v>0</v>
      </c>
      <c r="V1056" s="2358"/>
      <c r="W1056" s="2358"/>
      <c r="X1056" s="2358"/>
      <c r="Y1056" s="2358"/>
      <c r="Z1056" s="2358"/>
      <c r="AA1056" s="2358"/>
      <c r="AB1056" s="2358"/>
      <c r="AC1056" s="2358"/>
      <c r="AD1056" s="2358"/>
      <c r="AE1056" s="2358"/>
      <c r="AF1056" s="2358"/>
      <c r="AG1056" s="2358"/>
      <c r="AH1056" s="2358"/>
      <c r="AI1056" s="2358"/>
      <c r="AJ1056" s="2358"/>
      <c r="AK1056" s="2358"/>
      <c r="AL1056" s="2358"/>
      <c r="AM1056" s="2358"/>
      <c r="AN1056" s="2358"/>
      <c r="AO1056" s="2358"/>
      <c r="AP1056" s="2358"/>
      <c r="AQ1056" s="2358"/>
    </row>
    <row r="1057" spans="1:43" s="2359" customFormat="1" ht="15" customHeight="1">
      <c r="A1057" s="2133" t="str">
        <f t="shared" si="247"/>
        <v>B6</v>
      </c>
      <c r="B1057" s="2133">
        <f t="shared" si="247"/>
        <v>0</v>
      </c>
      <c r="C1057" s="2133">
        <f t="shared" si="248"/>
        <v>0</v>
      </c>
      <c r="D1057" s="2133">
        <f t="shared" si="249"/>
        <v>0</v>
      </c>
      <c r="E1057" s="2359">
        <f>$F$450*B1057</f>
        <v>0</v>
      </c>
      <c r="V1057" s="2358"/>
      <c r="W1057" s="2358"/>
      <c r="X1057" s="2358"/>
      <c r="Y1057" s="2358"/>
      <c r="Z1057" s="2358"/>
      <c r="AA1057" s="2358"/>
      <c r="AB1057" s="2358"/>
      <c r="AC1057" s="2358"/>
      <c r="AD1057" s="2358"/>
      <c r="AE1057" s="2358"/>
      <c r="AF1057" s="2358"/>
      <c r="AG1057" s="2358"/>
      <c r="AH1057" s="2358"/>
      <c r="AI1057" s="2358"/>
      <c r="AJ1057" s="2358"/>
      <c r="AK1057" s="2358"/>
      <c r="AL1057" s="2358"/>
      <c r="AM1057" s="2358"/>
      <c r="AN1057" s="2358"/>
      <c r="AO1057" s="2358"/>
      <c r="AP1057" s="2358"/>
      <c r="AQ1057" s="2358"/>
    </row>
    <row r="1058" spans="1:43" s="2359" customFormat="1" ht="15" customHeight="1">
      <c r="A1058" s="2133" t="str">
        <f t="shared" si="247"/>
        <v>B7</v>
      </c>
      <c r="B1058" s="2133">
        <f t="shared" si="247"/>
        <v>0</v>
      </c>
      <c r="C1058" s="2133">
        <f t="shared" si="248"/>
        <v>0</v>
      </c>
      <c r="D1058" s="2133">
        <f t="shared" si="249"/>
        <v>0</v>
      </c>
      <c r="E1058" s="2359">
        <f>$F$451*B1058</f>
        <v>0</v>
      </c>
      <c r="V1058" s="2358"/>
      <c r="W1058" s="2358"/>
      <c r="X1058" s="2358"/>
      <c r="Y1058" s="2358"/>
      <c r="Z1058" s="2358"/>
      <c r="AA1058" s="2358"/>
      <c r="AB1058" s="2358"/>
      <c r="AC1058" s="2358"/>
      <c r="AD1058" s="2358"/>
      <c r="AE1058" s="2358"/>
      <c r="AF1058" s="2358"/>
      <c r="AG1058" s="2358"/>
      <c r="AH1058" s="2358"/>
      <c r="AI1058" s="2358"/>
      <c r="AJ1058" s="2358"/>
      <c r="AK1058" s="2358"/>
      <c r="AL1058" s="2358"/>
      <c r="AM1058" s="2358"/>
      <c r="AN1058" s="2358"/>
      <c r="AO1058" s="2358"/>
      <c r="AP1058" s="2358"/>
      <c r="AQ1058" s="2358"/>
    </row>
    <row r="1059" spans="1:43" s="2359" customFormat="1" ht="15" customHeight="1">
      <c r="A1059" s="2133" t="str">
        <f t="shared" si="247"/>
        <v>B8</v>
      </c>
      <c r="B1059" s="2133">
        <f t="shared" si="247"/>
        <v>0</v>
      </c>
      <c r="C1059" s="2133">
        <f t="shared" si="248"/>
        <v>0</v>
      </c>
      <c r="D1059" s="2133">
        <f t="shared" si="249"/>
        <v>0</v>
      </c>
      <c r="E1059" s="2359">
        <f>$F$452*B1059</f>
        <v>0</v>
      </c>
      <c r="V1059" s="2358"/>
      <c r="W1059" s="2358"/>
      <c r="X1059" s="2358"/>
      <c r="Y1059" s="2358"/>
      <c r="Z1059" s="2358"/>
      <c r="AA1059" s="2358"/>
      <c r="AB1059" s="2358"/>
      <c r="AC1059" s="2358"/>
      <c r="AD1059" s="2358"/>
      <c r="AE1059" s="2358"/>
      <c r="AF1059" s="2358"/>
      <c r="AG1059" s="2358"/>
      <c r="AH1059" s="2358"/>
      <c r="AI1059" s="2358"/>
      <c r="AJ1059" s="2358"/>
      <c r="AK1059" s="2358"/>
      <c r="AL1059" s="2358"/>
      <c r="AM1059" s="2358"/>
      <c r="AN1059" s="2358"/>
      <c r="AO1059" s="2358"/>
      <c r="AP1059" s="2358"/>
      <c r="AQ1059" s="2358"/>
    </row>
    <row r="1060" spans="1:43" s="2359" customFormat="1">
      <c r="A1060" s="2133" t="str">
        <f t="shared" si="247"/>
        <v>B9</v>
      </c>
      <c r="B1060" s="2133">
        <f t="shared" si="247"/>
        <v>0</v>
      </c>
      <c r="C1060" s="2133">
        <f t="shared" si="248"/>
        <v>0</v>
      </c>
      <c r="D1060" s="2133">
        <f t="shared" si="249"/>
        <v>0</v>
      </c>
      <c r="E1060" s="2359">
        <f>$F$453*B1060</f>
        <v>0</v>
      </c>
      <c r="V1060" s="2358"/>
      <c r="W1060" s="2358"/>
      <c r="X1060" s="2358"/>
      <c r="Y1060" s="2358"/>
      <c r="Z1060" s="2358"/>
      <c r="AA1060" s="2358"/>
      <c r="AB1060" s="2358"/>
      <c r="AC1060" s="2358"/>
      <c r="AD1060" s="2358"/>
      <c r="AE1060" s="2358"/>
      <c r="AF1060" s="2358"/>
      <c r="AG1060" s="2358"/>
      <c r="AH1060" s="2358"/>
      <c r="AI1060" s="2358"/>
      <c r="AJ1060" s="2358"/>
      <c r="AK1060" s="2358"/>
      <c r="AL1060" s="2358"/>
      <c r="AM1060" s="2358"/>
      <c r="AN1060" s="2358"/>
      <c r="AO1060" s="2358"/>
      <c r="AP1060" s="2358"/>
      <c r="AQ1060" s="2358"/>
    </row>
    <row r="1061" spans="1:43" s="2359" customFormat="1">
      <c r="A1061" s="2133" t="str">
        <f t="shared" si="247"/>
        <v>B10</v>
      </c>
      <c r="B1061" s="2133">
        <f t="shared" si="247"/>
        <v>0</v>
      </c>
      <c r="C1061" s="2133">
        <f t="shared" si="248"/>
        <v>0</v>
      </c>
      <c r="D1061" s="2133">
        <f t="shared" si="249"/>
        <v>0</v>
      </c>
      <c r="E1061" s="2359">
        <f>$F$454*B1061</f>
        <v>0</v>
      </c>
      <c r="V1061" s="2358"/>
      <c r="W1061" s="2833"/>
      <c r="X1061" s="2833"/>
      <c r="Y1061" s="2833"/>
      <c r="Z1061" s="2833"/>
      <c r="AA1061" s="2358"/>
      <c r="AB1061" s="2358"/>
      <c r="AC1061" s="2358"/>
      <c r="AD1061" s="2358"/>
      <c r="AE1061" s="2358"/>
      <c r="AF1061" s="2358"/>
      <c r="AG1061" s="2358"/>
      <c r="AH1061" s="2358"/>
      <c r="AI1061" s="2358"/>
      <c r="AJ1061" s="2358"/>
      <c r="AK1061" s="2358"/>
      <c r="AL1061" s="2358"/>
      <c r="AM1061" s="2358"/>
      <c r="AN1061" s="2358"/>
      <c r="AO1061" s="2358"/>
      <c r="AP1061" s="2358"/>
      <c r="AQ1061" s="2358"/>
    </row>
    <row r="1062" spans="1:43" s="2359" customFormat="1">
      <c r="A1062" s="2133" t="str">
        <f t="shared" si="247"/>
        <v>B11</v>
      </c>
      <c r="B1062" s="2133">
        <f t="shared" si="247"/>
        <v>0</v>
      </c>
      <c r="C1062" s="2133">
        <f t="shared" si="248"/>
        <v>0</v>
      </c>
      <c r="D1062" s="2133">
        <f t="shared" si="249"/>
        <v>0</v>
      </c>
      <c r="E1062" s="2359">
        <f>$F$455*B1062</f>
        <v>0</v>
      </c>
      <c r="V1062" s="2358"/>
      <c r="W1062" s="2358"/>
      <c r="X1062" s="2358"/>
      <c r="Y1062" s="2358"/>
      <c r="Z1062" s="2358"/>
      <c r="AA1062" s="2358"/>
      <c r="AB1062" s="2358"/>
      <c r="AC1062" s="2358"/>
      <c r="AD1062" s="2358"/>
      <c r="AE1062" s="2358"/>
      <c r="AF1062" s="2358"/>
      <c r="AG1062" s="2358"/>
      <c r="AH1062" s="2358"/>
      <c r="AI1062" s="2358"/>
      <c r="AJ1062" s="2358"/>
      <c r="AK1062" s="2358"/>
      <c r="AL1062" s="2358"/>
      <c r="AM1062" s="2358"/>
      <c r="AN1062" s="2358"/>
      <c r="AO1062" s="2358"/>
      <c r="AP1062" s="2358"/>
      <c r="AQ1062" s="2358"/>
    </row>
    <row r="1063" spans="1:43" s="2359" customFormat="1">
      <c r="A1063" s="2133" t="str">
        <f t="shared" si="247"/>
        <v>B12</v>
      </c>
      <c r="B1063" s="2133">
        <f t="shared" si="247"/>
        <v>0</v>
      </c>
      <c r="C1063" s="2133">
        <f t="shared" si="248"/>
        <v>0</v>
      </c>
      <c r="D1063" s="2133">
        <f t="shared" si="249"/>
        <v>0</v>
      </c>
      <c r="E1063" s="2359">
        <f>$F$456*B1063</f>
        <v>0</v>
      </c>
      <c r="V1063" s="2358"/>
      <c r="W1063" s="2358"/>
      <c r="X1063" s="2358"/>
      <c r="Y1063" s="2358"/>
      <c r="Z1063" s="2358"/>
      <c r="AA1063" s="2358"/>
      <c r="AB1063" s="2358"/>
      <c r="AC1063" s="2358"/>
      <c r="AD1063" s="2358"/>
      <c r="AE1063" s="2358"/>
      <c r="AF1063" s="2358"/>
      <c r="AG1063" s="2358"/>
      <c r="AH1063" s="2358"/>
      <c r="AI1063" s="2358"/>
      <c r="AJ1063" s="2358"/>
      <c r="AK1063" s="2358"/>
      <c r="AL1063" s="2358"/>
      <c r="AM1063" s="2358"/>
      <c r="AN1063" s="2358"/>
      <c r="AO1063" s="2358"/>
      <c r="AP1063" s="2358"/>
      <c r="AQ1063" s="2358"/>
    </row>
    <row r="1064" spans="1:43" s="2359" customFormat="1">
      <c r="A1064" s="2133" t="str">
        <f t="shared" si="247"/>
        <v>B13</v>
      </c>
      <c r="B1064" s="2133">
        <f t="shared" si="247"/>
        <v>0</v>
      </c>
      <c r="C1064" s="2133">
        <f t="shared" si="248"/>
        <v>0</v>
      </c>
      <c r="D1064" s="2133">
        <f t="shared" si="249"/>
        <v>0</v>
      </c>
      <c r="E1064" s="2359">
        <f>$F$457*B1064</f>
        <v>0</v>
      </c>
      <c r="V1064" s="2358"/>
      <c r="W1064" s="2833"/>
      <c r="X1064" s="2833"/>
      <c r="Y1064" s="2833"/>
      <c r="Z1064" s="2833"/>
      <c r="AA1064" s="2358"/>
      <c r="AB1064" s="2358"/>
      <c r="AC1064" s="2358"/>
      <c r="AD1064" s="2358"/>
      <c r="AE1064" s="2358"/>
      <c r="AF1064" s="2358"/>
      <c r="AG1064" s="2358"/>
      <c r="AH1064" s="2358"/>
      <c r="AI1064" s="2358"/>
      <c r="AJ1064" s="2358"/>
      <c r="AK1064" s="2358"/>
      <c r="AL1064" s="2358"/>
      <c r="AM1064" s="2358"/>
      <c r="AN1064" s="2358"/>
      <c r="AO1064" s="2358"/>
      <c r="AP1064" s="2358"/>
      <c r="AQ1064" s="2358"/>
    </row>
    <row r="1065" spans="1:43" s="2359" customFormat="1">
      <c r="A1065" s="2133" t="str">
        <f t="shared" si="247"/>
        <v>B14</v>
      </c>
      <c r="B1065" s="2133">
        <f t="shared" si="247"/>
        <v>0</v>
      </c>
      <c r="C1065" s="2133">
        <f t="shared" si="248"/>
        <v>0</v>
      </c>
      <c r="D1065" s="2133">
        <f t="shared" si="249"/>
        <v>0</v>
      </c>
      <c r="E1065" s="2359">
        <f>$F$458*B1065</f>
        <v>0</v>
      </c>
      <c r="V1065" s="2358"/>
      <c r="W1065" s="2358"/>
      <c r="X1065" s="2358"/>
      <c r="Y1065" s="2358"/>
      <c r="Z1065" s="2358"/>
      <c r="AA1065" s="2358"/>
      <c r="AB1065" s="2358"/>
      <c r="AC1065" s="2358"/>
      <c r="AD1065" s="2358"/>
      <c r="AE1065" s="2358"/>
      <c r="AF1065" s="2358"/>
      <c r="AG1065" s="2358"/>
      <c r="AH1065" s="2358"/>
      <c r="AI1065" s="2358"/>
      <c r="AJ1065" s="2358"/>
      <c r="AK1065" s="2358"/>
      <c r="AL1065" s="2358"/>
      <c r="AM1065" s="2358"/>
      <c r="AN1065" s="2358"/>
      <c r="AO1065" s="2358"/>
      <c r="AP1065" s="2358"/>
      <c r="AQ1065" s="2358"/>
    </row>
    <row r="1066" spans="1:43" s="2359" customFormat="1">
      <c r="A1066" s="2133" t="str">
        <f t="shared" si="247"/>
        <v>B15</v>
      </c>
      <c r="B1066" s="2133">
        <f t="shared" si="247"/>
        <v>0</v>
      </c>
      <c r="C1066" s="2133">
        <f t="shared" si="248"/>
        <v>0</v>
      </c>
      <c r="D1066" s="2133">
        <f t="shared" si="249"/>
        <v>0</v>
      </c>
      <c r="E1066" s="2359">
        <f t="shared" ref="E1066:E1071" si="250">$F$459*B1066</f>
        <v>0</v>
      </c>
      <c r="V1066" s="2358"/>
      <c r="W1066" s="2358"/>
      <c r="X1066" s="2358"/>
      <c r="Y1066" s="2358"/>
      <c r="Z1066" s="2358"/>
      <c r="AA1066" s="2358"/>
      <c r="AB1066" s="2358"/>
      <c r="AC1066" s="2358"/>
      <c r="AD1066" s="2358"/>
      <c r="AE1066" s="2358"/>
      <c r="AF1066" s="2358"/>
      <c r="AG1066" s="2358"/>
      <c r="AH1066" s="2358"/>
      <c r="AI1066" s="2358"/>
      <c r="AJ1066" s="2358"/>
      <c r="AK1066" s="2358"/>
      <c r="AL1066" s="2358"/>
      <c r="AM1066" s="2358"/>
      <c r="AN1066" s="2358"/>
      <c r="AO1066" s="2358"/>
      <c r="AP1066" s="2358"/>
      <c r="AQ1066" s="2358"/>
    </row>
    <row r="1067" spans="1:43" s="2532" customFormat="1">
      <c r="A1067" s="2133" t="str">
        <f t="shared" si="247"/>
        <v>B16</v>
      </c>
      <c r="B1067" s="2133">
        <f t="shared" si="247"/>
        <v>0</v>
      </c>
      <c r="C1067" s="2133">
        <f t="shared" ref="C1067:C1072" si="251">C537</f>
        <v>0</v>
      </c>
      <c r="D1067" s="2133">
        <f>B1067*C1067</f>
        <v>0</v>
      </c>
      <c r="E1067" s="2532">
        <f t="shared" si="250"/>
        <v>0</v>
      </c>
      <c r="V1067" s="2531"/>
      <c r="W1067" s="2531"/>
      <c r="X1067" s="2531"/>
      <c r="Y1067" s="2531"/>
      <c r="Z1067" s="2531"/>
      <c r="AA1067" s="2531"/>
      <c r="AB1067" s="2531"/>
      <c r="AC1067" s="2531"/>
      <c r="AD1067" s="2531"/>
      <c r="AE1067" s="2531"/>
      <c r="AF1067" s="2531"/>
      <c r="AG1067" s="2531"/>
      <c r="AH1067" s="2531"/>
      <c r="AI1067" s="2531"/>
      <c r="AJ1067" s="2531"/>
      <c r="AK1067" s="2531"/>
      <c r="AL1067" s="2531"/>
      <c r="AM1067" s="2531"/>
      <c r="AN1067" s="2531"/>
      <c r="AO1067" s="2531"/>
      <c r="AP1067" s="2531"/>
      <c r="AQ1067" s="2531"/>
    </row>
    <row r="1068" spans="1:43" s="2532" customFormat="1">
      <c r="A1068" s="2133" t="str">
        <f t="shared" si="247"/>
        <v>B17</v>
      </c>
      <c r="B1068" s="2133">
        <f t="shared" si="247"/>
        <v>0</v>
      </c>
      <c r="C1068" s="2133">
        <f t="shared" si="251"/>
        <v>0</v>
      </c>
      <c r="D1068" s="2133">
        <f>B1068*C1068</f>
        <v>0</v>
      </c>
      <c r="E1068" s="2532">
        <f t="shared" si="250"/>
        <v>0</v>
      </c>
      <c r="V1068" s="2531"/>
      <c r="W1068" s="2531"/>
      <c r="X1068" s="2531"/>
      <c r="Y1068" s="2531"/>
      <c r="Z1068" s="2531"/>
      <c r="AA1068" s="2531"/>
      <c r="AB1068" s="2531"/>
      <c r="AC1068" s="2531"/>
      <c r="AD1068" s="2531"/>
      <c r="AE1068" s="2531"/>
      <c r="AF1068" s="2531"/>
      <c r="AG1068" s="2531"/>
      <c r="AH1068" s="2531"/>
      <c r="AI1068" s="2531"/>
      <c r="AJ1068" s="2531"/>
      <c r="AK1068" s="2531"/>
      <c r="AL1068" s="2531"/>
      <c r="AM1068" s="2531"/>
      <c r="AN1068" s="2531"/>
      <c r="AO1068" s="2531"/>
      <c r="AP1068" s="2531"/>
      <c r="AQ1068" s="2531"/>
    </row>
    <row r="1069" spans="1:43" s="2532" customFormat="1">
      <c r="A1069" s="2133" t="str">
        <f t="shared" si="247"/>
        <v>B18</v>
      </c>
      <c r="B1069" s="2133">
        <f t="shared" si="247"/>
        <v>0</v>
      </c>
      <c r="C1069" s="2133">
        <f t="shared" si="251"/>
        <v>0</v>
      </c>
      <c r="D1069" s="2133">
        <f>B1069*C1069</f>
        <v>0</v>
      </c>
      <c r="E1069" s="2532">
        <f t="shared" si="250"/>
        <v>0</v>
      </c>
      <c r="V1069" s="2531"/>
      <c r="W1069" s="2531"/>
      <c r="X1069" s="2531"/>
      <c r="Y1069" s="2531"/>
      <c r="Z1069" s="2531"/>
      <c r="AA1069" s="2531"/>
      <c r="AB1069" s="2531"/>
      <c r="AC1069" s="2531"/>
      <c r="AD1069" s="2531"/>
      <c r="AE1069" s="2531"/>
      <c r="AF1069" s="2531"/>
      <c r="AG1069" s="2531"/>
      <c r="AH1069" s="2531"/>
      <c r="AI1069" s="2531"/>
      <c r="AJ1069" s="2531"/>
      <c r="AK1069" s="2531"/>
      <c r="AL1069" s="2531"/>
      <c r="AM1069" s="2531"/>
      <c r="AN1069" s="2531"/>
      <c r="AO1069" s="2531"/>
      <c r="AP1069" s="2531"/>
      <c r="AQ1069" s="2531"/>
    </row>
    <row r="1070" spans="1:43" s="2532" customFormat="1">
      <c r="A1070" s="2133" t="str">
        <f t="shared" si="247"/>
        <v>B19</v>
      </c>
      <c r="B1070" s="2133">
        <f t="shared" si="247"/>
        <v>0</v>
      </c>
      <c r="C1070" s="2133">
        <f t="shared" si="251"/>
        <v>0</v>
      </c>
      <c r="D1070" s="2133">
        <f>B1070*C1070</f>
        <v>0</v>
      </c>
      <c r="E1070" s="2532">
        <f t="shared" si="250"/>
        <v>0</v>
      </c>
      <c r="V1070" s="2531"/>
      <c r="W1070" s="2531"/>
      <c r="X1070" s="2531"/>
      <c r="Y1070" s="2531"/>
      <c r="Z1070" s="2531"/>
      <c r="AA1070" s="2531"/>
      <c r="AB1070" s="2531"/>
      <c r="AC1070" s="2531"/>
      <c r="AD1070" s="2531"/>
      <c r="AE1070" s="2531"/>
      <c r="AF1070" s="2531"/>
      <c r="AG1070" s="2531"/>
      <c r="AH1070" s="2531"/>
      <c r="AI1070" s="2531"/>
      <c r="AJ1070" s="2531"/>
      <c r="AK1070" s="2531"/>
      <c r="AL1070" s="2531"/>
      <c r="AM1070" s="2531"/>
      <c r="AN1070" s="2531"/>
      <c r="AO1070" s="2531"/>
      <c r="AP1070" s="2531"/>
      <c r="AQ1070" s="2531"/>
    </row>
    <row r="1071" spans="1:43" s="2532" customFormat="1">
      <c r="A1071" s="2133" t="str">
        <f t="shared" si="247"/>
        <v>B20</v>
      </c>
      <c r="B1071" s="2133">
        <f t="shared" si="247"/>
        <v>0</v>
      </c>
      <c r="C1071" s="2133">
        <f t="shared" si="251"/>
        <v>0</v>
      </c>
      <c r="D1071" s="2133">
        <f>B1071*C1071</f>
        <v>0</v>
      </c>
      <c r="E1071" s="2532">
        <f t="shared" si="250"/>
        <v>0</v>
      </c>
      <c r="V1071" s="2531"/>
      <c r="W1071" s="2531"/>
      <c r="X1071" s="2531"/>
      <c r="Y1071" s="2531"/>
      <c r="Z1071" s="2531"/>
      <c r="AA1071" s="2531"/>
      <c r="AB1071" s="2531"/>
      <c r="AC1071" s="2531"/>
      <c r="AD1071" s="2531"/>
      <c r="AE1071" s="2531"/>
      <c r="AF1071" s="2531"/>
      <c r="AG1071" s="2531"/>
      <c r="AH1071" s="2531"/>
      <c r="AI1071" s="2531"/>
      <c r="AJ1071" s="2531"/>
      <c r="AK1071" s="2531"/>
      <c r="AL1071" s="2531"/>
      <c r="AM1071" s="2531"/>
      <c r="AN1071" s="2531"/>
      <c r="AO1071" s="2531"/>
      <c r="AP1071" s="2531"/>
      <c r="AQ1071" s="2531"/>
    </row>
    <row r="1072" spans="1:43" s="2359" customFormat="1">
      <c r="A1072" s="2133" t="str">
        <f t="shared" si="247"/>
        <v>RB</v>
      </c>
      <c r="B1072" s="2133">
        <f t="shared" si="247"/>
        <v>0</v>
      </c>
      <c r="C1072" s="2133">
        <f t="shared" si="251"/>
        <v>0.03</v>
      </c>
      <c r="D1072" s="2368">
        <f t="shared" si="249"/>
        <v>0</v>
      </c>
      <c r="E1072" s="2359">
        <f>$F$465*B1072</f>
        <v>0</v>
      </c>
      <c r="G1072" s="2099"/>
      <c r="V1072" s="2358"/>
      <c r="W1072" s="2358"/>
      <c r="X1072" s="2358"/>
      <c r="Y1072" s="2358"/>
      <c r="Z1072" s="2358"/>
      <c r="AA1072" s="2358"/>
      <c r="AB1072" s="2358"/>
      <c r="AC1072" s="2358"/>
      <c r="AD1072" s="2358"/>
      <c r="AE1072" s="2358"/>
      <c r="AF1072" s="2358"/>
      <c r="AG1072" s="2358"/>
      <c r="AH1072" s="2358"/>
      <c r="AI1072" s="2358"/>
      <c r="AJ1072" s="2358"/>
      <c r="AK1072" s="2358"/>
      <c r="AL1072" s="2358"/>
      <c r="AM1072" s="2358"/>
      <c r="AN1072" s="2358"/>
      <c r="AO1072" s="2358"/>
      <c r="AP1072" s="2358"/>
      <c r="AQ1072" s="2358"/>
    </row>
    <row r="1073" spans="1:43" s="2359" customFormat="1" ht="30">
      <c r="C1073" s="2138" t="s">
        <v>2078</v>
      </c>
      <c r="D1073" s="2182">
        <f>SUM(D1052:D1072)</f>
        <v>0</v>
      </c>
      <c r="E1073" s="2359">
        <f>SUM(E1052:E1072)</f>
        <v>0</v>
      </c>
      <c r="V1073" s="2358"/>
      <c r="W1073" s="2358"/>
      <c r="X1073" s="2358"/>
      <c r="Y1073" s="2358"/>
      <c r="Z1073" s="2358"/>
      <c r="AA1073" s="2358"/>
      <c r="AB1073" s="2358"/>
      <c r="AC1073" s="2358"/>
      <c r="AD1073" s="2358"/>
      <c r="AE1073" s="2358"/>
      <c r="AF1073" s="2358"/>
      <c r="AG1073" s="2358"/>
      <c r="AH1073" s="2358"/>
      <c r="AI1073" s="2358"/>
      <c r="AJ1073" s="2358"/>
      <c r="AK1073" s="2358"/>
      <c r="AL1073" s="2358"/>
      <c r="AM1073" s="2358"/>
      <c r="AN1073" s="2358"/>
      <c r="AO1073" s="2358"/>
      <c r="AP1073" s="2358"/>
      <c r="AQ1073" s="2358"/>
    </row>
    <row r="1074" spans="1:43" s="2359" customFormat="1">
      <c r="V1074" s="2358"/>
      <c r="W1074" s="2358"/>
      <c r="X1074" s="2358"/>
      <c r="Y1074" s="2358"/>
      <c r="Z1074" s="2358"/>
      <c r="AA1074" s="2358"/>
      <c r="AB1074" s="2358"/>
      <c r="AC1074" s="2358"/>
      <c r="AD1074" s="2358"/>
      <c r="AE1074" s="2358"/>
      <c r="AF1074" s="2358"/>
      <c r="AG1074" s="2358"/>
      <c r="AH1074" s="2358"/>
      <c r="AI1074" s="2358"/>
      <c r="AJ1074" s="2358"/>
      <c r="AK1074" s="2358"/>
      <c r="AL1074" s="2358"/>
      <c r="AM1074" s="2358"/>
      <c r="AN1074" s="2358"/>
      <c r="AO1074" s="2358"/>
      <c r="AP1074" s="2358"/>
      <c r="AQ1074" s="2358"/>
    </row>
    <row r="1075" spans="1:43" s="2359" customFormat="1">
      <c r="A1075" s="2831" t="s">
        <v>2006</v>
      </c>
      <c r="B1075" s="2832"/>
      <c r="C1075" s="2832"/>
      <c r="D1075" s="2832"/>
      <c r="V1075" s="2358"/>
      <c r="W1075" s="2358"/>
      <c r="X1075" s="2358"/>
      <c r="Y1075" s="2358"/>
      <c r="Z1075" s="2358"/>
      <c r="AA1075" s="2358"/>
      <c r="AB1075" s="2358"/>
      <c r="AC1075" s="2358"/>
      <c r="AD1075" s="2358"/>
      <c r="AE1075" s="2358"/>
      <c r="AF1075" s="2358"/>
      <c r="AG1075" s="2358"/>
      <c r="AH1075" s="2358"/>
      <c r="AI1075" s="2358"/>
      <c r="AJ1075" s="2358"/>
      <c r="AK1075" s="2358"/>
      <c r="AL1075" s="2358"/>
      <c r="AM1075" s="2358"/>
      <c r="AN1075" s="2358"/>
      <c r="AO1075" s="2358"/>
      <c r="AP1075" s="2358"/>
      <c r="AQ1075" s="2358"/>
    </row>
    <row r="1076" spans="1:43" s="2359" customFormat="1">
      <c r="A1076" s="2133" t="s">
        <v>1796</v>
      </c>
      <c r="B1076" s="2133" t="s">
        <v>2004</v>
      </c>
      <c r="C1076" s="2133" t="s">
        <v>1791</v>
      </c>
      <c r="D1076" s="2133" t="s">
        <v>2007</v>
      </c>
      <c r="V1076" s="2358"/>
      <c r="W1076" s="2358"/>
      <c r="X1076" s="2358"/>
      <c r="Y1076" s="2358"/>
      <c r="Z1076" s="2358"/>
      <c r="AA1076" s="2358"/>
      <c r="AB1076" s="2358"/>
      <c r="AC1076" s="2358"/>
      <c r="AD1076" s="2358"/>
      <c r="AE1076" s="2358"/>
      <c r="AF1076" s="2358"/>
      <c r="AG1076" s="2358"/>
      <c r="AH1076" s="2358"/>
      <c r="AI1076" s="2358"/>
      <c r="AJ1076" s="2358"/>
      <c r="AK1076" s="2358"/>
      <c r="AL1076" s="2358"/>
      <c r="AM1076" s="2358"/>
      <c r="AN1076" s="2358"/>
      <c r="AO1076" s="2358"/>
      <c r="AP1076" s="2358"/>
      <c r="AQ1076" s="2358"/>
    </row>
    <row r="1077" spans="1:43" s="2359" customFormat="1">
      <c r="A1077" s="2133" t="str">
        <f t="shared" ref="A1077:B1097" si="252">A1052</f>
        <v>B1</v>
      </c>
      <c r="B1077" s="2133">
        <f t="shared" si="252"/>
        <v>0</v>
      </c>
      <c r="C1077" s="2133">
        <f t="shared" ref="C1077:C1091" si="253">C470</f>
        <v>0.8</v>
      </c>
      <c r="D1077" s="2133">
        <f t="shared" ref="D1077:D1097" si="254">B1077*C1077</f>
        <v>0</v>
      </c>
      <c r="V1077" s="2358"/>
      <c r="W1077" s="2358"/>
      <c r="X1077" s="2358"/>
      <c r="Y1077" s="2358"/>
      <c r="Z1077" s="2358"/>
      <c r="AA1077" s="2358"/>
      <c r="AB1077" s="2358"/>
      <c r="AC1077" s="2358"/>
      <c r="AD1077" s="2358"/>
      <c r="AE1077" s="2358"/>
      <c r="AF1077" s="2358"/>
      <c r="AG1077" s="2358"/>
      <c r="AH1077" s="2358"/>
      <c r="AI1077" s="2358"/>
      <c r="AJ1077" s="2358"/>
      <c r="AK1077" s="2358"/>
      <c r="AL1077" s="2358"/>
      <c r="AM1077" s="2358"/>
      <c r="AN1077" s="2358"/>
      <c r="AO1077" s="2358"/>
      <c r="AP1077" s="2358"/>
      <c r="AQ1077" s="2358"/>
    </row>
    <row r="1078" spans="1:43" s="2359" customFormat="1">
      <c r="A1078" s="2133" t="str">
        <f t="shared" si="252"/>
        <v>B2</v>
      </c>
      <c r="B1078" s="2133">
        <f t="shared" si="252"/>
        <v>0</v>
      </c>
      <c r="C1078" s="2133">
        <f t="shared" si="253"/>
        <v>1.1000000000000001</v>
      </c>
      <c r="D1078" s="2133">
        <f t="shared" si="254"/>
        <v>0</v>
      </c>
      <c r="V1078" s="2358"/>
      <c r="W1078" s="2358"/>
      <c r="X1078" s="2358"/>
      <c r="Y1078" s="2358"/>
      <c r="Z1078" s="2358"/>
      <c r="AA1078" s="2358"/>
      <c r="AB1078" s="2358"/>
      <c r="AC1078" s="2358"/>
      <c r="AD1078" s="2358"/>
      <c r="AE1078" s="2358"/>
      <c r="AF1078" s="2358"/>
      <c r="AG1078" s="2358"/>
      <c r="AH1078" s="2358"/>
      <c r="AI1078" s="2358"/>
      <c r="AJ1078" s="2358"/>
      <c r="AK1078" s="2358"/>
      <c r="AL1078" s="2358"/>
      <c r="AM1078" s="2358"/>
      <c r="AN1078" s="2358"/>
      <c r="AO1078" s="2358"/>
      <c r="AP1078" s="2358"/>
      <c r="AQ1078" s="2358"/>
    </row>
    <row r="1079" spans="1:43" s="2359" customFormat="1">
      <c r="A1079" s="2133" t="str">
        <f t="shared" si="252"/>
        <v>B3</v>
      </c>
      <c r="B1079" s="2133">
        <f t="shared" si="252"/>
        <v>0</v>
      </c>
      <c r="C1079" s="2133">
        <f t="shared" si="253"/>
        <v>1.6</v>
      </c>
      <c r="D1079" s="2133">
        <f t="shared" si="254"/>
        <v>0</v>
      </c>
      <c r="V1079" s="2358"/>
      <c r="W1079" s="2358"/>
      <c r="X1079" s="2358"/>
      <c r="Y1079" s="2358"/>
      <c r="Z1079" s="2358"/>
      <c r="AA1079" s="2358"/>
      <c r="AB1079" s="2358"/>
      <c r="AC1079" s="2358"/>
      <c r="AD1079" s="2358"/>
      <c r="AE1079" s="2358"/>
      <c r="AF1079" s="2358"/>
      <c r="AG1079" s="2358"/>
      <c r="AH1079" s="2358"/>
      <c r="AI1079" s="2358"/>
      <c r="AJ1079" s="2358"/>
      <c r="AK1079" s="2358"/>
      <c r="AL1079" s="2358"/>
      <c r="AM1079" s="2358"/>
      <c r="AN1079" s="2358"/>
      <c r="AO1079" s="2358"/>
      <c r="AP1079" s="2358"/>
      <c r="AQ1079" s="2358"/>
    </row>
    <row r="1080" spans="1:43" s="2359" customFormat="1">
      <c r="A1080" s="2133" t="str">
        <f t="shared" si="252"/>
        <v>B4</v>
      </c>
      <c r="B1080" s="2133">
        <f t="shared" si="252"/>
        <v>0</v>
      </c>
      <c r="C1080" s="2133">
        <f t="shared" si="253"/>
        <v>0.6</v>
      </c>
      <c r="D1080" s="2133">
        <f t="shared" si="254"/>
        <v>0</v>
      </c>
      <c r="V1080" s="2358"/>
      <c r="W1080" s="2358"/>
      <c r="X1080" s="2358"/>
      <c r="Y1080" s="2358"/>
      <c r="Z1080" s="2358"/>
      <c r="AA1080" s="2358"/>
      <c r="AB1080" s="2358"/>
      <c r="AC1080" s="2358"/>
      <c r="AD1080" s="2358"/>
      <c r="AE1080" s="2358"/>
      <c r="AF1080" s="2358"/>
      <c r="AG1080" s="2358"/>
      <c r="AH1080" s="2358"/>
      <c r="AI1080" s="2358"/>
      <c r="AJ1080" s="2358"/>
      <c r="AK1080" s="2358"/>
      <c r="AL1080" s="2358"/>
      <c r="AM1080" s="2358"/>
      <c r="AN1080" s="2358"/>
      <c r="AO1080" s="2358"/>
      <c r="AP1080" s="2358"/>
      <c r="AQ1080" s="2358"/>
    </row>
    <row r="1081" spans="1:43" s="2359" customFormat="1">
      <c r="A1081" s="2133" t="str">
        <f t="shared" si="252"/>
        <v>B5</v>
      </c>
      <c r="B1081" s="2133">
        <f t="shared" si="252"/>
        <v>0</v>
      </c>
      <c r="C1081" s="2133">
        <f t="shared" si="253"/>
        <v>0</v>
      </c>
      <c r="D1081" s="2133">
        <f t="shared" si="254"/>
        <v>0</v>
      </c>
      <c r="V1081" s="2358"/>
      <c r="W1081" s="2358"/>
      <c r="X1081" s="2358"/>
      <c r="Y1081" s="2358"/>
      <c r="Z1081" s="2358"/>
      <c r="AA1081" s="2358"/>
      <c r="AB1081" s="2358"/>
      <c r="AC1081" s="2358"/>
      <c r="AD1081" s="2358"/>
      <c r="AE1081" s="2358"/>
      <c r="AF1081" s="2358"/>
      <c r="AG1081" s="2358"/>
      <c r="AH1081" s="2358"/>
      <c r="AI1081" s="2358"/>
      <c r="AJ1081" s="2358"/>
      <c r="AK1081" s="2358"/>
      <c r="AL1081" s="2358"/>
      <c r="AM1081" s="2358"/>
      <c r="AN1081" s="2358"/>
      <c r="AO1081" s="2358"/>
      <c r="AP1081" s="2358"/>
      <c r="AQ1081" s="2358"/>
    </row>
    <row r="1082" spans="1:43" s="2359" customFormat="1">
      <c r="A1082" s="2133" t="str">
        <f t="shared" si="252"/>
        <v>B6</v>
      </c>
      <c r="B1082" s="2133">
        <f t="shared" si="252"/>
        <v>0</v>
      </c>
      <c r="C1082" s="2133">
        <f t="shared" si="253"/>
        <v>0</v>
      </c>
      <c r="D1082" s="2133">
        <f t="shared" si="254"/>
        <v>0</v>
      </c>
      <c r="V1082" s="2358"/>
      <c r="W1082" s="2358"/>
      <c r="X1082" s="2358"/>
      <c r="Y1082" s="2358"/>
      <c r="Z1082" s="2358"/>
      <c r="AA1082" s="2358"/>
      <c r="AB1082" s="2358"/>
      <c r="AC1082" s="2358"/>
      <c r="AD1082" s="2358"/>
      <c r="AE1082" s="2358"/>
      <c r="AF1082" s="2358"/>
      <c r="AG1082" s="2358"/>
      <c r="AH1082" s="2358"/>
      <c r="AI1082" s="2358"/>
      <c r="AJ1082" s="2358"/>
      <c r="AK1082" s="2358"/>
      <c r="AL1082" s="2358"/>
      <c r="AM1082" s="2358"/>
      <c r="AN1082" s="2358"/>
      <c r="AO1082" s="2358"/>
      <c r="AP1082" s="2358"/>
      <c r="AQ1082" s="2358"/>
    </row>
    <row r="1083" spans="1:43" s="2359" customFormat="1">
      <c r="A1083" s="2133" t="str">
        <f t="shared" si="252"/>
        <v>B7</v>
      </c>
      <c r="B1083" s="2133">
        <f t="shared" si="252"/>
        <v>0</v>
      </c>
      <c r="C1083" s="2133">
        <f t="shared" si="253"/>
        <v>0</v>
      </c>
      <c r="D1083" s="2133">
        <f t="shared" si="254"/>
        <v>0</v>
      </c>
      <c r="V1083" s="2358"/>
      <c r="W1083" s="2358"/>
      <c r="X1083" s="2358"/>
      <c r="Y1083" s="2358"/>
      <c r="Z1083" s="2358"/>
      <c r="AA1083" s="2358"/>
      <c r="AB1083" s="2358"/>
      <c r="AC1083" s="2358"/>
      <c r="AD1083" s="2358"/>
      <c r="AE1083" s="2358"/>
      <c r="AF1083" s="2358"/>
      <c r="AG1083" s="2358"/>
      <c r="AH1083" s="2358"/>
      <c r="AI1083" s="2358"/>
      <c r="AJ1083" s="2358"/>
      <c r="AK1083" s="2358"/>
      <c r="AL1083" s="2358"/>
      <c r="AM1083" s="2358"/>
      <c r="AN1083" s="2358"/>
      <c r="AO1083" s="2358"/>
      <c r="AP1083" s="2358"/>
      <c r="AQ1083" s="2358"/>
    </row>
    <row r="1084" spans="1:43" s="2359" customFormat="1">
      <c r="A1084" s="2133" t="str">
        <f t="shared" si="252"/>
        <v>B8</v>
      </c>
      <c r="B1084" s="2133">
        <f t="shared" si="252"/>
        <v>0</v>
      </c>
      <c r="C1084" s="2133">
        <f t="shared" si="253"/>
        <v>0</v>
      </c>
      <c r="D1084" s="2133">
        <f t="shared" si="254"/>
        <v>0</v>
      </c>
      <c r="V1084" s="2358"/>
      <c r="W1084" s="2358"/>
      <c r="X1084" s="2358"/>
      <c r="Y1084" s="2358"/>
      <c r="Z1084" s="2358"/>
      <c r="AA1084" s="2358"/>
      <c r="AB1084" s="2358"/>
      <c r="AC1084" s="2358"/>
      <c r="AD1084" s="2358"/>
      <c r="AE1084" s="2358"/>
      <c r="AF1084" s="2358"/>
      <c r="AG1084" s="2358"/>
      <c r="AH1084" s="2358"/>
      <c r="AI1084" s="2358"/>
      <c r="AJ1084" s="2358"/>
      <c r="AK1084" s="2358"/>
      <c r="AL1084" s="2358"/>
      <c r="AM1084" s="2358"/>
      <c r="AN1084" s="2358"/>
      <c r="AO1084" s="2358"/>
      <c r="AP1084" s="2358"/>
      <c r="AQ1084" s="2358"/>
    </row>
    <row r="1085" spans="1:43" s="2359" customFormat="1">
      <c r="A1085" s="2133" t="str">
        <f t="shared" si="252"/>
        <v>B9</v>
      </c>
      <c r="B1085" s="2133">
        <f t="shared" si="252"/>
        <v>0</v>
      </c>
      <c r="C1085" s="2133">
        <f t="shared" si="253"/>
        <v>0</v>
      </c>
      <c r="D1085" s="2133">
        <f t="shared" si="254"/>
        <v>0</v>
      </c>
      <c r="V1085" s="2358"/>
      <c r="W1085" s="2358"/>
      <c r="X1085" s="2358"/>
      <c r="Y1085" s="2358"/>
      <c r="Z1085" s="2358"/>
      <c r="AA1085" s="2358"/>
      <c r="AB1085" s="2358"/>
      <c r="AC1085" s="2358"/>
      <c r="AD1085" s="2358"/>
      <c r="AE1085" s="2358"/>
      <c r="AF1085" s="2358"/>
      <c r="AG1085" s="2358"/>
      <c r="AH1085" s="2358"/>
      <c r="AI1085" s="2358"/>
      <c r="AJ1085" s="2358"/>
      <c r="AK1085" s="2358"/>
      <c r="AL1085" s="2358"/>
      <c r="AM1085" s="2358"/>
      <c r="AN1085" s="2358"/>
      <c r="AO1085" s="2358"/>
      <c r="AP1085" s="2358"/>
      <c r="AQ1085" s="2358"/>
    </row>
    <row r="1086" spans="1:43" s="2359" customFormat="1">
      <c r="A1086" s="2133" t="str">
        <f t="shared" si="252"/>
        <v>B10</v>
      </c>
      <c r="B1086" s="2133">
        <f t="shared" si="252"/>
        <v>0</v>
      </c>
      <c r="C1086" s="2133">
        <f t="shared" si="253"/>
        <v>0</v>
      </c>
      <c r="D1086" s="2133">
        <f t="shared" si="254"/>
        <v>0</v>
      </c>
      <c r="V1086" s="2358"/>
      <c r="W1086" s="2358"/>
      <c r="X1086" s="2358"/>
      <c r="Y1086" s="2358"/>
      <c r="Z1086" s="2358"/>
      <c r="AA1086" s="2358"/>
      <c r="AB1086" s="2358"/>
      <c r="AC1086" s="2358"/>
      <c r="AD1086" s="2358"/>
      <c r="AE1086" s="2358"/>
      <c r="AF1086" s="2358"/>
      <c r="AG1086" s="2358"/>
      <c r="AH1086" s="2358"/>
      <c r="AI1086" s="2358"/>
      <c r="AJ1086" s="2358"/>
      <c r="AK1086" s="2358"/>
      <c r="AL1086" s="2358"/>
      <c r="AM1086" s="2358"/>
      <c r="AN1086" s="2358"/>
      <c r="AO1086" s="2358"/>
      <c r="AP1086" s="2358"/>
      <c r="AQ1086" s="2358"/>
    </row>
    <row r="1087" spans="1:43" s="2359" customFormat="1">
      <c r="A1087" s="2133" t="str">
        <f t="shared" si="252"/>
        <v>B11</v>
      </c>
      <c r="B1087" s="2133">
        <f t="shared" si="252"/>
        <v>0</v>
      </c>
      <c r="C1087" s="2133">
        <f t="shared" si="253"/>
        <v>0</v>
      </c>
      <c r="D1087" s="2133">
        <f t="shared" si="254"/>
        <v>0</v>
      </c>
      <c r="V1087" s="2358"/>
      <c r="W1087" s="2358"/>
      <c r="X1087" s="2358"/>
      <c r="Y1087" s="2358"/>
      <c r="Z1087" s="2358"/>
      <c r="AA1087" s="2358"/>
      <c r="AB1087" s="2358"/>
      <c r="AC1087" s="2358"/>
      <c r="AD1087" s="2358"/>
      <c r="AE1087" s="2358"/>
      <c r="AF1087" s="2358"/>
      <c r="AG1087" s="2358"/>
      <c r="AH1087" s="2358"/>
      <c r="AI1087" s="2358"/>
      <c r="AJ1087" s="2358"/>
      <c r="AK1087" s="2358"/>
      <c r="AL1087" s="2358"/>
      <c r="AM1087" s="2358"/>
      <c r="AN1087" s="2358"/>
      <c r="AO1087" s="2358"/>
      <c r="AP1087" s="2358"/>
      <c r="AQ1087" s="2358"/>
    </row>
    <row r="1088" spans="1:43" s="2359" customFormat="1">
      <c r="A1088" s="2133" t="str">
        <f t="shared" si="252"/>
        <v>B12</v>
      </c>
      <c r="B1088" s="2133">
        <f t="shared" si="252"/>
        <v>0</v>
      </c>
      <c r="C1088" s="2133">
        <f t="shared" si="253"/>
        <v>0</v>
      </c>
      <c r="D1088" s="2133">
        <f t="shared" si="254"/>
        <v>0</v>
      </c>
      <c r="V1088" s="2358"/>
      <c r="W1088" s="2358"/>
      <c r="X1088" s="2358"/>
      <c r="Y1088" s="2358"/>
      <c r="Z1088" s="2358"/>
      <c r="AA1088" s="2358"/>
      <c r="AB1088" s="2358"/>
      <c r="AC1088" s="2358"/>
      <c r="AD1088" s="2358"/>
      <c r="AE1088" s="2358"/>
      <c r="AF1088" s="2358"/>
      <c r="AG1088" s="2358"/>
      <c r="AH1088" s="2358"/>
      <c r="AI1088" s="2358"/>
      <c r="AJ1088" s="2358"/>
      <c r="AK1088" s="2358"/>
      <c r="AL1088" s="2358"/>
      <c r="AM1088" s="2358"/>
      <c r="AN1088" s="2358"/>
      <c r="AO1088" s="2358"/>
      <c r="AP1088" s="2358"/>
      <c r="AQ1088" s="2358"/>
    </row>
    <row r="1089" spans="1:43" s="2359" customFormat="1">
      <c r="A1089" s="2133" t="str">
        <f t="shared" si="252"/>
        <v>B13</v>
      </c>
      <c r="B1089" s="2133">
        <f t="shared" si="252"/>
        <v>0</v>
      </c>
      <c r="C1089" s="2133">
        <f t="shared" si="253"/>
        <v>0</v>
      </c>
      <c r="D1089" s="2133">
        <f t="shared" si="254"/>
        <v>0</v>
      </c>
      <c r="V1089" s="2358"/>
      <c r="W1089" s="2358"/>
      <c r="X1089" s="2358"/>
      <c r="Y1089" s="2358"/>
      <c r="Z1089" s="2358"/>
      <c r="AA1089" s="2358"/>
      <c r="AB1089" s="2358"/>
      <c r="AC1089" s="2358"/>
      <c r="AD1089" s="2358"/>
      <c r="AE1089" s="2358"/>
      <c r="AF1089" s="2358"/>
      <c r="AG1089" s="2358"/>
      <c r="AH1089" s="2358"/>
      <c r="AI1089" s="2358"/>
      <c r="AJ1089" s="2358"/>
      <c r="AK1089" s="2358"/>
      <c r="AL1089" s="2358"/>
      <c r="AM1089" s="2358"/>
      <c r="AN1089" s="2358"/>
      <c r="AO1089" s="2358"/>
      <c r="AP1089" s="2358"/>
      <c r="AQ1089" s="2358"/>
    </row>
    <row r="1090" spans="1:43" s="2359" customFormat="1">
      <c r="A1090" s="2133" t="str">
        <f t="shared" si="252"/>
        <v>B14</v>
      </c>
      <c r="B1090" s="2133">
        <f t="shared" si="252"/>
        <v>0</v>
      </c>
      <c r="C1090" s="2133">
        <f t="shared" si="253"/>
        <v>0</v>
      </c>
      <c r="D1090" s="2133">
        <f t="shared" si="254"/>
        <v>0</v>
      </c>
      <c r="V1090" s="2358"/>
      <c r="W1090" s="2358"/>
      <c r="X1090" s="2358"/>
      <c r="Y1090" s="2358"/>
      <c r="Z1090" s="2358"/>
      <c r="AA1090" s="2358"/>
      <c r="AB1090" s="2358"/>
      <c r="AC1090" s="2358"/>
      <c r="AD1090" s="2358"/>
      <c r="AE1090" s="2358"/>
      <c r="AF1090" s="2358"/>
      <c r="AG1090" s="2358"/>
      <c r="AH1090" s="2358"/>
      <c r="AI1090" s="2358"/>
      <c r="AJ1090" s="2358"/>
      <c r="AK1090" s="2358"/>
      <c r="AL1090" s="2358"/>
      <c r="AM1090" s="2358"/>
      <c r="AN1090" s="2358"/>
      <c r="AO1090" s="2358"/>
      <c r="AP1090" s="2358"/>
      <c r="AQ1090" s="2358"/>
    </row>
    <row r="1091" spans="1:43" s="2359" customFormat="1">
      <c r="A1091" s="2133" t="str">
        <f t="shared" si="252"/>
        <v>B15</v>
      </c>
      <c r="B1091" s="2133">
        <f t="shared" si="252"/>
        <v>0</v>
      </c>
      <c r="C1091" s="2133">
        <f t="shared" si="253"/>
        <v>0</v>
      </c>
      <c r="D1091" s="2133">
        <f t="shared" si="254"/>
        <v>0</v>
      </c>
      <c r="V1091" s="2358"/>
      <c r="W1091" s="2358"/>
      <c r="X1091" s="2358"/>
      <c r="Y1091" s="2358"/>
      <c r="Z1091" s="2358"/>
      <c r="AA1091" s="2358"/>
      <c r="AB1091" s="2358"/>
      <c r="AC1091" s="2358"/>
      <c r="AD1091" s="2358"/>
      <c r="AE1091" s="2358"/>
      <c r="AF1091" s="2358"/>
      <c r="AG1091" s="2358"/>
      <c r="AH1091" s="2358"/>
      <c r="AI1091" s="2358"/>
      <c r="AJ1091" s="2358"/>
      <c r="AK1091" s="2358"/>
      <c r="AL1091" s="2358"/>
      <c r="AM1091" s="2358"/>
      <c r="AN1091" s="2358"/>
      <c r="AO1091" s="2358"/>
      <c r="AP1091" s="2358"/>
      <c r="AQ1091" s="2358"/>
    </row>
    <row r="1092" spans="1:43" s="2532" customFormat="1">
      <c r="A1092" s="2133" t="str">
        <f t="shared" si="252"/>
        <v>B16</v>
      </c>
      <c r="B1092" s="2133">
        <f t="shared" si="252"/>
        <v>0</v>
      </c>
      <c r="C1092" s="2133">
        <f t="shared" ref="C1092:C1097" si="255">C485</f>
        <v>0</v>
      </c>
      <c r="D1092" s="2133">
        <f>B1092*C1092</f>
        <v>0</v>
      </c>
      <c r="V1092" s="2531"/>
      <c r="W1092" s="2531"/>
      <c r="X1092" s="2531"/>
      <c r="Y1092" s="2531"/>
      <c r="Z1092" s="2531"/>
      <c r="AA1092" s="2531"/>
      <c r="AB1092" s="2531"/>
      <c r="AC1092" s="2531"/>
      <c r="AD1092" s="2531"/>
      <c r="AE1092" s="2531"/>
      <c r="AF1092" s="2531"/>
      <c r="AG1092" s="2531"/>
      <c r="AH1092" s="2531"/>
      <c r="AI1092" s="2531"/>
      <c r="AJ1092" s="2531"/>
      <c r="AK1092" s="2531"/>
      <c r="AL1092" s="2531"/>
      <c r="AM1092" s="2531"/>
      <c r="AN1092" s="2531"/>
      <c r="AO1092" s="2531"/>
      <c r="AP1092" s="2531"/>
      <c r="AQ1092" s="2531"/>
    </row>
    <row r="1093" spans="1:43" s="2532" customFormat="1">
      <c r="A1093" s="2133" t="str">
        <f t="shared" si="252"/>
        <v>B17</v>
      </c>
      <c r="B1093" s="2133">
        <f t="shared" si="252"/>
        <v>0</v>
      </c>
      <c r="C1093" s="2133">
        <f t="shared" si="255"/>
        <v>0</v>
      </c>
      <c r="D1093" s="2133">
        <f>B1093*C1093</f>
        <v>0</v>
      </c>
      <c r="V1093" s="2531"/>
      <c r="W1093" s="2531"/>
      <c r="X1093" s="2531"/>
      <c r="Y1093" s="2531"/>
      <c r="Z1093" s="2531"/>
      <c r="AA1093" s="2531"/>
      <c r="AB1093" s="2531"/>
      <c r="AC1093" s="2531"/>
      <c r="AD1093" s="2531"/>
      <c r="AE1093" s="2531"/>
      <c r="AF1093" s="2531"/>
      <c r="AG1093" s="2531"/>
      <c r="AH1093" s="2531"/>
      <c r="AI1093" s="2531"/>
      <c r="AJ1093" s="2531"/>
      <c r="AK1093" s="2531"/>
      <c r="AL1093" s="2531"/>
      <c r="AM1093" s="2531"/>
      <c r="AN1093" s="2531"/>
      <c r="AO1093" s="2531"/>
      <c r="AP1093" s="2531"/>
      <c r="AQ1093" s="2531"/>
    </row>
    <row r="1094" spans="1:43" s="2532" customFormat="1">
      <c r="A1094" s="2133" t="str">
        <f t="shared" si="252"/>
        <v>B18</v>
      </c>
      <c r="B1094" s="2133">
        <f t="shared" si="252"/>
        <v>0</v>
      </c>
      <c r="C1094" s="2133">
        <f t="shared" si="255"/>
        <v>0</v>
      </c>
      <c r="D1094" s="2133">
        <f>B1094*C1094</f>
        <v>0</v>
      </c>
      <c r="V1094" s="2531"/>
      <c r="W1094" s="2531"/>
      <c r="X1094" s="2531"/>
      <c r="Y1094" s="2531"/>
      <c r="Z1094" s="2531"/>
      <c r="AA1094" s="2531"/>
      <c r="AB1094" s="2531"/>
      <c r="AC1094" s="2531"/>
      <c r="AD1094" s="2531"/>
      <c r="AE1094" s="2531"/>
      <c r="AF1094" s="2531"/>
      <c r="AG1094" s="2531"/>
      <c r="AH1094" s="2531"/>
      <c r="AI1094" s="2531"/>
      <c r="AJ1094" s="2531"/>
      <c r="AK1094" s="2531"/>
      <c r="AL1094" s="2531"/>
      <c r="AM1094" s="2531"/>
      <c r="AN1094" s="2531"/>
      <c r="AO1094" s="2531"/>
      <c r="AP1094" s="2531"/>
      <c r="AQ1094" s="2531"/>
    </row>
    <row r="1095" spans="1:43" s="2532" customFormat="1">
      <c r="A1095" s="2133" t="str">
        <f t="shared" si="252"/>
        <v>B19</v>
      </c>
      <c r="B1095" s="2133">
        <f t="shared" si="252"/>
        <v>0</v>
      </c>
      <c r="C1095" s="2133">
        <f t="shared" si="255"/>
        <v>0</v>
      </c>
      <c r="D1095" s="2133">
        <f>B1095*C1095</f>
        <v>0</v>
      </c>
      <c r="V1095" s="2531"/>
      <c r="W1095" s="2531"/>
      <c r="X1095" s="2531"/>
      <c r="Y1095" s="2531"/>
      <c r="Z1095" s="2531"/>
      <c r="AA1095" s="2531"/>
      <c r="AB1095" s="2531"/>
      <c r="AC1095" s="2531"/>
      <c r="AD1095" s="2531"/>
      <c r="AE1095" s="2531"/>
      <c r="AF1095" s="2531"/>
      <c r="AG1095" s="2531"/>
      <c r="AH1095" s="2531"/>
      <c r="AI1095" s="2531"/>
      <c r="AJ1095" s="2531"/>
      <c r="AK1095" s="2531"/>
      <c r="AL1095" s="2531"/>
      <c r="AM1095" s="2531"/>
      <c r="AN1095" s="2531"/>
      <c r="AO1095" s="2531"/>
      <c r="AP1095" s="2531"/>
      <c r="AQ1095" s="2531"/>
    </row>
    <row r="1096" spans="1:43" s="2532" customFormat="1">
      <c r="A1096" s="2133" t="str">
        <f t="shared" si="252"/>
        <v>B20</v>
      </c>
      <c r="B1096" s="2133">
        <f t="shared" si="252"/>
        <v>0</v>
      </c>
      <c r="C1096" s="2133">
        <f t="shared" si="255"/>
        <v>0</v>
      </c>
      <c r="D1096" s="2133">
        <f>B1096*C1096</f>
        <v>0</v>
      </c>
      <c r="V1096" s="2531"/>
      <c r="W1096" s="2531"/>
      <c r="X1096" s="2531"/>
      <c r="Y1096" s="2531"/>
      <c r="Z1096" s="2531"/>
      <c r="AA1096" s="2531"/>
      <c r="AB1096" s="2531"/>
      <c r="AC1096" s="2531"/>
      <c r="AD1096" s="2531"/>
      <c r="AE1096" s="2531"/>
      <c r="AF1096" s="2531"/>
      <c r="AG1096" s="2531"/>
      <c r="AH1096" s="2531"/>
      <c r="AI1096" s="2531"/>
      <c r="AJ1096" s="2531"/>
      <c r="AK1096" s="2531"/>
      <c r="AL1096" s="2531"/>
      <c r="AM1096" s="2531"/>
      <c r="AN1096" s="2531"/>
      <c r="AO1096" s="2531"/>
      <c r="AP1096" s="2531"/>
      <c r="AQ1096" s="2531"/>
    </row>
    <row r="1097" spans="1:43" s="2359" customFormat="1">
      <c r="A1097" s="2133" t="str">
        <f t="shared" si="252"/>
        <v>RB</v>
      </c>
      <c r="B1097" s="2133">
        <f t="shared" si="252"/>
        <v>0</v>
      </c>
      <c r="C1097" s="2133">
        <f t="shared" si="255"/>
        <v>0.4</v>
      </c>
      <c r="D1097" s="2133">
        <f t="shared" si="254"/>
        <v>0</v>
      </c>
      <c r="V1097" s="2358"/>
      <c r="W1097" s="2358"/>
      <c r="X1097" s="2358"/>
      <c r="Y1097" s="2358"/>
      <c r="Z1097" s="2358"/>
      <c r="AA1097" s="2358"/>
      <c r="AB1097" s="2358"/>
      <c r="AC1097" s="2358"/>
      <c r="AD1097" s="2358"/>
      <c r="AE1097" s="2358"/>
      <c r="AF1097" s="2358"/>
      <c r="AG1097" s="2358"/>
      <c r="AH1097" s="2358"/>
      <c r="AI1097" s="2358"/>
      <c r="AJ1097" s="2358"/>
      <c r="AK1097" s="2358"/>
      <c r="AL1097" s="2358"/>
      <c r="AM1097" s="2358"/>
      <c r="AN1097" s="2358"/>
      <c r="AO1097" s="2358"/>
      <c r="AP1097" s="2358"/>
      <c r="AQ1097" s="2358"/>
    </row>
    <row r="1098" spans="1:43" s="2359" customFormat="1" ht="30">
      <c r="C1098" s="2138" t="s">
        <v>2076</v>
      </c>
      <c r="D1098" s="2182">
        <f>SUM(D1077:D1097)</f>
        <v>0</v>
      </c>
      <c r="V1098" s="2358"/>
      <c r="W1098" s="2358"/>
      <c r="X1098" s="2358"/>
      <c r="Y1098" s="2358"/>
      <c r="Z1098" s="2358"/>
      <c r="AA1098" s="2358"/>
      <c r="AB1098" s="2358"/>
      <c r="AC1098" s="2358"/>
      <c r="AD1098" s="2358"/>
      <c r="AE1098" s="2358"/>
      <c r="AF1098" s="2358"/>
      <c r="AG1098" s="2358"/>
      <c r="AH1098" s="2358"/>
      <c r="AI1098" s="2358"/>
      <c r="AJ1098" s="2358"/>
      <c r="AK1098" s="2358"/>
      <c r="AL1098" s="2358"/>
      <c r="AM1098" s="2358"/>
      <c r="AN1098" s="2358"/>
      <c r="AO1098" s="2358"/>
      <c r="AP1098" s="2358"/>
      <c r="AQ1098" s="2358"/>
    </row>
    <row r="1099" spans="1:43" s="2359" customFormat="1"/>
    <row r="1100" spans="1:43" s="2359" customFormat="1" ht="15" customHeight="1">
      <c r="A1100" s="2834" t="s">
        <v>2016</v>
      </c>
      <c r="B1100" s="2835"/>
      <c r="C1100" s="2835"/>
      <c r="D1100" s="2835"/>
      <c r="E1100" s="2812"/>
      <c r="G1100" s="2406" t="s">
        <v>2684</v>
      </c>
      <c r="H1100" s="2406"/>
      <c r="I1100" s="2406"/>
      <c r="J1100" s="2406" t="s">
        <v>228</v>
      </c>
      <c r="K1100" s="2406"/>
    </row>
    <row r="1101" spans="1:43" s="2359" customFormat="1" ht="15" customHeight="1" thickBot="1">
      <c r="A1101" s="2371" t="s">
        <v>1987</v>
      </c>
      <c r="B1101" s="2366" t="s">
        <v>1205</v>
      </c>
      <c r="C1101" s="2189" t="s">
        <v>1111</v>
      </c>
      <c r="D1101" s="2371" t="s">
        <v>1243</v>
      </c>
      <c r="E1101" s="2370" t="s">
        <v>1568</v>
      </c>
      <c r="G1101" s="2406" t="s">
        <v>2685</v>
      </c>
      <c r="H1101" s="2430"/>
      <c r="I1101" s="2429"/>
      <c r="J1101" s="2431">
        <f>SUM(H1101:I1101)</f>
        <v>0</v>
      </c>
      <c r="K1101" s="2406"/>
    </row>
    <row r="1102" spans="1:43" s="2359" customFormat="1" ht="15" customHeight="1">
      <c r="A1102" s="2119" t="s">
        <v>1709</v>
      </c>
      <c r="B1102" s="2344"/>
      <c r="C1102" s="2345"/>
      <c r="D1102" s="2121">
        <v>0.15</v>
      </c>
      <c r="E1102" s="2367">
        <f>B1102*C1102*D1102</f>
        <v>0</v>
      </c>
      <c r="G1102" s="2406"/>
      <c r="H1102" s="2426"/>
      <c r="I1102" s="2427"/>
      <c r="J1102" s="2428">
        <f>SUM(H1102:I1102)</f>
        <v>0</v>
      </c>
      <c r="K1102" s="2406"/>
    </row>
    <row r="1103" spans="1:43" s="2359" customFormat="1" ht="15" customHeight="1">
      <c r="A1103" s="2134"/>
      <c r="B1103" s="2346"/>
      <c r="C1103" s="2347"/>
      <c r="D1103" s="2135">
        <v>0.15</v>
      </c>
      <c r="E1103" s="2133">
        <f>B1103*C1103*D1103</f>
        <v>0</v>
      </c>
      <c r="G1103" s="2406"/>
      <c r="H1103" s="2430"/>
      <c r="I1103" s="2429"/>
      <c r="J1103" s="2431">
        <f>SUM(H1103:I1103)</f>
        <v>0</v>
      </c>
      <c r="K1103" s="2406"/>
    </row>
    <row r="1104" spans="1:43" s="2359" customFormat="1" ht="15" customHeight="1">
      <c r="A1104" s="2134" t="s">
        <v>1710</v>
      </c>
      <c r="B1104" s="2352"/>
      <c r="C1104" s="2353"/>
      <c r="D1104" s="2135">
        <v>0.15</v>
      </c>
      <c r="E1104" s="2133">
        <f>B1104*C1104*D1104</f>
        <v>0</v>
      </c>
      <c r="G1104" s="2406"/>
      <c r="H1104" s="2426"/>
      <c r="I1104" s="2427"/>
      <c r="J1104" s="2428">
        <f>SUM(H1104:I1104)</f>
        <v>0</v>
      </c>
      <c r="K1104" s="2406"/>
    </row>
    <row r="1105" spans="1:12" s="2359" customFormat="1" ht="15" thickBot="1">
      <c r="A1105" s="2134"/>
      <c r="B1105" s="2354"/>
      <c r="C1105" s="2355"/>
      <c r="D1105" s="2135">
        <v>0.15</v>
      </c>
      <c r="E1105" s="2133">
        <f>B1105*C1105*D1105</f>
        <v>0</v>
      </c>
      <c r="G1105" s="2406"/>
      <c r="H1105" s="2406"/>
      <c r="I1105" s="2406"/>
      <c r="J1105" s="2432">
        <f>SUM(J1101:J1104)</f>
        <v>0</v>
      </c>
      <c r="K1105" s="2406" t="s">
        <v>129</v>
      </c>
    </row>
    <row r="1106" spans="1:12" s="2359" customFormat="1" ht="30">
      <c r="D1106" s="2138" t="s">
        <v>2078</v>
      </c>
      <c r="E1106" s="2359">
        <f>SUM(E1102:E1105)</f>
        <v>0</v>
      </c>
    </row>
    <row r="1107" spans="1:12" s="2359" customFormat="1"/>
    <row r="1108" spans="1:12" s="2359" customFormat="1">
      <c r="A1108" s="2831" t="s">
        <v>2018</v>
      </c>
      <c r="B1108" s="2832"/>
      <c r="C1108" s="2832"/>
      <c r="D1108" s="2832"/>
      <c r="E1108" s="2832"/>
      <c r="F1108" s="2832"/>
      <c r="G1108" s="2836"/>
    </row>
    <row r="1109" spans="1:12" s="2359" customFormat="1">
      <c r="A1109" s="2367" t="s">
        <v>1996</v>
      </c>
      <c r="B1109" s="2367" t="s">
        <v>1205</v>
      </c>
      <c r="C1109" s="2367" t="s">
        <v>1607</v>
      </c>
      <c r="D1109" s="2367" t="s">
        <v>1168</v>
      </c>
      <c r="E1109" s="2367" t="s">
        <v>1205</v>
      </c>
      <c r="F1109" s="2367" t="s">
        <v>1243</v>
      </c>
      <c r="G1109" s="2367"/>
    </row>
    <row r="1110" spans="1:12" s="2359" customFormat="1">
      <c r="A1110" s="2824" t="s">
        <v>2079</v>
      </c>
      <c r="B1110" s="2133">
        <f>B1102</f>
        <v>0</v>
      </c>
      <c r="C1110" s="2133">
        <f>B1110/0.2</f>
        <v>0</v>
      </c>
      <c r="D1110" s="2133">
        <f>ROUNDUP(C1110,0)</f>
        <v>0</v>
      </c>
      <c r="E1110" s="2133">
        <f>(2*(B1112-0.05))+0.2</f>
        <v>0.1</v>
      </c>
      <c r="F1110" s="2133">
        <f>D1110*E1110</f>
        <v>0</v>
      </c>
      <c r="G1110" s="2133">
        <f>F1110*0.89</f>
        <v>0</v>
      </c>
      <c r="I1110" s="2089"/>
      <c r="J1110" s="2089"/>
      <c r="K1110" s="2089"/>
      <c r="L1110" s="2089"/>
    </row>
    <row r="1111" spans="1:12" s="2359" customFormat="1">
      <c r="A1111" s="2829"/>
      <c r="B1111" s="2133"/>
      <c r="C1111" s="2133"/>
      <c r="D1111" s="2133"/>
      <c r="E1111" s="2133"/>
      <c r="F1111" s="2133"/>
      <c r="G1111" s="2133"/>
      <c r="I1111" s="2089"/>
      <c r="J1111" s="2089"/>
      <c r="K1111" s="2089"/>
      <c r="L1111" s="2089"/>
    </row>
    <row r="1112" spans="1:12" s="2359" customFormat="1">
      <c r="A1112" s="2825"/>
      <c r="B1112" s="2133">
        <f>C1102</f>
        <v>0</v>
      </c>
      <c r="C1112" s="2133">
        <f>B1112/0.2</f>
        <v>0</v>
      </c>
      <c r="D1112" s="2133">
        <f>ROUNDUP(C1112,0)</f>
        <v>0</v>
      </c>
      <c r="E1112" s="2133">
        <f>(2*(B1110-0.05))+0.2</f>
        <v>0.1</v>
      </c>
      <c r="F1112" s="2133">
        <f>D1112*E1112</f>
        <v>0</v>
      </c>
      <c r="G1112" s="2133">
        <f>F1112*0.4</f>
        <v>0</v>
      </c>
      <c r="L1112" s="2089"/>
    </row>
    <row r="1113" spans="1:12" s="2359" customFormat="1"/>
    <row r="1114" spans="1:12" s="2359" customFormat="1">
      <c r="A1114" s="2831" t="s">
        <v>2017</v>
      </c>
      <c r="B1114" s="2832"/>
      <c r="C1114" s="2832"/>
      <c r="D1114" s="2832"/>
      <c r="E1114" s="2832"/>
      <c r="F1114" s="2832"/>
      <c r="G1114" s="2836"/>
    </row>
    <row r="1115" spans="1:12" s="2359" customFormat="1">
      <c r="A1115" s="2824" t="s">
        <v>2079</v>
      </c>
      <c r="B1115" s="2367">
        <f>B1103</f>
        <v>0</v>
      </c>
      <c r="C1115" s="2367">
        <f>B1115/0.2</f>
        <v>0</v>
      </c>
      <c r="D1115" s="2367">
        <f>ROUNDUP(C1115,0)</f>
        <v>0</v>
      </c>
      <c r="E1115" s="2367">
        <f>(2*(B1116-0.05))+0.2</f>
        <v>0.1</v>
      </c>
      <c r="F1115" s="2367">
        <f>D1115*E1115</f>
        <v>0</v>
      </c>
      <c r="G1115" s="2367">
        <f>F1115*0.89</f>
        <v>0</v>
      </c>
    </row>
    <row r="1116" spans="1:12" s="2359" customFormat="1">
      <c r="A1116" s="2825"/>
      <c r="B1116" s="2133">
        <f>C1103</f>
        <v>0</v>
      </c>
      <c r="C1116" s="2133"/>
      <c r="D1116" s="2133">
        <f>ROUNDUP(C1116,0)</f>
        <v>0</v>
      </c>
      <c r="E1116" s="2133">
        <f>(2*(B1115-0.05))+0.2</f>
        <v>0.1</v>
      </c>
      <c r="F1116" s="2133">
        <f>D1116*E1116</f>
        <v>0</v>
      </c>
      <c r="G1116" s="2133">
        <f>F1116*0.4</f>
        <v>0</v>
      </c>
    </row>
    <row r="1117" spans="1:12" s="2359" customFormat="1"/>
    <row r="1118" spans="1:12" s="2359" customFormat="1">
      <c r="A1118" s="2826" t="s">
        <v>2019</v>
      </c>
      <c r="B1118" s="2827"/>
      <c r="C1118" s="2827"/>
      <c r="D1118" s="2827"/>
      <c r="E1118" s="2827"/>
      <c r="F1118" s="2827"/>
      <c r="G1118" s="2828"/>
    </row>
    <row r="1119" spans="1:12" s="2359" customFormat="1">
      <c r="A1119" s="2367" t="s">
        <v>1996</v>
      </c>
      <c r="B1119" s="2367" t="s">
        <v>1205</v>
      </c>
      <c r="C1119" s="2367" t="s">
        <v>1607</v>
      </c>
      <c r="D1119" s="2367" t="s">
        <v>1168</v>
      </c>
      <c r="E1119" s="2367" t="s">
        <v>1205</v>
      </c>
      <c r="F1119" s="2367" t="s">
        <v>1243</v>
      </c>
      <c r="G1119" s="2367"/>
    </row>
    <row r="1120" spans="1:12" s="2359" customFormat="1">
      <c r="A1120" s="2824" t="s">
        <v>2080</v>
      </c>
      <c r="B1120" s="2133">
        <f>B1104</f>
        <v>0</v>
      </c>
      <c r="C1120" s="2133">
        <f>B1120/0.2</f>
        <v>0</v>
      </c>
      <c r="D1120" s="2133">
        <f>ROUNDUP(C1120,0)</f>
        <v>0</v>
      </c>
      <c r="E1120" s="2133">
        <f>(2*(B1122-0.05))+0.2</f>
        <v>0.1</v>
      </c>
      <c r="F1120" s="2133">
        <f>D1120*E1120</f>
        <v>0</v>
      </c>
      <c r="G1120" s="2133">
        <f>F1120*0.89</f>
        <v>0</v>
      </c>
    </row>
    <row r="1121" spans="1:7" s="2359" customFormat="1">
      <c r="A1121" s="2829"/>
      <c r="B1121" s="2133"/>
      <c r="C1121" s="2133"/>
      <c r="D1121" s="2133"/>
      <c r="E1121" s="2133"/>
      <c r="F1121" s="2133"/>
      <c r="G1121" s="2133"/>
    </row>
    <row r="1122" spans="1:7" s="2359" customFormat="1">
      <c r="A1122" s="2825"/>
      <c r="B1122" s="2133">
        <v>0</v>
      </c>
      <c r="C1122" s="2133">
        <f>B1122/0.2</f>
        <v>0</v>
      </c>
      <c r="D1122" s="2133">
        <f>ROUNDUP(C1122,0)</f>
        <v>0</v>
      </c>
      <c r="E1122" s="2133">
        <f>(2*(B1120-0.05))+0.2</f>
        <v>0.1</v>
      </c>
      <c r="F1122" s="2133">
        <f>D1122*E1122</f>
        <v>0</v>
      </c>
      <c r="G1122" s="2133">
        <f>F1122*0.4</f>
        <v>0</v>
      </c>
    </row>
    <row r="1123" spans="1:7" s="2359" customFormat="1"/>
    <row r="1124" spans="1:7" s="2359" customFormat="1">
      <c r="A1124" s="2826" t="s">
        <v>2017</v>
      </c>
      <c r="B1124" s="2827"/>
      <c r="C1124" s="2827"/>
      <c r="D1124" s="2827"/>
      <c r="E1124" s="2827"/>
      <c r="F1124" s="2827"/>
      <c r="G1124" s="2828"/>
    </row>
    <row r="1125" spans="1:7" s="2359" customFormat="1">
      <c r="A1125" s="2830" t="s">
        <v>2080</v>
      </c>
      <c r="B1125" s="2367">
        <f>B1105</f>
        <v>0</v>
      </c>
      <c r="C1125" s="2367">
        <f>B1125/0.2</f>
        <v>0</v>
      </c>
      <c r="D1125" s="2367">
        <f>ROUNDUP(C1125,0)</f>
        <v>0</v>
      </c>
      <c r="E1125" s="2367">
        <f>(2*(B1126-0.05))+0.2</f>
        <v>0.1</v>
      </c>
      <c r="F1125" s="2367">
        <f>D1125*E1125</f>
        <v>0</v>
      </c>
      <c r="G1125" s="2367">
        <f>F1125*0.89</f>
        <v>0</v>
      </c>
    </row>
    <row r="1126" spans="1:7" s="2359" customFormat="1">
      <c r="A1126" s="2825"/>
      <c r="B1126" s="2133">
        <v>0</v>
      </c>
      <c r="C1126" s="2133">
        <f>B1126/0.2</f>
        <v>0</v>
      </c>
      <c r="D1126" s="2133">
        <f>ROUNDUP(C1126,0)</f>
        <v>0</v>
      </c>
      <c r="E1126" s="2133">
        <f>(2*(B1125-0.05))+0.2</f>
        <v>0.1</v>
      </c>
      <c r="F1126" s="2133">
        <f>D1126*E1126</f>
        <v>0</v>
      </c>
      <c r="G1126" s="2133">
        <f>F1126*0.4</f>
        <v>0</v>
      </c>
    </row>
    <row r="1127" spans="1:7" s="2359" customFormat="1" ht="15">
      <c r="E1127" s="2804" t="s">
        <v>2097</v>
      </c>
      <c r="F1127" s="2805"/>
      <c r="G1127" s="2359">
        <f>G1110+G1115+G1120+G1125</f>
        <v>0</v>
      </c>
    </row>
    <row r="1128" spans="1:7" s="2359" customFormat="1" ht="15">
      <c r="E1128" s="2804" t="s">
        <v>2096</v>
      </c>
      <c r="F1128" s="2805"/>
      <c r="G1128" s="2359">
        <f>G1112+G1116+G1122+G1126</f>
        <v>0</v>
      </c>
    </row>
    <row r="1129" spans="1:7" s="2359" customFormat="1"/>
    <row r="1130" spans="1:7" s="2359" customFormat="1">
      <c r="A1130" s="2371" t="s">
        <v>2047</v>
      </c>
      <c r="B1130" s="2371" t="s">
        <v>2009</v>
      </c>
      <c r="C1130" s="2371" t="s">
        <v>2045</v>
      </c>
      <c r="D1130" s="2371" t="s">
        <v>1568</v>
      </c>
    </row>
    <row r="1131" spans="1:7" s="2359" customFormat="1">
      <c r="A1131" s="2830" t="s">
        <v>2079</v>
      </c>
      <c r="B1131" s="2367">
        <f t="shared" ref="B1131:C1134" si="256">B1102</f>
        <v>0</v>
      </c>
      <c r="C1131" s="2367">
        <f t="shared" si="256"/>
        <v>0</v>
      </c>
      <c r="D1131" s="2367">
        <f>B1131*C1131</f>
        <v>0</v>
      </c>
    </row>
    <row r="1132" spans="1:7" s="2359" customFormat="1">
      <c r="A1132" s="2825"/>
      <c r="B1132" s="2133">
        <f t="shared" si="256"/>
        <v>0</v>
      </c>
      <c r="C1132" s="2133">
        <f t="shared" si="256"/>
        <v>0</v>
      </c>
      <c r="D1132" s="2133">
        <f>B1132*C1132</f>
        <v>0</v>
      </c>
    </row>
    <row r="1133" spans="1:7" s="2359" customFormat="1">
      <c r="A1133" s="2824" t="s">
        <v>2081</v>
      </c>
      <c r="B1133" s="2133">
        <f t="shared" si="256"/>
        <v>0</v>
      </c>
      <c r="C1133" s="2133">
        <f t="shared" si="256"/>
        <v>0</v>
      </c>
      <c r="D1133" s="2133">
        <f>B1133*C1133</f>
        <v>0</v>
      </c>
    </row>
    <row r="1134" spans="1:7" s="2359" customFormat="1">
      <c r="A1134" s="2825"/>
      <c r="B1134" s="2133">
        <f t="shared" si="256"/>
        <v>0</v>
      </c>
      <c r="C1134" s="2133">
        <f t="shared" si="256"/>
        <v>0</v>
      </c>
      <c r="D1134" s="2133">
        <f>B1134*C1134</f>
        <v>0</v>
      </c>
    </row>
    <row r="1135" spans="1:7" s="2359" customFormat="1" ht="30">
      <c r="C1135" s="2156" t="s">
        <v>2076</v>
      </c>
      <c r="D1135" s="2133">
        <f>SUM(D1131:D1134)</f>
        <v>0</v>
      </c>
    </row>
    <row r="1136" spans="1:7" s="2359" customFormat="1" ht="14.25" customHeight="1"/>
    <row r="1137" spans="1:6" s="2359" customFormat="1" ht="15" thickBot="1">
      <c r="A1137" s="2810" t="s">
        <v>2085</v>
      </c>
      <c r="B1137" s="2189" t="s">
        <v>2009</v>
      </c>
      <c r="C1137" s="2189" t="s">
        <v>2045</v>
      </c>
      <c r="D1137" s="2371" t="s">
        <v>1568</v>
      </c>
    </row>
    <row r="1138" spans="1:6" s="2359" customFormat="1" ht="15" thickBot="1">
      <c r="A1138" s="2811"/>
      <c r="B1138" s="2348"/>
      <c r="C1138" s="2349"/>
      <c r="D1138" s="2135">
        <v>0.1</v>
      </c>
    </row>
    <row r="1139" spans="1:6" s="2359" customFormat="1" ht="15" customHeight="1">
      <c r="A1139" s="2812"/>
      <c r="B1139" s="2814" t="s">
        <v>2078</v>
      </c>
      <c r="C1139" s="2815"/>
      <c r="D1139" s="2133">
        <f>B1138*C1138*D1138</f>
        <v>0</v>
      </c>
    </row>
    <row r="1140" spans="1:6" s="2359" customFormat="1" ht="15">
      <c r="A1140" s="2813"/>
      <c r="B1140" s="2816" t="s">
        <v>2082</v>
      </c>
      <c r="C1140" s="2817"/>
      <c r="D1140" s="2133">
        <f>D1139-(0.4*0.1)*0</f>
        <v>0</v>
      </c>
    </row>
    <row r="1141" spans="1:6" s="2359" customFormat="1" ht="14.25" customHeight="1"/>
    <row r="1142" spans="1:6" s="2359" customFormat="1">
      <c r="A1142" s="2818" t="s">
        <v>2084</v>
      </c>
      <c r="B1142" s="2371" t="s">
        <v>1205</v>
      </c>
      <c r="C1142" s="2371" t="s">
        <v>1607</v>
      </c>
      <c r="D1142" s="2371" t="s">
        <v>2093</v>
      </c>
      <c r="E1142" s="2371" t="s">
        <v>1205</v>
      </c>
      <c r="F1142" s="2371" t="s">
        <v>1568</v>
      </c>
    </row>
    <row r="1143" spans="1:6" s="2359" customFormat="1">
      <c r="A1143" s="2819"/>
      <c r="B1143" s="2135">
        <f>B1138</f>
        <v>0</v>
      </c>
      <c r="C1143" s="2133">
        <f>B1143/0.15</f>
        <v>0</v>
      </c>
      <c r="D1143" s="2133">
        <f>ROUNDUP(C1143,0)</f>
        <v>0</v>
      </c>
      <c r="E1143" s="2133">
        <f>B1144-0.05</f>
        <v>-0.05</v>
      </c>
      <c r="F1143" s="2133">
        <f>D1143*E1143</f>
        <v>0</v>
      </c>
    </row>
    <row r="1144" spans="1:6" s="2359" customFormat="1">
      <c r="A1144" s="2820"/>
      <c r="B1144" s="2135">
        <f>C1138</f>
        <v>0</v>
      </c>
      <c r="C1144" s="2133">
        <f>B1144/0.15</f>
        <v>0</v>
      </c>
      <c r="D1144" s="2368">
        <f>ROUNDUP(C1144,0)</f>
        <v>0</v>
      </c>
      <c r="E1144" s="2368">
        <f>B1143-0.05</f>
        <v>-0.05</v>
      </c>
      <c r="F1144" s="2368">
        <f>D1144*E1144</f>
        <v>0</v>
      </c>
    </row>
    <row r="1145" spans="1:6" s="2359" customFormat="1" ht="15">
      <c r="A1145" s="2358"/>
      <c r="B1145" s="2358"/>
      <c r="C1145" s="2358"/>
      <c r="D1145" s="2821" t="s">
        <v>2086</v>
      </c>
      <c r="E1145" s="2821"/>
      <c r="F1145" s="2133">
        <f>F1143*0.62</f>
        <v>0</v>
      </c>
    </row>
    <row r="1146" spans="1:6" s="2359" customFormat="1" ht="15">
      <c r="A1146" s="2358"/>
      <c r="B1146" s="2358"/>
      <c r="C1146" s="2358"/>
      <c r="D1146" s="2821" t="s">
        <v>2087</v>
      </c>
      <c r="E1146" s="2821"/>
      <c r="F1146" s="2133">
        <f>F1144*0.62</f>
        <v>0</v>
      </c>
    </row>
    <row r="1147" spans="1:6" s="2359" customFormat="1"/>
    <row r="1148" spans="1:6" s="2359" customFormat="1">
      <c r="A1148" s="2818" t="s">
        <v>2083</v>
      </c>
      <c r="B1148" s="2371" t="s">
        <v>1205</v>
      </c>
      <c r="C1148" s="2371" t="s">
        <v>1111</v>
      </c>
      <c r="D1148" s="2371" t="s">
        <v>1568</v>
      </c>
    </row>
    <row r="1149" spans="1:6" s="2359" customFormat="1">
      <c r="A1149" s="2822"/>
      <c r="B1149" s="2135">
        <f>B1138</f>
        <v>0</v>
      </c>
      <c r="C1149" s="2133">
        <f>C1138</f>
        <v>0</v>
      </c>
      <c r="D1149" s="2133">
        <f>B1149*C1149</f>
        <v>0</v>
      </c>
    </row>
    <row r="1150" spans="1:6" s="2359" customFormat="1">
      <c r="A1150" s="2823"/>
      <c r="B1150" s="2135">
        <f>B1138</f>
        <v>0</v>
      </c>
      <c r="C1150" s="2133">
        <f>D1138</f>
        <v>0.1</v>
      </c>
      <c r="D1150" s="2133">
        <f>B1150*C1150</f>
        <v>0</v>
      </c>
    </row>
    <row r="1151" spans="1:6" s="2359" customFormat="1" ht="30">
      <c r="C1151" s="2156" t="s">
        <v>2076</v>
      </c>
      <c r="D1151" s="2133">
        <f>SUM(D1149:D1150)</f>
        <v>0</v>
      </c>
    </row>
    <row r="1152" spans="1:6" s="2359" customFormat="1"/>
    <row r="1153" spans="1:16" s="2359" customFormat="1">
      <c r="A1153" s="2807" t="s">
        <v>2056</v>
      </c>
      <c r="B1153" s="2808"/>
      <c r="C1153" s="2808"/>
      <c r="D1153" s="2808"/>
      <c r="E1153" s="2808"/>
      <c r="F1153" s="2809"/>
      <c r="G1153" s="2360" t="s">
        <v>1568</v>
      </c>
      <c r="H1153" s="2361"/>
      <c r="I1153" s="2361"/>
      <c r="J1153" s="2365"/>
      <c r="L1153" s="2807" t="s">
        <v>2094</v>
      </c>
      <c r="M1153" s="2808"/>
      <c r="N1153" s="2808"/>
      <c r="O1153" s="2808"/>
      <c r="P1153" s="2808"/>
    </row>
    <row r="1154" spans="1:16" s="2359" customFormat="1" ht="15.75" thickBot="1">
      <c r="A1154" s="2133" t="s">
        <v>2090</v>
      </c>
      <c r="B1154" s="2368" t="s">
        <v>2009</v>
      </c>
      <c r="C1154" s="2133" t="s">
        <v>1609</v>
      </c>
      <c r="D1154" s="2133" t="s">
        <v>1679</v>
      </c>
      <c r="E1154" s="2169" t="s">
        <v>2435</v>
      </c>
      <c r="F1154" s="2170" t="s">
        <v>2440</v>
      </c>
      <c r="G1154" s="2133" t="s">
        <v>2050</v>
      </c>
      <c r="H1154" s="2133" t="s">
        <v>2051</v>
      </c>
      <c r="I1154" s="2133" t="s">
        <v>2441</v>
      </c>
      <c r="J1154" s="2133" t="s">
        <v>2442</v>
      </c>
      <c r="L1154" s="2133" t="s">
        <v>1607</v>
      </c>
      <c r="M1154" s="2133" t="s">
        <v>1611</v>
      </c>
      <c r="N1154" s="2133" t="s">
        <v>1168</v>
      </c>
      <c r="O1154" s="2133" t="s">
        <v>1205</v>
      </c>
      <c r="P1154" s="2133" t="s">
        <v>1243</v>
      </c>
    </row>
    <row r="1155" spans="1:16" s="2359" customFormat="1">
      <c r="A1155" s="2134" t="s">
        <v>187</v>
      </c>
      <c r="B1155" s="2350">
        <f>L7</f>
        <v>0</v>
      </c>
      <c r="C1155" s="2135">
        <v>0</v>
      </c>
      <c r="D1155" s="2133">
        <v>0</v>
      </c>
      <c r="E1155" s="2133">
        <v>0</v>
      </c>
      <c r="F1155" s="2134">
        <v>4</v>
      </c>
      <c r="G1155" s="2133">
        <f>B1155*C1155</f>
        <v>0</v>
      </c>
      <c r="H1155" s="2133">
        <f>B1155*D1155</f>
        <v>0</v>
      </c>
      <c r="I1155" s="2133">
        <f>B1155*E1155</f>
        <v>0</v>
      </c>
      <c r="J1155" s="2133">
        <f>B1155*F1155</f>
        <v>0</v>
      </c>
      <c r="L1155" s="2133">
        <f>(B1155/2)/0.2</f>
        <v>0</v>
      </c>
      <c r="M1155" s="2133">
        <f>(B1155/2)/0.1</f>
        <v>0</v>
      </c>
      <c r="N1155" s="2133">
        <f>SUM(L1155:M1155)</f>
        <v>0</v>
      </c>
      <c r="O1155" s="2133">
        <f>2*(0.07+0.07)</f>
        <v>0.28000000000000003</v>
      </c>
      <c r="P1155" s="2133">
        <f>N1155*O1155</f>
        <v>0</v>
      </c>
    </row>
    <row r="1156" spans="1:16" s="2359" customFormat="1" ht="15" customHeight="1" thickBot="1">
      <c r="A1156" s="2134" t="s">
        <v>173</v>
      </c>
      <c r="B1156" s="2126"/>
      <c r="C1156" s="2135">
        <v>0</v>
      </c>
      <c r="D1156" s="2133">
        <v>0</v>
      </c>
      <c r="E1156" s="2133">
        <v>0</v>
      </c>
      <c r="F1156" s="2134">
        <v>4</v>
      </c>
      <c r="G1156" s="2133">
        <f>B1156*C1156</f>
        <v>0</v>
      </c>
      <c r="H1156" s="2133">
        <f>B1156*D1156</f>
        <v>0</v>
      </c>
      <c r="I1156" s="2133">
        <f>B1156*E1156</f>
        <v>0</v>
      </c>
      <c r="J1156" s="2133">
        <f>B1156*F1156</f>
        <v>0</v>
      </c>
      <c r="L1156" s="2133">
        <f>(B1156/2)/0.2</f>
        <v>0</v>
      </c>
      <c r="M1156" s="2133">
        <f>(B1156/2)/0.1</f>
        <v>0</v>
      </c>
      <c r="N1156" s="2133">
        <f>SUM(L1156:M1156)</f>
        <v>0</v>
      </c>
      <c r="O1156" s="2133"/>
      <c r="P1156" s="2133">
        <f>N1156*O1156</f>
        <v>0</v>
      </c>
    </row>
    <row r="1157" spans="1:16" s="2359" customFormat="1" ht="15" customHeight="1">
      <c r="A1157" s="2358"/>
      <c r="B1157" s="2358"/>
      <c r="C1157" s="2358"/>
      <c r="D1157" s="2358"/>
      <c r="E1157" s="2804" t="s">
        <v>2074</v>
      </c>
      <c r="F1157" s="2805"/>
      <c r="G1157" s="2133">
        <f>SUM(G1155:G1156)</f>
        <v>0</v>
      </c>
      <c r="H1157" s="2133">
        <f>SUM(H1155:H1156)</f>
        <v>0</v>
      </c>
      <c r="I1157" s="2133">
        <f>SUM(I1155:I1156)</f>
        <v>0</v>
      </c>
      <c r="J1157" s="2133">
        <f>SUM(J1155:J1156)</f>
        <v>0</v>
      </c>
      <c r="M1157" s="2806" t="s">
        <v>2074</v>
      </c>
      <c r="N1157" s="2806"/>
      <c r="O1157" s="2806"/>
      <c r="P1157" s="2133">
        <f>SUM(P1155:P1156)</f>
        <v>0</v>
      </c>
    </row>
    <row r="1158" spans="1:16" s="2359" customFormat="1" ht="15">
      <c r="A1158" s="2358"/>
      <c r="B1158" s="2358"/>
      <c r="C1158" s="2358"/>
      <c r="D1158" s="2358"/>
      <c r="E1158" s="2804" t="s">
        <v>2075</v>
      </c>
      <c r="F1158" s="2805"/>
      <c r="G1158" s="2133">
        <f>G1157*1.58</f>
        <v>0</v>
      </c>
      <c r="H1158" s="2133">
        <f>H1157*1.04</f>
        <v>0</v>
      </c>
      <c r="I1158" s="2133">
        <f>I1157*0.89</f>
        <v>0</v>
      </c>
      <c r="J1158" s="2372">
        <f>J1157*0.62</f>
        <v>0</v>
      </c>
      <c r="M1158" s="2806" t="s">
        <v>2075</v>
      </c>
      <c r="N1158" s="2806"/>
      <c r="O1158" s="2806"/>
      <c r="P1158" s="2372">
        <f>P1157*0.4</f>
        <v>0</v>
      </c>
    </row>
    <row r="1159" spans="1:16" s="2359" customFormat="1">
      <c r="A1159" s="2358"/>
      <c r="B1159" s="2358"/>
      <c r="C1159" s="2358"/>
      <c r="D1159" s="2358"/>
      <c r="E1159" s="2358"/>
      <c r="F1159" s="2358"/>
      <c r="G1159" s="2358"/>
      <c r="H1159" s="2358"/>
      <c r="I1159" s="2358"/>
      <c r="J1159" s="2358"/>
    </row>
    <row r="1160" spans="1:16" s="2359" customFormat="1">
      <c r="A1160" s="2807" t="s">
        <v>2052</v>
      </c>
      <c r="B1160" s="2808"/>
      <c r="C1160" s="2808"/>
      <c r="D1160" s="2808"/>
    </row>
    <row r="1161" spans="1:16" s="2359" customFormat="1">
      <c r="A1161" s="2133" t="s">
        <v>1711</v>
      </c>
      <c r="B1161" s="2133" t="s">
        <v>1614</v>
      </c>
      <c r="C1161" s="2133" t="s">
        <v>1615</v>
      </c>
      <c r="D1161" s="2133"/>
    </row>
    <row r="1162" spans="1:16" s="2359" customFormat="1">
      <c r="A1162" s="2133" t="str">
        <f>A1155</f>
        <v>B1</v>
      </c>
      <c r="B1162" s="2133">
        <f>B1155</f>
        <v>0</v>
      </c>
      <c r="C1162" s="2133">
        <f>0.15*0.15</f>
        <v>2.2499999999999999E-2</v>
      </c>
      <c r="D1162" s="2133">
        <f>B1162*C1162</f>
        <v>0</v>
      </c>
    </row>
    <row r="1163" spans="1:16" s="2359" customFormat="1" ht="15" customHeight="1">
      <c r="A1163" s="2133" t="str">
        <f>A1156</f>
        <v>B2</v>
      </c>
      <c r="B1163" s="2133">
        <f>B1156</f>
        <v>0</v>
      </c>
      <c r="C1163" s="2133"/>
      <c r="D1163" s="2133">
        <f>B1163*C1163</f>
        <v>0</v>
      </c>
    </row>
    <row r="1164" spans="1:16" s="2359" customFormat="1" ht="30">
      <c r="C1164" s="2156" t="s">
        <v>2078</v>
      </c>
      <c r="D1164" s="2372">
        <f>SUM(D1162:D1163)</f>
        <v>0</v>
      </c>
    </row>
    <row r="1165" spans="1:16" s="2359" customFormat="1"/>
    <row r="1166" spans="1:16" s="2359" customFormat="1">
      <c r="A1166" s="2807" t="s">
        <v>2053</v>
      </c>
      <c r="B1166" s="2808"/>
      <c r="C1166" s="2808"/>
      <c r="D1166" s="2808"/>
    </row>
    <row r="1167" spans="1:16" s="2359" customFormat="1">
      <c r="A1167" s="2133" t="s">
        <v>1711</v>
      </c>
      <c r="B1167" s="2133" t="s">
        <v>1614</v>
      </c>
      <c r="C1167" s="2133" t="s">
        <v>1615</v>
      </c>
      <c r="D1167" s="2133"/>
    </row>
    <row r="1168" spans="1:16" s="2359" customFormat="1">
      <c r="A1168" s="2133" t="str">
        <f>A1162</f>
        <v>B1</v>
      </c>
      <c r="B1168" s="2133">
        <f>B1162</f>
        <v>0</v>
      </c>
      <c r="C1168" s="2133">
        <f>0.15*3</f>
        <v>0.44999999999999996</v>
      </c>
      <c r="D1168" s="2133">
        <f>B1168*C1168</f>
        <v>0</v>
      </c>
    </row>
    <row r="1169" spans="1:16" s="2359" customFormat="1">
      <c r="A1169" s="2133" t="str">
        <f>A1163</f>
        <v>B2</v>
      </c>
      <c r="B1169" s="2133">
        <f>B1163</f>
        <v>0</v>
      </c>
      <c r="C1169" s="2133"/>
      <c r="D1169" s="2133">
        <f>B1169*C1169</f>
        <v>0</v>
      </c>
    </row>
    <row r="1170" spans="1:16" s="2359" customFormat="1" ht="30">
      <c r="C1170" s="2156" t="s">
        <v>2076</v>
      </c>
      <c r="D1170" s="2372">
        <f>SUM(D1168:D1169)</f>
        <v>0</v>
      </c>
    </row>
    <row r="1171" spans="1:16" s="2359" customFormat="1"/>
    <row r="1172" spans="1:16" s="2359" customFormat="1">
      <c r="A1172" s="2807" t="s">
        <v>2054</v>
      </c>
      <c r="B1172" s="2808"/>
      <c r="C1172" s="2808"/>
      <c r="D1172" s="2808"/>
      <c r="E1172" s="2808"/>
      <c r="F1172" s="2809"/>
      <c r="G1172" s="2360" t="s">
        <v>1568</v>
      </c>
      <c r="H1172" s="2361"/>
      <c r="I1172" s="2361"/>
      <c r="J1172" s="2365"/>
      <c r="L1172" s="2807" t="s">
        <v>2094</v>
      </c>
      <c r="M1172" s="2808"/>
      <c r="N1172" s="2808"/>
      <c r="O1172" s="2808"/>
      <c r="P1172" s="2808"/>
    </row>
    <row r="1173" spans="1:16" s="2359" customFormat="1" ht="15">
      <c r="A1173" s="2133" t="s">
        <v>2130</v>
      </c>
      <c r="B1173" s="2368" t="s">
        <v>2009</v>
      </c>
      <c r="C1173" s="2133" t="s">
        <v>1609</v>
      </c>
      <c r="D1173" s="2133" t="s">
        <v>1679</v>
      </c>
      <c r="E1173" s="2169" t="s">
        <v>2435</v>
      </c>
      <c r="F1173" s="2170" t="s">
        <v>2440</v>
      </c>
      <c r="G1173" s="2133" t="s">
        <v>2050</v>
      </c>
      <c r="H1173" s="2133" t="s">
        <v>2051</v>
      </c>
      <c r="I1173" s="2133" t="s">
        <v>2441</v>
      </c>
      <c r="J1173" s="2133" t="s">
        <v>2442</v>
      </c>
      <c r="L1173" s="2133" t="s">
        <v>1607</v>
      </c>
      <c r="M1173" s="2133" t="s">
        <v>1611</v>
      </c>
      <c r="N1173" s="2133" t="s">
        <v>1168</v>
      </c>
      <c r="O1173" s="2133" t="s">
        <v>1205</v>
      </c>
      <c r="P1173" s="2133" t="s">
        <v>1243</v>
      </c>
    </row>
    <row r="1174" spans="1:16" s="2359" customFormat="1">
      <c r="A1174" s="2134" t="s">
        <v>187</v>
      </c>
      <c r="B1174" s="2135">
        <f>G59</f>
        <v>0</v>
      </c>
      <c r="C1174" s="2135">
        <v>0</v>
      </c>
      <c r="D1174" s="2133">
        <v>0</v>
      </c>
      <c r="E1174" s="2133">
        <v>0</v>
      </c>
      <c r="F1174" s="2134">
        <v>4</v>
      </c>
      <c r="G1174" s="2133">
        <f>B1174*C1174</f>
        <v>0</v>
      </c>
      <c r="H1174" s="2133">
        <f>B1174*D1174</f>
        <v>0</v>
      </c>
      <c r="I1174" s="2133">
        <f>B1174*E1174</f>
        <v>0</v>
      </c>
      <c r="J1174" s="2133">
        <f>B1174*F1174</f>
        <v>0</v>
      </c>
      <c r="L1174" s="2133">
        <f>(B1174/2)/0.2</f>
        <v>0</v>
      </c>
      <c r="M1174" s="2133">
        <f>(B1174/2)/0.1</f>
        <v>0</v>
      </c>
      <c r="N1174" s="2133">
        <f>SUM(L1174:M1174)</f>
        <v>0</v>
      </c>
      <c r="O1174" s="2133">
        <f>(0.05+0.15)*2</f>
        <v>0.4</v>
      </c>
      <c r="P1174" s="2133">
        <f>N1174*O1174</f>
        <v>0</v>
      </c>
    </row>
    <row r="1175" spans="1:16" s="2359" customFormat="1" ht="15" customHeight="1">
      <c r="A1175" s="2134" t="s">
        <v>173</v>
      </c>
      <c r="B1175" s="2135">
        <f>G60</f>
        <v>0</v>
      </c>
      <c r="C1175" s="2135">
        <v>0</v>
      </c>
      <c r="D1175" s="2133">
        <v>0</v>
      </c>
      <c r="E1175" s="2133">
        <v>0</v>
      </c>
      <c r="F1175" s="2134">
        <v>4</v>
      </c>
      <c r="G1175" s="2133">
        <f>B1175*C1175</f>
        <v>0</v>
      </c>
      <c r="H1175" s="2133">
        <f>B1175*D1175</f>
        <v>0</v>
      </c>
      <c r="I1175" s="2133">
        <f>B1175*E1175</f>
        <v>0</v>
      </c>
      <c r="J1175" s="2133">
        <f>B1175*F1175</f>
        <v>0</v>
      </c>
      <c r="L1175" s="2133">
        <f>(B1175/2)/0.2</f>
        <v>0</v>
      </c>
      <c r="M1175" s="2133">
        <f>(B1175/2)/0.1</f>
        <v>0</v>
      </c>
      <c r="N1175" s="2133">
        <f>SUM(L1175:M1175)</f>
        <v>0</v>
      </c>
      <c r="O1175" s="2133">
        <f>(0.05+0.15)*2</f>
        <v>0.4</v>
      </c>
      <c r="P1175" s="2133">
        <f>N1175*O1175</f>
        <v>0</v>
      </c>
    </row>
    <row r="1176" spans="1:16" s="2359" customFormat="1" ht="15" customHeight="1">
      <c r="A1176" s="2134" t="s">
        <v>172</v>
      </c>
      <c r="B1176" s="2135">
        <f>G61</f>
        <v>0</v>
      </c>
      <c r="C1176" s="2135">
        <v>0</v>
      </c>
      <c r="D1176" s="2133">
        <v>0</v>
      </c>
      <c r="E1176" s="2133">
        <v>0</v>
      </c>
      <c r="F1176" s="2134">
        <v>4</v>
      </c>
      <c r="G1176" s="2133">
        <f>B1176*C1176</f>
        <v>0</v>
      </c>
      <c r="H1176" s="2133">
        <f>B1176*D1176</f>
        <v>0</v>
      </c>
      <c r="I1176" s="2133">
        <f>B1176*E1176</f>
        <v>0</v>
      </c>
      <c r="J1176" s="2133">
        <f>B1176*F1176</f>
        <v>0</v>
      </c>
      <c r="L1176" s="2133">
        <f>(B1176/2)/0.2</f>
        <v>0</v>
      </c>
      <c r="M1176" s="2133">
        <f>(B1176/2)/0.1</f>
        <v>0</v>
      </c>
      <c r="N1176" s="2133">
        <f>SUM(L1176:M1176)</f>
        <v>0</v>
      </c>
      <c r="O1176" s="2133">
        <f>(0.05+0.15)*2</f>
        <v>0.4</v>
      </c>
      <c r="P1176" s="2133">
        <f>N1176*O1176</f>
        <v>0</v>
      </c>
    </row>
    <row r="1177" spans="1:16" s="2526" customFormat="1" ht="15" customHeight="1">
      <c r="A1177" s="2134" t="s">
        <v>174</v>
      </c>
      <c r="B1177" s="2135">
        <f>G62</f>
        <v>0</v>
      </c>
      <c r="C1177" s="2135">
        <v>0</v>
      </c>
      <c r="D1177" s="2133">
        <v>0</v>
      </c>
      <c r="E1177" s="2133">
        <v>0</v>
      </c>
      <c r="F1177" s="2134">
        <v>4</v>
      </c>
      <c r="G1177" s="2133">
        <f>B1177*C1177</f>
        <v>0</v>
      </c>
      <c r="H1177" s="2133">
        <f>B1177*D1177</f>
        <v>0</v>
      </c>
      <c r="I1177" s="2133">
        <f>B1177*E1177</f>
        <v>0</v>
      </c>
      <c r="J1177" s="2133">
        <f>B1177*F1177</f>
        <v>0</v>
      </c>
      <c r="L1177" s="2133">
        <f>(B1177/2)/0.2</f>
        <v>0</v>
      </c>
      <c r="M1177" s="2133">
        <f>(B1177/2)/0.1</f>
        <v>0</v>
      </c>
      <c r="N1177" s="2133">
        <f>SUM(L1177:M1177)</f>
        <v>0</v>
      </c>
      <c r="O1177" s="2133">
        <f>(0.05+0.15)*2</f>
        <v>0.4</v>
      </c>
      <c r="P1177" s="2133">
        <f>N1177*O1177</f>
        <v>0</v>
      </c>
    </row>
    <row r="1178" spans="1:16" s="2526" customFormat="1" ht="15" customHeight="1">
      <c r="A1178" s="2134" t="s">
        <v>188</v>
      </c>
      <c r="B1178" s="2135">
        <f>G63</f>
        <v>0</v>
      </c>
      <c r="C1178" s="2135">
        <v>0</v>
      </c>
      <c r="D1178" s="2133">
        <v>0</v>
      </c>
      <c r="E1178" s="2133">
        <v>0</v>
      </c>
      <c r="F1178" s="2134">
        <v>4</v>
      </c>
      <c r="G1178" s="2133">
        <f>B1178*C1178</f>
        <v>0</v>
      </c>
      <c r="H1178" s="2133">
        <f>B1178*D1178</f>
        <v>0</v>
      </c>
      <c r="I1178" s="2133">
        <f>B1178*E1178</f>
        <v>0</v>
      </c>
      <c r="J1178" s="2133">
        <f>B1178*F1178</f>
        <v>0</v>
      </c>
      <c r="L1178" s="2133">
        <f>(B1178/2)/0.2</f>
        <v>0</v>
      </c>
      <c r="M1178" s="2133">
        <f>(B1178/2)/0.1</f>
        <v>0</v>
      </c>
      <c r="N1178" s="2133">
        <f>SUM(L1178:M1178)</f>
        <v>0</v>
      </c>
      <c r="O1178" s="2133">
        <f>(0.05+0.15)*2</f>
        <v>0.4</v>
      </c>
      <c r="P1178" s="2133">
        <f>N1178*O1178</f>
        <v>0</v>
      </c>
    </row>
    <row r="1179" spans="1:16" s="2359" customFormat="1" ht="15" customHeight="1">
      <c r="A1179" s="2358"/>
      <c r="B1179" s="2358"/>
      <c r="C1179" s="2358"/>
      <c r="D1179" s="2358"/>
      <c r="E1179" s="2804" t="s">
        <v>2074</v>
      </c>
      <c r="F1179" s="2805"/>
      <c r="G1179" s="2133">
        <f>SUM(G1174:G1176)</f>
        <v>0</v>
      </c>
      <c r="H1179" s="2133">
        <f>SUM(H1174:H1176)</f>
        <v>0</v>
      </c>
      <c r="I1179" s="2133">
        <f>SUM(I1174:I1176)</f>
        <v>0</v>
      </c>
      <c r="J1179" s="2133">
        <f>SUM(J1174:J1176)</f>
        <v>0</v>
      </c>
      <c r="M1179" s="2806" t="s">
        <v>2074</v>
      </c>
      <c r="N1179" s="2806"/>
      <c r="O1179" s="2806"/>
      <c r="P1179" s="2133">
        <f>SUM(P1174:P1176)</f>
        <v>0</v>
      </c>
    </row>
    <row r="1180" spans="1:16" s="2359" customFormat="1" ht="15">
      <c r="A1180" s="2358"/>
      <c r="B1180" s="2358"/>
      <c r="C1180" s="2358"/>
      <c r="D1180" s="2358"/>
      <c r="E1180" s="2804" t="s">
        <v>2075</v>
      </c>
      <c r="F1180" s="2805"/>
      <c r="G1180" s="2133">
        <f>G1179*1.58</f>
        <v>0</v>
      </c>
      <c r="H1180" s="2133">
        <f>H1179*1.04</f>
        <v>0</v>
      </c>
      <c r="I1180" s="2133">
        <f>I1179*0.89</f>
        <v>0</v>
      </c>
      <c r="J1180" s="2183">
        <f>J1179*0.62</f>
        <v>0</v>
      </c>
      <c r="M1180" s="2806" t="s">
        <v>2075</v>
      </c>
      <c r="N1180" s="2806"/>
      <c r="O1180" s="2806"/>
      <c r="P1180" s="2183">
        <f>P1179*0.4</f>
        <v>0</v>
      </c>
    </row>
    <row r="1181" spans="1:16" s="2359" customFormat="1">
      <c r="A1181" s="2358"/>
      <c r="B1181" s="2358"/>
      <c r="C1181" s="2358"/>
      <c r="D1181" s="2358"/>
      <c r="E1181" s="2358"/>
      <c r="F1181" s="2358"/>
      <c r="G1181" s="2358"/>
      <c r="H1181" s="2358"/>
      <c r="I1181" s="2358"/>
      <c r="J1181" s="2358"/>
    </row>
    <row r="1182" spans="1:16" s="2359" customFormat="1">
      <c r="A1182" s="2807" t="s">
        <v>2055</v>
      </c>
      <c r="B1182" s="2808"/>
      <c r="C1182" s="2808"/>
      <c r="D1182" s="2808"/>
    </row>
    <row r="1183" spans="1:16" s="2359" customFormat="1">
      <c r="A1183" s="2133" t="s">
        <v>2130</v>
      </c>
      <c r="B1183" s="2133" t="s">
        <v>1614</v>
      </c>
      <c r="C1183" s="2133" t="s">
        <v>1615</v>
      </c>
      <c r="D1183" s="2133"/>
    </row>
    <row r="1184" spans="1:16" s="2359" customFormat="1">
      <c r="A1184" s="2133" t="str">
        <f t="shared" ref="A1184:B1188" si="257">A1174</f>
        <v>B1</v>
      </c>
      <c r="B1184" s="2133">
        <f t="shared" si="257"/>
        <v>0</v>
      </c>
      <c r="C1184" s="2133">
        <f>B59*C59</f>
        <v>3.7499999999999999E-2</v>
      </c>
      <c r="D1184" s="2133">
        <f>B1184*C1184</f>
        <v>0</v>
      </c>
    </row>
    <row r="1185" spans="1:15" s="2359" customFormat="1" ht="15" customHeight="1">
      <c r="A1185" s="2133" t="str">
        <f t="shared" si="257"/>
        <v>B2</v>
      </c>
      <c r="B1185" s="2133">
        <f t="shared" si="257"/>
        <v>0</v>
      </c>
      <c r="C1185" s="2133">
        <f>B60*C60</f>
        <v>0</v>
      </c>
      <c r="D1185" s="2133">
        <f>B1185*C1185</f>
        <v>0</v>
      </c>
    </row>
    <row r="1186" spans="1:15" s="2359" customFormat="1" ht="15" customHeight="1">
      <c r="A1186" s="2133" t="str">
        <f t="shared" si="257"/>
        <v>B3</v>
      </c>
      <c r="B1186" s="2133">
        <f t="shared" si="257"/>
        <v>0</v>
      </c>
      <c r="C1186" s="2133">
        <f>B61*C61</f>
        <v>0</v>
      </c>
      <c r="D1186" s="2133">
        <f>B1186*C1186</f>
        <v>0</v>
      </c>
    </row>
    <row r="1187" spans="1:15" s="2526" customFormat="1" ht="15" customHeight="1">
      <c r="A1187" s="2133" t="str">
        <f t="shared" si="257"/>
        <v>B4</v>
      </c>
      <c r="B1187" s="2133">
        <f t="shared" si="257"/>
        <v>0</v>
      </c>
      <c r="C1187" s="2133">
        <f>B62*C62</f>
        <v>0</v>
      </c>
      <c r="D1187" s="2133">
        <f>B1187*C1187</f>
        <v>0</v>
      </c>
    </row>
    <row r="1188" spans="1:15" s="2526" customFormat="1" ht="15" customHeight="1">
      <c r="A1188" s="2133" t="str">
        <f t="shared" si="257"/>
        <v>B5</v>
      </c>
      <c r="B1188" s="2133">
        <f t="shared" si="257"/>
        <v>0</v>
      </c>
      <c r="C1188" s="2133">
        <f>B63*C63</f>
        <v>0</v>
      </c>
      <c r="D1188" s="2133">
        <f>B1188*C1188</f>
        <v>0</v>
      </c>
    </row>
    <row r="1189" spans="1:15" s="2359" customFormat="1" ht="30">
      <c r="C1189" s="2156" t="s">
        <v>2078</v>
      </c>
      <c r="D1189" s="2372">
        <f>SUM(D1184:D1186)</f>
        <v>0</v>
      </c>
    </row>
    <row r="1190" spans="1:15" s="2359" customFormat="1"/>
    <row r="1191" spans="1:15" s="2359" customFormat="1">
      <c r="A1191" s="2807" t="s">
        <v>2095</v>
      </c>
      <c r="B1191" s="2808"/>
      <c r="C1191" s="2808"/>
      <c r="D1191" s="2808"/>
    </row>
    <row r="1192" spans="1:15" s="2359" customFormat="1">
      <c r="A1192" s="2133" t="s">
        <v>2130</v>
      </c>
      <c r="B1192" s="2133" t="s">
        <v>1614</v>
      </c>
      <c r="C1192" s="2133" t="s">
        <v>1615</v>
      </c>
      <c r="D1192" s="2133"/>
    </row>
    <row r="1193" spans="1:15" s="2359" customFormat="1">
      <c r="A1193" s="2133" t="str">
        <f t="shared" ref="A1193:B1197" si="258">A1184</f>
        <v>B1</v>
      </c>
      <c r="B1193" s="2133">
        <f t="shared" si="258"/>
        <v>0</v>
      </c>
      <c r="C1193" s="2133">
        <f>B59+C59*2</f>
        <v>0.65</v>
      </c>
      <c r="D1193" s="2133">
        <f>B1193*C1193</f>
        <v>0</v>
      </c>
    </row>
    <row r="1194" spans="1:15" s="2359" customFormat="1">
      <c r="A1194" s="2133" t="str">
        <f t="shared" si="258"/>
        <v>B2</v>
      </c>
      <c r="B1194" s="2133">
        <f t="shared" si="258"/>
        <v>0</v>
      </c>
      <c r="C1194" s="2133">
        <f>B60+C60*2</f>
        <v>0</v>
      </c>
      <c r="D1194" s="2133">
        <f>B1194*C1194</f>
        <v>0</v>
      </c>
    </row>
    <row r="1195" spans="1:15" s="2359" customFormat="1">
      <c r="A1195" s="2133" t="str">
        <f t="shared" si="258"/>
        <v>B3</v>
      </c>
      <c r="B1195" s="2133">
        <f t="shared" si="258"/>
        <v>0</v>
      </c>
      <c r="C1195" s="2133">
        <f>B61</f>
        <v>0</v>
      </c>
      <c r="D1195" s="2133">
        <f>B1195*C1195</f>
        <v>0</v>
      </c>
    </row>
    <row r="1196" spans="1:15" s="2526" customFormat="1">
      <c r="A1196" s="2133" t="str">
        <f t="shared" si="258"/>
        <v>B4</v>
      </c>
      <c r="B1196" s="2133">
        <f t="shared" si="258"/>
        <v>0</v>
      </c>
      <c r="C1196" s="2133">
        <f>B62</f>
        <v>0</v>
      </c>
      <c r="D1196" s="2133">
        <f>B1196*C1196</f>
        <v>0</v>
      </c>
    </row>
    <row r="1197" spans="1:15" s="2526" customFormat="1">
      <c r="A1197" s="2133" t="str">
        <f t="shared" si="258"/>
        <v>B5</v>
      </c>
      <c r="B1197" s="2133">
        <f t="shared" si="258"/>
        <v>0</v>
      </c>
      <c r="C1197" s="2133">
        <f>B63</f>
        <v>0</v>
      </c>
      <c r="D1197" s="2133">
        <f>B1197*C1197</f>
        <v>0</v>
      </c>
    </row>
    <row r="1198" spans="1:15" s="2359" customFormat="1" ht="30">
      <c r="C1198" s="2156" t="s">
        <v>2076</v>
      </c>
      <c r="D1198" s="2372">
        <f>SUM(D1193:D1195)</f>
        <v>0</v>
      </c>
    </row>
    <row r="1199" spans="1:15" s="2359" customFormat="1" ht="14.25" customHeight="1"/>
    <row r="1200" spans="1:15" s="2140" customFormat="1" ht="43.5" customHeight="1">
      <c r="A1200" s="2190" t="s">
        <v>2662</v>
      </c>
      <c r="B1200" s="2191"/>
      <c r="C1200" s="2191"/>
      <c r="D1200" s="2191"/>
      <c r="E1200" s="2191"/>
      <c r="F1200" s="2191"/>
      <c r="G1200" s="2191"/>
      <c r="H1200" s="2191"/>
      <c r="I1200" s="2191"/>
      <c r="J1200" s="2191"/>
      <c r="K1200" s="2191"/>
      <c r="L1200" s="2191"/>
      <c r="M1200" s="2191"/>
      <c r="N1200" s="2191"/>
      <c r="O1200" s="2192"/>
    </row>
    <row r="1201" spans="1:15" ht="14.25" customHeight="1">
      <c r="A1201" s="2193"/>
      <c r="B1201" s="2194"/>
      <c r="C1201" s="2194"/>
      <c r="D1201" s="2194"/>
      <c r="E1201" s="2194"/>
      <c r="F1201" s="2194"/>
      <c r="G1201" s="2194"/>
      <c r="H1201" s="2194"/>
      <c r="I1201" s="2194"/>
      <c r="J1201" s="2194"/>
      <c r="K1201" s="2194"/>
      <c r="L1201" s="2194"/>
      <c r="M1201" s="2194"/>
      <c r="N1201" s="2194"/>
      <c r="O1201" s="2195"/>
    </row>
    <row r="1202" spans="1:15" ht="14.25" customHeight="1">
      <c r="A1202" s="2196"/>
      <c r="B1202" s="2197"/>
      <c r="C1202" s="2197"/>
      <c r="D1202" s="2197"/>
      <c r="E1202" s="2197"/>
      <c r="F1202" s="2197"/>
      <c r="G1202" s="2197"/>
      <c r="H1202" s="2197"/>
      <c r="I1202" s="2197"/>
      <c r="J1202" s="2197"/>
      <c r="K1202" s="2197"/>
      <c r="L1202" s="2197"/>
      <c r="M1202" s="2197"/>
      <c r="N1202" s="2197"/>
      <c r="O1202" s="2198"/>
    </row>
    <row r="1204" spans="1:15">
      <c r="A1204" s="2831" t="s">
        <v>2020</v>
      </c>
      <c r="B1204" s="2832"/>
      <c r="C1204" s="2832"/>
      <c r="D1204" s="2832"/>
      <c r="E1204" s="2875"/>
    </row>
    <row r="1205" spans="1:15">
      <c r="A1205" s="2176" t="s">
        <v>1987</v>
      </c>
      <c r="B1205" s="2176" t="s">
        <v>1608</v>
      </c>
      <c r="C1205" s="2176" t="s">
        <v>2062</v>
      </c>
      <c r="D1205" s="2176" t="s">
        <v>2088</v>
      </c>
      <c r="E1205" s="2176" t="s">
        <v>1568</v>
      </c>
    </row>
    <row r="1206" spans="1:15">
      <c r="A1206" s="2087" t="s">
        <v>1704</v>
      </c>
      <c r="B1206" s="2087">
        <f>M8</f>
        <v>0</v>
      </c>
      <c r="C1206" s="2087">
        <f t="shared" ref="C1206:C1223" si="259">M10</f>
        <v>0</v>
      </c>
      <c r="D1206" s="2087">
        <f>$D$134</f>
        <v>0.30250000000000005</v>
      </c>
      <c r="E1206" s="2087">
        <f t="shared" ref="E1206:E1223" si="260">B1206*C1206*D1206</f>
        <v>0</v>
      </c>
    </row>
    <row r="1207" spans="1:15">
      <c r="A1207" s="2133" t="s">
        <v>1705</v>
      </c>
      <c r="B1207" s="2087">
        <f>$B$1206</f>
        <v>0</v>
      </c>
      <c r="C1207" s="2285">
        <f t="shared" si="259"/>
        <v>0</v>
      </c>
      <c r="D1207" s="2087">
        <f t="shared" ref="D1207:D1223" si="261">D135</f>
        <v>0</v>
      </c>
      <c r="E1207" s="2133">
        <f t="shared" si="260"/>
        <v>0</v>
      </c>
    </row>
    <row r="1208" spans="1:15" s="2238" customFormat="1">
      <c r="A1208" s="2236" t="s">
        <v>1917</v>
      </c>
      <c r="B1208" s="2388">
        <f>$B$1206</f>
        <v>0</v>
      </c>
      <c r="C1208" s="2285">
        <f t="shared" si="259"/>
        <v>0</v>
      </c>
      <c r="D1208" s="2236">
        <f t="shared" si="261"/>
        <v>8.0000000000000016E-2</v>
      </c>
      <c r="E1208" s="2133">
        <f t="shared" ref="E1208:E1215" si="262">B1208*C1208*D1208</f>
        <v>0</v>
      </c>
    </row>
    <row r="1209" spans="1:15" s="2238" customFormat="1">
      <c r="A1209" s="2133" t="s">
        <v>1918</v>
      </c>
      <c r="B1209" s="2236">
        <f t="shared" ref="B1209:B1215" si="263">$B$1206</f>
        <v>0</v>
      </c>
      <c r="C1209" s="2285">
        <f t="shared" si="259"/>
        <v>0</v>
      </c>
      <c r="D1209" s="2236">
        <f t="shared" si="261"/>
        <v>0.06</v>
      </c>
      <c r="E1209" s="2133">
        <f t="shared" si="262"/>
        <v>0</v>
      </c>
    </row>
    <row r="1210" spans="1:15" s="2238" customFormat="1">
      <c r="A1210" s="2236" t="s">
        <v>1919</v>
      </c>
      <c r="B1210" s="2236">
        <f t="shared" si="263"/>
        <v>0</v>
      </c>
      <c r="C1210" s="2285">
        <f t="shared" si="259"/>
        <v>0</v>
      </c>
      <c r="D1210" s="2236">
        <f t="shared" si="261"/>
        <v>4.4999999999999998E-2</v>
      </c>
      <c r="E1210" s="2133">
        <f t="shared" si="262"/>
        <v>0</v>
      </c>
    </row>
    <row r="1211" spans="1:15" s="2238" customFormat="1">
      <c r="A1211" s="2133" t="s">
        <v>1992</v>
      </c>
      <c r="B1211" s="2236">
        <f t="shared" si="263"/>
        <v>0</v>
      </c>
      <c r="C1211" s="2285">
        <f t="shared" si="259"/>
        <v>0</v>
      </c>
      <c r="D1211" s="2236">
        <f t="shared" si="261"/>
        <v>6.25E-2</v>
      </c>
      <c r="E1211" s="2133">
        <f t="shared" si="262"/>
        <v>0</v>
      </c>
    </row>
    <row r="1212" spans="1:15" s="2238" customFormat="1">
      <c r="A1212" s="2236" t="s">
        <v>1993</v>
      </c>
      <c r="B1212" s="2236">
        <f t="shared" si="263"/>
        <v>0</v>
      </c>
      <c r="C1212" s="2285">
        <f t="shared" si="259"/>
        <v>0</v>
      </c>
      <c r="D1212" s="2236">
        <f t="shared" si="261"/>
        <v>3.7499999999999999E-2</v>
      </c>
      <c r="E1212" s="2133">
        <f t="shared" si="262"/>
        <v>0</v>
      </c>
    </row>
    <row r="1213" spans="1:15" s="2238" customFormat="1">
      <c r="A1213" s="2133" t="s">
        <v>1994</v>
      </c>
      <c r="B1213" s="2236">
        <f t="shared" si="263"/>
        <v>0</v>
      </c>
      <c r="C1213" s="2285">
        <f t="shared" si="259"/>
        <v>0</v>
      </c>
      <c r="D1213" s="2236">
        <f t="shared" si="261"/>
        <v>0</v>
      </c>
      <c r="E1213" s="2133">
        <f t="shared" si="262"/>
        <v>0</v>
      </c>
    </row>
    <row r="1214" spans="1:15" s="2238" customFormat="1">
      <c r="A1214" s="2236" t="s">
        <v>1995</v>
      </c>
      <c r="B1214" s="2236">
        <f t="shared" si="263"/>
        <v>0</v>
      </c>
      <c r="C1214" s="2285">
        <f t="shared" si="259"/>
        <v>0</v>
      </c>
      <c r="D1214" s="2236">
        <f t="shared" si="261"/>
        <v>0</v>
      </c>
      <c r="E1214" s="2133">
        <f t="shared" si="262"/>
        <v>0</v>
      </c>
    </row>
    <row r="1215" spans="1:15" s="2238" customFormat="1">
      <c r="A1215" s="2133" t="s">
        <v>1706</v>
      </c>
      <c r="B1215" s="2256">
        <f t="shared" si="263"/>
        <v>0</v>
      </c>
      <c r="C1215" s="2285">
        <f t="shared" si="259"/>
        <v>0</v>
      </c>
      <c r="D1215" s="2236">
        <f t="shared" si="261"/>
        <v>0</v>
      </c>
      <c r="E1215" s="2133">
        <f t="shared" si="262"/>
        <v>0</v>
      </c>
    </row>
    <row r="1216" spans="1:15">
      <c r="A1216" s="2236" t="s">
        <v>2451</v>
      </c>
      <c r="B1216" s="2087">
        <f t="shared" ref="B1216:B1223" si="264">$B$1206</f>
        <v>0</v>
      </c>
      <c r="C1216" s="2285">
        <f t="shared" si="259"/>
        <v>0</v>
      </c>
      <c r="D1216" s="2236">
        <f t="shared" si="261"/>
        <v>0</v>
      </c>
      <c r="E1216" s="2133">
        <f t="shared" si="260"/>
        <v>0</v>
      </c>
    </row>
    <row r="1217" spans="1:17">
      <c r="A1217" s="2133" t="s">
        <v>2452</v>
      </c>
      <c r="B1217" s="2087">
        <f t="shared" si="264"/>
        <v>0</v>
      </c>
      <c r="C1217" s="2285">
        <f t="shared" si="259"/>
        <v>0</v>
      </c>
      <c r="D1217" s="2236">
        <f t="shared" si="261"/>
        <v>0</v>
      </c>
      <c r="E1217" s="2133">
        <f t="shared" si="260"/>
        <v>0</v>
      </c>
    </row>
    <row r="1218" spans="1:17">
      <c r="A1218" s="2236" t="s">
        <v>2453</v>
      </c>
      <c r="B1218" s="2087">
        <f t="shared" si="264"/>
        <v>0</v>
      </c>
      <c r="C1218" s="2285">
        <f t="shared" si="259"/>
        <v>0</v>
      </c>
      <c r="D1218" s="2236">
        <f t="shared" si="261"/>
        <v>0</v>
      </c>
      <c r="E1218" s="2133">
        <f t="shared" si="260"/>
        <v>0</v>
      </c>
    </row>
    <row r="1219" spans="1:17">
      <c r="A1219" s="2133" t="s">
        <v>2454</v>
      </c>
      <c r="B1219" s="2087">
        <f t="shared" si="264"/>
        <v>0</v>
      </c>
      <c r="C1219" s="2285">
        <f t="shared" si="259"/>
        <v>0</v>
      </c>
      <c r="D1219" s="2236">
        <f t="shared" si="261"/>
        <v>0</v>
      </c>
      <c r="E1219" s="2133">
        <f t="shared" si="260"/>
        <v>0</v>
      </c>
    </row>
    <row r="1220" spans="1:17">
      <c r="A1220" s="2236" t="s">
        <v>2455</v>
      </c>
      <c r="B1220" s="2087">
        <f t="shared" si="264"/>
        <v>0</v>
      </c>
      <c r="C1220" s="2285">
        <f t="shared" si="259"/>
        <v>0</v>
      </c>
      <c r="D1220" s="2236">
        <f t="shared" si="261"/>
        <v>0</v>
      </c>
      <c r="E1220" s="2133">
        <f t="shared" si="260"/>
        <v>0</v>
      </c>
    </row>
    <row r="1221" spans="1:17">
      <c r="A1221" s="2133" t="s">
        <v>2456</v>
      </c>
      <c r="B1221" s="2087">
        <f t="shared" si="264"/>
        <v>0</v>
      </c>
      <c r="C1221" s="2285">
        <f t="shared" si="259"/>
        <v>0</v>
      </c>
      <c r="D1221" s="2236">
        <f t="shared" si="261"/>
        <v>0</v>
      </c>
      <c r="E1221" s="2133">
        <f t="shared" si="260"/>
        <v>0</v>
      </c>
    </row>
    <row r="1222" spans="1:17">
      <c r="A1222" s="2236" t="s">
        <v>2457</v>
      </c>
      <c r="B1222" s="2087">
        <f t="shared" si="264"/>
        <v>0</v>
      </c>
      <c r="C1222" s="2285">
        <f t="shared" si="259"/>
        <v>0</v>
      </c>
      <c r="D1222" s="2236">
        <f t="shared" si="261"/>
        <v>0</v>
      </c>
      <c r="E1222" s="2133">
        <f t="shared" si="260"/>
        <v>0</v>
      </c>
    </row>
    <row r="1223" spans="1:17">
      <c r="A1223" s="2133" t="s">
        <v>2458</v>
      </c>
      <c r="B1223" s="2256">
        <f t="shared" si="264"/>
        <v>0</v>
      </c>
      <c r="C1223" s="2285">
        <f t="shared" si="259"/>
        <v>0</v>
      </c>
      <c r="D1223" s="2236">
        <f t="shared" si="261"/>
        <v>0</v>
      </c>
      <c r="E1223" s="2133">
        <f t="shared" si="260"/>
        <v>0</v>
      </c>
    </row>
    <row r="1224" spans="1:17" ht="14.25" customHeight="1">
      <c r="C1224" s="2285"/>
      <c r="D1224" s="2199" t="s">
        <v>2070</v>
      </c>
      <c r="E1224" s="2206">
        <f>SUM(E1206:E1223)</f>
        <v>0</v>
      </c>
    </row>
    <row r="1225" spans="1:17" ht="14.25" customHeight="1">
      <c r="C1225" s="2285"/>
      <c r="D1225" s="2201"/>
      <c r="E1225" s="2202"/>
    </row>
    <row r="1227" spans="1:17">
      <c r="A1227" s="2133" t="s">
        <v>1707</v>
      </c>
      <c r="B1227" s="2133">
        <f>B1223</f>
        <v>0</v>
      </c>
      <c r="C1227" s="2133">
        <f>M28</f>
        <v>0</v>
      </c>
      <c r="D1227" s="2133">
        <f>$D$155</f>
        <v>2.2499999999999999E-2</v>
      </c>
      <c r="E1227" s="2133">
        <f>B1227*C1227*D1227</f>
        <v>0</v>
      </c>
    </row>
    <row r="1228" spans="1:17">
      <c r="A1228" s="2133" t="s">
        <v>1708</v>
      </c>
      <c r="B1228" s="2133">
        <f>B1224</f>
        <v>0</v>
      </c>
      <c r="C1228" s="2133">
        <f>M29</f>
        <v>0</v>
      </c>
      <c r="D1228" s="2133">
        <f>$D$156</f>
        <v>2.2499999999999999E-2</v>
      </c>
      <c r="E1228" s="2133">
        <f>B1228*C1228*D1228</f>
        <v>0</v>
      </c>
    </row>
    <row r="1229" spans="1:17" ht="60">
      <c r="D1229" s="2175" t="s">
        <v>2071</v>
      </c>
      <c r="E1229" s="2159">
        <f>SUM(E1227:E1228)</f>
        <v>0</v>
      </c>
    </row>
    <row r="1231" spans="1:17">
      <c r="A1231" s="2872" t="s">
        <v>2106</v>
      </c>
      <c r="B1231" s="2872"/>
      <c r="C1231" s="2872"/>
      <c r="D1231" s="2831" t="s">
        <v>2069</v>
      </c>
      <c r="E1231" s="2832"/>
      <c r="F1231" s="2832"/>
      <c r="G1231" s="2836"/>
      <c r="H1231" s="2831" t="s">
        <v>2068</v>
      </c>
      <c r="I1231" s="2832"/>
      <c r="J1231" s="2832"/>
      <c r="K1231" s="2836"/>
      <c r="M1231" s="2831" t="s">
        <v>1610</v>
      </c>
      <c r="N1231" s="2832"/>
      <c r="O1231" s="2832"/>
      <c r="P1231" s="2832"/>
      <c r="Q1231" s="2836"/>
    </row>
    <row r="1232" spans="1:17" ht="15">
      <c r="A1232" s="2087" t="s">
        <v>1796</v>
      </c>
      <c r="B1232" s="2087" t="s">
        <v>1608</v>
      </c>
      <c r="C1232" s="2087" t="s">
        <v>1606</v>
      </c>
      <c r="D1232" s="2087" t="s">
        <v>1609</v>
      </c>
      <c r="E1232" s="2087" t="s">
        <v>1679</v>
      </c>
      <c r="F1232" s="2088" t="s">
        <v>2435</v>
      </c>
      <c r="G1232" s="2119" t="s">
        <v>1807</v>
      </c>
      <c r="H1232" s="2087" t="s">
        <v>1568</v>
      </c>
      <c r="I1232" s="2087" t="s">
        <v>1568</v>
      </c>
      <c r="J1232" s="2087" t="s">
        <v>1568</v>
      </c>
      <c r="K1232" s="2087" t="s">
        <v>1568</v>
      </c>
      <c r="M1232" s="2087" t="s">
        <v>1607</v>
      </c>
      <c r="N1232" s="2087" t="s">
        <v>1611</v>
      </c>
      <c r="O1232" s="2087" t="s">
        <v>1168</v>
      </c>
      <c r="P1232" s="2087" t="s">
        <v>1205</v>
      </c>
      <c r="Q1232" s="2087" t="s">
        <v>1243</v>
      </c>
    </row>
    <row r="1233" spans="1:17">
      <c r="A1233" s="2133" t="str">
        <f t="shared" ref="A1233:C1250" si="265">A1206</f>
        <v>K1</v>
      </c>
      <c r="B1233" s="2133">
        <f t="shared" si="265"/>
        <v>0</v>
      </c>
      <c r="C1233" s="2133">
        <f t="shared" si="265"/>
        <v>0</v>
      </c>
      <c r="D1233" s="2133">
        <f t="shared" ref="D1233:G1250" si="266">D161</f>
        <v>8</v>
      </c>
      <c r="E1233" s="2133">
        <f t="shared" si="266"/>
        <v>0</v>
      </c>
      <c r="F1233" s="2133">
        <f t="shared" si="266"/>
        <v>0</v>
      </c>
      <c r="G1233" s="2133">
        <f t="shared" si="266"/>
        <v>0</v>
      </c>
      <c r="H1233" s="2133">
        <f>B1233*C1233*D1233</f>
        <v>0</v>
      </c>
      <c r="I1233" s="2133">
        <f t="shared" ref="I1233:I1250" si="267">B1233*C1233*E1233</f>
        <v>0</v>
      </c>
      <c r="J1233" s="2133">
        <f t="shared" ref="J1233:J1250" si="268">B1233*C1233*F1233</f>
        <v>0</v>
      </c>
      <c r="K1233" s="2133">
        <f t="shared" ref="K1233:K1250" si="269">B1233*C1233*G1233</f>
        <v>0</v>
      </c>
      <c r="M1233" s="2133">
        <f t="shared" ref="M1233:M1250" si="270">(B1233/2)/0.2</f>
        <v>0</v>
      </c>
      <c r="N1233" s="2133">
        <f t="shared" ref="N1233:N1250" si="271">(B1233/2)/0.1</f>
        <v>0</v>
      </c>
      <c r="O1233" s="2133">
        <f t="shared" ref="O1233:O1250" si="272">SUM(M1233:N1233)*C1233</f>
        <v>0</v>
      </c>
      <c r="P1233" s="2133">
        <f t="shared" ref="P1233:P1250" si="273">P161</f>
        <v>2</v>
      </c>
      <c r="Q1233" s="2133">
        <f t="shared" ref="Q1233:Q1250" si="274">O1233*P1233</f>
        <v>0</v>
      </c>
    </row>
    <row r="1234" spans="1:17">
      <c r="A1234" s="2133" t="str">
        <f t="shared" si="265"/>
        <v>K2</v>
      </c>
      <c r="B1234" s="2133">
        <f t="shared" si="265"/>
        <v>0</v>
      </c>
      <c r="C1234" s="2133">
        <f t="shared" si="265"/>
        <v>0</v>
      </c>
      <c r="D1234" s="2133">
        <f t="shared" si="266"/>
        <v>0</v>
      </c>
      <c r="E1234" s="2133">
        <f t="shared" si="266"/>
        <v>0</v>
      </c>
      <c r="F1234" s="2133">
        <f t="shared" si="266"/>
        <v>0</v>
      </c>
      <c r="G1234" s="2133">
        <f t="shared" si="266"/>
        <v>0</v>
      </c>
      <c r="H1234" s="2133">
        <f t="shared" ref="H1234:H1250" si="275">B1234*C1234*D1234</f>
        <v>0</v>
      </c>
      <c r="I1234" s="2133">
        <f t="shared" si="267"/>
        <v>0</v>
      </c>
      <c r="J1234" s="2133">
        <f t="shared" si="268"/>
        <v>0</v>
      </c>
      <c r="K1234" s="2133">
        <f t="shared" si="269"/>
        <v>0</v>
      </c>
      <c r="M1234" s="2133">
        <f t="shared" si="270"/>
        <v>0</v>
      </c>
      <c r="N1234" s="2133">
        <f t="shared" si="271"/>
        <v>0</v>
      </c>
      <c r="O1234" s="2133">
        <f t="shared" si="272"/>
        <v>0</v>
      </c>
      <c r="P1234" s="2133">
        <f t="shared" si="273"/>
        <v>-0.31400000000000006</v>
      </c>
      <c r="Q1234" s="2133">
        <f t="shared" si="274"/>
        <v>0</v>
      </c>
    </row>
    <row r="1235" spans="1:17" s="2238" customFormat="1">
      <c r="A1235" s="2133" t="str">
        <f t="shared" si="265"/>
        <v>K3</v>
      </c>
      <c r="B1235" s="2133">
        <f t="shared" si="265"/>
        <v>0</v>
      </c>
      <c r="C1235" s="2133">
        <f t="shared" si="265"/>
        <v>0</v>
      </c>
      <c r="D1235" s="2133">
        <f t="shared" si="266"/>
        <v>10</v>
      </c>
      <c r="E1235" s="2133">
        <f t="shared" si="266"/>
        <v>0</v>
      </c>
      <c r="F1235" s="2133">
        <f t="shared" si="266"/>
        <v>0</v>
      </c>
      <c r="G1235" s="2133">
        <f t="shared" si="266"/>
        <v>0</v>
      </c>
      <c r="H1235" s="2133">
        <f t="shared" ref="H1235:H1242" si="276">B1235*C1235*D1235</f>
        <v>0</v>
      </c>
      <c r="I1235" s="2133">
        <f t="shared" ref="I1235:I1242" si="277">B1235*C1235*E1235</f>
        <v>0</v>
      </c>
      <c r="J1235" s="2133">
        <f t="shared" ref="J1235:J1242" si="278">B1235*C1235*F1235</f>
        <v>0</v>
      </c>
      <c r="K1235" s="2133">
        <f t="shared" ref="K1235:K1242" si="279">B1235*C1235*G1235</f>
        <v>0</v>
      </c>
      <c r="M1235" s="2133">
        <f t="shared" ref="M1235:M1242" si="280">(B1235/2)/0.2</f>
        <v>0</v>
      </c>
      <c r="N1235" s="2133">
        <f t="shared" ref="N1235:N1242" si="281">(B1235/2)/0.1</f>
        <v>0</v>
      </c>
      <c r="O1235" s="2133">
        <f t="shared" ref="O1235:O1242" si="282">SUM(M1235:N1235)*C1235</f>
        <v>0</v>
      </c>
      <c r="P1235" s="2133">
        <f t="shared" si="273"/>
        <v>1</v>
      </c>
      <c r="Q1235" s="2133">
        <f t="shared" ref="Q1235:Q1242" si="283">O1235*P1235</f>
        <v>0</v>
      </c>
    </row>
    <row r="1236" spans="1:17" s="2238" customFormat="1">
      <c r="A1236" s="2133" t="str">
        <f t="shared" si="265"/>
        <v>K4</v>
      </c>
      <c r="B1236" s="2133">
        <f t="shared" si="265"/>
        <v>0</v>
      </c>
      <c r="C1236" s="2133">
        <f t="shared" si="265"/>
        <v>0</v>
      </c>
      <c r="D1236" s="2133">
        <f t="shared" si="266"/>
        <v>8</v>
      </c>
      <c r="E1236" s="2133">
        <f t="shared" si="266"/>
        <v>0</v>
      </c>
      <c r="F1236" s="2133">
        <f t="shared" si="266"/>
        <v>0</v>
      </c>
      <c r="G1236" s="2133">
        <f t="shared" si="266"/>
        <v>0</v>
      </c>
      <c r="H1236" s="2133">
        <f t="shared" si="276"/>
        <v>0</v>
      </c>
      <c r="I1236" s="2133">
        <f t="shared" si="277"/>
        <v>0</v>
      </c>
      <c r="J1236" s="2133">
        <f t="shared" si="278"/>
        <v>0</v>
      </c>
      <c r="K1236" s="2133">
        <f t="shared" si="279"/>
        <v>0</v>
      </c>
      <c r="M1236" s="2133">
        <f t="shared" si="280"/>
        <v>0</v>
      </c>
      <c r="N1236" s="2133">
        <f t="shared" si="281"/>
        <v>0</v>
      </c>
      <c r="O1236" s="2133">
        <f t="shared" si="282"/>
        <v>0</v>
      </c>
      <c r="P1236" s="2133">
        <f t="shared" si="273"/>
        <v>0.9</v>
      </c>
      <c r="Q1236" s="2133">
        <f t="shared" si="283"/>
        <v>0</v>
      </c>
    </row>
    <row r="1237" spans="1:17" s="2238" customFormat="1">
      <c r="A1237" s="2133" t="str">
        <f t="shared" si="265"/>
        <v>K5</v>
      </c>
      <c r="B1237" s="2133">
        <f t="shared" si="265"/>
        <v>0</v>
      </c>
      <c r="C1237" s="2133">
        <f t="shared" si="265"/>
        <v>0</v>
      </c>
      <c r="D1237" s="2133">
        <f t="shared" si="266"/>
        <v>0</v>
      </c>
      <c r="E1237" s="2133">
        <f t="shared" si="266"/>
        <v>0</v>
      </c>
      <c r="F1237" s="2133">
        <f t="shared" si="266"/>
        <v>6</v>
      </c>
      <c r="G1237" s="2133">
        <f t="shared" si="266"/>
        <v>0</v>
      </c>
      <c r="H1237" s="2133">
        <f t="shared" si="276"/>
        <v>0</v>
      </c>
      <c r="I1237" s="2133">
        <f t="shared" si="277"/>
        <v>0</v>
      </c>
      <c r="J1237" s="2133">
        <f t="shared" si="278"/>
        <v>0</v>
      </c>
      <c r="K1237" s="2133">
        <f t="shared" si="279"/>
        <v>0</v>
      </c>
      <c r="M1237" s="2133">
        <f t="shared" si="280"/>
        <v>0</v>
      </c>
      <c r="N1237" s="2133">
        <f t="shared" si="281"/>
        <v>0</v>
      </c>
      <c r="O1237" s="2133">
        <f t="shared" si="282"/>
        <v>0</v>
      </c>
      <c r="P1237" s="2133">
        <f t="shared" si="273"/>
        <v>0.70000000000000007</v>
      </c>
      <c r="Q1237" s="2133">
        <f t="shared" si="283"/>
        <v>0</v>
      </c>
    </row>
    <row r="1238" spans="1:17" s="2238" customFormat="1">
      <c r="A1238" s="2133" t="str">
        <f t="shared" si="265"/>
        <v>K6</v>
      </c>
      <c r="B1238" s="2133">
        <f t="shared" si="265"/>
        <v>0</v>
      </c>
      <c r="C1238" s="2133">
        <f t="shared" si="265"/>
        <v>0</v>
      </c>
      <c r="D1238" s="2133">
        <f t="shared" si="266"/>
        <v>0</v>
      </c>
      <c r="E1238" s="2133">
        <f t="shared" si="266"/>
        <v>0</v>
      </c>
      <c r="F1238" s="2133">
        <f t="shared" si="266"/>
        <v>8</v>
      </c>
      <c r="G1238" s="2133">
        <f t="shared" si="266"/>
        <v>0</v>
      </c>
      <c r="H1238" s="2133">
        <f t="shared" si="276"/>
        <v>0</v>
      </c>
      <c r="I1238" s="2133">
        <f t="shared" si="277"/>
        <v>0</v>
      </c>
      <c r="J1238" s="2133">
        <f t="shared" si="278"/>
        <v>0</v>
      </c>
      <c r="K1238" s="2133">
        <f t="shared" si="279"/>
        <v>0</v>
      </c>
      <c r="M1238" s="2133">
        <f t="shared" si="280"/>
        <v>0</v>
      </c>
      <c r="N1238" s="2133">
        <f t="shared" si="281"/>
        <v>0</v>
      </c>
      <c r="O1238" s="2133">
        <f t="shared" si="282"/>
        <v>0</v>
      </c>
      <c r="P1238" s="2133">
        <f t="shared" si="273"/>
        <v>0.8</v>
      </c>
      <c r="Q1238" s="2133">
        <f t="shared" si="283"/>
        <v>0</v>
      </c>
    </row>
    <row r="1239" spans="1:17" s="2238" customFormat="1">
      <c r="A1239" s="2133" t="str">
        <f t="shared" si="265"/>
        <v>K7</v>
      </c>
      <c r="B1239" s="2133">
        <f t="shared" si="265"/>
        <v>0</v>
      </c>
      <c r="C1239" s="2133">
        <f t="shared" si="265"/>
        <v>0</v>
      </c>
      <c r="D1239" s="2133">
        <f t="shared" si="266"/>
        <v>0</v>
      </c>
      <c r="E1239" s="2133">
        <f t="shared" si="266"/>
        <v>0</v>
      </c>
      <c r="F1239" s="2133">
        <f t="shared" si="266"/>
        <v>6</v>
      </c>
      <c r="G1239" s="2133">
        <f t="shared" si="266"/>
        <v>0</v>
      </c>
      <c r="H1239" s="2133">
        <f t="shared" si="276"/>
        <v>0</v>
      </c>
      <c r="I1239" s="2133">
        <f t="shared" si="277"/>
        <v>0</v>
      </c>
      <c r="J1239" s="2133">
        <f t="shared" si="278"/>
        <v>0</v>
      </c>
      <c r="K1239" s="2133">
        <f t="shared" si="279"/>
        <v>0</v>
      </c>
      <c r="M1239" s="2133">
        <f t="shared" si="280"/>
        <v>0</v>
      </c>
      <c r="N1239" s="2133">
        <f t="shared" si="281"/>
        <v>0</v>
      </c>
      <c r="O1239" s="2133">
        <f t="shared" si="282"/>
        <v>0</v>
      </c>
      <c r="P1239" s="2133">
        <f t="shared" si="273"/>
        <v>0.6</v>
      </c>
      <c r="Q1239" s="2133">
        <f t="shared" si="283"/>
        <v>0</v>
      </c>
    </row>
    <row r="1240" spans="1:17" s="2238" customFormat="1">
      <c r="A1240" s="2133" t="str">
        <f t="shared" si="265"/>
        <v>K8</v>
      </c>
      <c r="B1240" s="2133">
        <f t="shared" si="265"/>
        <v>0</v>
      </c>
      <c r="C1240" s="2133">
        <f t="shared" si="265"/>
        <v>0</v>
      </c>
      <c r="D1240" s="2133">
        <f t="shared" si="266"/>
        <v>0</v>
      </c>
      <c r="E1240" s="2133">
        <f t="shared" si="266"/>
        <v>0</v>
      </c>
      <c r="F1240" s="2133">
        <f t="shared" si="266"/>
        <v>0</v>
      </c>
      <c r="G1240" s="2133">
        <f t="shared" si="266"/>
        <v>0</v>
      </c>
      <c r="H1240" s="2133">
        <f t="shared" si="276"/>
        <v>0</v>
      </c>
      <c r="I1240" s="2133">
        <f t="shared" si="277"/>
        <v>0</v>
      </c>
      <c r="J1240" s="2133">
        <f t="shared" si="278"/>
        <v>0</v>
      </c>
      <c r="K1240" s="2133">
        <f t="shared" si="279"/>
        <v>0</v>
      </c>
      <c r="M1240" s="2133">
        <f t="shared" si="280"/>
        <v>0</v>
      </c>
      <c r="N1240" s="2133">
        <f t="shared" si="281"/>
        <v>0</v>
      </c>
      <c r="O1240" s="2133">
        <f t="shared" si="282"/>
        <v>0</v>
      </c>
      <c r="P1240" s="2133">
        <f t="shared" si="273"/>
        <v>-0.31400000000000006</v>
      </c>
      <c r="Q1240" s="2133">
        <f t="shared" si="283"/>
        <v>0</v>
      </c>
    </row>
    <row r="1241" spans="1:17" s="2238" customFormat="1">
      <c r="A1241" s="2133" t="str">
        <f t="shared" si="265"/>
        <v>K9</v>
      </c>
      <c r="B1241" s="2133">
        <f t="shared" si="265"/>
        <v>0</v>
      </c>
      <c r="C1241" s="2133">
        <f t="shared" si="265"/>
        <v>0</v>
      </c>
      <c r="D1241" s="2133">
        <f t="shared" si="266"/>
        <v>0</v>
      </c>
      <c r="E1241" s="2133">
        <f t="shared" si="266"/>
        <v>0</v>
      </c>
      <c r="F1241" s="2133">
        <f t="shared" si="266"/>
        <v>0</v>
      </c>
      <c r="G1241" s="2133">
        <f t="shared" si="266"/>
        <v>0</v>
      </c>
      <c r="H1241" s="2133">
        <f t="shared" si="276"/>
        <v>0</v>
      </c>
      <c r="I1241" s="2133">
        <f t="shared" si="277"/>
        <v>0</v>
      </c>
      <c r="J1241" s="2133">
        <f t="shared" si="278"/>
        <v>0</v>
      </c>
      <c r="K1241" s="2133">
        <f t="shared" si="279"/>
        <v>0</v>
      </c>
      <c r="M1241" s="2133">
        <f t="shared" si="280"/>
        <v>0</v>
      </c>
      <c r="N1241" s="2133">
        <f t="shared" si="281"/>
        <v>0</v>
      </c>
      <c r="O1241" s="2133">
        <f t="shared" si="282"/>
        <v>0</v>
      </c>
      <c r="P1241" s="2133">
        <f t="shared" si="273"/>
        <v>-0.31400000000000006</v>
      </c>
      <c r="Q1241" s="2133">
        <f t="shared" si="283"/>
        <v>0</v>
      </c>
    </row>
    <row r="1242" spans="1:17" s="2238" customFormat="1" ht="15" customHeight="1">
      <c r="A1242" s="2133" t="str">
        <f t="shared" si="265"/>
        <v>K10</v>
      </c>
      <c r="B1242" s="2133">
        <f t="shared" si="265"/>
        <v>0</v>
      </c>
      <c r="C1242" s="2133">
        <f t="shared" si="265"/>
        <v>0</v>
      </c>
      <c r="D1242" s="2133">
        <f t="shared" si="266"/>
        <v>0</v>
      </c>
      <c r="E1242" s="2133">
        <f t="shared" si="266"/>
        <v>0</v>
      </c>
      <c r="F1242" s="2133">
        <f t="shared" si="266"/>
        <v>0</v>
      </c>
      <c r="G1242" s="2133">
        <f t="shared" si="266"/>
        <v>0</v>
      </c>
      <c r="H1242" s="2133">
        <f t="shared" si="276"/>
        <v>0</v>
      </c>
      <c r="I1242" s="2133">
        <f t="shared" si="277"/>
        <v>0</v>
      </c>
      <c r="J1242" s="2133">
        <f t="shared" si="278"/>
        <v>0</v>
      </c>
      <c r="K1242" s="2133">
        <f t="shared" si="279"/>
        <v>0</v>
      </c>
      <c r="M1242" s="2237">
        <f t="shared" si="280"/>
        <v>0</v>
      </c>
      <c r="N1242" s="2237">
        <f t="shared" si="281"/>
        <v>0</v>
      </c>
      <c r="O1242" s="2237">
        <f t="shared" si="282"/>
        <v>0</v>
      </c>
      <c r="P1242" s="2133">
        <f t="shared" si="273"/>
        <v>-0.31400000000000006</v>
      </c>
      <c r="Q1242" s="2237">
        <f t="shared" si="283"/>
        <v>0</v>
      </c>
    </row>
    <row r="1243" spans="1:17">
      <c r="A1243" s="2133" t="str">
        <f t="shared" si="265"/>
        <v>K11</v>
      </c>
      <c r="B1243" s="2133">
        <f t="shared" si="265"/>
        <v>0</v>
      </c>
      <c r="C1243" s="2133">
        <f t="shared" si="265"/>
        <v>0</v>
      </c>
      <c r="D1243" s="2133">
        <f t="shared" si="266"/>
        <v>0</v>
      </c>
      <c r="E1243" s="2133">
        <f t="shared" si="266"/>
        <v>0</v>
      </c>
      <c r="F1243" s="2133">
        <f t="shared" si="266"/>
        <v>0</v>
      </c>
      <c r="G1243" s="2133">
        <f t="shared" si="266"/>
        <v>0</v>
      </c>
      <c r="H1243" s="2133">
        <f t="shared" si="275"/>
        <v>0</v>
      </c>
      <c r="I1243" s="2133">
        <f t="shared" si="267"/>
        <v>0</v>
      </c>
      <c r="J1243" s="2133">
        <f t="shared" si="268"/>
        <v>0</v>
      </c>
      <c r="K1243" s="2133">
        <f t="shared" si="269"/>
        <v>0</v>
      </c>
      <c r="M1243" s="2133">
        <f t="shared" si="270"/>
        <v>0</v>
      </c>
      <c r="N1243" s="2133">
        <f t="shared" si="271"/>
        <v>0</v>
      </c>
      <c r="O1243" s="2133">
        <f t="shared" si="272"/>
        <v>0</v>
      </c>
      <c r="P1243" s="2133">
        <f t="shared" si="273"/>
        <v>-0.31400000000000006</v>
      </c>
      <c r="Q1243" s="2133">
        <f t="shared" si="274"/>
        <v>0</v>
      </c>
    </row>
    <row r="1244" spans="1:17">
      <c r="A1244" s="2133" t="str">
        <f t="shared" si="265"/>
        <v>K12</v>
      </c>
      <c r="B1244" s="2133">
        <f t="shared" si="265"/>
        <v>0</v>
      </c>
      <c r="C1244" s="2133">
        <f t="shared" si="265"/>
        <v>0</v>
      </c>
      <c r="D1244" s="2133">
        <f t="shared" si="266"/>
        <v>0</v>
      </c>
      <c r="E1244" s="2133">
        <f t="shared" si="266"/>
        <v>0</v>
      </c>
      <c r="F1244" s="2133">
        <f t="shared" si="266"/>
        <v>0</v>
      </c>
      <c r="G1244" s="2133">
        <f t="shared" si="266"/>
        <v>0</v>
      </c>
      <c r="H1244" s="2133">
        <f t="shared" si="275"/>
        <v>0</v>
      </c>
      <c r="I1244" s="2133">
        <f t="shared" si="267"/>
        <v>0</v>
      </c>
      <c r="J1244" s="2133">
        <f t="shared" si="268"/>
        <v>0</v>
      </c>
      <c r="K1244" s="2133">
        <f t="shared" si="269"/>
        <v>0</v>
      </c>
      <c r="M1244" s="2133">
        <f t="shared" si="270"/>
        <v>0</v>
      </c>
      <c r="N1244" s="2133">
        <f t="shared" si="271"/>
        <v>0</v>
      </c>
      <c r="O1244" s="2133">
        <f t="shared" si="272"/>
        <v>0</v>
      </c>
      <c r="P1244" s="2133">
        <f t="shared" si="273"/>
        <v>-0.31400000000000006</v>
      </c>
      <c r="Q1244" s="2133">
        <f t="shared" si="274"/>
        <v>0</v>
      </c>
    </row>
    <row r="1245" spans="1:17">
      <c r="A1245" s="2133" t="str">
        <f t="shared" si="265"/>
        <v>K13</v>
      </c>
      <c r="B1245" s="2133">
        <f t="shared" si="265"/>
        <v>0</v>
      </c>
      <c r="C1245" s="2133">
        <f t="shared" si="265"/>
        <v>0</v>
      </c>
      <c r="D1245" s="2133">
        <f t="shared" si="266"/>
        <v>0</v>
      </c>
      <c r="E1245" s="2133">
        <f t="shared" si="266"/>
        <v>0</v>
      </c>
      <c r="F1245" s="2133">
        <f t="shared" si="266"/>
        <v>0</v>
      </c>
      <c r="G1245" s="2133">
        <f t="shared" si="266"/>
        <v>0</v>
      </c>
      <c r="H1245" s="2133">
        <f t="shared" si="275"/>
        <v>0</v>
      </c>
      <c r="I1245" s="2133">
        <f t="shared" si="267"/>
        <v>0</v>
      </c>
      <c r="J1245" s="2133">
        <f t="shared" si="268"/>
        <v>0</v>
      </c>
      <c r="K1245" s="2133">
        <f t="shared" si="269"/>
        <v>0</v>
      </c>
      <c r="M1245" s="2133">
        <f t="shared" si="270"/>
        <v>0</v>
      </c>
      <c r="N1245" s="2133">
        <f t="shared" si="271"/>
        <v>0</v>
      </c>
      <c r="O1245" s="2133">
        <f t="shared" si="272"/>
        <v>0</v>
      </c>
      <c r="P1245" s="2133">
        <f t="shared" si="273"/>
        <v>-0.31400000000000006</v>
      </c>
      <c r="Q1245" s="2133">
        <f t="shared" si="274"/>
        <v>0</v>
      </c>
    </row>
    <row r="1246" spans="1:17">
      <c r="A1246" s="2133" t="str">
        <f t="shared" si="265"/>
        <v>K14</v>
      </c>
      <c r="B1246" s="2133">
        <f t="shared" si="265"/>
        <v>0</v>
      </c>
      <c r="C1246" s="2133">
        <f t="shared" si="265"/>
        <v>0</v>
      </c>
      <c r="D1246" s="2133">
        <f t="shared" si="266"/>
        <v>0</v>
      </c>
      <c r="E1246" s="2133">
        <f t="shared" si="266"/>
        <v>0</v>
      </c>
      <c r="F1246" s="2133">
        <f t="shared" si="266"/>
        <v>0</v>
      </c>
      <c r="G1246" s="2133">
        <f t="shared" si="266"/>
        <v>0</v>
      </c>
      <c r="H1246" s="2133">
        <f t="shared" si="275"/>
        <v>0</v>
      </c>
      <c r="I1246" s="2133">
        <f t="shared" si="267"/>
        <v>0</v>
      </c>
      <c r="J1246" s="2133">
        <f t="shared" si="268"/>
        <v>0</v>
      </c>
      <c r="K1246" s="2133">
        <f t="shared" si="269"/>
        <v>0</v>
      </c>
      <c r="M1246" s="2133">
        <f t="shared" si="270"/>
        <v>0</v>
      </c>
      <c r="N1246" s="2133">
        <f t="shared" si="271"/>
        <v>0</v>
      </c>
      <c r="O1246" s="2133">
        <f t="shared" si="272"/>
        <v>0</v>
      </c>
      <c r="P1246" s="2133">
        <f t="shared" si="273"/>
        <v>-0.31400000000000006</v>
      </c>
      <c r="Q1246" s="2133">
        <f t="shared" si="274"/>
        <v>0</v>
      </c>
    </row>
    <row r="1247" spans="1:17">
      <c r="A1247" s="2133" t="str">
        <f t="shared" si="265"/>
        <v>K15</v>
      </c>
      <c r="B1247" s="2133">
        <f t="shared" si="265"/>
        <v>0</v>
      </c>
      <c r="C1247" s="2133">
        <f t="shared" si="265"/>
        <v>0</v>
      </c>
      <c r="D1247" s="2133">
        <f t="shared" si="266"/>
        <v>0</v>
      </c>
      <c r="E1247" s="2133">
        <f t="shared" si="266"/>
        <v>0</v>
      </c>
      <c r="F1247" s="2133">
        <f t="shared" si="266"/>
        <v>0</v>
      </c>
      <c r="G1247" s="2133">
        <f t="shared" si="266"/>
        <v>0</v>
      </c>
      <c r="H1247" s="2133">
        <f t="shared" si="275"/>
        <v>0</v>
      </c>
      <c r="I1247" s="2133">
        <f t="shared" si="267"/>
        <v>0</v>
      </c>
      <c r="J1247" s="2133">
        <f t="shared" si="268"/>
        <v>0</v>
      </c>
      <c r="K1247" s="2133">
        <f t="shared" si="269"/>
        <v>0</v>
      </c>
      <c r="M1247" s="2133">
        <f t="shared" si="270"/>
        <v>0</v>
      </c>
      <c r="N1247" s="2133">
        <f t="shared" si="271"/>
        <v>0</v>
      </c>
      <c r="O1247" s="2133">
        <f t="shared" si="272"/>
        <v>0</v>
      </c>
      <c r="P1247" s="2133">
        <f t="shared" si="273"/>
        <v>-0.31400000000000006</v>
      </c>
      <c r="Q1247" s="2133">
        <f t="shared" si="274"/>
        <v>0</v>
      </c>
    </row>
    <row r="1248" spans="1:17">
      <c r="A1248" s="2133" t="str">
        <f t="shared" si="265"/>
        <v>K16</v>
      </c>
      <c r="B1248" s="2133">
        <f t="shared" si="265"/>
        <v>0</v>
      </c>
      <c r="C1248" s="2133">
        <f t="shared" si="265"/>
        <v>0</v>
      </c>
      <c r="D1248" s="2133">
        <f t="shared" si="266"/>
        <v>0</v>
      </c>
      <c r="E1248" s="2133">
        <f t="shared" si="266"/>
        <v>0</v>
      </c>
      <c r="F1248" s="2133">
        <f t="shared" si="266"/>
        <v>0</v>
      </c>
      <c r="G1248" s="2133">
        <f t="shared" si="266"/>
        <v>0</v>
      </c>
      <c r="H1248" s="2133">
        <f t="shared" si="275"/>
        <v>0</v>
      </c>
      <c r="I1248" s="2133">
        <f t="shared" si="267"/>
        <v>0</v>
      </c>
      <c r="J1248" s="2133">
        <f t="shared" si="268"/>
        <v>0</v>
      </c>
      <c r="K1248" s="2133">
        <f t="shared" si="269"/>
        <v>0</v>
      </c>
      <c r="M1248" s="2133">
        <f t="shared" si="270"/>
        <v>0</v>
      </c>
      <c r="N1248" s="2133">
        <f t="shared" si="271"/>
        <v>0</v>
      </c>
      <c r="O1248" s="2133">
        <f t="shared" si="272"/>
        <v>0</v>
      </c>
      <c r="P1248" s="2133">
        <f t="shared" si="273"/>
        <v>-0.31400000000000006</v>
      </c>
      <c r="Q1248" s="2133">
        <f t="shared" si="274"/>
        <v>0</v>
      </c>
    </row>
    <row r="1249" spans="1:19">
      <c r="A1249" s="2133" t="str">
        <f t="shared" si="265"/>
        <v>K17</v>
      </c>
      <c r="B1249" s="2133">
        <f t="shared" si="265"/>
        <v>0</v>
      </c>
      <c r="C1249" s="2133">
        <f t="shared" si="265"/>
        <v>0</v>
      </c>
      <c r="D1249" s="2133">
        <f t="shared" si="266"/>
        <v>0</v>
      </c>
      <c r="E1249" s="2133">
        <f t="shared" si="266"/>
        <v>0</v>
      </c>
      <c r="F1249" s="2133">
        <f t="shared" si="266"/>
        <v>0</v>
      </c>
      <c r="G1249" s="2133">
        <f t="shared" si="266"/>
        <v>0</v>
      </c>
      <c r="H1249" s="2133">
        <f t="shared" si="275"/>
        <v>0</v>
      </c>
      <c r="I1249" s="2133">
        <f t="shared" si="267"/>
        <v>0</v>
      </c>
      <c r="J1249" s="2133">
        <f t="shared" si="268"/>
        <v>0</v>
      </c>
      <c r="K1249" s="2133">
        <f t="shared" si="269"/>
        <v>0</v>
      </c>
      <c r="M1249" s="2133">
        <f t="shared" si="270"/>
        <v>0</v>
      </c>
      <c r="N1249" s="2133">
        <f t="shared" si="271"/>
        <v>0</v>
      </c>
      <c r="O1249" s="2133">
        <f t="shared" si="272"/>
        <v>0</v>
      </c>
      <c r="P1249" s="2133">
        <f t="shared" si="273"/>
        <v>-0.31400000000000006</v>
      </c>
      <c r="Q1249" s="2133">
        <f t="shared" si="274"/>
        <v>0</v>
      </c>
    </row>
    <row r="1250" spans="1:19" ht="15" customHeight="1">
      <c r="A1250" s="2133" t="str">
        <f t="shared" si="265"/>
        <v>K18</v>
      </c>
      <c r="B1250" s="2133">
        <f t="shared" si="265"/>
        <v>0</v>
      </c>
      <c r="C1250" s="2133">
        <f t="shared" si="265"/>
        <v>0</v>
      </c>
      <c r="D1250" s="2133">
        <f t="shared" si="266"/>
        <v>0</v>
      </c>
      <c r="E1250" s="2133">
        <f t="shared" si="266"/>
        <v>0</v>
      </c>
      <c r="F1250" s="2133">
        <f t="shared" si="266"/>
        <v>0</v>
      </c>
      <c r="G1250" s="2133">
        <f t="shared" si="266"/>
        <v>0</v>
      </c>
      <c r="H1250" s="2133">
        <f t="shared" si="275"/>
        <v>0</v>
      </c>
      <c r="I1250" s="2133">
        <f t="shared" si="267"/>
        <v>0</v>
      </c>
      <c r="J1250" s="2133">
        <f t="shared" si="268"/>
        <v>0</v>
      </c>
      <c r="K1250" s="2133">
        <f t="shared" si="269"/>
        <v>0</v>
      </c>
      <c r="M1250" s="2145">
        <f t="shared" si="270"/>
        <v>0</v>
      </c>
      <c r="N1250" s="2145">
        <f t="shared" si="271"/>
        <v>0</v>
      </c>
      <c r="O1250" s="2145">
        <f t="shared" si="272"/>
        <v>0</v>
      </c>
      <c r="P1250" s="2133">
        <f t="shared" si="273"/>
        <v>-0.31400000000000006</v>
      </c>
      <c r="Q1250" s="2145">
        <f t="shared" si="274"/>
        <v>0</v>
      </c>
    </row>
    <row r="1251" spans="1:19" ht="15" customHeight="1">
      <c r="F1251" s="2804" t="s">
        <v>2074</v>
      </c>
      <c r="G1251" s="2805"/>
      <c r="H1251" s="2133">
        <f>SUM(H1233:H1250)</f>
        <v>0</v>
      </c>
      <c r="I1251" s="2133">
        <f>SUM(I1233:I1250)</f>
        <v>0</v>
      </c>
      <c r="J1251" s="2133">
        <f>SUM(J1233:J1250)</f>
        <v>0</v>
      </c>
      <c r="K1251" s="2133">
        <f>SUM(K1233:K1250)</f>
        <v>0</v>
      </c>
      <c r="M1251" s="2804" t="s">
        <v>1972</v>
      </c>
      <c r="N1251" s="2805"/>
      <c r="O1251" s="2805"/>
      <c r="P1251" s="2837"/>
      <c r="Q1251" s="2135">
        <f>SUMIF($I$134:$I$151,S1251,$Q$1233:$Q$1250)</f>
        <v>0</v>
      </c>
      <c r="R1251" s="2139">
        <f>Q1251*0.4</f>
        <v>0</v>
      </c>
      <c r="S1251" s="2086">
        <v>8</v>
      </c>
    </row>
    <row r="1252" spans="1:19" ht="15">
      <c r="F1252" s="2804" t="s">
        <v>2075</v>
      </c>
      <c r="G1252" s="2805"/>
      <c r="H1252" s="2159">
        <f>H1251*1.58</f>
        <v>0</v>
      </c>
      <c r="I1252" s="2133">
        <f>I1251*1.04</f>
        <v>0</v>
      </c>
      <c r="J1252" s="2159">
        <f>J1251*0.89</f>
        <v>0</v>
      </c>
      <c r="K1252" s="2203">
        <f>K1251*0.62</f>
        <v>0</v>
      </c>
      <c r="M1252" s="2804" t="s">
        <v>2431</v>
      </c>
      <c r="N1252" s="2805"/>
      <c r="O1252" s="2805"/>
      <c r="P1252" s="2837"/>
      <c r="Q1252" s="2135">
        <f>SUMIF($I$134:$I$151,S1252,$Q$1233:$Q$1250)</f>
        <v>0</v>
      </c>
      <c r="R1252" s="2139">
        <f>Q1252*0.62</f>
        <v>0</v>
      </c>
      <c r="S1252" s="2086">
        <v>10</v>
      </c>
    </row>
    <row r="1254" spans="1:19">
      <c r="A1254" s="2176" t="s">
        <v>1796</v>
      </c>
      <c r="B1254" s="2176" t="s">
        <v>1608</v>
      </c>
      <c r="C1254" s="2176" t="s">
        <v>2062</v>
      </c>
      <c r="D1254" s="2176" t="s">
        <v>1807</v>
      </c>
      <c r="E1254" s="2176" t="s">
        <v>1997</v>
      </c>
      <c r="F1254" s="2176" t="s">
        <v>1568</v>
      </c>
      <c r="M1254" s="2133" t="s">
        <v>1607</v>
      </c>
      <c r="N1254" s="2133" t="s">
        <v>1611</v>
      </c>
      <c r="O1254" s="2133" t="s">
        <v>1168</v>
      </c>
      <c r="P1254" s="2133" t="s">
        <v>1205</v>
      </c>
      <c r="Q1254" s="2133" t="s">
        <v>1243</v>
      </c>
    </row>
    <row r="1255" spans="1:19">
      <c r="A1255" s="2133" t="str">
        <f t="shared" ref="A1255:C1256" si="284">A1227</f>
        <v>KP1</v>
      </c>
      <c r="B1255" s="2133">
        <f t="shared" si="284"/>
        <v>0</v>
      </c>
      <c r="C1255" s="2133">
        <f t="shared" si="284"/>
        <v>0</v>
      </c>
      <c r="D1255" s="2133">
        <f>D183</f>
        <v>4</v>
      </c>
      <c r="E1255" s="2133"/>
      <c r="F1255" s="2133">
        <f>B1255*C1255*D1255</f>
        <v>0</v>
      </c>
      <c r="M1255" s="2133">
        <f>(B1255/2)/0.2</f>
        <v>0</v>
      </c>
      <c r="N1255" s="2133">
        <f>(B1255/2)/0.1</f>
        <v>0</v>
      </c>
      <c r="O1255" s="2133">
        <f>SUM(M1255:N1255)*C1255</f>
        <v>0</v>
      </c>
      <c r="P1255" s="2133">
        <f>P183</f>
        <v>0.4</v>
      </c>
      <c r="Q1255" s="2133">
        <f>O1255*P1255</f>
        <v>0</v>
      </c>
    </row>
    <row r="1256" spans="1:19" ht="15" customHeight="1">
      <c r="A1256" s="2133" t="str">
        <f t="shared" si="284"/>
        <v>KP2</v>
      </c>
      <c r="B1256" s="2133">
        <f t="shared" si="284"/>
        <v>0</v>
      </c>
      <c r="C1256" s="2133">
        <f t="shared" si="284"/>
        <v>0</v>
      </c>
      <c r="D1256" s="2133">
        <f>D184</f>
        <v>4</v>
      </c>
      <c r="E1256" s="2133">
        <v>0</v>
      </c>
      <c r="F1256" s="2133">
        <f>B1256*C1256*D1256</f>
        <v>0</v>
      </c>
      <c r="M1256" s="2145">
        <f>(B1256/2)/0.2</f>
        <v>0</v>
      </c>
      <c r="N1256" s="2145">
        <f>(B1256/2)/0.1</f>
        <v>0</v>
      </c>
      <c r="O1256" s="2145">
        <f>SUM(M1256:N1256)*C1256</f>
        <v>0</v>
      </c>
      <c r="P1256" s="2133">
        <f>P184</f>
        <v>0</v>
      </c>
      <c r="Q1256" s="2145">
        <f>O1256*P1256</f>
        <v>0</v>
      </c>
    </row>
    <row r="1257" spans="1:19" ht="15" customHeight="1">
      <c r="D1257" s="2804" t="s">
        <v>2074</v>
      </c>
      <c r="E1257" s="2805"/>
      <c r="F1257" s="2133">
        <f>SUM(F1255:F1256)</f>
        <v>0</v>
      </c>
      <c r="M1257" s="2804" t="s">
        <v>2109</v>
      </c>
      <c r="N1257" s="2805"/>
      <c r="O1257" s="2805"/>
      <c r="P1257" s="2837"/>
      <c r="Q1257" s="2135">
        <f>SUM(Q1255:Q1256)</f>
        <v>0</v>
      </c>
    </row>
    <row r="1258" spans="1:19" ht="15">
      <c r="D1258" s="2804" t="s">
        <v>2075</v>
      </c>
      <c r="E1258" s="2805"/>
      <c r="F1258" s="2159">
        <f>F1257*0.62</f>
        <v>0</v>
      </c>
      <c r="M1258" s="2804" t="s">
        <v>2108</v>
      </c>
      <c r="N1258" s="2805"/>
      <c r="O1258" s="2805"/>
      <c r="P1258" s="2837"/>
      <c r="Q1258" s="2159">
        <f>Q1257*0.4</f>
        <v>0</v>
      </c>
    </row>
    <row r="1260" spans="1:19">
      <c r="A1260" s="2176" t="s">
        <v>1612</v>
      </c>
      <c r="B1260" s="2176" t="s">
        <v>1608</v>
      </c>
      <c r="C1260" s="2176" t="s">
        <v>2062</v>
      </c>
      <c r="D1260" s="2176" t="s">
        <v>2089</v>
      </c>
      <c r="E1260" s="2176" t="s">
        <v>1568</v>
      </c>
    </row>
    <row r="1261" spans="1:19">
      <c r="A1261" s="2087" t="str">
        <f t="shared" ref="A1261:C1278" si="285">A1206</f>
        <v>K1</v>
      </c>
      <c r="B1261" s="2087">
        <f t="shared" si="285"/>
        <v>0</v>
      </c>
      <c r="C1261" s="2087">
        <f t="shared" si="285"/>
        <v>0</v>
      </c>
      <c r="D1261" s="2133">
        <f t="shared" ref="D1261:D1278" si="286">D189</f>
        <v>2.2000000000000002</v>
      </c>
      <c r="E1261" s="2087">
        <f t="shared" ref="E1261:E1278" si="287">B1261*C1261*D1261</f>
        <v>0</v>
      </c>
    </row>
    <row r="1262" spans="1:19">
      <c r="A1262" s="2133" t="str">
        <f t="shared" si="285"/>
        <v>K2</v>
      </c>
      <c r="B1262" s="2087">
        <f t="shared" si="285"/>
        <v>0</v>
      </c>
      <c r="C1262" s="2087">
        <f t="shared" si="285"/>
        <v>0</v>
      </c>
      <c r="D1262" s="2133">
        <f t="shared" si="286"/>
        <v>0</v>
      </c>
      <c r="E1262" s="2133">
        <f t="shared" si="287"/>
        <v>0</v>
      </c>
    </row>
    <row r="1263" spans="1:19" s="2238" customFormat="1">
      <c r="A1263" s="2133" t="str">
        <f t="shared" si="285"/>
        <v>K3</v>
      </c>
      <c r="B1263" s="2236">
        <f t="shared" si="285"/>
        <v>0</v>
      </c>
      <c r="C1263" s="2236">
        <f t="shared" si="285"/>
        <v>0</v>
      </c>
      <c r="D1263" s="2133">
        <f t="shared" si="286"/>
        <v>1.2000000000000002</v>
      </c>
      <c r="E1263" s="2133">
        <f t="shared" ref="E1263:E1270" si="288">B1263*C1263*D1263</f>
        <v>0</v>
      </c>
    </row>
    <row r="1264" spans="1:19" s="2238" customFormat="1">
      <c r="A1264" s="2133" t="str">
        <f t="shared" si="285"/>
        <v>K4</v>
      </c>
      <c r="B1264" s="2236">
        <f t="shared" si="285"/>
        <v>0</v>
      </c>
      <c r="C1264" s="2236">
        <f t="shared" si="285"/>
        <v>0</v>
      </c>
      <c r="D1264" s="2133">
        <f t="shared" si="286"/>
        <v>1.1000000000000001</v>
      </c>
      <c r="E1264" s="2133">
        <f t="shared" si="288"/>
        <v>0</v>
      </c>
    </row>
    <row r="1265" spans="1:5" s="2238" customFormat="1">
      <c r="A1265" s="2133" t="str">
        <f t="shared" si="285"/>
        <v>K5</v>
      </c>
      <c r="B1265" s="2236">
        <f t="shared" si="285"/>
        <v>0</v>
      </c>
      <c r="C1265" s="2236">
        <f t="shared" si="285"/>
        <v>0</v>
      </c>
      <c r="D1265" s="2133">
        <f t="shared" si="286"/>
        <v>0.89999999999999991</v>
      </c>
      <c r="E1265" s="2133">
        <f t="shared" si="288"/>
        <v>0</v>
      </c>
    </row>
    <row r="1266" spans="1:5" s="2238" customFormat="1">
      <c r="A1266" s="2133" t="str">
        <f t="shared" si="285"/>
        <v>K6</v>
      </c>
      <c r="B1266" s="2236">
        <f t="shared" si="285"/>
        <v>0</v>
      </c>
      <c r="C1266" s="2236">
        <f t="shared" si="285"/>
        <v>0</v>
      </c>
      <c r="D1266" s="2133">
        <f t="shared" si="286"/>
        <v>1</v>
      </c>
      <c r="E1266" s="2133">
        <f t="shared" si="288"/>
        <v>0</v>
      </c>
    </row>
    <row r="1267" spans="1:5" s="2238" customFormat="1">
      <c r="A1267" s="2133" t="str">
        <f t="shared" si="285"/>
        <v>K7</v>
      </c>
      <c r="B1267" s="2236">
        <f t="shared" si="285"/>
        <v>0</v>
      </c>
      <c r="C1267" s="2236">
        <f t="shared" si="285"/>
        <v>0</v>
      </c>
      <c r="D1267" s="2133">
        <f t="shared" si="286"/>
        <v>0.8</v>
      </c>
      <c r="E1267" s="2133">
        <f t="shared" si="288"/>
        <v>0</v>
      </c>
    </row>
    <row r="1268" spans="1:5" s="2238" customFormat="1">
      <c r="A1268" s="2133" t="str">
        <f t="shared" si="285"/>
        <v>K8</v>
      </c>
      <c r="B1268" s="2236">
        <f t="shared" si="285"/>
        <v>0</v>
      </c>
      <c r="C1268" s="2236">
        <f t="shared" si="285"/>
        <v>0</v>
      </c>
      <c r="D1268" s="2133">
        <f t="shared" si="286"/>
        <v>0</v>
      </c>
      <c r="E1268" s="2133">
        <f t="shared" si="288"/>
        <v>0</v>
      </c>
    </row>
    <row r="1269" spans="1:5" s="2238" customFormat="1" ht="15" customHeight="1">
      <c r="A1269" s="2133" t="str">
        <f t="shared" si="285"/>
        <v>K9</v>
      </c>
      <c r="B1269" s="2236">
        <f t="shared" si="285"/>
        <v>0</v>
      </c>
      <c r="C1269" s="2236">
        <f t="shared" si="285"/>
        <v>0</v>
      </c>
      <c r="D1269" s="2133">
        <f t="shared" si="286"/>
        <v>0</v>
      </c>
      <c r="E1269" s="2133">
        <f t="shared" si="288"/>
        <v>0</v>
      </c>
    </row>
    <row r="1270" spans="1:5" s="2238" customFormat="1" ht="15" customHeight="1">
      <c r="A1270" s="2133" t="str">
        <f t="shared" si="285"/>
        <v>K10</v>
      </c>
      <c r="B1270" s="2236">
        <f t="shared" si="285"/>
        <v>0</v>
      </c>
      <c r="C1270" s="2236">
        <f t="shared" si="285"/>
        <v>0</v>
      </c>
      <c r="D1270" s="2133">
        <f t="shared" si="286"/>
        <v>0</v>
      </c>
      <c r="E1270" s="2133">
        <f t="shared" si="288"/>
        <v>0</v>
      </c>
    </row>
    <row r="1271" spans="1:5">
      <c r="A1271" s="2133" t="str">
        <f t="shared" si="285"/>
        <v>K11</v>
      </c>
      <c r="B1271" s="2087">
        <f t="shared" si="285"/>
        <v>0</v>
      </c>
      <c r="C1271" s="2087">
        <f t="shared" si="285"/>
        <v>0</v>
      </c>
      <c r="D1271" s="2133">
        <f t="shared" si="286"/>
        <v>0</v>
      </c>
      <c r="E1271" s="2133">
        <f t="shared" si="287"/>
        <v>0</v>
      </c>
    </row>
    <row r="1272" spans="1:5">
      <c r="A1272" s="2133" t="str">
        <f t="shared" si="285"/>
        <v>K12</v>
      </c>
      <c r="B1272" s="2087">
        <f t="shared" si="285"/>
        <v>0</v>
      </c>
      <c r="C1272" s="2087">
        <f t="shared" si="285"/>
        <v>0</v>
      </c>
      <c r="D1272" s="2133">
        <f t="shared" si="286"/>
        <v>0</v>
      </c>
      <c r="E1272" s="2133">
        <f t="shared" si="287"/>
        <v>0</v>
      </c>
    </row>
    <row r="1273" spans="1:5">
      <c r="A1273" s="2133" t="str">
        <f t="shared" si="285"/>
        <v>K13</v>
      </c>
      <c r="B1273" s="2087">
        <f t="shared" si="285"/>
        <v>0</v>
      </c>
      <c r="C1273" s="2087">
        <f t="shared" si="285"/>
        <v>0</v>
      </c>
      <c r="D1273" s="2133">
        <f t="shared" si="286"/>
        <v>0</v>
      </c>
      <c r="E1273" s="2133">
        <f t="shared" si="287"/>
        <v>0</v>
      </c>
    </row>
    <row r="1274" spans="1:5">
      <c r="A1274" s="2133" t="str">
        <f t="shared" si="285"/>
        <v>K14</v>
      </c>
      <c r="B1274" s="2087">
        <f t="shared" si="285"/>
        <v>0</v>
      </c>
      <c r="C1274" s="2087">
        <f t="shared" si="285"/>
        <v>0</v>
      </c>
      <c r="D1274" s="2133">
        <f t="shared" si="286"/>
        <v>0</v>
      </c>
      <c r="E1274" s="2133">
        <f t="shared" si="287"/>
        <v>0</v>
      </c>
    </row>
    <row r="1275" spans="1:5">
      <c r="A1275" s="2133" t="str">
        <f t="shared" si="285"/>
        <v>K15</v>
      </c>
      <c r="B1275" s="2087">
        <f t="shared" si="285"/>
        <v>0</v>
      </c>
      <c r="C1275" s="2087">
        <f t="shared" si="285"/>
        <v>0</v>
      </c>
      <c r="D1275" s="2133">
        <f t="shared" si="286"/>
        <v>0</v>
      </c>
      <c r="E1275" s="2133">
        <f t="shared" si="287"/>
        <v>0</v>
      </c>
    </row>
    <row r="1276" spans="1:5">
      <c r="A1276" s="2133" t="str">
        <f t="shared" si="285"/>
        <v>K16</v>
      </c>
      <c r="B1276" s="2087">
        <f t="shared" si="285"/>
        <v>0</v>
      </c>
      <c r="C1276" s="2087">
        <f t="shared" si="285"/>
        <v>0</v>
      </c>
      <c r="D1276" s="2133">
        <f t="shared" si="286"/>
        <v>0</v>
      </c>
      <c r="E1276" s="2133">
        <f t="shared" si="287"/>
        <v>0</v>
      </c>
    </row>
    <row r="1277" spans="1:5" ht="15" customHeight="1">
      <c r="A1277" s="2133" t="str">
        <f t="shared" si="285"/>
        <v>K17</v>
      </c>
      <c r="B1277" s="2087">
        <f t="shared" si="285"/>
        <v>0</v>
      </c>
      <c r="C1277" s="2087">
        <f t="shared" si="285"/>
        <v>0</v>
      </c>
      <c r="D1277" s="2133">
        <f t="shared" si="286"/>
        <v>0</v>
      </c>
      <c r="E1277" s="2133">
        <f t="shared" si="287"/>
        <v>0</v>
      </c>
    </row>
    <row r="1278" spans="1:5" ht="15" customHeight="1">
      <c r="A1278" s="2133" t="str">
        <f t="shared" si="285"/>
        <v>K18</v>
      </c>
      <c r="B1278" s="2087">
        <f t="shared" si="285"/>
        <v>0</v>
      </c>
      <c r="C1278" s="2087">
        <f t="shared" si="285"/>
        <v>0</v>
      </c>
      <c r="D1278" s="2133">
        <f t="shared" si="286"/>
        <v>0</v>
      </c>
      <c r="E1278" s="2133">
        <f t="shared" si="287"/>
        <v>0</v>
      </c>
    </row>
    <row r="1279" spans="1:5" ht="14.25" customHeight="1">
      <c r="D1279" s="2146" t="s">
        <v>2076</v>
      </c>
      <c r="E1279" s="2178">
        <f>SUM(E1261:E1278)</f>
        <v>0</v>
      </c>
    </row>
    <row r="1280" spans="1:5" ht="14.25" customHeight="1">
      <c r="D1280" s="2148"/>
      <c r="E1280" s="2178"/>
    </row>
    <row r="1283" spans="1:43">
      <c r="A1283" s="2176" t="s">
        <v>1612</v>
      </c>
      <c r="B1283" s="2176" t="s">
        <v>1608</v>
      </c>
      <c r="C1283" s="2176" t="s">
        <v>2062</v>
      </c>
      <c r="D1283" s="2176" t="s">
        <v>2088</v>
      </c>
      <c r="E1283" s="2176" t="s">
        <v>1568</v>
      </c>
    </row>
    <row r="1284" spans="1:43">
      <c r="A1284" s="2087" t="str">
        <f t="shared" ref="A1284:C1285" si="289">A1255</f>
        <v>KP1</v>
      </c>
      <c r="B1284" s="2087">
        <f t="shared" si="289"/>
        <v>0</v>
      </c>
      <c r="C1284" s="2087">
        <f t="shared" si="289"/>
        <v>0</v>
      </c>
      <c r="D1284" s="2133">
        <f>D212</f>
        <v>0.6</v>
      </c>
      <c r="E1284" s="2087">
        <f>B1284*C1284*D1284</f>
        <v>0</v>
      </c>
    </row>
    <row r="1285" spans="1:43">
      <c r="A1285" s="2133" t="str">
        <f t="shared" si="289"/>
        <v>KP2</v>
      </c>
      <c r="B1285" s="2133">
        <f t="shared" si="289"/>
        <v>0</v>
      </c>
      <c r="C1285" s="2133">
        <f t="shared" si="289"/>
        <v>0</v>
      </c>
      <c r="D1285" s="2133">
        <f>D213</f>
        <v>0.6</v>
      </c>
      <c r="E1285" s="2133">
        <f>B1285*C1285*D1285</f>
        <v>0</v>
      </c>
      <c r="V1285" s="2107"/>
      <c r="W1285" s="2107"/>
      <c r="X1285" s="2107"/>
      <c r="Y1285" s="2107"/>
      <c r="Z1285" s="2107"/>
      <c r="AA1285" s="2107"/>
      <c r="AB1285" s="2107"/>
      <c r="AC1285" s="2107"/>
      <c r="AD1285" s="2107"/>
      <c r="AE1285" s="2107"/>
      <c r="AF1285" s="2107"/>
      <c r="AG1285" s="2107"/>
      <c r="AH1285" s="2107"/>
      <c r="AI1285" s="2107"/>
      <c r="AJ1285" s="2107"/>
      <c r="AK1285" s="2107"/>
      <c r="AL1285" s="2107"/>
      <c r="AM1285" s="2107"/>
      <c r="AN1285" s="2107"/>
      <c r="AO1285" s="2107"/>
      <c r="AP1285" s="2107"/>
      <c r="AQ1285" s="2107"/>
    </row>
    <row r="1286" spans="1:43" ht="30">
      <c r="D1286" s="2138" t="s">
        <v>2076</v>
      </c>
      <c r="E1286" s="2159">
        <f>SUM(E1284:E1285)</f>
        <v>0</v>
      </c>
      <c r="V1286" s="2107"/>
      <c r="W1286" s="2833"/>
      <c r="X1286" s="2833"/>
      <c r="Y1286" s="2833"/>
      <c r="Z1286" s="2833"/>
      <c r="AA1286" s="2833"/>
      <c r="AB1286" s="2833"/>
      <c r="AC1286" s="2833"/>
      <c r="AD1286" s="2833"/>
      <c r="AE1286" s="2107"/>
      <c r="AF1286" s="2107"/>
      <c r="AG1286" s="2107"/>
      <c r="AH1286" s="2107"/>
      <c r="AI1286" s="2107"/>
      <c r="AJ1286" s="2107"/>
      <c r="AK1286" s="2107"/>
      <c r="AL1286" s="2107"/>
      <c r="AM1286" s="2107"/>
      <c r="AN1286" s="2107"/>
      <c r="AO1286" s="2107"/>
      <c r="AP1286" s="2107"/>
      <c r="AQ1286" s="2107"/>
    </row>
    <row r="1287" spans="1:43" s="2207" customFormat="1">
      <c r="U1287" s="2208"/>
      <c r="V1287" s="2208"/>
      <c r="W1287" s="2208"/>
      <c r="X1287" s="2208"/>
      <c r="Y1287" s="2209"/>
      <c r="Z1287" s="2208"/>
      <c r="AA1287" s="2209"/>
      <c r="AB1287" s="2208"/>
      <c r="AC1287" s="2208"/>
      <c r="AD1287" s="2208"/>
      <c r="AE1287" s="2208"/>
      <c r="AF1287" s="2208"/>
      <c r="AG1287" s="2208"/>
      <c r="AH1287" s="2208"/>
      <c r="AI1287" s="2208"/>
      <c r="AJ1287" s="2208"/>
      <c r="AK1287" s="2208"/>
      <c r="AL1287" s="2208"/>
      <c r="AM1287" s="2208"/>
      <c r="AN1287" s="2208"/>
      <c r="AO1287" s="2208"/>
      <c r="AP1287" s="2208"/>
    </row>
    <row r="1288" spans="1:43">
      <c r="A1288" s="2831" t="s">
        <v>2446</v>
      </c>
      <c r="B1288" s="2832"/>
      <c r="C1288" s="2832"/>
      <c r="D1288" s="2832"/>
      <c r="E1288" s="2832"/>
      <c r="F1288" s="2832"/>
      <c r="G1288" s="2836"/>
      <c r="H1288" s="2831" t="s">
        <v>1568</v>
      </c>
      <c r="I1288" s="2832"/>
      <c r="J1288" s="2832"/>
      <c r="K1288" s="2832"/>
      <c r="L1288" s="2836"/>
      <c r="N1288" s="2831" t="s">
        <v>1610</v>
      </c>
      <c r="O1288" s="2832"/>
      <c r="P1288" s="2832"/>
      <c r="Q1288" s="2832"/>
      <c r="R1288" s="2836"/>
      <c r="U1288" s="2107"/>
      <c r="V1288" s="2107"/>
      <c r="W1288" s="2107"/>
      <c r="X1288" s="2107"/>
      <c r="Y1288" s="2107"/>
      <c r="Z1288" s="2107"/>
      <c r="AA1288" s="2107"/>
      <c r="AB1288" s="2107"/>
      <c r="AC1288" s="2107"/>
      <c r="AD1288" s="2107"/>
      <c r="AE1288" s="2107"/>
      <c r="AF1288" s="2107"/>
      <c r="AG1288" s="2107"/>
      <c r="AH1288" s="2107"/>
      <c r="AI1288" s="2107"/>
      <c r="AJ1288" s="2107"/>
      <c r="AK1288" s="2107"/>
      <c r="AL1288" s="2107"/>
      <c r="AM1288" s="2107"/>
      <c r="AN1288" s="2107"/>
      <c r="AO1288" s="2107"/>
      <c r="AP1288" s="2107"/>
    </row>
    <row r="1289" spans="1:43" ht="15">
      <c r="A1289" s="2087" t="s">
        <v>1796</v>
      </c>
      <c r="B1289" s="2154" t="s">
        <v>2004</v>
      </c>
      <c r="C1289" s="2087" t="s">
        <v>1609</v>
      </c>
      <c r="D1289" s="2088" t="s">
        <v>2098</v>
      </c>
      <c r="E1289" s="2187" t="s">
        <v>2099</v>
      </c>
      <c r="F1289" s="2088" t="s">
        <v>2440</v>
      </c>
      <c r="G1289" s="2087" t="s">
        <v>2107</v>
      </c>
      <c r="H1289" s="2087" t="s">
        <v>2100</v>
      </c>
      <c r="I1289" s="2087" t="s">
        <v>2101</v>
      </c>
      <c r="J1289" s="2087" t="s">
        <v>2102</v>
      </c>
      <c r="K1289" s="2087" t="s">
        <v>2103</v>
      </c>
      <c r="L1289" s="2087" t="s">
        <v>2104</v>
      </c>
      <c r="N1289" s="2133" t="s">
        <v>1607</v>
      </c>
      <c r="O1289" s="2133" t="s">
        <v>1611</v>
      </c>
      <c r="P1289" s="2133" t="s">
        <v>1168</v>
      </c>
      <c r="Q1289" s="2133" t="s">
        <v>1205</v>
      </c>
      <c r="R1289" s="2133" t="s">
        <v>1243</v>
      </c>
      <c r="U1289" s="2107"/>
      <c r="V1289" s="2107"/>
      <c r="W1289" s="2107"/>
      <c r="X1289" s="2107"/>
      <c r="Y1289" s="2107"/>
      <c r="Z1289" s="2107"/>
      <c r="AA1289" s="2107"/>
      <c r="AB1289" s="2107"/>
      <c r="AC1289" s="2107"/>
      <c r="AD1289" s="2107"/>
      <c r="AE1289" s="2107"/>
      <c r="AF1289" s="2107"/>
      <c r="AG1289" s="2107"/>
      <c r="AH1289" s="2107"/>
      <c r="AI1289" s="2107"/>
      <c r="AJ1289" s="2107"/>
      <c r="AK1289" s="2107"/>
      <c r="AL1289" s="2107"/>
      <c r="AM1289" s="2107"/>
      <c r="AN1289" s="2107"/>
      <c r="AO1289" s="2107"/>
      <c r="AP1289" s="2107"/>
    </row>
    <row r="1290" spans="1:43">
      <c r="A1290" s="2134" t="s">
        <v>187</v>
      </c>
      <c r="B1290" s="2133">
        <f t="shared" ref="B1290:B1309" si="290">Q33</f>
        <v>0</v>
      </c>
      <c r="C1290" s="2135">
        <f t="shared" ref="C1290:G1304" si="291">C418</f>
        <v>10</v>
      </c>
      <c r="D1290" s="2133">
        <f t="shared" si="291"/>
        <v>0</v>
      </c>
      <c r="E1290" s="2133">
        <f t="shared" si="291"/>
        <v>0</v>
      </c>
      <c r="F1290" s="2133">
        <f t="shared" si="291"/>
        <v>0</v>
      </c>
      <c r="G1290" s="2133">
        <f t="shared" si="291"/>
        <v>0</v>
      </c>
      <c r="H1290" s="2133">
        <f>B1290*C1290</f>
        <v>0</v>
      </c>
      <c r="I1290" s="2133">
        <f>B1290*D1290</f>
        <v>0</v>
      </c>
      <c r="J1290" s="2133">
        <f t="shared" ref="J1290:J1310" si="292">B1290*E1290</f>
        <v>0</v>
      </c>
      <c r="K1290" s="2133">
        <f>B1290*F1290</f>
        <v>0</v>
      </c>
      <c r="L1290" s="2133">
        <f>B1290*G1290</f>
        <v>0</v>
      </c>
      <c r="N1290" s="2133">
        <f t="shared" ref="N1290:N1310" si="293">(B1290/2)/0.2</f>
        <v>0</v>
      </c>
      <c r="O1290" s="2133">
        <f t="shared" ref="O1290:O1310" si="294">(B1290/2)/0.1</f>
        <v>0</v>
      </c>
      <c r="P1290" s="2133">
        <f t="shared" ref="P1290:P1310" si="295">SUM(N1290:O1290)</f>
        <v>0</v>
      </c>
      <c r="Q1290" s="2133">
        <f t="shared" ref="Q1290:Q1304" si="296">Q418</f>
        <v>1</v>
      </c>
      <c r="R1290" s="2133">
        <f t="shared" ref="R1290:R1310" si="297">P1290*Q1290</f>
        <v>0</v>
      </c>
      <c r="U1290" s="2107"/>
      <c r="V1290" s="2107"/>
      <c r="W1290" s="2107"/>
      <c r="X1290" s="2107"/>
      <c r="Y1290" s="2107"/>
      <c r="Z1290" s="2107"/>
      <c r="AA1290" s="2107"/>
      <c r="AB1290" s="2107"/>
      <c r="AC1290" s="2107"/>
      <c r="AD1290" s="2107"/>
      <c r="AE1290" s="2107"/>
      <c r="AF1290" s="2107"/>
      <c r="AG1290" s="2107"/>
      <c r="AH1290" s="2107"/>
      <c r="AI1290" s="2107"/>
      <c r="AJ1290" s="2107"/>
      <c r="AK1290" s="2107"/>
      <c r="AL1290" s="2107"/>
      <c r="AM1290" s="2107"/>
      <c r="AN1290" s="2107"/>
      <c r="AO1290" s="2107"/>
      <c r="AP1290" s="2107"/>
    </row>
    <row r="1291" spans="1:43">
      <c r="A1291" s="2134" t="s">
        <v>173</v>
      </c>
      <c r="B1291" s="2133">
        <f t="shared" si="290"/>
        <v>0</v>
      </c>
      <c r="C1291" s="2135">
        <f t="shared" si="291"/>
        <v>10</v>
      </c>
      <c r="D1291" s="2133">
        <f t="shared" si="291"/>
        <v>0</v>
      </c>
      <c r="E1291" s="2133">
        <f t="shared" si="291"/>
        <v>0</v>
      </c>
      <c r="F1291" s="2133">
        <f t="shared" si="291"/>
        <v>1</v>
      </c>
      <c r="G1291" s="2133">
        <f t="shared" si="291"/>
        <v>0</v>
      </c>
      <c r="H1291" s="2133">
        <f>B1291*C1291</f>
        <v>0</v>
      </c>
      <c r="I1291" s="2133">
        <f t="shared" ref="I1291:I1310" si="298">B1291*D1291</f>
        <v>0</v>
      </c>
      <c r="J1291" s="2133">
        <f t="shared" si="292"/>
        <v>0</v>
      </c>
      <c r="K1291" s="2133">
        <f t="shared" ref="K1291:K1310" si="299">B1291*F1291</f>
        <v>0</v>
      </c>
      <c r="L1291" s="2133">
        <f t="shared" ref="L1291:L1310" si="300">B1291*G1291</f>
        <v>0</v>
      </c>
      <c r="N1291" s="2133">
        <f t="shared" si="293"/>
        <v>0</v>
      </c>
      <c r="O1291" s="2133">
        <f t="shared" si="294"/>
        <v>0</v>
      </c>
      <c r="P1291" s="2133">
        <f t="shared" si="295"/>
        <v>0</v>
      </c>
      <c r="Q1291" s="2133">
        <f t="shared" si="296"/>
        <v>1.1000000000000001</v>
      </c>
      <c r="R1291" s="2133">
        <f t="shared" si="297"/>
        <v>0</v>
      </c>
      <c r="U1291" s="2107"/>
      <c r="V1291" s="2107"/>
      <c r="W1291" s="2107"/>
      <c r="X1291" s="2107"/>
      <c r="Y1291" s="2107"/>
      <c r="Z1291" s="2107"/>
      <c r="AA1291" s="2107"/>
      <c r="AB1291" s="2107"/>
      <c r="AC1291" s="2107"/>
      <c r="AD1291" s="2107"/>
      <c r="AE1291" s="2107"/>
      <c r="AF1291" s="2107"/>
      <c r="AG1291" s="2107"/>
      <c r="AH1291" s="2107"/>
      <c r="AI1291" s="2107"/>
      <c r="AJ1291" s="2107"/>
      <c r="AK1291" s="2107"/>
      <c r="AL1291" s="2107"/>
      <c r="AM1291" s="2107"/>
      <c r="AN1291" s="2107"/>
      <c r="AO1291" s="2107"/>
      <c r="AP1291" s="2107"/>
    </row>
    <row r="1292" spans="1:43">
      <c r="A1292" s="2134" t="s">
        <v>172</v>
      </c>
      <c r="B1292" s="2133">
        <f t="shared" si="290"/>
        <v>0</v>
      </c>
      <c r="C1292" s="2135">
        <f t="shared" si="291"/>
        <v>10</v>
      </c>
      <c r="D1292" s="2133">
        <f t="shared" si="291"/>
        <v>0</v>
      </c>
      <c r="E1292" s="2133">
        <f t="shared" si="291"/>
        <v>0</v>
      </c>
      <c r="F1292" s="2133">
        <f t="shared" si="291"/>
        <v>3</v>
      </c>
      <c r="G1292" s="2133">
        <f t="shared" si="291"/>
        <v>0</v>
      </c>
      <c r="H1292" s="2133">
        <f>B1292*C1292</f>
        <v>0</v>
      </c>
      <c r="I1292" s="2133">
        <f t="shared" si="298"/>
        <v>0</v>
      </c>
      <c r="J1292" s="2133">
        <f t="shared" si="292"/>
        <v>0</v>
      </c>
      <c r="K1292" s="2133">
        <f t="shared" si="299"/>
        <v>0</v>
      </c>
      <c r="L1292" s="2133">
        <f t="shared" si="300"/>
        <v>0</v>
      </c>
      <c r="N1292" s="2133">
        <f t="shared" si="293"/>
        <v>0</v>
      </c>
      <c r="O1292" s="2133">
        <f t="shared" si="294"/>
        <v>0</v>
      </c>
      <c r="P1292" s="2133">
        <f t="shared" si="295"/>
        <v>0</v>
      </c>
      <c r="Q1292" s="2133">
        <f t="shared" si="296"/>
        <v>1.35</v>
      </c>
      <c r="R1292" s="2133">
        <f t="shared" si="297"/>
        <v>0</v>
      </c>
      <c r="U1292" s="2107"/>
      <c r="V1292" s="2107"/>
      <c r="W1292" s="2107"/>
      <c r="X1292" s="2107"/>
      <c r="Y1292" s="2107"/>
      <c r="Z1292" s="2107"/>
      <c r="AA1292" s="2107"/>
      <c r="AB1292" s="2107"/>
      <c r="AC1292" s="2107"/>
      <c r="AD1292" s="2107"/>
      <c r="AE1292" s="2107"/>
      <c r="AF1292" s="2107"/>
      <c r="AG1292" s="2107"/>
      <c r="AH1292" s="2107"/>
      <c r="AI1292" s="2107"/>
      <c r="AJ1292" s="2107"/>
      <c r="AK1292" s="2107"/>
      <c r="AL1292" s="2107"/>
      <c r="AM1292" s="2107"/>
      <c r="AN1292" s="2107"/>
      <c r="AO1292" s="2107"/>
      <c r="AP1292" s="2107"/>
    </row>
    <row r="1293" spans="1:43">
      <c r="A1293" s="2134" t="s">
        <v>174</v>
      </c>
      <c r="B1293" s="2133">
        <f t="shared" si="290"/>
        <v>0</v>
      </c>
      <c r="C1293" s="2135">
        <f t="shared" si="291"/>
        <v>6</v>
      </c>
      <c r="D1293" s="2133">
        <f t="shared" si="291"/>
        <v>0</v>
      </c>
      <c r="E1293" s="2133">
        <f t="shared" si="291"/>
        <v>0</v>
      </c>
      <c r="F1293" s="2133">
        <f t="shared" si="291"/>
        <v>4</v>
      </c>
      <c r="G1293" s="2133">
        <f t="shared" si="291"/>
        <v>0</v>
      </c>
      <c r="H1293" s="2133">
        <f t="shared" ref="H1293:H1310" si="301">B1293*C1293</f>
        <v>0</v>
      </c>
      <c r="I1293" s="2133">
        <f t="shared" si="298"/>
        <v>0</v>
      </c>
      <c r="J1293" s="2133">
        <f t="shared" si="292"/>
        <v>0</v>
      </c>
      <c r="K1293" s="2133">
        <f t="shared" si="299"/>
        <v>0</v>
      </c>
      <c r="L1293" s="2133">
        <f t="shared" si="300"/>
        <v>0</v>
      </c>
      <c r="N1293" s="2133">
        <f t="shared" si="293"/>
        <v>0</v>
      </c>
      <c r="O1293" s="2133">
        <f t="shared" si="294"/>
        <v>0</v>
      </c>
      <c r="P1293" s="2133">
        <f t="shared" si="295"/>
        <v>0</v>
      </c>
      <c r="Q1293" s="2133">
        <f t="shared" si="296"/>
        <v>0.7</v>
      </c>
      <c r="R1293" s="2133">
        <f t="shared" si="297"/>
        <v>0</v>
      </c>
      <c r="U1293" s="2107"/>
      <c r="V1293" s="2107"/>
      <c r="W1293" s="2107"/>
      <c r="X1293" s="2107"/>
      <c r="Y1293" s="2107"/>
      <c r="Z1293" s="2107"/>
      <c r="AA1293" s="2107"/>
      <c r="AB1293" s="2107"/>
      <c r="AC1293" s="2107"/>
      <c r="AD1293" s="2107"/>
      <c r="AE1293" s="2107"/>
      <c r="AF1293" s="2107"/>
      <c r="AG1293" s="2107"/>
      <c r="AH1293" s="2107"/>
      <c r="AI1293" s="2107"/>
      <c r="AJ1293" s="2107"/>
      <c r="AK1293" s="2107"/>
      <c r="AL1293" s="2107"/>
      <c r="AM1293" s="2107"/>
      <c r="AN1293" s="2107"/>
      <c r="AO1293" s="2107"/>
      <c r="AP1293" s="2107"/>
    </row>
    <row r="1294" spans="1:43">
      <c r="A1294" s="2134" t="s">
        <v>188</v>
      </c>
      <c r="B1294" s="2133">
        <f t="shared" si="290"/>
        <v>0</v>
      </c>
      <c r="C1294" s="2135">
        <f t="shared" si="291"/>
        <v>0</v>
      </c>
      <c r="D1294" s="2133">
        <f t="shared" si="291"/>
        <v>0</v>
      </c>
      <c r="E1294" s="2133">
        <f t="shared" si="291"/>
        <v>0</v>
      </c>
      <c r="F1294" s="2133">
        <f t="shared" si="291"/>
        <v>0</v>
      </c>
      <c r="G1294" s="2133">
        <f t="shared" si="291"/>
        <v>0</v>
      </c>
      <c r="H1294" s="2133">
        <f t="shared" si="301"/>
        <v>0</v>
      </c>
      <c r="I1294" s="2133">
        <f t="shared" si="298"/>
        <v>0</v>
      </c>
      <c r="J1294" s="2133">
        <f t="shared" si="292"/>
        <v>0</v>
      </c>
      <c r="K1294" s="2133">
        <f t="shared" si="299"/>
        <v>0</v>
      </c>
      <c r="L1294" s="2133">
        <f t="shared" si="300"/>
        <v>0</v>
      </c>
      <c r="N1294" s="2133">
        <f t="shared" si="293"/>
        <v>0</v>
      </c>
      <c r="O1294" s="2133">
        <f t="shared" si="294"/>
        <v>0</v>
      </c>
      <c r="P1294" s="2133">
        <f t="shared" si="295"/>
        <v>0</v>
      </c>
      <c r="Q1294" s="2133">
        <f t="shared" si="296"/>
        <v>-0.2</v>
      </c>
      <c r="R1294" s="2133">
        <f t="shared" si="297"/>
        <v>0</v>
      </c>
      <c r="U1294" s="2107"/>
      <c r="V1294" s="2107"/>
      <c r="W1294" s="2107"/>
      <c r="X1294" s="2107"/>
      <c r="Y1294" s="2107"/>
      <c r="Z1294" s="2107"/>
      <c r="AA1294" s="2107"/>
      <c r="AB1294" s="2107"/>
      <c r="AC1294" s="2107"/>
      <c r="AD1294" s="2107"/>
      <c r="AE1294" s="2107"/>
      <c r="AF1294" s="2107"/>
      <c r="AG1294" s="2107"/>
      <c r="AH1294" s="2107"/>
      <c r="AI1294" s="2107"/>
      <c r="AJ1294" s="2107"/>
      <c r="AK1294" s="2107"/>
      <c r="AL1294" s="2107"/>
      <c r="AM1294" s="2107"/>
      <c r="AN1294" s="2107"/>
      <c r="AO1294" s="2107"/>
      <c r="AP1294" s="2107"/>
    </row>
    <row r="1295" spans="1:43">
      <c r="A1295" s="2134" t="s">
        <v>1998</v>
      </c>
      <c r="B1295" s="2133">
        <f t="shared" si="290"/>
        <v>0</v>
      </c>
      <c r="C1295" s="2135">
        <f t="shared" si="291"/>
        <v>0</v>
      </c>
      <c r="D1295" s="2133">
        <f t="shared" si="291"/>
        <v>0</v>
      </c>
      <c r="E1295" s="2133">
        <f t="shared" si="291"/>
        <v>0</v>
      </c>
      <c r="F1295" s="2133">
        <f t="shared" si="291"/>
        <v>0</v>
      </c>
      <c r="G1295" s="2133">
        <f t="shared" si="291"/>
        <v>0</v>
      </c>
      <c r="H1295" s="2133">
        <f t="shared" si="301"/>
        <v>0</v>
      </c>
      <c r="I1295" s="2133">
        <f t="shared" si="298"/>
        <v>0</v>
      </c>
      <c r="J1295" s="2133">
        <f t="shared" si="292"/>
        <v>0</v>
      </c>
      <c r="K1295" s="2133">
        <f t="shared" si="299"/>
        <v>0</v>
      </c>
      <c r="L1295" s="2133">
        <f t="shared" si="300"/>
        <v>0</v>
      </c>
      <c r="N1295" s="2133">
        <f t="shared" si="293"/>
        <v>0</v>
      </c>
      <c r="O1295" s="2133">
        <f t="shared" si="294"/>
        <v>0</v>
      </c>
      <c r="P1295" s="2133">
        <f t="shared" si="295"/>
        <v>0</v>
      </c>
      <c r="Q1295" s="2133">
        <f t="shared" si="296"/>
        <v>-0.2</v>
      </c>
      <c r="R1295" s="2133">
        <f t="shared" si="297"/>
        <v>0</v>
      </c>
      <c r="U1295" s="2107"/>
      <c r="V1295" s="2107"/>
      <c r="W1295" s="2107"/>
      <c r="X1295" s="2107"/>
      <c r="Y1295" s="2107"/>
      <c r="Z1295" s="2107"/>
      <c r="AA1295" s="2107"/>
      <c r="AB1295" s="2107"/>
      <c r="AC1295" s="2107"/>
      <c r="AD1295" s="2107"/>
      <c r="AE1295" s="2107"/>
      <c r="AF1295" s="2107"/>
      <c r="AG1295" s="2107"/>
      <c r="AH1295" s="2107"/>
      <c r="AI1295" s="2107"/>
      <c r="AJ1295" s="2107"/>
      <c r="AK1295" s="2107"/>
      <c r="AL1295" s="2107"/>
      <c r="AM1295" s="2107"/>
      <c r="AN1295" s="2107"/>
      <c r="AO1295" s="2107"/>
      <c r="AP1295" s="2107"/>
    </row>
    <row r="1296" spans="1:43">
      <c r="A1296" s="2134" t="s">
        <v>1999</v>
      </c>
      <c r="B1296" s="2133">
        <f t="shared" si="290"/>
        <v>0</v>
      </c>
      <c r="C1296" s="2135">
        <f t="shared" si="291"/>
        <v>0</v>
      </c>
      <c r="D1296" s="2133">
        <f t="shared" si="291"/>
        <v>0</v>
      </c>
      <c r="E1296" s="2133">
        <f t="shared" si="291"/>
        <v>0</v>
      </c>
      <c r="F1296" s="2133">
        <f t="shared" si="291"/>
        <v>0</v>
      </c>
      <c r="G1296" s="2133">
        <f t="shared" si="291"/>
        <v>0</v>
      </c>
      <c r="H1296" s="2133">
        <f t="shared" si="301"/>
        <v>0</v>
      </c>
      <c r="I1296" s="2133">
        <f t="shared" si="298"/>
        <v>0</v>
      </c>
      <c r="J1296" s="2133">
        <f t="shared" si="292"/>
        <v>0</v>
      </c>
      <c r="K1296" s="2133">
        <f t="shared" si="299"/>
        <v>0</v>
      </c>
      <c r="L1296" s="2133">
        <f t="shared" si="300"/>
        <v>0</v>
      </c>
      <c r="N1296" s="2133">
        <f t="shared" si="293"/>
        <v>0</v>
      </c>
      <c r="O1296" s="2133">
        <f t="shared" si="294"/>
        <v>0</v>
      </c>
      <c r="P1296" s="2133">
        <f t="shared" si="295"/>
        <v>0</v>
      </c>
      <c r="Q1296" s="2133">
        <f t="shared" si="296"/>
        <v>-0.2</v>
      </c>
      <c r="R1296" s="2133">
        <f t="shared" si="297"/>
        <v>0</v>
      </c>
      <c r="U1296" s="2107"/>
      <c r="V1296" s="2107"/>
      <c r="W1296" s="2107"/>
      <c r="X1296" s="2107"/>
      <c r="Y1296" s="2107"/>
      <c r="Z1296" s="2107"/>
      <c r="AA1296" s="2107"/>
      <c r="AB1296" s="2107"/>
      <c r="AC1296" s="2107"/>
      <c r="AD1296" s="2107"/>
      <c r="AE1296" s="2107"/>
      <c r="AF1296" s="2107"/>
      <c r="AG1296" s="2107"/>
      <c r="AH1296" s="2107"/>
      <c r="AI1296" s="2107"/>
      <c r="AJ1296" s="2107"/>
      <c r="AK1296" s="2107"/>
      <c r="AL1296" s="2107"/>
      <c r="AM1296" s="2107"/>
      <c r="AN1296" s="2107"/>
      <c r="AO1296" s="2107"/>
      <c r="AP1296" s="2107"/>
    </row>
    <row r="1297" spans="1:43">
      <c r="A1297" s="2134" t="s">
        <v>2000</v>
      </c>
      <c r="B1297" s="2133">
        <f t="shared" si="290"/>
        <v>0</v>
      </c>
      <c r="C1297" s="2135">
        <f t="shared" si="291"/>
        <v>0</v>
      </c>
      <c r="D1297" s="2133">
        <f t="shared" si="291"/>
        <v>0</v>
      </c>
      <c r="E1297" s="2133">
        <f t="shared" si="291"/>
        <v>0</v>
      </c>
      <c r="F1297" s="2133">
        <f t="shared" si="291"/>
        <v>0</v>
      </c>
      <c r="G1297" s="2133">
        <f t="shared" si="291"/>
        <v>0</v>
      </c>
      <c r="H1297" s="2133">
        <f t="shared" si="301"/>
        <v>0</v>
      </c>
      <c r="I1297" s="2133">
        <f t="shared" si="298"/>
        <v>0</v>
      </c>
      <c r="J1297" s="2133">
        <f t="shared" si="292"/>
        <v>0</v>
      </c>
      <c r="K1297" s="2133">
        <f t="shared" si="299"/>
        <v>0</v>
      </c>
      <c r="L1297" s="2133">
        <f t="shared" si="300"/>
        <v>0</v>
      </c>
      <c r="N1297" s="2133">
        <f t="shared" si="293"/>
        <v>0</v>
      </c>
      <c r="O1297" s="2133">
        <f t="shared" si="294"/>
        <v>0</v>
      </c>
      <c r="P1297" s="2133">
        <f t="shared" si="295"/>
        <v>0</v>
      </c>
      <c r="Q1297" s="2133">
        <f t="shared" si="296"/>
        <v>-0.2</v>
      </c>
      <c r="R1297" s="2133">
        <f t="shared" si="297"/>
        <v>0</v>
      </c>
      <c r="U1297" s="2107"/>
      <c r="V1297" s="2107"/>
      <c r="W1297" s="2107"/>
      <c r="X1297" s="2107"/>
      <c r="Y1297" s="2107"/>
      <c r="Z1297" s="2107"/>
      <c r="AA1297" s="2107"/>
      <c r="AB1297" s="2107"/>
      <c r="AC1297" s="2107"/>
      <c r="AD1297" s="2107"/>
      <c r="AE1297" s="2107"/>
      <c r="AF1297" s="2107"/>
      <c r="AG1297" s="2107"/>
      <c r="AH1297" s="2107"/>
      <c r="AI1297" s="2107"/>
      <c r="AJ1297" s="2107"/>
      <c r="AK1297" s="2107"/>
      <c r="AL1297" s="2107"/>
      <c r="AM1297" s="2107"/>
      <c r="AN1297" s="2107"/>
      <c r="AO1297" s="2107"/>
      <c r="AP1297" s="2107"/>
    </row>
    <row r="1298" spans="1:43">
      <c r="A1298" s="2134" t="s">
        <v>2001</v>
      </c>
      <c r="B1298" s="2133">
        <f t="shared" si="290"/>
        <v>0</v>
      </c>
      <c r="C1298" s="2135">
        <f t="shared" si="291"/>
        <v>0</v>
      </c>
      <c r="D1298" s="2133">
        <f t="shared" si="291"/>
        <v>0</v>
      </c>
      <c r="E1298" s="2133">
        <f t="shared" si="291"/>
        <v>0</v>
      </c>
      <c r="F1298" s="2133">
        <f t="shared" si="291"/>
        <v>0</v>
      </c>
      <c r="G1298" s="2133">
        <f t="shared" si="291"/>
        <v>0</v>
      </c>
      <c r="H1298" s="2133">
        <f t="shared" si="301"/>
        <v>0</v>
      </c>
      <c r="I1298" s="2133">
        <f t="shared" si="298"/>
        <v>0</v>
      </c>
      <c r="J1298" s="2133">
        <f t="shared" si="292"/>
        <v>0</v>
      </c>
      <c r="K1298" s="2133">
        <f t="shared" si="299"/>
        <v>0</v>
      </c>
      <c r="L1298" s="2133">
        <f t="shared" si="300"/>
        <v>0</v>
      </c>
      <c r="N1298" s="2133">
        <f t="shared" si="293"/>
        <v>0</v>
      </c>
      <c r="O1298" s="2133">
        <f t="shared" si="294"/>
        <v>0</v>
      </c>
      <c r="P1298" s="2133">
        <f t="shared" si="295"/>
        <v>0</v>
      </c>
      <c r="Q1298" s="2133">
        <f t="shared" si="296"/>
        <v>-0.2</v>
      </c>
      <c r="R1298" s="2133">
        <f t="shared" si="297"/>
        <v>0</v>
      </c>
      <c r="U1298" s="2107"/>
      <c r="V1298" s="2107"/>
      <c r="W1298" s="2107"/>
      <c r="X1298" s="2107"/>
      <c r="Y1298" s="2107"/>
      <c r="Z1298" s="2107"/>
      <c r="AA1298" s="2107"/>
      <c r="AB1298" s="2107"/>
      <c r="AC1298" s="2107"/>
      <c r="AD1298" s="2107"/>
      <c r="AE1298" s="2107"/>
      <c r="AF1298" s="2107"/>
      <c r="AG1298" s="2107"/>
      <c r="AH1298" s="2107"/>
      <c r="AI1298" s="2107"/>
      <c r="AJ1298" s="2107"/>
      <c r="AK1298" s="2107"/>
      <c r="AL1298" s="2107"/>
      <c r="AM1298" s="2107"/>
      <c r="AN1298" s="2107"/>
      <c r="AO1298" s="2107"/>
      <c r="AP1298" s="2107"/>
    </row>
    <row r="1299" spans="1:43">
      <c r="A1299" s="2134" t="s">
        <v>2002</v>
      </c>
      <c r="B1299" s="2133">
        <f t="shared" si="290"/>
        <v>0</v>
      </c>
      <c r="C1299" s="2135">
        <f t="shared" si="291"/>
        <v>0</v>
      </c>
      <c r="D1299" s="2133">
        <f t="shared" si="291"/>
        <v>0</v>
      </c>
      <c r="E1299" s="2133">
        <f t="shared" si="291"/>
        <v>0</v>
      </c>
      <c r="F1299" s="2133">
        <f t="shared" si="291"/>
        <v>0</v>
      </c>
      <c r="G1299" s="2133">
        <f t="shared" si="291"/>
        <v>0</v>
      </c>
      <c r="H1299" s="2133">
        <f t="shared" si="301"/>
        <v>0</v>
      </c>
      <c r="I1299" s="2133">
        <f t="shared" si="298"/>
        <v>0</v>
      </c>
      <c r="J1299" s="2133">
        <f t="shared" si="292"/>
        <v>0</v>
      </c>
      <c r="K1299" s="2133">
        <f t="shared" si="299"/>
        <v>0</v>
      </c>
      <c r="L1299" s="2133">
        <f t="shared" si="300"/>
        <v>0</v>
      </c>
      <c r="N1299" s="2133">
        <f t="shared" si="293"/>
        <v>0</v>
      </c>
      <c r="O1299" s="2133">
        <f t="shared" si="294"/>
        <v>0</v>
      </c>
      <c r="P1299" s="2133">
        <f t="shared" si="295"/>
        <v>0</v>
      </c>
      <c r="Q1299" s="2133">
        <f t="shared" si="296"/>
        <v>-0.2</v>
      </c>
      <c r="R1299" s="2133">
        <f t="shared" si="297"/>
        <v>0</v>
      </c>
      <c r="U1299" s="2107"/>
      <c r="V1299" s="2107"/>
      <c r="W1299" s="2107"/>
      <c r="X1299" s="2107"/>
      <c r="Y1299" s="2107"/>
      <c r="Z1299" s="2107"/>
      <c r="AA1299" s="2107"/>
      <c r="AB1299" s="2107"/>
      <c r="AC1299" s="2107"/>
      <c r="AD1299" s="2107"/>
      <c r="AE1299" s="2107"/>
      <c r="AF1299" s="2107"/>
      <c r="AG1299" s="2107"/>
      <c r="AH1299" s="2107"/>
      <c r="AI1299" s="2107"/>
      <c r="AJ1299" s="2107"/>
      <c r="AK1299" s="2107"/>
      <c r="AL1299" s="2107"/>
      <c r="AM1299" s="2107"/>
      <c r="AN1299" s="2107"/>
      <c r="AO1299" s="2107"/>
      <c r="AP1299" s="2107"/>
    </row>
    <row r="1300" spans="1:43" ht="15" customHeight="1">
      <c r="A1300" s="2134" t="s">
        <v>2003</v>
      </c>
      <c r="B1300" s="2133">
        <f t="shared" si="290"/>
        <v>0</v>
      </c>
      <c r="C1300" s="2135">
        <f t="shared" si="291"/>
        <v>0</v>
      </c>
      <c r="D1300" s="2133">
        <f t="shared" si="291"/>
        <v>0</v>
      </c>
      <c r="E1300" s="2133">
        <f t="shared" si="291"/>
        <v>0</v>
      </c>
      <c r="F1300" s="2133">
        <f t="shared" si="291"/>
        <v>0</v>
      </c>
      <c r="G1300" s="2133">
        <f t="shared" si="291"/>
        <v>0</v>
      </c>
      <c r="H1300" s="2133">
        <f t="shared" si="301"/>
        <v>0</v>
      </c>
      <c r="I1300" s="2133">
        <f t="shared" si="298"/>
        <v>0</v>
      </c>
      <c r="J1300" s="2133">
        <f t="shared" si="292"/>
        <v>0</v>
      </c>
      <c r="K1300" s="2133">
        <f t="shared" si="299"/>
        <v>0</v>
      </c>
      <c r="L1300" s="2133">
        <f t="shared" si="300"/>
        <v>0</v>
      </c>
      <c r="N1300" s="2133">
        <f t="shared" si="293"/>
        <v>0</v>
      </c>
      <c r="O1300" s="2133">
        <f t="shared" si="294"/>
        <v>0</v>
      </c>
      <c r="P1300" s="2133">
        <f t="shared" si="295"/>
        <v>0</v>
      </c>
      <c r="Q1300" s="2133">
        <f t="shared" si="296"/>
        <v>-0.2</v>
      </c>
      <c r="R1300" s="2133">
        <f t="shared" si="297"/>
        <v>0</v>
      </c>
      <c r="U1300" s="2107"/>
      <c r="V1300" s="2107"/>
      <c r="W1300" s="2107"/>
      <c r="X1300" s="2107"/>
      <c r="Y1300" s="2107"/>
      <c r="Z1300" s="2107"/>
      <c r="AA1300" s="2107"/>
      <c r="AB1300" s="2107"/>
      <c r="AC1300" s="2107"/>
      <c r="AD1300" s="2107"/>
      <c r="AE1300" s="2107"/>
      <c r="AF1300" s="2107"/>
      <c r="AG1300" s="2107"/>
      <c r="AH1300" s="2107"/>
      <c r="AI1300" s="2107"/>
      <c r="AJ1300" s="2107"/>
      <c r="AK1300" s="2107"/>
      <c r="AL1300" s="2107"/>
      <c r="AM1300" s="2107"/>
      <c r="AN1300" s="2107"/>
      <c r="AO1300" s="2107"/>
    </row>
    <row r="1301" spans="1:43" ht="15" customHeight="1">
      <c r="A1301" s="2134" t="s">
        <v>2251</v>
      </c>
      <c r="B1301" s="2133">
        <f t="shared" si="290"/>
        <v>0</v>
      </c>
      <c r="C1301" s="2135">
        <f t="shared" si="291"/>
        <v>0</v>
      </c>
      <c r="D1301" s="2133">
        <f t="shared" si="291"/>
        <v>0</v>
      </c>
      <c r="E1301" s="2133">
        <f t="shared" si="291"/>
        <v>0</v>
      </c>
      <c r="F1301" s="2133">
        <f t="shared" si="291"/>
        <v>0</v>
      </c>
      <c r="G1301" s="2133">
        <f t="shared" si="291"/>
        <v>0</v>
      </c>
      <c r="H1301" s="2133">
        <f t="shared" si="301"/>
        <v>0</v>
      </c>
      <c r="I1301" s="2133">
        <f t="shared" si="298"/>
        <v>0</v>
      </c>
      <c r="J1301" s="2133">
        <f t="shared" si="292"/>
        <v>0</v>
      </c>
      <c r="K1301" s="2133">
        <f t="shared" si="299"/>
        <v>0</v>
      </c>
      <c r="L1301" s="2133">
        <f t="shared" si="300"/>
        <v>0</v>
      </c>
      <c r="N1301" s="2133">
        <f t="shared" si="293"/>
        <v>0</v>
      </c>
      <c r="O1301" s="2133">
        <f t="shared" si="294"/>
        <v>0</v>
      </c>
      <c r="P1301" s="2133">
        <f t="shared" si="295"/>
        <v>0</v>
      </c>
      <c r="Q1301" s="2133">
        <f t="shared" si="296"/>
        <v>-0.2</v>
      </c>
      <c r="R1301" s="2133">
        <f t="shared" si="297"/>
        <v>0</v>
      </c>
      <c r="U1301" s="2107"/>
      <c r="V1301" s="2107"/>
      <c r="W1301" s="2107"/>
      <c r="X1301" s="2107"/>
      <c r="Y1301" s="2107"/>
      <c r="Z1301" s="2107"/>
      <c r="AA1301" s="2107"/>
      <c r="AB1301" s="2107"/>
      <c r="AC1301" s="2107"/>
      <c r="AD1301" s="2107"/>
      <c r="AE1301" s="2107"/>
      <c r="AF1301" s="2107"/>
      <c r="AG1301" s="2107"/>
      <c r="AH1301" s="2107"/>
      <c r="AI1301" s="2107"/>
      <c r="AJ1301" s="2107"/>
      <c r="AK1301" s="2107"/>
      <c r="AL1301" s="2107"/>
      <c r="AM1301" s="2107"/>
      <c r="AN1301" s="2107"/>
      <c r="AO1301" s="2107"/>
    </row>
    <row r="1302" spans="1:43">
      <c r="A1302" s="2134" t="s">
        <v>2273</v>
      </c>
      <c r="B1302" s="2133">
        <f t="shared" si="290"/>
        <v>0</v>
      </c>
      <c r="C1302" s="2135">
        <f t="shared" si="291"/>
        <v>0</v>
      </c>
      <c r="D1302" s="2133">
        <f t="shared" si="291"/>
        <v>0</v>
      </c>
      <c r="E1302" s="2133">
        <f t="shared" si="291"/>
        <v>0</v>
      </c>
      <c r="F1302" s="2133">
        <f t="shared" si="291"/>
        <v>0</v>
      </c>
      <c r="G1302" s="2133">
        <f t="shared" si="291"/>
        <v>0</v>
      </c>
      <c r="H1302" s="2133">
        <f t="shared" si="301"/>
        <v>0</v>
      </c>
      <c r="I1302" s="2133">
        <f t="shared" si="298"/>
        <v>0</v>
      </c>
      <c r="J1302" s="2133">
        <f t="shared" si="292"/>
        <v>0</v>
      </c>
      <c r="K1302" s="2133">
        <f t="shared" si="299"/>
        <v>0</v>
      </c>
      <c r="L1302" s="2133">
        <f t="shared" si="300"/>
        <v>0</v>
      </c>
      <c r="N1302" s="2133">
        <f t="shared" si="293"/>
        <v>0</v>
      </c>
      <c r="O1302" s="2133">
        <f t="shared" si="294"/>
        <v>0</v>
      </c>
      <c r="P1302" s="2133">
        <f t="shared" si="295"/>
        <v>0</v>
      </c>
      <c r="Q1302" s="2133">
        <f t="shared" si="296"/>
        <v>-0.2</v>
      </c>
      <c r="R1302" s="2133">
        <f t="shared" si="297"/>
        <v>0</v>
      </c>
      <c r="U1302" s="2107"/>
      <c r="V1302" s="2107"/>
      <c r="W1302" s="2107"/>
      <c r="X1302" s="2107"/>
      <c r="Y1302" s="2107"/>
      <c r="Z1302" s="2107"/>
      <c r="AA1302" s="2107"/>
      <c r="AB1302" s="2107"/>
      <c r="AC1302" s="2107"/>
      <c r="AD1302" s="2107"/>
      <c r="AE1302" s="2107"/>
      <c r="AF1302" s="2107"/>
      <c r="AG1302" s="2107"/>
      <c r="AH1302" s="2107"/>
      <c r="AI1302" s="2107"/>
      <c r="AJ1302" s="2107"/>
      <c r="AK1302" s="2107"/>
      <c r="AL1302" s="2107"/>
      <c r="AM1302" s="2107"/>
      <c r="AN1302" s="2107"/>
      <c r="AO1302" s="2107"/>
      <c r="AP1302" s="2107"/>
    </row>
    <row r="1303" spans="1:43" ht="15" customHeight="1">
      <c r="A1303" s="2134" t="s">
        <v>2274</v>
      </c>
      <c r="B1303" s="2133">
        <f t="shared" si="290"/>
        <v>0</v>
      </c>
      <c r="C1303" s="2135">
        <f t="shared" si="291"/>
        <v>0</v>
      </c>
      <c r="D1303" s="2133">
        <f t="shared" si="291"/>
        <v>0</v>
      </c>
      <c r="E1303" s="2133">
        <f t="shared" si="291"/>
        <v>0</v>
      </c>
      <c r="F1303" s="2133">
        <f t="shared" si="291"/>
        <v>0</v>
      </c>
      <c r="G1303" s="2133">
        <f t="shared" si="291"/>
        <v>0</v>
      </c>
      <c r="H1303" s="2133">
        <f t="shared" si="301"/>
        <v>0</v>
      </c>
      <c r="I1303" s="2133">
        <f t="shared" si="298"/>
        <v>0</v>
      </c>
      <c r="J1303" s="2133">
        <f t="shared" si="292"/>
        <v>0</v>
      </c>
      <c r="K1303" s="2133">
        <f t="shared" si="299"/>
        <v>0</v>
      </c>
      <c r="L1303" s="2133">
        <f t="shared" si="300"/>
        <v>0</v>
      </c>
      <c r="N1303" s="2133">
        <f t="shared" si="293"/>
        <v>0</v>
      </c>
      <c r="O1303" s="2133">
        <f t="shared" si="294"/>
        <v>0</v>
      </c>
      <c r="P1303" s="2133">
        <f t="shared" si="295"/>
        <v>0</v>
      </c>
      <c r="Q1303" s="2133">
        <f t="shared" si="296"/>
        <v>-0.2</v>
      </c>
      <c r="R1303" s="2133">
        <f t="shared" si="297"/>
        <v>0</v>
      </c>
      <c r="U1303" s="2107"/>
      <c r="V1303" s="2107"/>
      <c r="W1303" s="2107"/>
      <c r="X1303" s="2107"/>
      <c r="Y1303" s="2107"/>
      <c r="Z1303" s="2107"/>
      <c r="AA1303" s="2107"/>
      <c r="AB1303" s="2107"/>
      <c r="AC1303" s="2107"/>
      <c r="AD1303" s="2107"/>
      <c r="AE1303" s="2107"/>
      <c r="AF1303" s="2107"/>
      <c r="AG1303" s="2107"/>
      <c r="AH1303" s="2107"/>
      <c r="AI1303" s="2107"/>
      <c r="AJ1303" s="2107"/>
      <c r="AK1303" s="2107"/>
      <c r="AL1303" s="2107"/>
      <c r="AM1303" s="2107"/>
      <c r="AN1303" s="2107"/>
      <c r="AO1303" s="2107"/>
    </row>
    <row r="1304" spans="1:43" ht="15" customHeight="1">
      <c r="A1304" s="2134" t="s">
        <v>2275</v>
      </c>
      <c r="B1304" s="2133">
        <f t="shared" si="290"/>
        <v>0</v>
      </c>
      <c r="C1304" s="2135">
        <f t="shared" si="291"/>
        <v>0</v>
      </c>
      <c r="D1304" s="2133">
        <f t="shared" si="291"/>
        <v>0</v>
      </c>
      <c r="E1304" s="2133">
        <f t="shared" si="291"/>
        <v>0</v>
      </c>
      <c r="F1304" s="2133">
        <f t="shared" si="291"/>
        <v>0</v>
      </c>
      <c r="G1304" s="2133">
        <f t="shared" si="291"/>
        <v>0</v>
      </c>
      <c r="H1304" s="2133">
        <f t="shared" si="301"/>
        <v>0</v>
      </c>
      <c r="I1304" s="2133">
        <f t="shared" si="298"/>
        <v>0</v>
      </c>
      <c r="J1304" s="2133">
        <f t="shared" si="292"/>
        <v>0</v>
      </c>
      <c r="K1304" s="2133">
        <f t="shared" si="299"/>
        <v>0</v>
      </c>
      <c r="L1304" s="2133">
        <f t="shared" si="300"/>
        <v>0</v>
      </c>
      <c r="N1304" s="2133">
        <f t="shared" si="293"/>
        <v>0</v>
      </c>
      <c r="O1304" s="2133">
        <f t="shared" si="294"/>
        <v>0</v>
      </c>
      <c r="P1304" s="2133">
        <f t="shared" si="295"/>
        <v>0</v>
      </c>
      <c r="Q1304" s="2133">
        <f t="shared" si="296"/>
        <v>-0.2</v>
      </c>
      <c r="R1304" s="2133">
        <f t="shared" si="297"/>
        <v>0</v>
      </c>
      <c r="U1304" s="2107"/>
      <c r="V1304" s="2107"/>
      <c r="W1304" s="2107"/>
      <c r="X1304" s="2107"/>
      <c r="Y1304" s="2107"/>
      <c r="Z1304" s="2107"/>
      <c r="AA1304" s="2107"/>
      <c r="AB1304" s="2107"/>
      <c r="AC1304" s="2107"/>
      <c r="AD1304" s="2107"/>
      <c r="AE1304" s="2107"/>
      <c r="AF1304" s="2107"/>
      <c r="AG1304" s="2107"/>
      <c r="AH1304" s="2107"/>
      <c r="AI1304" s="2107"/>
      <c r="AJ1304" s="2107"/>
      <c r="AK1304" s="2107"/>
      <c r="AL1304" s="2107"/>
      <c r="AM1304" s="2107"/>
      <c r="AN1304" s="2107"/>
      <c r="AO1304" s="2107"/>
    </row>
    <row r="1305" spans="1:43" s="2532" customFormat="1" ht="15" customHeight="1">
      <c r="A1305" s="2134" t="s">
        <v>2851</v>
      </c>
      <c r="B1305" s="2133">
        <f t="shared" si="290"/>
        <v>0</v>
      </c>
      <c r="C1305" s="2135">
        <f t="shared" ref="C1305:G1310" si="302">C433</f>
        <v>0</v>
      </c>
      <c r="D1305" s="2133">
        <f t="shared" si="302"/>
        <v>0</v>
      </c>
      <c r="E1305" s="2133">
        <f t="shared" si="302"/>
        <v>0</v>
      </c>
      <c r="F1305" s="2133">
        <f t="shared" si="302"/>
        <v>4</v>
      </c>
      <c r="G1305" s="2133">
        <f t="shared" si="302"/>
        <v>0</v>
      </c>
      <c r="H1305" s="2133">
        <f>B1305*C1305</f>
        <v>0</v>
      </c>
      <c r="I1305" s="2133">
        <f>B1305*D1305</f>
        <v>0</v>
      </c>
      <c r="J1305" s="2133">
        <f>B1305*E1305</f>
        <v>0</v>
      </c>
      <c r="K1305" s="2133">
        <f>B1305*F1305</f>
        <v>0</v>
      </c>
      <c r="L1305" s="2133">
        <f>B1305*G1305</f>
        <v>0</v>
      </c>
      <c r="N1305" s="2133">
        <f>(B1305/2)/0.2</f>
        <v>0</v>
      </c>
      <c r="O1305" s="2133">
        <f>(B1305/2)/0.1</f>
        <v>0</v>
      </c>
      <c r="P1305" s="2133">
        <f>SUM(N1305:O1305)</f>
        <v>0</v>
      </c>
      <c r="Q1305" s="2133">
        <f t="shared" ref="Q1305:Q1310" si="303">Q433</f>
        <v>0.5</v>
      </c>
      <c r="R1305" s="2133">
        <f>P1305*Q1305</f>
        <v>0</v>
      </c>
      <c r="U1305" s="2531"/>
      <c r="V1305" s="2531"/>
      <c r="W1305" s="2531"/>
      <c r="X1305" s="2531"/>
      <c r="Y1305" s="2531"/>
      <c r="Z1305" s="2531"/>
      <c r="AA1305" s="2531"/>
      <c r="AB1305" s="2531"/>
      <c r="AC1305" s="2531"/>
      <c r="AD1305" s="2531"/>
      <c r="AE1305" s="2531"/>
      <c r="AF1305" s="2531"/>
      <c r="AG1305" s="2531"/>
      <c r="AH1305" s="2531"/>
      <c r="AI1305" s="2531"/>
      <c r="AJ1305" s="2531"/>
      <c r="AK1305" s="2531"/>
      <c r="AL1305" s="2531"/>
      <c r="AM1305" s="2531"/>
      <c r="AN1305" s="2531"/>
      <c r="AO1305" s="2531"/>
    </row>
    <row r="1306" spans="1:43" s="2532" customFormat="1" ht="15" customHeight="1">
      <c r="A1306" s="2134" t="s">
        <v>2852</v>
      </c>
      <c r="B1306" s="2133">
        <f t="shared" si="290"/>
        <v>0</v>
      </c>
      <c r="C1306" s="2135">
        <f t="shared" si="302"/>
        <v>0</v>
      </c>
      <c r="D1306" s="2133">
        <f t="shared" si="302"/>
        <v>0</v>
      </c>
      <c r="E1306" s="2133">
        <f t="shared" si="302"/>
        <v>0</v>
      </c>
      <c r="F1306" s="2133">
        <f t="shared" si="302"/>
        <v>0</v>
      </c>
      <c r="G1306" s="2133">
        <f t="shared" si="302"/>
        <v>0</v>
      </c>
      <c r="H1306" s="2133">
        <f>B1306*C1306</f>
        <v>0</v>
      </c>
      <c r="I1306" s="2133">
        <f>B1306*D1306</f>
        <v>0</v>
      </c>
      <c r="J1306" s="2133">
        <f>B1306*E1306</f>
        <v>0</v>
      </c>
      <c r="K1306" s="2133">
        <f>B1306*F1306</f>
        <v>0</v>
      </c>
      <c r="L1306" s="2133">
        <f>B1306*G1306</f>
        <v>0</v>
      </c>
      <c r="N1306" s="2133">
        <f>(B1306/2)/0.2</f>
        <v>0</v>
      </c>
      <c r="O1306" s="2133">
        <f>(B1306/2)/0.1</f>
        <v>0</v>
      </c>
      <c r="P1306" s="2133">
        <f>SUM(N1306:O1306)</f>
        <v>0</v>
      </c>
      <c r="Q1306" s="2133">
        <f t="shared" si="303"/>
        <v>-0.2</v>
      </c>
      <c r="R1306" s="2133">
        <f>P1306*Q1306</f>
        <v>0</v>
      </c>
      <c r="U1306" s="2531"/>
      <c r="V1306" s="2531"/>
      <c r="W1306" s="2531"/>
      <c r="X1306" s="2531"/>
      <c r="Y1306" s="2531"/>
      <c r="Z1306" s="2531"/>
      <c r="AA1306" s="2531"/>
      <c r="AB1306" s="2531"/>
      <c r="AC1306" s="2531"/>
      <c r="AD1306" s="2531"/>
      <c r="AE1306" s="2531"/>
      <c r="AF1306" s="2531"/>
      <c r="AG1306" s="2531"/>
      <c r="AH1306" s="2531"/>
      <c r="AI1306" s="2531"/>
      <c r="AJ1306" s="2531"/>
      <c r="AK1306" s="2531"/>
      <c r="AL1306" s="2531"/>
      <c r="AM1306" s="2531"/>
      <c r="AN1306" s="2531"/>
      <c r="AO1306" s="2531"/>
    </row>
    <row r="1307" spans="1:43" s="2532" customFormat="1" ht="15" customHeight="1">
      <c r="A1307" s="2134" t="s">
        <v>2853</v>
      </c>
      <c r="B1307" s="2133">
        <f t="shared" si="290"/>
        <v>0</v>
      </c>
      <c r="C1307" s="2135">
        <f t="shared" si="302"/>
        <v>0</v>
      </c>
      <c r="D1307" s="2133">
        <f t="shared" si="302"/>
        <v>0</v>
      </c>
      <c r="E1307" s="2133">
        <f t="shared" si="302"/>
        <v>0</v>
      </c>
      <c r="F1307" s="2133">
        <f t="shared" si="302"/>
        <v>0</v>
      </c>
      <c r="G1307" s="2133">
        <f t="shared" si="302"/>
        <v>0</v>
      </c>
      <c r="H1307" s="2133">
        <f>B1307*C1307</f>
        <v>0</v>
      </c>
      <c r="I1307" s="2133">
        <f>B1307*D1307</f>
        <v>0</v>
      </c>
      <c r="J1307" s="2133">
        <f>B1307*E1307</f>
        <v>0</v>
      </c>
      <c r="K1307" s="2133">
        <f>B1307*F1307</f>
        <v>0</v>
      </c>
      <c r="L1307" s="2133">
        <f>B1307*G1307</f>
        <v>0</v>
      </c>
      <c r="N1307" s="2133">
        <f>(B1307/2)/0.2</f>
        <v>0</v>
      </c>
      <c r="O1307" s="2133">
        <f>(B1307/2)/0.1</f>
        <v>0</v>
      </c>
      <c r="P1307" s="2133">
        <f>SUM(N1307:O1307)</f>
        <v>0</v>
      </c>
      <c r="Q1307" s="2133">
        <f t="shared" si="303"/>
        <v>-0.2</v>
      </c>
      <c r="R1307" s="2133">
        <f>P1307*Q1307</f>
        <v>0</v>
      </c>
      <c r="U1307" s="2531"/>
      <c r="V1307" s="2531"/>
      <c r="W1307" s="2531"/>
      <c r="X1307" s="2531"/>
      <c r="Y1307" s="2531"/>
      <c r="Z1307" s="2531"/>
      <c r="AA1307" s="2531"/>
      <c r="AB1307" s="2531"/>
      <c r="AC1307" s="2531"/>
      <c r="AD1307" s="2531"/>
      <c r="AE1307" s="2531"/>
      <c r="AF1307" s="2531"/>
      <c r="AG1307" s="2531"/>
      <c r="AH1307" s="2531"/>
      <c r="AI1307" s="2531"/>
      <c r="AJ1307" s="2531"/>
      <c r="AK1307" s="2531"/>
      <c r="AL1307" s="2531"/>
      <c r="AM1307" s="2531"/>
      <c r="AN1307" s="2531"/>
      <c r="AO1307" s="2531"/>
    </row>
    <row r="1308" spans="1:43" s="2532" customFormat="1" ht="15" customHeight="1">
      <c r="A1308" s="2134" t="s">
        <v>2854</v>
      </c>
      <c r="B1308" s="2133">
        <f t="shared" si="290"/>
        <v>0</v>
      </c>
      <c r="C1308" s="2135">
        <f t="shared" si="302"/>
        <v>0</v>
      </c>
      <c r="D1308" s="2133">
        <f t="shared" si="302"/>
        <v>0</v>
      </c>
      <c r="E1308" s="2133">
        <f t="shared" si="302"/>
        <v>0</v>
      </c>
      <c r="F1308" s="2133">
        <f t="shared" si="302"/>
        <v>0</v>
      </c>
      <c r="G1308" s="2133">
        <f t="shared" si="302"/>
        <v>0</v>
      </c>
      <c r="H1308" s="2133">
        <f>B1308*C1308</f>
        <v>0</v>
      </c>
      <c r="I1308" s="2133">
        <f>B1308*D1308</f>
        <v>0</v>
      </c>
      <c r="J1308" s="2133">
        <f>B1308*E1308</f>
        <v>0</v>
      </c>
      <c r="K1308" s="2133">
        <f>B1308*F1308</f>
        <v>0</v>
      </c>
      <c r="L1308" s="2133">
        <f>B1308*G1308</f>
        <v>0</v>
      </c>
      <c r="N1308" s="2133">
        <f>(B1308/2)/0.2</f>
        <v>0</v>
      </c>
      <c r="O1308" s="2133">
        <f>(B1308/2)/0.1</f>
        <v>0</v>
      </c>
      <c r="P1308" s="2133">
        <f>SUM(N1308:O1308)</f>
        <v>0</v>
      </c>
      <c r="Q1308" s="2133">
        <f t="shared" si="303"/>
        <v>-0.2</v>
      </c>
      <c r="R1308" s="2133">
        <f>P1308*Q1308</f>
        <v>0</v>
      </c>
      <c r="U1308" s="2531"/>
      <c r="V1308" s="2531"/>
      <c r="W1308" s="2531"/>
      <c r="X1308" s="2531"/>
      <c r="Y1308" s="2531"/>
      <c r="Z1308" s="2531"/>
      <c r="AA1308" s="2531"/>
      <c r="AB1308" s="2531"/>
      <c r="AC1308" s="2531"/>
      <c r="AD1308" s="2531"/>
      <c r="AE1308" s="2531"/>
      <c r="AF1308" s="2531"/>
      <c r="AG1308" s="2531"/>
      <c r="AH1308" s="2531"/>
      <c r="AI1308" s="2531"/>
      <c r="AJ1308" s="2531"/>
      <c r="AK1308" s="2531"/>
      <c r="AL1308" s="2531"/>
      <c r="AM1308" s="2531"/>
      <c r="AN1308" s="2531"/>
      <c r="AO1308" s="2531"/>
    </row>
    <row r="1309" spans="1:43" s="2532" customFormat="1" ht="15" customHeight="1">
      <c r="A1309" s="2134" t="s">
        <v>2855</v>
      </c>
      <c r="B1309" s="2133">
        <f t="shared" si="290"/>
        <v>0</v>
      </c>
      <c r="C1309" s="2135">
        <f t="shared" si="302"/>
        <v>0</v>
      </c>
      <c r="D1309" s="2133">
        <f t="shared" si="302"/>
        <v>0</v>
      </c>
      <c r="E1309" s="2133">
        <f t="shared" si="302"/>
        <v>0</v>
      </c>
      <c r="F1309" s="2133">
        <f t="shared" si="302"/>
        <v>0</v>
      </c>
      <c r="G1309" s="2133">
        <f t="shared" si="302"/>
        <v>0</v>
      </c>
      <c r="H1309" s="2133">
        <f>B1309*C1309</f>
        <v>0</v>
      </c>
      <c r="I1309" s="2133">
        <f>B1309*D1309</f>
        <v>0</v>
      </c>
      <c r="J1309" s="2133">
        <f>B1309*E1309</f>
        <v>0</v>
      </c>
      <c r="K1309" s="2133">
        <f>B1309*F1309</f>
        <v>0</v>
      </c>
      <c r="L1309" s="2133">
        <f>B1309*G1309</f>
        <v>0</v>
      </c>
      <c r="N1309" s="2133">
        <f>(B1309/2)/0.2</f>
        <v>0</v>
      </c>
      <c r="O1309" s="2133">
        <f>(B1309/2)/0.1</f>
        <v>0</v>
      </c>
      <c r="P1309" s="2133">
        <f>SUM(N1309:O1309)</f>
        <v>0</v>
      </c>
      <c r="Q1309" s="2133">
        <f t="shared" si="303"/>
        <v>-0.2</v>
      </c>
      <c r="R1309" s="2133">
        <f>P1309*Q1309</f>
        <v>0</v>
      </c>
      <c r="U1309" s="2531"/>
      <c r="V1309" s="2531"/>
      <c r="W1309" s="2531"/>
      <c r="X1309" s="2531"/>
      <c r="Y1309" s="2531"/>
      <c r="Z1309" s="2531"/>
      <c r="AA1309" s="2531"/>
      <c r="AB1309" s="2531"/>
      <c r="AC1309" s="2531"/>
      <c r="AD1309" s="2531"/>
      <c r="AE1309" s="2531"/>
      <c r="AF1309" s="2531"/>
      <c r="AG1309" s="2531"/>
      <c r="AH1309" s="2531"/>
      <c r="AI1309" s="2531"/>
      <c r="AJ1309" s="2531"/>
      <c r="AK1309" s="2531"/>
      <c r="AL1309" s="2531"/>
      <c r="AM1309" s="2531"/>
      <c r="AN1309" s="2531"/>
      <c r="AO1309" s="2531"/>
    </row>
    <row r="1310" spans="1:43">
      <c r="A1310" s="2134" t="s">
        <v>175</v>
      </c>
      <c r="B1310" s="2133">
        <f>Q53</f>
        <v>0</v>
      </c>
      <c r="C1310" s="2135">
        <f t="shared" si="302"/>
        <v>0</v>
      </c>
      <c r="D1310" s="2133">
        <f t="shared" si="302"/>
        <v>0</v>
      </c>
      <c r="E1310" s="2133">
        <f t="shared" si="302"/>
        <v>0</v>
      </c>
      <c r="F1310" s="2133">
        <f t="shared" si="302"/>
        <v>4</v>
      </c>
      <c r="G1310" s="2133">
        <f t="shared" si="302"/>
        <v>0</v>
      </c>
      <c r="H1310" s="2133">
        <f t="shared" si="301"/>
        <v>0</v>
      </c>
      <c r="I1310" s="2133">
        <f t="shared" si="298"/>
        <v>0</v>
      </c>
      <c r="J1310" s="2133">
        <f t="shared" si="292"/>
        <v>0</v>
      </c>
      <c r="K1310" s="2133">
        <f t="shared" si="299"/>
        <v>0</v>
      </c>
      <c r="L1310" s="2133">
        <f t="shared" si="300"/>
        <v>0</v>
      </c>
      <c r="N1310" s="2133">
        <f t="shared" si="293"/>
        <v>0</v>
      </c>
      <c r="O1310" s="2133">
        <f t="shared" si="294"/>
        <v>0</v>
      </c>
      <c r="P1310" s="2133">
        <f t="shared" si="295"/>
        <v>0</v>
      </c>
      <c r="Q1310" s="2133">
        <f t="shared" si="303"/>
        <v>0.5</v>
      </c>
      <c r="R1310" s="2133">
        <f t="shared" si="297"/>
        <v>0</v>
      </c>
      <c r="T1310" s="2107"/>
      <c r="U1310" s="2833"/>
      <c r="V1310" s="2833"/>
      <c r="W1310" s="2833"/>
      <c r="X1310" s="2833"/>
      <c r="Y1310" s="2107"/>
      <c r="Z1310" s="2107"/>
      <c r="AA1310" s="2107"/>
      <c r="AB1310" s="2107"/>
      <c r="AC1310" s="2107"/>
      <c r="AD1310" s="2107"/>
      <c r="AE1310" s="2107"/>
      <c r="AF1310" s="2107"/>
      <c r="AG1310" s="2107"/>
      <c r="AH1310" s="2107"/>
      <c r="AI1310" s="2107"/>
      <c r="AJ1310" s="2107"/>
      <c r="AK1310" s="2107"/>
      <c r="AL1310" s="2107"/>
      <c r="AM1310" s="2107"/>
      <c r="AN1310" s="2107"/>
      <c r="AO1310" s="2107"/>
    </row>
    <row r="1311" spans="1:43" ht="15">
      <c r="A1311" s="2107"/>
      <c r="B1311" s="2107"/>
      <c r="C1311" s="2107"/>
      <c r="D1311" s="2107"/>
      <c r="E1311" s="2107"/>
      <c r="F1311" s="2804" t="s">
        <v>2074</v>
      </c>
      <c r="G1311" s="2805"/>
      <c r="H1311" s="2133">
        <f>SUM(H1290:H1310)</f>
        <v>0</v>
      </c>
      <c r="I1311" s="2133">
        <f>SUM(I1290:I1310)</f>
        <v>0</v>
      </c>
      <c r="J1311" s="2133">
        <f>SUM(J1290:J1310)</f>
        <v>0</v>
      </c>
      <c r="K1311" s="2133">
        <f>SUM(K1290:K1310)</f>
        <v>0</v>
      </c>
      <c r="L1311" s="2133">
        <f>SUM(L1290:L1310)</f>
        <v>0</v>
      </c>
      <c r="N1311" s="2804" t="s">
        <v>1972</v>
      </c>
      <c r="O1311" s="2805"/>
      <c r="P1311" s="2805"/>
      <c r="Q1311" s="2133">
        <f>SUMIF($K$445:$K$465,S1311,$R$1290:$R$1310)</f>
        <v>0</v>
      </c>
      <c r="R1311" s="2157">
        <f>Q1311*0.4</f>
        <v>0</v>
      </c>
      <c r="S1311" s="2086">
        <v>8</v>
      </c>
      <c r="T1311" s="2107"/>
      <c r="V1311" s="2107"/>
      <c r="W1311" s="2107"/>
      <c r="X1311" s="2107"/>
      <c r="Y1311" s="2107"/>
      <c r="Z1311" s="2107"/>
      <c r="AA1311" s="2107"/>
      <c r="AB1311" s="2107"/>
      <c r="AC1311" s="2107"/>
      <c r="AD1311" s="2107"/>
      <c r="AE1311" s="2107"/>
      <c r="AF1311" s="2107"/>
      <c r="AG1311" s="2107"/>
      <c r="AH1311" s="2107"/>
      <c r="AI1311" s="2107"/>
      <c r="AJ1311" s="2107"/>
      <c r="AK1311" s="2107"/>
      <c r="AL1311" s="2107"/>
      <c r="AM1311" s="2107"/>
      <c r="AN1311" s="2107"/>
      <c r="AO1311" s="2107"/>
      <c r="AP1311" s="2107"/>
      <c r="AQ1311" s="2107"/>
    </row>
    <row r="1312" spans="1:43" ht="15">
      <c r="A1312" s="2107"/>
      <c r="B1312" s="2107"/>
      <c r="C1312" s="2107"/>
      <c r="D1312" s="2107"/>
      <c r="E1312" s="2107"/>
      <c r="F1312" s="2804" t="s">
        <v>2075</v>
      </c>
      <c r="G1312" s="2805"/>
      <c r="H1312" s="2182">
        <f>H1311*1.04</f>
        <v>0</v>
      </c>
      <c r="I1312" s="2182">
        <f>I1311*0.89</f>
        <v>0</v>
      </c>
      <c r="J1312" s="2182">
        <f>J1311*0.62</f>
        <v>0</v>
      </c>
      <c r="K1312" s="2182">
        <f>K1311*0.62</f>
        <v>0</v>
      </c>
      <c r="L1312" s="2183">
        <f>L1311*0.62</f>
        <v>0</v>
      </c>
      <c r="N1312" s="2804" t="s">
        <v>2387</v>
      </c>
      <c r="O1312" s="2805"/>
      <c r="P1312" s="2805"/>
      <c r="Q1312" s="2133">
        <f>SUMIF($K$445:$K$465,S1312,$R$1290:$R$1310)</f>
        <v>0</v>
      </c>
      <c r="R1312" s="2184">
        <f>Q1312*0.62</f>
        <v>0</v>
      </c>
      <c r="S1312" s="2086">
        <v>10</v>
      </c>
      <c r="V1312" s="2107"/>
      <c r="W1312" s="2107"/>
      <c r="X1312" s="2107"/>
      <c r="Y1312" s="2107"/>
      <c r="Z1312" s="2107"/>
      <c r="AA1312" s="2107"/>
      <c r="AB1312" s="2107"/>
      <c r="AC1312" s="2107"/>
      <c r="AD1312" s="2107"/>
      <c r="AE1312" s="2107"/>
      <c r="AF1312" s="2107"/>
      <c r="AG1312" s="2107"/>
      <c r="AH1312" s="2107"/>
      <c r="AI1312" s="2107"/>
      <c r="AJ1312" s="2107"/>
      <c r="AK1312" s="2107"/>
      <c r="AL1312" s="2107"/>
      <c r="AM1312" s="2107"/>
      <c r="AN1312" s="2107"/>
      <c r="AO1312" s="2107"/>
      <c r="AP1312" s="2107"/>
      <c r="AQ1312" s="2107"/>
    </row>
    <row r="1313" spans="1:43" ht="15">
      <c r="A1313" s="2107"/>
      <c r="B1313" s="2107"/>
      <c r="C1313" s="2107"/>
      <c r="D1313" s="2107"/>
      <c r="E1313" s="2107"/>
      <c r="F1313" s="2107"/>
      <c r="G1313" s="2107"/>
      <c r="N1313" s="2804" t="s">
        <v>2443</v>
      </c>
      <c r="O1313" s="2805"/>
      <c r="P1313" s="2805"/>
      <c r="Q1313" s="2133">
        <f>SUMIF($K$445:$K$465,S1313,$R$1290:$R$1310)</f>
        <v>0</v>
      </c>
      <c r="R1313" s="2184">
        <f>Q1313*0.62</f>
        <v>0</v>
      </c>
      <c r="S1313" s="2086" t="s">
        <v>1807</v>
      </c>
      <c r="V1313" s="2107"/>
      <c r="W1313" s="2107"/>
      <c r="X1313" s="2107"/>
      <c r="Y1313" s="2107"/>
      <c r="Z1313" s="2107"/>
      <c r="AA1313" s="2107"/>
      <c r="AB1313" s="2107"/>
      <c r="AC1313" s="2107"/>
      <c r="AD1313" s="2107"/>
      <c r="AE1313" s="2107"/>
      <c r="AF1313" s="2107"/>
      <c r="AG1313" s="2107"/>
      <c r="AH1313" s="2107"/>
      <c r="AI1313" s="2107"/>
      <c r="AJ1313" s="2107"/>
      <c r="AK1313" s="2107"/>
      <c r="AL1313" s="2107"/>
      <c r="AM1313" s="2107"/>
      <c r="AN1313" s="2107"/>
      <c r="AO1313" s="2107"/>
      <c r="AP1313" s="2107"/>
      <c r="AQ1313" s="2107"/>
    </row>
    <row r="1314" spans="1:43">
      <c r="V1314" s="2107"/>
      <c r="W1314" s="2107"/>
      <c r="X1314" s="2107"/>
      <c r="Y1314" s="2107"/>
      <c r="Z1314" s="2107"/>
      <c r="AA1314" s="2107"/>
      <c r="AB1314" s="2107"/>
      <c r="AC1314" s="2107"/>
      <c r="AD1314" s="2107"/>
      <c r="AE1314" s="2107"/>
      <c r="AF1314" s="2107"/>
      <c r="AG1314" s="2107"/>
      <c r="AH1314" s="2107"/>
      <c r="AI1314" s="2107"/>
      <c r="AJ1314" s="2107"/>
      <c r="AK1314" s="2107"/>
      <c r="AL1314" s="2107"/>
      <c r="AM1314" s="2107"/>
      <c r="AN1314" s="2107"/>
      <c r="AO1314" s="2107"/>
      <c r="AP1314" s="2107"/>
      <c r="AQ1314" s="2107"/>
    </row>
    <row r="1315" spans="1:43">
      <c r="A1315" s="2831" t="s">
        <v>2005</v>
      </c>
      <c r="B1315" s="2832"/>
      <c r="C1315" s="2832"/>
      <c r="D1315" s="2832"/>
      <c r="V1315" s="2107"/>
      <c r="W1315" s="2107"/>
      <c r="X1315" s="2107"/>
      <c r="Y1315" s="2107"/>
      <c r="Z1315" s="2107"/>
      <c r="AA1315" s="2107"/>
      <c r="AB1315" s="2107"/>
      <c r="AC1315" s="2107"/>
      <c r="AD1315" s="2107"/>
      <c r="AE1315" s="2107"/>
      <c r="AF1315" s="2107"/>
      <c r="AG1315" s="2107"/>
      <c r="AH1315" s="2107"/>
      <c r="AI1315" s="2107"/>
      <c r="AJ1315" s="2107"/>
      <c r="AK1315" s="2107"/>
      <c r="AL1315" s="2107"/>
      <c r="AM1315" s="2107"/>
      <c r="AN1315" s="2107"/>
      <c r="AO1315" s="2107"/>
      <c r="AP1315" s="2107"/>
      <c r="AQ1315" s="2107"/>
    </row>
    <row r="1316" spans="1:43">
      <c r="A1316" s="2133" t="s">
        <v>1796</v>
      </c>
      <c r="B1316" s="2133" t="s">
        <v>2004</v>
      </c>
      <c r="C1316" s="2133" t="s">
        <v>1791</v>
      </c>
      <c r="D1316" s="2133" t="s">
        <v>2008</v>
      </c>
      <c r="E1316" s="2086" t="s">
        <v>2368</v>
      </c>
      <c r="V1316" s="2107"/>
      <c r="W1316" s="2107"/>
      <c r="X1316" s="2107"/>
      <c r="Y1316" s="2107"/>
      <c r="Z1316" s="2107"/>
      <c r="AA1316" s="2107"/>
      <c r="AB1316" s="2107"/>
      <c r="AC1316" s="2107"/>
      <c r="AD1316" s="2107"/>
      <c r="AE1316" s="2107"/>
      <c r="AF1316" s="2107"/>
      <c r="AG1316" s="2107"/>
      <c r="AH1316" s="2107"/>
      <c r="AI1316" s="2107"/>
      <c r="AJ1316" s="2107"/>
      <c r="AK1316" s="2107"/>
      <c r="AL1316" s="2107"/>
      <c r="AM1316" s="2107"/>
      <c r="AN1316" s="2107"/>
      <c r="AO1316" s="2107"/>
      <c r="AP1316" s="2107"/>
      <c r="AQ1316" s="2107"/>
    </row>
    <row r="1317" spans="1:43">
      <c r="A1317" s="2133" t="str">
        <f t="shared" ref="A1317:B1331" si="304">A1290</f>
        <v>B1</v>
      </c>
      <c r="B1317" s="2133">
        <f t="shared" si="304"/>
        <v>0</v>
      </c>
      <c r="C1317" s="2133">
        <f t="shared" ref="C1317:C1331" si="305">C445</f>
        <v>8.0000000000000016E-2</v>
      </c>
      <c r="D1317" s="2133">
        <f>B1317*C1317</f>
        <v>0</v>
      </c>
      <c r="E1317" s="2086">
        <f>$F$445*B1317</f>
        <v>0</v>
      </c>
      <c r="G1317" s="2099"/>
      <c r="V1317" s="2107"/>
      <c r="W1317" s="2107"/>
      <c r="X1317" s="2107"/>
      <c r="Y1317" s="2107"/>
      <c r="Z1317" s="2107"/>
      <c r="AA1317" s="2107"/>
      <c r="AB1317" s="2107"/>
      <c r="AC1317" s="2107"/>
      <c r="AD1317" s="2107"/>
      <c r="AE1317" s="2107"/>
      <c r="AF1317" s="2107"/>
      <c r="AG1317" s="2107"/>
      <c r="AH1317" s="2107"/>
      <c r="AI1317" s="2107"/>
      <c r="AJ1317" s="2107"/>
      <c r="AK1317" s="2107"/>
      <c r="AL1317" s="2107"/>
      <c r="AM1317" s="2107"/>
      <c r="AN1317" s="2107"/>
      <c r="AO1317" s="2107"/>
      <c r="AP1317" s="2107"/>
      <c r="AQ1317" s="2107"/>
    </row>
    <row r="1318" spans="1:43">
      <c r="A1318" s="2133" t="str">
        <f t="shared" si="304"/>
        <v>B2</v>
      </c>
      <c r="B1318" s="2133">
        <f t="shared" si="304"/>
        <v>0</v>
      </c>
      <c r="C1318" s="2133">
        <f t="shared" si="305"/>
        <v>6.7500000000000004E-2</v>
      </c>
      <c r="D1318" s="2133">
        <f t="shared" ref="D1318:D1337" si="306">B1318*C1318</f>
        <v>0</v>
      </c>
      <c r="E1318" s="2086">
        <f>$F$446*B1318</f>
        <v>0</v>
      </c>
      <c r="V1318" s="2107"/>
      <c r="W1318" s="2107"/>
      <c r="X1318" s="2107"/>
      <c r="Y1318" s="2107"/>
      <c r="Z1318" s="2107"/>
      <c r="AA1318" s="2107"/>
      <c r="AB1318" s="2107"/>
      <c r="AC1318" s="2107"/>
      <c r="AD1318" s="2107"/>
      <c r="AE1318" s="2107"/>
      <c r="AF1318" s="2107"/>
      <c r="AG1318" s="2107"/>
      <c r="AH1318" s="2107"/>
      <c r="AI1318" s="2107"/>
      <c r="AJ1318" s="2107"/>
      <c r="AK1318" s="2107"/>
      <c r="AL1318" s="2107"/>
      <c r="AM1318" s="2107"/>
      <c r="AN1318" s="2107"/>
      <c r="AO1318" s="2107"/>
      <c r="AP1318" s="2107"/>
      <c r="AQ1318" s="2107"/>
    </row>
    <row r="1319" spans="1:43">
      <c r="A1319" s="2133" t="str">
        <f t="shared" si="304"/>
        <v>B3</v>
      </c>
      <c r="B1319" s="2133">
        <f t="shared" si="304"/>
        <v>0</v>
      </c>
      <c r="C1319" s="2133">
        <f t="shared" si="305"/>
        <v>7.9999999999999988E-2</v>
      </c>
      <c r="D1319" s="2133">
        <f t="shared" si="306"/>
        <v>0</v>
      </c>
      <c r="E1319" s="2086">
        <f>$F$447*B1319</f>
        <v>0</v>
      </c>
      <c r="V1319" s="2107"/>
      <c r="W1319" s="2107"/>
      <c r="X1319" s="2107"/>
      <c r="Y1319" s="2107"/>
      <c r="Z1319" s="2107"/>
      <c r="AA1319" s="2107"/>
      <c r="AB1319" s="2107"/>
      <c r="AC1319" s="2107"/>
      <c r="AD1319" s="2107"/>
      <c r="AE1319" s="2107"/>
      <c r="AF1319" s="2107"/>
      <c r="AG1319" s="2107"/>
      <c r="AH1319" s="2107"/>
      <c r="AI1319" s="2107"/>
      <c r="AJ1319" s="2107"/>
      <c r="AK1319" s="2107"/>
      <c r="AL1319" s="2107"/>
      <c r="AM1319" s="2107"/>
      <c r="AN1319" s="2107"/>
      <c r="AO1319" s="2107"/>
      <c r="AP1319" s="2107"/>
      <c r="AQ1319" s="2107"/>
    </row>
    <row r="1320" spans="1:43">
      <c r="A1320" s="2133" t="str">
        <f t="shared" si="304"/>
        <v>B4</v>
      </c>
      <c r="B1320" s="2133">
        <f t="shared" si="304"/>
        <v>0</v>
      </c>
      <c r="C1320" s="2133">
        <f t="shared" si="305"/>
        <v>4.4999999999999998E-2</v>
      </c>
      <c r="D1320" s="2133">
        <f t="shared" si="306"/>
        <v>0</v>
      </c>
      <c r="E1320" s="2086">
        <f>$F$448*B1320</f>
        <v>0</v>
      </c>
      <c r="V1320" s="2107"/>
      <c r="W1320" s="2107"/>
      <c r="X1320" s="2107"/>
      <c r="Y1320" s="2107"/>
      <c r="Z1320" s="2107"/>
      <c r="AA1320" s="2107"/>
      <c r="AB1320" s="2107"/>
      <c r="AC1320" s="2107"/>
      <c r="AD1320" s="2107"/>
      <c r="AE1320" s="2107"/>
      <c r="AF1320" s="2107"/>
      <c r="AG1320" s="2107"/>
      <c r="AH1320" s="2107"/>
      <c r="AI1320" s="2107"/>
      <c r="AJ1320" s="2107"/>
      <c r="AK1320" s="2107"/>
      <c r="AL1320" s="2107"/>
      <c r="AM1320" s="2107"/>
      <c r="AN1320" s="2107"/>
      <c r="AO1320" s="2107"/>
      <c r="AP1320" s="2107"/>
      <c r="AQ1320" s="2107"/>
    </row>
    <row r="1321" spans="1:43">
      <c r="A1321" s="2133" t="str">
        <f t="shared" si="304"/>
        <v>B5</v>
      </c>
      <c r="B1321" s="2133">
        <f t="shared" si="304"/>
        <v>0</v>
      </c>
      <c r="C1321" s="2133">
        <f t="shared" si="305"/>
        <v>0</v>
      </c>
      <c r="D1321" s="2133">
        <f t="shared" si="306"/>
        <v>0</v>
      </c>
      <c r="E1321" s="2086">
        <f>$F$449*B1321</f>
        <v>0</v>
      </c>
      <c r="V1321" s="2107"/>
      <c r="W1321" s="2107"/>
      <c r="X1321" s="2107"/>
      <c r="Y1321" s="2107"/>
      <c r="Z1321" s="2107"/>
      <c r="AA1321" s="2107"/>
      <c r="AB1321" s="2107"/>
      <c r="AC1321" s="2107"/>
      <c r="AD1321" s="2107"/>
      <c r="AE1321" s="2107"/>
      <c r="AF1321" s="2107"/>
      <c r="AG1321" s="2107"/>
      <c r="AH1321" s="2107"/>
      <c r="AI1321" s="2107"/>
      <c r="AJ1321" s="2107"/>
      <c r="AK1321" s="2107"/>
      <c r="AL1321" s="2107"/>
      <c r="AM1321" s="2107"/>
      <c r="AN1321" s="2107"/>
      <c r="AO1321" s="2107"/>
      <c r="AP1321" s="2107"/>
      <c r="AQ1321" s="2107"/>
    </row>
    <row r="1322" spans="1:43" ht="15" customHeight="1">
      <c r="A1322" s="2133" t="str">
        <f t="shared" si="304"/>
        <v>B6</v>
      </c>
      <c r="B1322" s="2133">
        <f t="shared" si="304"/>
        <v>0</v>
      </c>
      <c r="C1322" s="2133">
        <f t="shared" si="305"/>
        <v>0</v>
      </c>
      <c r="D1322" s="2133">
        <f t="shared" si="306"/>
        <v>0</v>
      </c>
      <c r="E1322" s="2086">
        <f>$F$450*B1322</f>
        <v>0</v>
      </c>
      <c r="V1322" s="2107"/>
      <c r="W1322" s="2107"/>
      <c r="X1322" s="2107"/>
      <c r="Y1322" s="2107"/>
      <c r="Z1322" s="2107"/>
      <c r="AA1322" s="2107"/>
      <c r="AB1322" s="2107"/>
      <c r="AC1322" s="2107"/>
      <c r="AD1322" s="2107"/>
      <c r="AE1322" s="2107"/>
      <c r="AF1322" s="2107"/>
      <c r="AG1322" s="2107"/>
      <c r="AH1322" s="2107"/>
      <c r="AI1322" s="2107"/>
      <c r="AJ1322" s="2107"/>
      <c r="AK1322" s="2107"/>
      <c r="AL1322" s="2107"/>
      <c r="AM1322" s="2107"/>
      <c r="AN1322" s="2107"/>
      <c r="AO1322" s="2107"/>
      <c r="AP1322" s="2107"/>
      <c r="AQ1322" s="2107"/>
    </row>
    <row r="1323" spans="1:43" ht="15" customHeight="1">
      <c r="A1323" s="2133" t="str">
        <f t="shared" si="304"/>
        <v>B7</v>
      </c>
      <c r="B1323" s="2133">
        <f t="shared" si="304"/>
        <v>0</v>
      </c>
      <c r="C1323" s="2133">
        <f t="shared" si="305"/>
        <v>0</v>
      </c>
      <c r="D1323" s="2133">
        <f t="shared" si="306"/>
        <v>0</v>
      </c>
      <c r="E1323" s="2086">
        <f>$F$451*B1323</f>
        <v>0</v>
      </c>
      <c r="V1323" s="2107"/>
      <c r="W1323" s="2107"/>
      <c r="X1323" s="2107"/>
      <c r="Y1323" s="2107"/>
      <c r="Z1323" s="2107"/>
      <c r="AA1323" s="2107"/>
      <c r="AB1323" s="2107"/>
      <c r="AC1323" s="2107"/>
      <c r="AD1323" s="2107"/>
      <c r="AE1323" s="2107"/>
      <c r="AF1323" s="2107"/>
      <c r="AG1323" s="2107"/>
      <c r="AH1323" s="2107"/>
      <c r="AI1323" s="2107"/>
      <c r="AJ1323" s="2107"/>
      <c r="AK1323" s="2107"/>
      <c r="AL1323" s="2107"/>
      <c r="AM1323" s="2107"/>
      <c r="AN1323" s="2107"/>
      <c r="AO1323" s="2107"/>
      <c r="AP1323" s="2107"/>
      <c r="AQ1323" s="2107"/>
    </row>
    <row r="1324" spans="1:43" ht="15" customHeight="1">
      <c r="A1324" s="2133" t="str">
        <f t="shared" si="304"/>
        <v>B8</v>
      </c>
      <c r="B1324" s="2133">
        <f t="shared" si="304"/>
        <v>0</v>
      </c>
      <c r="C1324" s="2133">
        <f t="shared" si="305"/>
        <v>0</v>
      </c>
      <c r="D1324" s="2133">
        <f t="shared" si="306"/>
        <v>0</v>
      </c>
      <c r="E1324" s="2086">
        <f>$F$452*B1324</f>
        <v>0</v>
      </c>
      <c r="V1324" s="2107"/>
      <c r="W1324" s="2107"/>
      <c r="X1324" s="2107"/>
      <c r="Y1324" s="2107"/>
      <c r="Z1324" s="2107"/>
      <c r="AA1324" s="2107"/>
      <c r="AB1324" s="2107"/>
      <c r="AC1324" s="2107"/>
      <c r="AD1324" s="2107"/>
      <c r="AE1324" s="2107"/>
      <c r="AF1324" s="2107"/>
      <c r="AG1324" s="2107"/>
      <c r="AH1324" s="2107"/>
      <c r="AI1324" s="2107"/>
      <c r="AJ1324" s="2107"/>
      <c r="AK1324" s="2107"/>
      <c r="AL1324" s="2107"/>
      <c r="AM1324" s="2107"/>
      <c r="AN1324" s="2107"/>
      <c r="AO1324" s="2107"/>
      <c r="AP1324" s="2107"/>
      <c r="AQ1324" s="2107"/>
    </row>
    <row r="1325" spans="1:43">
      <c r="A1325" s="2133" t="str">
        <f t="shared" si="304"/>
        <v>B9</v>
      </c>
      <c r="B1325" s="2133">
        <f t="shared" si="304"/>
        <v>0</v>
      </c>
      <c r="C1325" s="2133">
        <f t="shared" si="305"/>
        <v>0</v>
      </c>
      <c r="D1325" s="2133">
        <f t="shared" si="306"/>
        <v>0</v>
      </c>
      <c r="E1325" s="2086">
        <f>$F$453*B1325</f>
        <v>0</v>
      </c>
      <c r="V1325" s="2107"/>
      <c r="W1325" s="2107"/>
      <c r="X1325" s="2107"/>
      <c r="Y1325" s="2107"/>
      <c r="Z1325" s="2107"/>
      <c r="AA1325" s="2107"/>
      <c r="AB1325" s="2107"/>
      <c r="AC1325" s="2107"/>
      <c r="AD1325" s="2107"/>
      <c r="AE1325" s="2107"/>
      <c r="AF1325" s="2107"/>
      <c r="AG1325" s="2107"/>
      <c r="AH1325" s="2107"/>
      <c r="AI1325" s="2107"/>
      <c r="AJ1325" s="2107"/>
      <c r="AK1325" s="2107"/>
      <c r="AL1325" s="2107"/>
      <c r="AM1325" s="2107"/>
      <c r="AN1325" s="2107"/>
      <c r="AO1325" s="2107"/>
      <c r="AP1325" s="2107"/>
      <c r="AQ1325" s="2107"/>
    </row>
    <row r="1326" spans="1:43">
      <c r="A1326" s="2133" t="str">
        <f t="shared" si="304"/>
        <v>B10</v>
      </c>
      <c r="B1326" s="2133">
        <f t="shared" si="304"/>
        <v>0</v>
      </c>
      <c r="C1326" s="2133">
        <f t="shared" si="305"/>
        <v>0</v>
      </c>
      <c r="D1326" s="2133">
        <f t="shared" si="306"/>
        <v>0</v>
      </c>
      <c r="E1326" s="2086">
        <f>$F$454*B1326</f>
        <v>0</v>
      </c>
      <c r="V1326" s="2107"/>
      <c r="W1326" s="2833"/>
      <c r="X1326" s="2833"/>
      <c r="Y1326" s="2833"/>
      <c r="Z1326" s="2833"/>
      <c r="AA1326" s="2107"/>
      <c r="AB1326" s="2107"/>
      <c r="AC1326" s="2107"/>
      <c r="AD1326" s="2107"/>
      <c r="AE1326" s="2107"/>
      <c r="AF1326" s="2107"/>
      <c r="AG1326" s="2107"/>
      <c r="AH1326" s="2107"/>
      <c r="AI1326" s="2107"/>
      <c r="AJ1326" s="2107"/>
      <c r="AK1326" s="2107"/>
      <c r="AL1326" s="2107"/>
      <c r="AM1326" s="2107"/>
      <c r="AN1326" s="2107"/>
      <c r="AO1326" s="2107"/>
      <c r="AP1326" s="2107"/>
      <c r="AQ1326" s="2107"/>
    </row>
    <row r="1327" spans="1:43">
      <c r="A1327" s="2133" t="str">
        <f t="shared" si="304"/>
        <v>B11</v>
      </c>
      <c r="B1327" s="2133">
        <f t="shared" si="304"/>
        <v>0</v>
      </c>
      <c r="C1327" s="2133">
        <f t="shared" si="305"/>
        <v>0</v>
      </c>
      <c r="D1327" s="2133">
        <f t="shared" si="306"/>
        <v>0</v>
      </c>
      <c r="E1327" s="2086">
        <f>$F$455*B1327</f>
        <v>0</v>
      </c>
      <c r="V1327" s="2107"/>
      <c r="W1327" s="2107"/>
      <c r="X1327" s="2107"/>
      <c r="Y1327" s="2107"/>
      <c r="Z1327" s="2107"/>
      <c r="AA1327" s="2107"/>
      <c r="AB1327" s="2107"/>
      <c r="AC1327" s="2107"/>
      <c r="AD1327" s="2107"/>
      <c r="AE1327" s="2107"/>
      <c r="AF1327" s="2107"/>
      <c r="AG1327" s="2107"/>
      <c r="AH1327" s="2107"/>
      <c r="AI1327" s="2107"/>
      <c r="AJ1327" s="2107"/>
      <c r="AK1327" s="2107"/>
      <c r="AL1327" s="2107"/>
      <c r="AM1327" s="2107"/>
      <c r="AN1327" s="2107"/>
      <c r="AO1327" s="2107"/>
      <c r="AP1327" s="2107"/>
      <c r="AQ1327" s="2107"/>
    </row>
    <row r="1328" spans="1:43">
      <c r="A1328" s="2133" t="str">
        <f t="shared" si="304"/>
        <v>B12</v>
      </c>
      <c r="B1328" s="2133">
        <f t="shared" si="304"/>
        <v>0</v>
      </c>
      <c r="C1328" s="2133">
        <f t="shared" si="305"/>
        <v>0</v>
      </c>
      <c r="D1328" s="2133">
        <f t="shared" si="306"/>
        <v>0</v>
      </c>
      <c r="E1328" s="2086">
        <f>$F$456*B1328</f>
        <v>0</v>
      </c>
      <c r="V1328" s="2107"/>
      <c r="W1328" s="2107"/>
      <c r="X1328" s="2107"/>
      <c r="Y1328" s="2107"/>
      <c r="Z1328" s="2107"/>
      <c r="AA1328" s="2107"/>
      <c r="AB1328" s="2107"/>
      <c r="AC1328" s="2107"/>
      <c r="AD1328" s="2107"/>
      <c r="AE1328" s="2107"/>
      <c r="AF1328" s="2107"/>
      <c r="AG1328" s="2107"/>
      <c r="AH1328" s="2107"/>
      <c r="AI1328" s="2107"/>
      <c r="AJ1328" s="2107"/>
      <c r="AK1328" s="2107"/>
      <c r="AL1328" s="2107"/>
      <c r="AM1328" s="2107"/>
      <c r="AN1328" s="2107"/>
      <c r="AO1328" s="2107"/>
      <c r="AP1328" s="2107"/>
      <c r="AQ1328" s="2107"/>
    </row>
    <row r="1329" spans="1:43">
      <c r="A1329" s="2133" t="str">
        <f t="shared" si="304"/>
        <v>B13</v>
      </c>
      <c r="B1329" s="2133">
        <f t="shared" si="304"/>
        <v>0</v>
      </c>
      <c r="C1329" s="2133">
        <f t="shared" si="305"/>
        <v>0</v>
      </c>
      <c r="D1329" s="2133">
        <f t="shared" si="306"/>
        <v>0</v>
      </c>
      <c r="E1329" s="2086">
        <f>$F$457*B1329</f>
        <v>0</v>
      </c>
      <c r="V1329" s="2107"/>
      <c r="W1329" s="2833"/>
      <c r="X1329" s="2833"/>
      <c r="Y1329" s="2833"/>
      <c r="Z1329" s="2833"/>
      <c r="AA1329" s="2107"/>
      <c r="AB1329" s="2107"/>
      <c r="AC1329" s="2107"/>
      <c r="AD1329" s="2107"/>
      <c r="AE1329" s="2107"/>
      <c r="AF1329" s="2107"/>
      <c r="AG1329" s="2107"/>
      <c r="AH1329" s="2107"/>
      <c r="AI1329" s="2107"/>
      <c r="AJ1329" s="2107"/>
      <c r="AK1329" s="2107"/>
      <c r="AL1329" s="2107"/>
      <c r="AM1329" s="2107"/>
      <c r="AN1329" s="2107"/>
      <c r="AO1329" s="2107"/>
      <c r="AP1329" s="2107"/>
      <c r="AQ1329" s="2107"/>
    </row>
    <row r="1330" spans="1:43">
      <c r="A1330" s="2133" t="str">
        <f t="shared" si="304"/>
        <v>B14</v>
      </c>
      <c r="B1330" s="2133">
        <f t="shared" si="304"/>
        <v>0</v>
      </c>
      <c r="C1330" s="2133">
        <f t="shared" si="305"/>
        <v>0</v>
      </c>
      <c r="D1330" s="2133">
        <f t="shared" si="306"/>
        <v>0</v>
      </c>
      <c r="E1330" s="2086">
        <f>$F$458*B1330</f>
        <v>0</v>
      </c>
      <c r="V1330" s="2107"/>
      <c r="W1330" s="2107"/>
      <c r="X1330" s="2107"/>
      <c r="Y1330" s="2107"/>
      <c r="Z1330" s="2107"/>
      <c r="AA1330" s="2107"/>
      <c r="AB1330" s="2107"/>
      <c r="AC1330" s="2107"/>
      <c r="AD1330" s="2107"/>
      <c r="AE1330" s="2107"/>
      <c r="AF1330" s="2107"/>
      <c r="AG1330" s="2107"/>
      <c r="AH1330" s="2107"/>
      <c r="AI1330" s="2107"/>
      <c r="AJ1330" s="2107"/>
      <c r="AK1330" s="2107"/>
      <c r="AL1330" s="2107"/>
      <c r="AM1330" s="2107"/>
      <c r="AN1330" s="2107"/>
      <c r="AO1330" s="2107"/>
      <c r="AP1330" s="2107"/>
      <c r="AQ1330" s="2107"/>
    </row>
    <row r="1331" spans="1:43">
      <c r="A1331" s="2133" t="str">
        <f t="shared" si="304"/>
        <v>B15</v>
      </c>
      <c r="B1331" s="2133">
        <f t="shared" si="304"/>
        <v>0</v>
      </c>
      <c r="C1331" s="2133">
        <f t="shared" si="305"/>
        <v>0</v>
      </c>
      <c r="D1331" s="2133">
        <f t="shared" si="306"/>
        <v>0</v>
      </c>
      <c r="E1331" s="2086">
        <f t="shared" ref="E1331:E1336" si="307">$F$459*B1331</f>
        <v>0</v>
      </c>
      <c r="V1331" s="2107"/>
      <c r="W1331" s="2107"/>
      <c r="X1331" s="2107"/>
      <c r="Y1331" s="2107"/>
      <c r="Z1331" s="2107"/>
      <c r="AA1331" s="2107"/>
      <c r="AB1331" s="2107"/>
      <c r="AC1331" s="2107"/>
      <c r="AD1331" s="2107"/>
      <c r="AE1331" s="2107"/>
      <c r="AF1331" s="2107"/>
      <c r="AG1331" s="2107"/>
      <c r="AH1331" s="2107"/>
      <c r="AI1331" s="2107"/>
      <c r="AJ1331" s="2107"/>
      <c r="AK1331" s="2107"/>
      <c r="AL1331" s="2107"/>
      <c r="AM1331" s="2107"/>
      <c r="AN1331" s="2107"/>
      <c r="AO1331" s="2107"/>
      <c r="AP1331" s="2107"/>
      <c r="AQ1331" s="2107"/>
    </row>
    <row r="1332" spans="1:43" s="2532" customFormat="1">
      <c r="A1332" s="2133" t="str">
        <f t="shared" ref="A1332:B1337" si="308">A1305</f>
        <v>B16</v>
      </c>
      <c r="B1332" s="2133">
        <f t="shared" si="308"/>
        <v>0</v>
      </c>
      <c r="C1332" s="2133">
        <f t="shared" ref="C1332:C1337" si="309">C460</f>
        <v>0</v>
      </c>
      <c r="D1332" s="2133">
        <f>B1332*C1332</f>
        <v>0</v>
      </c>
      <c r="E1332" s="2532">
        <f t="shared" si="307"/>
        <v>0</v>
      </c>
      <c r="V1332" s="2531"/>
      <c r="W1332" s="2531"/>
      <c r="X1332" s="2531"/>
      <c r="Y1332" s="2531"/>
      <c r="Z1332" s="2531"/>
      <c r="AA1332" s="2531"/>
      <c r="AB1332" s="2531"/>
      <c r="AC1332" s="2531"/>
      <c r="AD1332" s="2531"/>
      <c r="AE1332" s="2531"/>
      <c r="AF1332" s="2531"/>
      <c r="AG1332" s="2531"/>
      <c r="AH1332" s="2531"/>
      <c r="AI1332" s="2531"/>
      <c r="AJ1332" s="2531"/>
      <c r="AK1332" s="2531"/>
      <c r="AL1332" s="2531"/>
      <c r="AM1332" s="2531"/>
      <c r="AN1332" s="2531"/>
      <c r="AO1332" s="2531"/>
      <c r="AP1332" s="2531"/>
      <c r="AQ1332" s="2531"/>
    </row>
    <row r="1333" spans="1:43" s="2532" customFormat="1">
      <c r="A1333" s="2133" t="str">
        <f t="shared" si="308"/>
        <v>B17</v>
      </c>
      <c r="B1333" s="2133">
        <f t="shared" si="308"/>
        <v>0</v>
      </c>
      <c r="C1333" s="2133">
        <f t="shared" si="309"/>
        <v>0</v>
      </c>
      <c r="D1333" s="2133">
        <f>B1333*C1333</f>
        <v>0</v>
      </c>
      <c r="E1333" s="2532">
        <f t="shared" si="307"/>
        <v>0</v>
      </c>
      <c r="V1333" s="2531"/>
      <c r="W1333" s="2531"/>
      <c r="X1333" s="2531"/>
      <c r="Y1333" s="2531"/>
      <c r="Z1333" s="2531"/>
      <c r="AA1333" s="2531"/>
      <c r="AB1333" s="2531"/>
      <c r="AC1333" s="2531"/>
      <c r="AD1333" s="2531"/>
      <c r="AE1333" s="2531"/>
      <c r="AF1333" s="2531"/>
      <c r="AG1333" s="2531"/>
      <c r="AH1333" s="2531"/>
      <c r="AI1333" s="2531"/>
      <c r="AJ1333" s="2531"/>
      <c r="AK1333" s="2531"/>
      <c r="AL1333" s="2531"/>
      <c r="AM1333" s="2531"/>
      <c r="AN1333" s="2531"/>
      <c r="AO1333" s="2531"/>
      <c r="AP1333" s="2531"/>
      <c r="AQ1333" s="2531"/>
    </row>
    <row r="1334" spans="1:43" s="2532" customFormat="1">
      <c r="A1334" s="2133" t="str">
        <f t="shared" si="308"/>
        <v>B18</v>
      </c>
      <c r="B1334" s="2133">
        <f t="shared" si="308"/>
        <v>0</v>
      </c>
      <c r="C1334" s="2133">
        <f t="shared" si="309"/>
        <v>0</v>
      </c>
      <c r="D1334" s="2133">
        <f>B1334*C1334</f>
        <v>0</v>
      </c>
      <c r="E1334" s="2532">
        <f t="shared" si="307"/>
        <v>0</v>
      </c>
      <c r="V1334" s="2531"/>
      <c r="W1334" s="2531"/>
      <c r="X1334" s="2531"/>
      <c r="Y1334" s="2531"/>
      <c r="Z1334" s="2531"/>
      <c r="AA1334" s="2531"/>
      <c r="AB1334" s="2531"/>
      <c r="AC1334" s="2531"/>
      <c r="AD1334" s="2531"/>
      <c r="AE1334" s="2531"/>
      <c r="AF1334" s="2531"/>
      <c r="AG1334" s="2531"/>
      <c r="AH1334" s="2531"/>
      <c r="AI1334" s="2531"/>
      <c r="AJ1334" s="2531"/>
      <c r="AK1334" s="2531"/>
      <c r="AL1334" s="2531"/>
      <c r="AM1334" s="2531"/>
      <c r="AN1334" s="2531"/>
      <c r="AO1334" s="2531"/>
      <c r="AP1334" s="2531"/>
      <c r="AQ1334" s="2531"/>
    </row>
    <row r="1335" spans="1:43" s="2532" customFormat="1">
      <c r="A1335" s="2133" t="str">
        <f t="shared" si="308"/>
        <v>B19</v>
      </c>
      <c r="B1335" s="2133">
        <f t="shared" si="308"/>
        <v>0</v>
      </c>
      <c r="C1335" s="2133">
        <f t="shared" si="309"/>
        <v>0</v>
      </c>
      <c r="D1335" s="2133">
        <f>B1335*C1335</f>
        <v>0</v>
      </c>
      <c r="E1335" s="2532">
        <f t="shared" si="307"/>
        <v>0</v>
      </c>
      <c r="V1335" s="2531"/>
      <c r="W1335" s="2531"/>
      <c r="X1335" s="2531"/>
      <c r="Y1335" s="2531"/>
      <c r="Z1335" s="2531"/>
      <c r="AA1335" s="2531"/>
      <c r="AB1335" s="2531"/>
      <c r="AC1335" s="2531"/>
      <c r="AD1335" s="2531"/>
      <c r="AE1335" s="2531"/>
      <c r="AF1335" s="2531"/>
      <c r="AG1335" s="2531"/>
      <c r="AH1335" s="2531"/>
      <c r="AI1335" s="2531"/>
      <c r="AJ1335" s="2531"/>
      <c r="AK1335" s="2531"/>
      <c r="AL1335" s="2531"/>
      <c r="AM1335" s="2531"/>
      <c r="AN1335" s="2531"/>
      <c r="AO1335" s="2531"/>
      <c r="AP1335" s="2531"/>
      <c r="AQ1335" s="2531"/>
    </row>
    <row r="1336" spans="1:43" s="2532" customFormat="1">
      <c r="A1336" s="2133" t="str">
        <f t="shared" si="308"/>
        <v>B20</v>
      </c>
      <c r="B1336" s="2133">
        <f t="shared" si="308"/>
        <v>0</v>
      </c>
      <c r="C1336" s="2133">
        <f t="shared" si="309"/>
        <v>0</v>
      </c>
      <c r="D1336" s="2133">
        <f>B1336*C1336</f>
        <v>0</v>
      </c>
      <c r="E1336" s="2532">
        <f t="shared" si="307"/>
        <v>0</v>
      </c>
      <c r="V1336" s="2531"/>
      <c r="W1336" s="2531"/>
      <c r="X1336" s="2531"/>
      <c r="Y1336" s="2531"/>
      <c r="Z1336" s="2531"/>
      <c r="AA1336" s="2531"/>
      <c r="AB1336" s="2531"/>
      <c r="AC1336" s="2531"/>
      <c r="AD1336" s="2531"/>
      <c r="AE1336" s="2531"/>
      <c r="AF1336" s="2531"/>
      <c r="AG1336" s="2531"/>
      <c r="AH1336" s="2531"/>
      <c r="AI1336" s="2531"/>
      <c r="AJ1336" s="2531"/>
      <c r="AK1336" s="2531"/>
      <c r="AL1336" s="2531"/>
      <c r="AM1336" s="2531"/>
      <c r="AN1336" s="2531"/>
      <c r="AO1336" s="2531"/>
      <c r="AP1336" s="2531"/>
      <c r="AQ1336" s="2531"/>
    </row>
    <row r="1337" spans="1:43">
      <c r="A1337" s="2133" t="str">
        <f t="shared" si="308"/>
        <v>RB</v>
      </c>
      <c r="B1337" s="2133">
        <f t="shared" si="308"/>
        <v>0</v>
      </c>
      <c r="C1337" s="2133">
        <f t="shared" si="309"/>
        <v>0.03</v>
      </c>
      <c r="D1337" s="2145">
        <f t="shared" si="306"/>
        <v>0</v>
      </c>
      <c r="E1337" s="2086">
        <f>$F$465*B1337</f>
        <v>0</v>
      </c>
      <c r="G1337" s="2099"/>
      <c r="V1337" s="2107"/>
      <c r="W1337" s="2107"/>
      <c r="X1337" s="2107"/>
      <c r="Y1337" s="2107"/>
      <c r="Z1337" s="2107"/>
      <c r="AA1337" s="2107"/>
      <c r="AB1337" s="2107"/>
      <c r="AC1337" s="2107"/>
      <c r="AD1337" s="2107"/>
      <c r="AE1337" s="2107"/>
      <c r="AF1337" s="2107"/>
      <c r="AG1337" s="2107"/>
      <c r="AH1337" s="2107"/>
      <c r="AI1337" s="2107"/>
      <c r="AJ1337" s="2107"/>
      <c r="AK1337" s="2107"/>
      <c r="AL1337" s="2107"/>
      <c r="AM1337" s="2107"/>
      <c r="AN1337" s="2107"/>
      <c r="AO1337" s="2107"/>
      <c r="AP1337" s="2107"/>
      <c r="AQ1337" s="2107"/>
    </row>
    <row r="1338" spans="1:43" ht="30">
      <c r="C1338" s="2138" t="s">
        <v>2078</v>
      </c>
      <c r="D1338" s="2182">
        <f>SUM(D1317:D1337)</f>
        <v>0</v>
      </c>
      <c r="E1338" s="2086">
        <f>SUM(E1317:E1331)</f>
        <v>0</v>
      </c>
      <c r="V1338" s="2107"/>
      <c r="W1338" s="2107"/>
      <c r="X1338" s="2107"/>
      <c r="Y1338" s="2107"/>
      <c r="Z1338" s="2107"/>
      <c r="AA1338" s="2107"/>
      <c r="AB1338" s="2107"/>
      <c r="AC1338" s="2107"/>
      <c r="AD1338" s="2107"/>
      <c r="AE1338" s="2107"/>
      <c r="AF1338" s="2107"/>
      <c r="AG1338" s="2107"/>
      <c r="AH1338" s="2107"/>
      <c r="AI1338" s="2107"/>
      <c r="AJ1338" s="2107"/>
      <c r="AK1338" s="2107"/>
      <c r="AL1338" s="2107"/>
      <c r="AM1338" s="2107"/>
      <c r="AN1338" s="2107"/>
      <c r="AO1338" s="2107"/>
      <c r="AP1338" s="2107"/>
      <c r="AQ1338" s="2107"/>
    </row>
    <row r="1339" spans="1:43">
      <c r="V1339" s="2107"/>
      <c r="W1339" s="2107"/>
      <c r="X1339" s="2107"/>
      <c r="Y1339" s="2107"/>
      <c r="Z1339" s="2107"/>
      <c r="AA1339" s="2107"/>
      <c r="AB1339" s="2107"/>
      <c r="AC1339" s="2107"/>
      <c r="AD1339" s="2107"/>
      <c r="AE1339" s="2107"/>
      <c r="AF1339" s="2107"/>
      <c r="AG1339" s="2107"/>
      <c r="AH1339" s="2107"/>
      <c r="AI1339" s="2107"/>
      <c r="AJ1339" s="2107"/>
      <c r="AK1339" s="2107"/>
      <c r="AL1339" s="2107"/>
      <c r="AM1339" s="2107"/>
      <c r="AN1339" s="2107"/>
      <c r="AO1339" s="2107"/>
      <c r="AP1339" s="2107"/>
      <c r="AQ1339" s="2107"/>
    </row>
    <row r="1340" spans="1:43">
      <c r="A1340" s="2831" t="s">
        <v>2006</v>
      </c>
      <c r="B1340" s="2832"/>
      <c r="C1340" s="2832"/>
      <c r="D1340" s="2832"/>
      <c r="V1340" s="2107"/>
      <c r="W1340" s="2107"/>
      <c r="X1340" s="2107"/>
      <c r="Y1340" s="2107"/>
      <c r="Z1340" s="2107"/>
      <c r="AA1340" s="2107"/>
      <c r="AB1340" s="2107"/>
      <c r="AC1340" s="2107"/>
      <c r="AD1340" s="2107"/>
      <c r="AE1340" s="2107"/>
      <c r="AF1340" s="2107"/>
      <c r="AG1340" s="2107"/>
      <c r="AH1340" s="2107"/>
      <c r="AI1340" s="2107"/>
      <c r="AJ1340" s="2107"/>
      <c r="AK1340" s="2107"/>
      <c r="AL1340" s="2107"/>
      <c r="AM1340" s="2107"/>
      <c r="AN1340" s="2107"/>
      <c r="AO1340" s="2107"/>
      <c r="AP1340" s="2107"/>
      <c r="AQ1340" s="2107"/>
    </row>
    <row r="1341" spans="1:43">
      <c r="A1341" s="2133" t="s">
        <v>1796</v>
      </c>
      <c r="B1341" s="2133" t="s">
        <v>2004</v>
      </c>
      <c r="C1341" s="2133" t="s">
        <v>1791</v>
      </c>
      <c r="D1341" s="2133" t="s">
        <v>2007</v>
      </c>
      <c r="V1341" s="2107"/>
      <c r="W1341" s="2107"/>
      <c r="X1341" s="2107"/>
      <c r="Y1341" s="2107"/>
      <c r="Z1341" s="2107"/>
      <c r="AA1341" s="2107"/>
      <c r="AB1341" s="2107"/>
      <c r="AC1341" s="2107"/>
      <c r="AD1341" s="2107"/>
      <c r="AE1341" s="2107"/>
      <c r="AF1341" s="2107"/>
      <c r="AG1341" s="2107"/>
      <c r="AH1341" s="2107"/>
      <c r="AI1341" s="2107"/>
      <c r="AJ1341" s="2107"/>
      <c r="AK1341" s="2107"/>
      <c r="AL1341" s="2107"/>
      <c r="AM1341" s="2107"/>
      <c r="AN1341" s="2107"/>
      <c r="AO1341" s="2107"/>
      <c r="AP1341" s="2107"/>
      <c r="AQ1341" s="2107"/>
    </row>
    <row r="1342" spans="1:43">
      <c r="A1342" s="2133" t="str">
        <f t="shared" ref="A1342:B1353" si="310">A1317</f>
        <v>B1</v>
      </c>
      <c r="B1342" s="2133">
        <f t="shared" si="310"/>
        <v>0</v>
      </c>
      <c r="C1342" s="2133">
        <f t="shared" ref="C1342:C1356" si="311">C470</f>
        <v>0.8</v>
      </c>
      <c r="D1342" s="2133">
        <f t="shared" ref="D1342:D1362" si="312">B1342*C1342</f>
        <v>0</v>
      </c>
      <c r="V1342" s="2107"/>
      <c r="W1342" s="2107"/>
      <c r="X1342" s="2107"/>
      <c r="Y1342" s="2107"/>
      <c r="Z1342" s="2107"/>
      <c r="AA1342" s="2107"/>
      <c r="AB1342" s="2107"/>
      <c r="AC1342" s="2107"/>
      <c r="AD1342" s="2107"/>
      <c r="AE1342" s="2107"/>
      <c r="AF1342" s="2107"/>
      <c r="AG1342" s="2107"/>
      <c r="AH1342" s="2107"/>
      <c r="AI1342" s="2107"/>
      <c r="AJ1342" s="2107"/>
      <c r="AK1342" s="2107"/>
      <c r="AL1342" s="2107"/>
      <c r="AM1342" s="2107"/>
      <c r="AN1342" s="2107"/>
      <c r="AO1342" s="2107"/>
      <c r="AP1342" s="2107"/>
      <c r="AQ1342" s="2107"/>
    </row>
    <row r="1343" spans="1:43">
      <c r="A1343" s="2133" t="str">
        <f t="shared" si="310"/>
        <v>B2</v>
      </c>
      <c r="B1343" s="2133">
        <f t="shared" si="310"/>
        <v>0</v>
      </c>
      <c r="C1343" s="2133">
        <f t="shared" si="311"/>
        <v>1.1000000000000001</v>
      </c>
      <c r="D1343" s="2133">
        <f t="shared" si="312"/>
        <v>0</v>
      </c>
      <c r="V1343" s="2107"/>
      <c r="W1343" s="2107"/>
      <c r="X1343" s="2107"/>
      <c r="Y1343" s="2107"/>
      <c r="Z1343" s="2107"/>
      <c r="AA1343" s="2107"/>
      <c r="AB1343" s="2107"/>
      <c r="AC1343" s="2107"/>
      <c r="AD1343" s="2107"/>
      <c r="AE1343" s="2107"/>
      <c r="AF1343" s="2107"/>
      <c r="AG1343" s="2107"/>
      <c r="AH1343" s="2107"/>
      <c r="AI1343" s="2107"/>
      <c r="AJ1343" s="2107"/>
      <c r="AK1343" s="2107"/>
      <c r="AL1343" s="2107"/>
      <c r="AM1343" s="2107"/>
      <c r="AN1343" s="2107"/>
      <c r="AO1343" s="2107"/>
      <c r="AP1343" s="2107"/>
      <c r="AQ1343" s="2107"/>
    </row>
    <row r="1344" spans="1:43">
      <c r="A1344" s="2133" t="str">
        <f t="shared" si="310"/>
        <v>B3</v>
      </c>
      <c r="B1344" s="2133">
        <f t="shared" si="310"/>
        <v>0</v>
      </c>
      <c r="C1344" s="2133">
        <f t="shared" si="311"/>
        <v>1.6</v>
      </c>
      <c r="D1344" s="2133">
        <f t="shared" si="312"/>
        <v>0</v>
      </c>
      <c r="V1344" s="2107"/>
      <c r="W1344" s="2107"/>
      <c r="X1344" s="2107"/>
      <c r="Y1344" s="2107"/>
      <c r="Z1344" s="2107"/>
      <c r="AA1344" s="2107"/>
      <c r="AB1344" s="2107"/>
      <c r="AC1344" s="2107"/>
      <c r="AD1344" s="2107"/>
      <c r="AE1344" s="2107"/>
      <c r="AF1344" s="2107"/>
      <c r="AG1344" s="2107"/>
      <c r="AH1344" s="2107"/>
      <c r="AI1344" s="2107"/>
      <c r="AJ1344" s="2107"/>
      <c r="AK1344" s="2107"/>
      <c r="AL1344" s="2107"/>
      <c r="AM1344" s="2107"/>
      <c r="AN1344" s="2107"/>
      <c r="AO1344" s="2107"/>
      <c r="AP1344" s="2107"/>
      <c r="AQ1344" s="2107"/>
    </row>
    <row r="1345" spans="1:43">
      <c r="A1345" s="2133" t="str">
        <f t="shared" si="310"/>
        <v>B4</v>
      </c>
      <c r="B1345" s="2133">
        <f t="shared" si="310"/>
        <v>0</v>
      </c>
      <c r="C1345" s="2133">
        <f t="shared" si="311"/>
        <v>0.6</v>
      </c>
      <c r="D1345" s="2133">
        <f t="shared" si="312"/>
        <v>0</v>
      </c>
      <c r="V1345" s="2107"/>
      <c r="W1345" s="2107"/>
      <c r="X1345" s="2107"/>
      <c r="Y1345" s="2107"/>
      <c r="Z1345" s="2107"/>
      <c r="AA1345" s="2107"/>
      <c r="AB1345" s="2107"/>
      <c r="AC1345" s="2107"/>
      <c r="AD1345" s="2107"/>
      <c r="AE1345" s="2107"/>
      <c r="AF1345" s="2107"/>
      <c r="AG1345" s="2107"/>
      <c r="AH1345" s="2107"/>
      <c r="AI1345" s="2107"/>
      <c r="AJ1345" s="2107"/>
      <c r="AK1345" s="2107"/>
      <c r="AL1345" s="2107"/>
      <c r="AM1345" s="2107"/>
      <c r="AN1345" s="2107"/>
      <c r="AO1345" s="2107"/>
      <c r="AP1345" s="2107"/>
      <c r="AQ1345" s="2107"/>
    </row>
    <row r="1346" spans="1:43">
      <c r="A1346" s="2133" t="str">
        <f t="shared" si="310"/>
        <v>B5</v>
      </c>
      <c r="B1346" s="2133">
        <f t="shared" si="310"/>
        <v>0</v>
      </c>
      <c r="C1346" s="2133">
        <f t="shared" si="311"/>
        <v>0</v>
      </c>
      <c r="D1346" s="2133">
        <f t="shared" si="312"/>
        <v>0</v>
      </c>
      <c r="V1346" s="2107"/>
      <c r="W1346" s="2107"/>
      <c r="X1346" s="2107"/>
      <c r="Y1346" s="2107"/>
      <c r="Z1346" s="2107"/>
      <c r="AA1346" s="2107"/>
      <c r="AB1346" s="2107"/>
      <c r="AC1346" s="2107"/>
      <c r="AD1346" s="2107"/>
      <c r="AE1346" s="2107"/>
      <c r="AF1346" s="2107"/>
      <c r="AG1346" s="2107"/>
      <c r="AH1346" s="2107"/>
      <c r="AI1346" s="2107"/>
      <c r="AJ1346" s="2107"/>
      <c r="AK1346" s="2107"/>
      <c r="AL1346" s="2107"/>
      <c r="AM1346" s="2107"/>
      <c r="AN1346" s="2107"/>
      <c r="AO1346" s="2107"/>
      <c r="AP1346" s="2107"/>
      <c r="AQ1346" s="2107"/>
    </row>
    <row r="1347" spans="1:43">
      <c r="A1347" s="2133" t="str">
        <f t="shared" si="310"/>
        <v>B6</v>
      </c>
      <c r="B1347" s="2133">
        <f t="shared" si="310"/>
        <v>0</v>
      </c>
      <c r="C1347" s="2133">
        <f t="shared" si="311"/>
        <v>0</v>
      </c>
      <c r="D1347" s="2133">
        <f t="shared" si="312"/>
        <v>0</v>
      </c>
      <c r="V1347" s="2107"/>
      <c r="W1347" s="2107"/>
      <c r="X1347" s="2107"/>
      <c r="Y1347" s="2107"/>
      <c r="Z1347" s="2107"/>
      <c r="AA1347" s="2107"/>
      <c r="AB1347" s="2107"/>
      <c r="AC1347" s="2107"/>
      <c r="AD1347" s="2107"/>
      <c r="AE1347" s="2107"/>
      <c r="AF1347" s="2107"/>
      <c r="AG1347" s="2107"/>
      <c r="AH1347" s="2107"/>
      <c r="AI1347" s="2107"/>
      <c r="AJ1347" s="2107"/>
      <c r="AK1347" s="2107"/>
      <c r="AL1347" s="2107"/>
      <c r="AM1347" s="2107"/>
      <c r="AN1347" s="2107"/>
      <c r="AO1347" s="2107"/>
      <c r="AP1347" s="2107"/>
      <c r="AQ1347" s="2107"/>
    </row>
    <row r="1348" spans="1:43">
      <c r="A1348" s="2133" t="str">
        <f t="shared" si="310"/>
        <v>B7</v>
      </c>
      <c r="B1348" s="2133">
        <f t="shared" si="310"/>
        <v>0</v>
      </c>
      <c r="C1348" s="2133">
        <f t="shared" si="311"/>
        <v>0</v>
      </c>
      <c r="D1348" s="2133">
        <f t="shared" si="312"/>
        <v>0</v>
      </c>
      <c r="V1348" s="2107"/>
      <c r="W1348" s="2107"/>
      <c r="X1348" s="2107"/>
      <c r="Y1348" s="2107"/>
      <c r="Z1348" s="2107"/>
      <c r="AA1348" s="2107"/>
      <c r="AB1348" s="2107"/>
      <c r="AC1348" s="2107"/>
      <c r="AD1348" s="2107"/>
      <c r="AE1348" s="2107"/>
      <c r="AF1348" s="2107"/>
      <c r="AG1348" s="2107"/>
      <c r="AH1348" s="2107"/>
      <c r="AI1348" s="2107"/>
      <c r="AJ1348" s="2107"/>
      <c r="AK1348" s="2107"/>
      <c r="AL1348" s="2107"/>
      <c r="AM1348" s="2107"/>
      <c r="AN1348" s="2107"/>
      <c r="AO1348" s="2107"/>
      <c r="AP1348" s="2107"/>
      <c r="AQ1348" s="2107"/>
    </row>
    <row r="1349" spans="1:43">
      <c r="A1349" s="2133" t="str">
        <f t="shared" si="310"/>
        <v>B8</v>
      </c>
      <c r="B1349" s="2133">
        <f t="shared" si="310"/>
        <v>0</v>
      </c>
      <c r="C1349" s="2133">
        <f t="shared" si="311"/>
        <v>0</v>
      </c>
      <c r="D1349" s="2133">
        <f t="shared" si="312"/>
        <v>0</v>
      </c>
      <c r="V1349" s="2107"/>
      <c r="W1349" s="2107"/>
      <c r="X1349" s="2107"/>
      <c r="Y1349" s="2107"/>
      <c r="Z1349" s="2107"/>
      <c r="AA1349" s="2107"/>
      <c r="AB1349" s="2107"/>
      <c r="AC1349" s="2107"/>
      <c r="AD1349" s="2107"/>
      <c r="AE1349" s="2107"/>
      <c r="AF1349" s="2107"/>
      <c r="AG1349" s="2107"/>
      <c r="AH1349" s="2107"/>
      <c r="AI1349" s="2107"/>
      <c r="AJ1349" s="2107"/>
      <c r="AK1349" s="2107"/>
      <c r="AL1349" s="2107"/>
      <c r="AM1349" s="2107"/>
      <c r="AN1349" s="2107"/>
      <c r="AO1349" s="2107"/>
      <c r="AP1349" s="2107"/>
      <c r="AQ1349" s="2107"/>
    </row>
    <row r="1350" spans="1:43">
      <c r="A1350" s="2133" t="str">
        <f t="shared" si="310"/>
        <v>B9</v>
      </c>
      <c r="B1350" s="2133">
        <f t="shared" si="310"/>
        <v>0</v>
      </c>
      <c r="C1350" s="2133">
        <f t="shared" si="311"/>
        <v>0</v>
      </c>
      <c r="D1350" s="2133">
        <f t="shared" si="312"/>
        <v>0</v>
      </c>
      <c r="V1350" s="2107"/>
      <c r="W1350" s="2107"/>
      <c r="X1350" s="2107"/>
      <c r="Y1350" s="2107"/>
      <c r="Z1350" s="2107"/>
      <c r="AA1350" s="2107"/>
      <c r="AB1350" s="2107"/>
      <c r="AC1350" s="2107"/>
      <c r="AD1350" s="2107"/>
      <c r="AE1350" s="2107"/>
      <c r="AF1350" s="2107"/>
      <c r="AG1350" s="2107"/>
      <c r="AH1350" s="2107"/>
      <c r="AI1350" s="2107"/>
      <c r="AJ1350" s="2107"/>
      <c r="AK1350" s="2107"/>
      <c r="AL1350" s="2107"/>
      <c r="AM1350" s="2107"/>
      <c r="AN1350" s="2107"/>
      <c r="AO1350" s="2107"/>
      <c r="AP1350" s="2107"/>
      <c r="AQ1350" s="2107"/>
    </row>
    <row r="1351" spans="1:43">
      <c r="A1351" s="2133" t="str">
        <f t="shared" si="310"/>
        <v>B10</v>
      </c>
      <c r="B1351" s="2133">
        <f t="shared" si="310"/>
        <v>0</v>
      </c>
      <c r="C1351" s="2133">
        <f t="shared" si="311"/>
        <v>0</v>
      </c>
      <c r="D1351" s="2133">
        <f t="shared" si="312"/>
        <v>0</v>
      </c>
      <c r="V1351" s="2107"/>
      <c r="W1351" s="2107"/>
      <c r="X1351" s="2107"/>
      <c r="Y1351" s="2107"/>
      <c r="Z1351" s="2107"/>
      <c r="AA1351" s="2107"/>
      <c r="AB1351" s="2107"/>
      <c r="AC1351" s="2107"/>
      <c r="AD1351" s="2107"/>
      <c r="AE1351" s="2107"/>
      <c r="AF1351" s="2107"/>
      <c r="AG1351" s="2107"/>
      <c r="AH1351" s="2107"/>
      <c r="AI1351" s="2107"/>
      <c r="AJ1351" s="2107"/>
      <c r="AK1351" s="2107"/>
      <c r="AL1351" s="2107"/>
      <c r="AM1351" s="2107"/>
      <c r="AN1351" s="2107"/>
      <c r="AO1351" s="2107"/>
      <c r="AP1351" s="2107"/>
      <c r="AQ1351" s="2107"/>
    </row>
    <row r="1352" spans="1:43">
      <c r="A1352" s="2133" t="str">
        <f t="shared" si="310"/>
        <v>B11</v>
      </c>
      <c r="B1352" s="2133">
        <f t="shared" si="310"/>
        <v>0</v>
      </c>
      <c r="C1352" s="2133">
        <f t="shared" si="311"/>
        <v>0</v>
      </c>
      <c r="D1352" s="2133">
        <f t="shared" si="312"/>
        <v>0</v>
      </c>
      <c r="V1352" s="2107"/>
      <c r="W1352" s="2107"/>
      <c r="X1352" s="2107"/>
      <c r="Y1352" s="2107"/>
      <c r="Z1352" s="2107"/>
      <c r="AA1352" s="2107"/>
      <c r="AB1352" s="2107"/>
      <c r="AC1352" s="2107"/>
      <c r="AD1352" s="2107"/>
      <c r="AE1352" s="2107"/>
      <c r="AF1352" s="2107"/>
      <c r="AG1352" s="2107"/>
      <c r="AH1352" s="2107"/>
      <c r="AI1352" s="2107"/>
      <c r="AJ1352" s="2107"/>
      <c r="AK1352" s="2107"/>
      <c r="AL1352" s="2107"/>
      <c r="AM1352" s="2107"/>
      <c r="AN1352" s="2107"/>
      <c r="AO1352" s="2107"/>
      <c r="AP1352" s="2107"/>
      <c r="AQ1352" s="2107"/>
    </row>
    <row r="1353" spans="1:43">
      <c r="A1353" s="2133" t="str">
        <f t="shared" si="310"/>
        <v>B12</v>
      </c>
      <c r="B1353" s="2133">
        <f t="shared" si="310"/>
        <v>0</v>
      </c>
      <c r="C1353" s="2133">
        <f t="shared" si="311"/>
        <v>0</v>
      </c>
      <c r="D1353" s="2133">
        <f t="shared" si="312"/>
        <v>0</v>
      </c>
      <c r="V1353" s="2107"/>
      <c r="W1353" s="2107"/>
      <c r="X1353" s="2107"/>
      <c r="Y1353" s="2107"/>
      <c r="Z1353" s="2107"/>
      <c r="AA1353" s="2107"/>
      <c r="AB1353" s="2107"/>
      <c r="AC1353" s="2107"/>
      <c r="AD1353" s="2107"/>
      <c r="AE1353" s="2107"/>
      <c r="AF1353" s="2107"/>
      <c r="AG1353" s="2107"/>
      <c r="AH1353" s="2107"/>
      <c r="AI1353" s="2107"/>
      <c r="AJ1353" s="2107"/>
      <c r="AK1353" s="2107"/>
      <c r="AL1353" s="2107"/>
      <c r="AM1353" s="2107"/>
      <c r="AN1353" s="2107"/>
      <c r="AO1353" s="2107"/>
      <c r="AP1353" s="2107"/>
      <c r="AQ1353" s="2107"/>
    </row>
    <row r="1354" spans="1:43">
      <c r="A1354" s="2133" t="str">
        <f t="shared" ref="A1354:B1362" si="313">A1329</f>
        <v>B13</v>
      </c>
      <c r="B1354" s="2133">
        <f t="shared" si="313"/>
        <v>0</v>
      </c>
      <c r="C1354" s="2133">
        <f t="shared" si="311"/>
        <v>0</v>
      </c>
      <c r="D1354" s="2133">
        <f t="shared" si="312"/>
        <v>0</v>
      </c>
      <c r="V1354" s="2107"/>
      <c r="W1354" s="2107"/>
      <c r="X1354" s="2107"/>
      <c r="Y1354" s="2107"/>
      <c r="Z1354" s="2107"/>
      <c r="AA1354" s="2107"/>
      <c r="AB1354" s="2107"/>
      <c r="AC1354" s="2107"/>
      <c r="AD1354" s="2107"/>
      <c r="AE1354" s="2107"/>
      <c r="AF1354" s="2107"/>
      <c r="AG1354" s="2107"/>
      <c r="AH1354" s="2107"/>
      <c r="AI1354" s="2107"/>
      <c r="AJ1354" s="2107"/>
      <c r="AK1354" s="2107"/>
      <c r="AL1354" s="2107"/>
      <c r="AM1354" s="2107"/>
      <c r="AN1354" s="2107"/>
      <c r="AO1354" s="2107"/>
      <c r="AP1354" s="2107"/>
      <c r="AQ1354" s="2107"/>
    </row>
    <row r="1355" spans="1:43">
      <c r="A1355" s="2133" t="str">
        <f t="shared" si="313"/>
        <v>B14</v>
      </c>
      <c r="B1355" s="2133">
        <f t="shared" si="313"/>
        <v>0</v>
      </c>
      <c r="C1355" s="2133">
        <f t="shared" si="311"/>
        <v>0</v>
      </c>
      <c r="D1355" s="2133">
        <f t="shared" si="312"/>
        <v>0</v>
      </c>
      <c r="V1355" s="2107"/>
      <c r="W1355" s="2107"/>
      <c r="X1355" s="2107"/>
      <c r="Y1355" s="2107"/>
      <c r="Z1355" s="2107"/>
      <c r="AA1355" s="2107"/>
      <c r="AB1355" s="2107"/>
      <c r="AC1355" s="2107"/>
      <c r="AD1355" s="2107"/>
      <c r="AE1355" s="2107"/>
      <c r="AF1355" s="2107"/>
      <c r="AG1355" s="2107"/>
      <c r="AH1355" s="2107"/>
      <c r="AI1355" s="2107"/>
      <c r="AJ1355" s="2107"/>
      <c r="AK1355" s="2107"/>
      <c r="AL1355" s="2107"/>
      <c r="AM1355" s="2107"/>
      <c r="AN1355" s="2107"/>
      <c r="AO1355" s="2107"/>
      <c r="AP1355" s="2107"/>
      <c r="AQ1355" s="2107"/>
    </row>
    <row r="1356" spans="1:43">
      <c r="A1356" s="2133" t="str">
        <f t="shared" si="313"/>
        <v>B15</v>
      </c>
      <c r="B1356" s="2133">
        <f t="shared" si="313"/>
        <v>0</v>
      </c>
      <c r="C1356" s="2133">
        <f t="shared" si="311"/>
        <v>0</v>
      </c>
      <c r="D1356" s="2133">
        <f t="shared" si="312"/>
        <v>0</v>
      </c>
      <c r="V1356" s="2107"/>
      <c r="W1356" s="2107"/>
      <c r="X1356" s="2107"/>
      <c r="Y1356" s="2107"/>
      <c r="Z1356" s="2107"/>
      <c r="AA1356" s="2107"/>
      <c r="AB1356" s="2107"/>
      <c r="AC1356" s="2107"/>
      <c r="AD1356" s="2107"/>
      <c r="AE1356" s="2107"/>
      <c r="AF1356" s="2107"/>
      <c r="AG1356" s="2107"/>
      <c r="AH1356" s="2107"/>
      <c r="AI1356" s="2107"/>
      <c r="AJ1356" s="2107"/>
      <c r="AK1356" s="2107"/>
      <c r="AL1356" s="2107"/>
      <c r="AM1356" s="2107"/>
      <c r="AN1356" s="2107"/>
      <c r="AO1356" s="2107"/>
      <c r="AP1356" s="2107"/>
      <c r="AQ1356" s="2107"/>
    </row>
    <row r="1357" spans="1:43" s="2532" customFormat="1">
      <c r="A1357" s="2133" t="str">
        <f t="shared" si="313"/>
        <v>B16</v>
      </c>
      <c r="B1357" s="2133">
        <f t="shared" si="313"/>
        <v>0</v>
      </c>
      <c r="C1357" s="2133">
        <f t="shared" ref="C1357:C1362" si="314">C485</f>
        <v>0</v>
      </c>
      <c r="D1357" s="2133">
        <f>B1357*C1357</f>
        <v>0</v>
      </c>
      <c r="V1357" s="2531"/>
      <c r="W1357" s="2531"/>
      <c r="X1357" s="2531"/>
      <c r="Y1357" s="2531"/>
      <c r="Z1357" s="2531"/>
      <c r="AA1357" s="2531"/>
      <c r="AB1357" s="2531"/>
      <c r="AC1357" s="2531"/>
      <c r="AD1357" s="2531"/>
      <c r="AE1357" s="2531"/>
      <c r="AF1357" s="2531"/>
      <c r="AG1357" s="2531"/>
      <c r="AH1357" s="2531"/>
      <c r="AI1357" s="2531"/>
      <c r="AJ1357" s="2531"/>
      <c r="AK1357" s="2531"/>
      <c r="AL1357" s="2531"/>
      <c r="AM1357" s="2531"/>
      <c r="AN1357" s="2531"/>
      <c r="AO1357" s="2531"/>
      <c r="AP1357" s="2531"/>
      <c r="AQ1357" s="2531"/>
    </row>
    <row r="1358" spans="1:43" s="2532" customFormat="1">
      <c r="A1358" s="2133" t="str">
        <f t="shared" si="313"/>
        <v>B17</v>
      </c>
      <c r="B1358" s="2133">
        <f t="shared" si="313"/>
        <v>0</v>
      </c>
      <c r="C1358" s="2133">
        <f t="shared" si="314"/>
        <v>0</v>
      </c>
      <c r="D1358" s="2133">
        <f>B1358*C1358</f>
        <v>0</v>
      </c>
      <c r="V1358" s="2531"/>
      <c r="W1358" s="2531"/>
      <c r="X1358" s="2531"/>
      <c r="Y1358" s="2531"/>
      <c r="Z1358" s="2531"/>
      <c r="AA1358" s="2531"/>
      <c r="AB1358" s="2531"/>
      <c r="AC1358" s="2531"/>
      <c r="AD1358" s="2531"/>
      <c r="AE1358" s="2531"/>
      <c r="AF1358" s="2531"/>
      <c r="AG1358" s="2531"/>
      <c r="AH1358" s="2531"/>
      <c r="AI1358" s="2531"/>
      <c r="AJ1358" s="2531"/>
      <c r="AK1358" s="2531"/>
      <c r="AL1358" s="2531"/>
      <c r="AM1358" s="2531"/>
      <c r="AN1358" s="2531"/>
      <c r="AO1358" s="2531"/>
      <c r="AP1358" s="2531"/>
      <c r="AQ1358" s="2531"/>
    </row>
    <row r="1359" spans="1:43" s="2532" customFormat="1">
      <c r="A1359" s="2133" t="str">
        <f t="shared" si="313"/>
        <v>B18</v>
      </c>
      <c r="B1359" s="2133">
        <f t="shared" si="313"/>
        <v>0</v>
      </c>
      <c r="C1359" s="2133">
        <f t="shared" si="314"/>
        <v>0</v>
      </c>
      <c r="D1359" s="2133">
        <f>B1359*C1359</f>
        <v>0</v>
      </c>
      <c r="V1359" s="2531"/>
      <c r="W1359" s="2531"/>
      <c r="X1359" s="2531"/>
      <c r="Y1359" s="2531"/>
      <c r="Z1359" s="2531"/>
      <c r="AA1359" s="2531"/>
      <c r="AB1359" s="2531"/>
      <c r="AC1359" s="2531"/>
      <c r="AD1359" s="2531"/>
      <c r="AE1359" s="2531"/>
      <c r="AF1359" s="2531"/>
      <c r="AG1359" s="2531"/>
      <c r="AH1359" s="2531"/>
      <c r="AI1359" s="2531"/>
      <c r="AJ1359" s="2531"/>
      <c r="AK1359" s="2531"/>
      <c r="AL1359" s="2531"/>
      <c r="AM1359" s="2531"/>
      <c r="AN1359" s="2531"/>
      <c r="AO1359" s="2531"/>
      <c r="AP1359" s="2531"/>
      <c r="AQ1359" s="2531"/>
    </row>
    <row r="1360" spans="1:43" s="2532" customFormat="1">
      <c r="A1360" s="2133" t="str">
        <f t="shared" si="313"/>
        <v>B19</v>
      </c>
      <c r="B1360" s="2133">
        <f t="shared" si="313"/>
        <v>0</v>
      </c>
      <c r="C1360" s="2133">
        <f t="shared" si="314"/>
        <v>0</v>
      </c>
      <c r="D1360" s="2133">
        <f>B1360*C1360</f>
        <v>0</v>
      </c>
      <c r="V1360" s="2531"/>
      <c r="W1360" s="2531"/>
      <c r="X1360" s="2531"/>
      <c r="Y1360" s="2531"/>
      <c r="Z1360" s="2531"/>
      <c r="AA1360" s="2531"/>
      <c r="AB1360" s="2531"/>
      <c r="AC1360" s="2531"/>
      <c r="AD1360" s="2531"/>
      <c r="AE1360" s="2531"/>
      <c r="AF1360" s="2531"/>
      <c r="AG1360" s="2531"/>
      <c r="AH1360" s="2531"/>
      <c r="AI1360" s="2531"/>
      <c r="AJ1360" s="2531"/>
      <c r="AK1360" s="2531"/>
      <c r="AL1360" s="2531"/>
      <c r="AM1360" s="2531"/>
      <c r="AN1360" s="2531"/>
      <c r="AO1360" s="2531"/>
      <c r="AP1360" s="2531"/>
      <c r="AQ1360" s="2531"/>
    </row>
    <row r="1361" spans="1:43" s="2532" customFormat="1">
      <c r="A1361" s="2133" t="str">
        <f t="shared" si="313"/>
        <v>B20</v>
      </c>
      <c r="B1361" s="2133">
        <f t="shared" si="313"/>
        <v>0</v>
      </c>
      <c r="C1361" s="2133">
        <f t="shared" si="314"/>
        <v>0</v>
      </c>
      <c r="D1361" s="2133">
        <f>B1361*C1361</f>
        <v>0</v>
      </c>
      <c r="V1361" s="2531"/>
      <c r="W1361" s="2531"/>
      <c r="X1361" s="2531"/>
      <c r="Y1361" s="2531"/>
      <c r="Z1361" s="2531"/>
      <c r="AA1361" s="2531"/>
      <c r="AB1361" s="2531"/>
      <c r="AC1361" s="2531"/>
      <c r="AD1361" s="2531"/>
      <c r="AE1361" s="2531"/>
      <c r="AF1361" s="2531"/>
      <c r="AG1361" s="2531"/>
      <c r="AH1361" s="2531"/>
      <c r="AI1361" s="2531"/>
      <c r="AJ1361" s="2531"/>
      <c r="AK1361" s="2531"/>
      <c r="AL1361" s="2531"/>
      <c r="AM1361" s="2531"/>
      <c r="AN1361" s="2531"/>
      <c r="AO1361" s="2531"/>
      <c r="AP1361" s="2531"/>
      <c r="AQ1361" s="2531"/>
    </row>
    <row r="1362" spans="1:43">
      <c r="A1362" s="2133" t="str">
        <f t="shared" si="313"/>
        <v>RB</v>
      </c>
      <c r="B1362" s="2133">
        <f t="shared" si="313"/>
        <v>0</v>
      </c>
      <c r="C1362" s="2133">
        <f t="shared" si="314"/>
        <v>0.4</v>
      </c>
      <c r="D1362" s="2133">
        <f t="shared" si="312"/>
        <v>0</v>
      </c>
      <c r="V1362" s="2107"/>
      <c r="W1362" s="2107"/>
      <c r="X1362" s="2107"/>
      <c r="Y1362" s="2107"/>
      <c r="Z1362" s="2107"/>
      <c r="AA1362" s="2107"/>
      <c r="AB1362" s="2107"/>
      <c r="AC1362" s="2107"/>
      <c r="AD1362" s="2107"/>
      <c r="AE1362" s="2107"/>
      <c r="AF1362" s="2107"/>
      <c r="AG1362" s="2107"/>
      <c r="AH1362" s="2107"/>
      <c r="AI1362" s="2107"/>
      <c r="AJ1362" s="2107"/>
      <c r="AK1362" s="2107"/>
      <c r="AL1362" s="2107"/>
      <c r="AM1362" s="2107"/>
      <c r="AN1362" s="2107"/>
      <c r="AO1362" s="2107"/>
      <c r="AP1362" s="2107"/>
      <c r="AQ1362" s="2107"/>
    </row>
    <row r="1363" spans="1:43" ht="30">
      <c r="C1363" s="2138" t="s">
        <v>2076</v>
      </c>
      <c r="D1363" s="2182">
        <f>SUM(D1342:D1362)</f>
        <v>0</v>
      </c>
      <c r="V1363" s="2107"/>
      <c r="W1363" s="2107"/>
      <c r="X1363" s="2107"/>
      <c r="Y1363" s="2107"/>
      <c r="Z1363" s="2107"/>
      <c r="AA1363" s="2107"/>
      <c r="AB1363" s="2107"/>
      <c r="AC1363" s="2107"/>
      <c r="AD1363" s="2107"/>
      <c r="AE1363" s="2107"/>
      <c r="AF1363" s="2107"/>
      <c r="AG1363" s="2107"/>
      <c r="AH1363" s="2107"/>
      <c r="AI1363" s="2107"/>
      <c r="AJ1363" s="2107"/>
      <c r="AK1363" s="2107"/>
      <c r="AL1363" s="2107"/>
      <c r="AM1363" s="2107"/>
      <c r="AN1363" s="2107"/>
      <c r="AO1363" s="2107"/>
      <c r="AP1363" s="2107"/>
      <c r="AQ1363" s="2107"/>
    </row>
    <row r="1364" spans="1:43" s="2207" customFormat="1"/>
    <row r="1365" spans="1:43">
      <c r="A1365" s="2831" t="s">
        <v>2447</v>
      </c>
      <c r="B1365" s="2832"/>
      <c r="C1365" s="2832"/>
      <c r="D1365" s="2832"/>
      <c r="E1365" s="2832"/>
      <c r="F1365" s="2832"/>
      <c r="G1365" s="2836"/>
      <c r="H1365" s="2831" t="s">
        <v>1568</v>
      </c>
      <c r="I1365" s="2832"/>
      <c r="J1365" s="2832"/>
      <c r="K1365" s="2832"/>
      <c r="L1365" s="2836"/>
      <c r="N1365" s="2831" t="s">
        <v>1610</v>
      </c>
      <c r="O1365" s="2832"/>
      <c r="P1365" s="2832"/>
      <c r="Q1365" s="2832"/>
      <c r="R1365" s="2836"/>
      <c r="U1365" s="2107"/>
      <c r="V1365" s="2107"/>
      <c r="W1365" s="2107"/>
      <c r="X1365" s="2107"/>
      <c r="Y1365" s="2107"/>
      <c r="Z1365" s="2107"/>
      <c r="AA1365" s="2107"/>
      <c r="AB1365" s="2107"/>
      <c r="AC1365" s="2107"/>
      <c r="AD1365" s="2107"/>
      <c r="AE1365" s="2107"/>
      <c r="AF1365" s="2107"/>
      <c r="AG1365" s="2107"/>
      <c r="AH1365" s="2107"/>
      <c r="AI1365" s="2107"/>
      <c r="AJ1365" s="2107"/>
      <c r="AK1365" s="2107"/>
      <c r="AL1365" s="2107"/>
      <c r="AM1365" s="2107"/>
      <c r="AN1365" s="2107"/>
      <c r="AO1365" s="2107"/>
      <c r="AP1365" s="2107"/>
    </row>
    <row r="1366" spans="1:43" ht="15.75" thickBot="1">
      <c r="A1366" s="2087" t="s">
        <v>1796</v>
      </c>
      <c r="B1366" s="2154" t="s">
        <v>2004</v>
      </c>
      <c r="C1366" s="2087" t="s">
        <v>1609</v>
      </c>
      <c r="D1366" s="2088" t="s">
        <v>2098</v>
      </c>
      <c r="E1366" s="2187" t="s">
        <v>2099</v>
      </c>
      <c r="F1366" s="2088" t="s">
        <v>2440</v>
      </c>
      <c r="G1366" s="2087" t="s">
        <v>2107</v>
      </c>
      <c r="H1366" s="2087" t="s">
        <v>2100</v>
      </c>
      <c r="I1366" s="2087" t="s">
        <v>2101</v>
      </c>
      <c r="J1366" s="2087" t="s">
        <v>2102</v>
      </c>
      <c r="K1366" s="2087" t="s">
        <v>2103</v>
      </c>
      <c r="L1366" s="2087" t="s">
        <v>2104</v>
      </c>
      <c r="N1366" s="2133" t="s">
        <v>1607</v>
      </c>
      <c r="O1366" s="2133" t="s">
        <v>1611</v>
      </c>
      <c r="P1366" s="2133" t="s">
        <v>1168</v>
      </c>
      <c r="Q1366" s="2133" t="s">
        <v>1205</v>
      </c>
      <c r="R1366" s="2133" t="s">
        <v>1243</v>
      </c>
      <c r="U1366" s="2107"/>
      <c r="V1366" s="2107"/>
      <c r="W1366" s="2107"/>
      <c r="X1366" s="2107"/>
      <c r="Y1366" s="2107"/>
      <c r="Z1366" s="2107"/>
      <c r="AA1366" s="2107"/>
      <c r="AB1366" s="2107"/>
      <c r="AC1366" s="2107"/>
      <c r="AD1366" s="2107"/>
      <c r="AE1366" s="2107"/>
      <c r="AF1366" s="2107"/>
      <c r="AG1366" s="2107"/>
      <c r="AH1366" s="2107"/>
      <c r="AI1366" s="2107"/>
      <c r="AJ1366" s="2107"/>
      <c r="AK1366" s="2107"/>
      <c r="AL1366" s="2107"/>
      <c r="AM1366" s="2107"/>
      <c r="AN1366" s="2107"/>
      <c r="AO1366" s="2107"/>
      <c r="AP1366" s="2107"/>
    </row>
    <row r="1367" spans="1:43">
      <c r="A1367" s="2134" t="s">
        <v>187</v>
      </c>
      <c r="B1367" s="2120"/>
      <c r="C1367" s="2135">
        <f t="shared" ref="C1367:G1381" si="315">C495</f>
        <v>10</v>
      </c>
      <c r="D1367" s="2133">
        <f t="shared" si="315"/>
        <v>0</v>
      </c>
      <c r="E1367" s="2133">
        <f t="shared" si="315"/>
        <v>0</v>
      </c>
      <c r="F1367" s="2133">
        <f t="shared" si="315"/>
        <v>0</v>
      </c>
      <c r="G1367" s="2133">
        <f t="shared" si="315"/>
        <v>0</v>
      </c>
      <c r="H1367" s="2133">
        <f>B1367*C1367</f>
        <v>0</v>
      </c>
      <c r="I1367" s="2133">
        <f>B1367*D1367</f>
        <v>0</v>
      </c>
      <c r="J1367" s="2133">
        <f t="shared" ref="J1367:J1387" si="316">B1367*E1367</f>
        <v>0</v>
      </c>
      <c r="K1367" s="2133">
        <f>B1367*F1367</f>
        <v>0</v>
      </c>
      <c r="L1367" s="2133">
        <f>B1367*G1367</f>
        <v>0</v>
      </c>
      <c r="N1367" s="2133">
        <f t="shared" ref="N1367:N1387" si="317">(B1367/2)/0.2</f>
        <v>0</v>
      </c>
      <c r="O1367" s="2133">
        <f t="shared" ref="O1367:O1387" si="318">(B1367/2)/0.1</f>
        <v>0</v>
      </c>
      <c r="P1367" s="2133">
        <f t="shared" ref="P1367:P1387" si="319">SUM(N1367:O1367)</f>
        <v>0</v>
      </c>
      <c r="Q1367" s="2133">
        <f t="shared" ref="Q1367:Q1381" si="320">Q495</f>
        <v>1</v>
      </c>
      <c r="R1367" s="2133">
        <f t="shared" ref="R1367:R1387" si="321">P1367*Q1367</f>
        <v>0</v>
      </c>
      <c r="U1367" s="2107"/>
      <c r="V1367" s="2107"/>
      <c r="W1367" s="2107"/>
      <c r="X1367" s="2107"/>
      <c r="Y1367" s="2107"/>
      <c r="Z1367" s="2107"/>
      <c r="AA1367" s="2107"/>
      <c r="AB1367" s="2107"/>
      <c r="AC1367" s="2107"/>
      <c r="AD1367" s="2107"/>
      <c r="AE1367" s="2107"/>
      <c r="AF1367" s="2107"/>
      <c r="AG1367" s="2107"/>
      <c r="AH1367" s="2107"/>
      <c r="AI1367" s="2107"/>
      <c r="AJ1367" s="2107"/>
      <c r="AK1367" s="2107"/>
      <c r="AL1367" s="2107"/>
      <c r="AM1367" s="2107"/>
      <c r="AN1367" s="2107"/>
      <c r="AO1367" s="2107"/>
      <c r="AP1367" s="2107"/>
    </row>
    <row r="1368" spans="1:43">
      <c r="A1368" s="2134" t="s">
        <v>173</v>
      </c>
      <c r="B1368" s="2124"/>
      <c r="C1368" s="2135">
        <f t="shared" si="315"/>
        <v>10</v>
      </c>
      <c r="D1368" s="2133">
        <f t="shared" si="315"/>
        <v>0</v>
      </c>
      <c r="E1368" s="2133">
        <f t="shared" si="315"/>
        <v>0</v>
      </c>
      <c r="F1368" s="2133">
        <f t="shared" si="315"/>
        <v>1</v>
      </c>
      <c r="G1368" s="2133">
        <f t="shared" si="315"/>
        <v>0</v>
      </c>
      <c r="H1368" s="2133">
        <f>B1368*C1368</f>
        <v>0</v>
      </c>
      <c r="I1368" s="2133">
        <f t="shared" ref="I1368:I1387" si="322">B1368*D1368</f>
        <v>0</v>
      </c>
      <c r="J1368" s="2133">
        <f t="shared" si="316"/>
        <v>0</v>
      </c>
      <c r="K1368" s="2133">
        <f t="shared" ref="K1368:K1387" si="323">B1368*F1368</f>
        <v>0</v>
      </c>
      <c r="L1368" s="2133">
        <f t="shared" ref="L1368:L1387" si="324">B1368*G1368</f>
        <v>0</v>
      </c>
      <c r="N1368" s="2133">
        <f t="shared" si="317"/>
        <v>0</v>
      </c>
      <c r="O1368" s="2133">
        <f t="shared" si="318"/>
        <v>0</v>
      </c>
      <c r="P1368" s="2133">
        <f t="shared" si="319"/>
        <v>0</v>
      </c>
      <c r="Q1368" s="2133">
        <f t="shared" si="320"/>
        <v>1.1000000000000001</v>
      </c>
      <c r="R1368" s="2133">
        <f t="shared" si="321"/>
        <v>0</v>
      </c>
      <c r="U1368" s="2107"/>
      <c r="V1368" s="2107"/>
      <c r="W1368" s="2107"/>
      <c r="X1368" s="2107"/>
      <c r="Y1368" s="2107"/>
      <c r="Z1368" s="2107"/>
      <c r="AA1368" s="2107"/>
      <c r="AB1368" s="2107"/>
      <c r="AC1368" s="2107"/>
      <c r="AD1368" s="2107"/>
      <c r="AE1368" s="2107"/>
      <c r="AF1368" s="2107"/>
      <c r="AG1368" s="2107"/>
      <c r="AH1368" s="2107"/>
      <c r="AI1368" s="2107"/>
      <c r="AJ1368" s="2107"/>
      <c r="AK1368" s="2107"/>
      <c r="AL1368" s="2107"/>
      <c r="AM1368" s="2107"/>
      <c r="AN1368" s="2107"/>
      <c r="AO1368" s="2107"/>
      <c r="AP1368" s="2107"/>
    </row>
    <row r="1369" spans="1:43">
      <c r="A1369" s="2134" t="s">
        <v>172</v>
      </c>
      <c r="B1369" s="2124"/>
      <c r="C1369" s="2135">
        <f t="shared" si="315"/>
        <v>10</v>
      </c>
      <c r="D1369" s="2133">
        <f t="shared" si="315"/>
        <v>0</v>
      </c>
      <c r="E1369" s="2133">
        <f t="shared" si="315"/>
        <v>0</v>
      </c>
      <c r="F1369" s="2133">
        <f t="shared" si="315"/>
        <v>3</v>
      </c>
      <c r="G1369" s="2133">
        <f t="shared" si="315"/>
        <v>0</v>
      </c>
      <c r="H1369" s="2133">
        <f>B1369*C1369</f>
        <v>0</v>
      </c>
      <c r="I1369" s="2133">
        <f t="shared" si="322"/>
        <v>0</v>
      </c>
      <c r="J1369" s="2133">
        <f t="shared" si="316"/>
        <v>0</v>
      </c>
      <c r="K1369" s="2133">
        <f t="shared" si="323"/>
        <v>0</v>
      </c>
      <c r="L1369" s="2133">
        <f t="shared" si="324"/>
        <v>0</v>
      </c>
      <c r="N1369" s="2133">
        <f t="shared" si="317"/>
        <v>0</v>
      </c>
      <c r="O1369" s="2133">
        <f t="shared" si="318"/>
        <v>0</v>
      </c>
      <c r="P1369" s="2133">
        <f t="shared" si="319"/>
        <v>0</v>
      </c>
      <c r="Q1369" s="2133">
        <f t="shared" si="320"/>
        <v>1.35</v>
      </c>
      <c r="R1369" s="2133">
        <f t="shared" si="321"/>
        <v>0</v>
      </c>
      <c r="U1369" s="2107"/>
      <c r="V1369" s="2107"/>
      <c r="W1369" s="2107"/>
      <c r="X1369" s="2107"/>
      <c r="Y1369" s="2107"/>
      <c r="Z1369" s="2107"/>
      <c r="AA1369" s="2107"/>
      <c r="AB1369" s="2107"/>
      <c r="AC1369" s="2107"/>
      <c r="AD1369" s="2107"/>
      <c r="AE1369" s="2107"/>
      <c r="AF1369" s="2107"/>
      <c r="AG1369" s="2107"/>
      <c r="AH1369" s="2107"/>
      <c r="AI1369" s="2107"/>
      <c r="AJ1369" s="2107"/>
      <c r="AK1369" s="2107"/>
      <c r="AL1369" s="2107"/>
      <c r="AM1369" s="2107"/>
      <c r="AN1369" s="2107"/>
      <c r="AO1369" s="2107"/>
      <c r="AP1369" s="2107"/>
    </row>
    <row r="1370" spans="1:43">
      <c r="A1370" s="2134" t="s">
        <v>174</v>
      </c>
      <c r="B1370" s="2124"/>
      <c r="C1370" s="2135">
        <f t="shared" si="315"/>
        <v>6</v>
      </c>
      <c r="D1370" s="2133">
        <f t="shared" si="315"/>
        <v>0</v>
      </c>
      <c r="E1370" s="2133">
        <f t="shared" si="315"/>
        <v>0</v>
      </c>
      <c r="F1370" s="2133">
        <f t="shared" si="315"/>
        <v>4</v>
      </c>
      <c r="G1370" s="2133">
        <f t="shared" si="315"/>
        <v>0</v>
      </c>
      <c r="H1370" s="2133">
        <f t="shared" ref="H1370:H1387" si="325">B1370*C1370</f>
        <v>0</v>
      </c>
      <c r="I1370" s="2133">
        <f t="shared" si="322"/>
        <v>0</v>
      </c>
      <c r="J1370" s="2133">
        <f t="shared" si="316"/>
        <v>0</v>
      </c>
      <c r="K1370" s="2133">
        <f t="shared" si="323"/>
        <v>0</v>
      </c>
      <c r="L1370" s="2133">
        <f t="shared" si="324"/>
        <v>0</v>
      </c>
      <c r="N1370" s="2133">
        <f t="shared" si="317"/>
        <v>0</v>
      </c>
      <c r="O1370" s="2133">
        <f t="shared" si="318"/>
        <v>0</v>
      </c>
      <c r="P1370" s="2133">
        <f t="shared" si="319"/>
        <v>0</v>
      </c>
      <c r="Q1370" s="2133">
        <f t="shared" si="320"/>
        <v>0.7</v>
      </c>
      <c r="R1370" s="2133">
        <f t="shared" si="321"/>
        <v>0</v>
      </c>
      <c r="U1370" s="2107"/>
      <c r="V1370" s="2107"/>
      <c r="W1370" s="2107"/>
      <c r="X1370" s="2107"/>
      <c r="Y1370" s="2107"/>
      <c r="Z1370" s="2107"/>
      <c r="AA1370" s="2107"/>
      <c r="AB1370" s="2107"/>
      <c r="AC1370" s="2107"/>
      <c r="AD1370" s="2107"/>
      <c r="AE1370" s="2107"/>
      <c r="AF1370" s="2107"/>
      <c r="AG1370" s="2107"/>
      <c r="AH1370" s="2107"/>
      <c r="AI1370" s="2107"/>
      <c r="AJ1370" s="2107"/>
      <c r="AK1370" s="2107"/>
      <c r="AL1370" s="2107"/>
      <c r="AM1370" s="2107"/>
      <c r="AN1370" s="2107"/>
      <c r="AO1370" s="2107"/>
      <c r="AP1370" s="2107"/>
    </row>
    <row r="1371" spans="1:43">
      <c r="A1371" s="2134" t="s">
        <v>188</v>
      </c>
      <c r="B1371" s="2124"/>
      <c r="C1371" s="2135">
        <f t="shared" si="315"/>
        <v>0</v>
      </c>
      <c r="D1371" s="2133">
        <f t="shared" si="315"/>
        <v>0</v>
      </c>
      <c r="E1371" s="2133">
        <f t="shared" si="315"/>
        <v>0</v>
      </c>
      <c r="F1371" s="2133">
        <f t="shared" si="315"/>
        <v>0</v>
      </c>
      <c r="G1371" s="2133">
        <f t="shared" si="315"/>
        <v>0</v>
      </c>
      <c r="H1371" s="2133">
        <f t="shared" si="325"/>
        <v>0</v>
      </c>
      <c r="I1371" s="2133">
        <f t="shared" si="322"/>
        <v>0</v>
      </c>
      <c r="J1371" s="2133">
        <f t="shared" si="316"/>
        <v>0</v>
      </c>
      <c r="K1371" s="2133">
        <f t="shared" si="323"/>
        <v>0</v>
      </c>
      <c r="L1371" s="2133">
        <f t="shared" si="324"/>
        <v>0</v>
      </c>
      <c r="N1371" s="2133">
        <f t="shared" si="317"/>
        <v>0</v>
      </c>
      <c r="O1371" s="2133">
        <f t="shared" si="318"/>
        <v>0</v>
      </c>
      <c r="P1371" s="2133">
        <f t="shared" si="319"/>
        <v>0</v>
      </c>
      <c r="Q1371" s="2133">
        <f t="shared" si="320"/>
        <v>-0.2</v>
      </c>
      <c r="R1371" s="2133">
        <f t="shared" si="321"/>
        <v>0</v>
      </c>
      <c r="U1371" s="2107"/>
      <c r="V1371" s="2107"/>
      <c r="W1371" s="2107"/>
      <c r="X1371" s="2107"/>
      <c r="Y1371" s="2107"/>
      <c r="Z1371" s="2107"/>
      <c r="AA1371" s="2107"/>
      <c r="AB1371" s="2107"/>
      <c r="AC1371" s="2107"/>
      <c r="AD1371" s="2107"/>
      <c r="AE1371" s="2107"/>
      <c r="AF1371" s="2107"/>
      <c r="AG1371" s="2107"/>
      <c r="AH1371" s="2107"/>
      <c r="AI1371" s="2107"/>
      <c r="AJ1371" s="2107"/>
      <c r="AK1371" s="2107"/>
      <c r="AL1371" s="2107"/>
      <c r="AM1371" s="2107"/>
      <c r="AN1371" s="2107"/>
      <c r="AO1371" s="2107"/>
      <c r="AP1371" s="2107"/>
    </row>
    <row r="1372" spans="1:43">
      <c r="A1372" s="2134" t="s">
        <v>1998</v>
      </c>
      <c r="B1372" s="2124"/>
      <c r="C1372" s="2135">
        <f t="shared" si="315"/>
        <v>0</v>
      </c>
      <c r="D1372" s="2133">
        <f t="shared" si="315"/>
        <v>0</v>
      </c>
      <c r="E1372" s="2133">
        <f t="shared" si="315"/>
        <v>0</v>
      </c>
      <c r="F1372" s="2133">
        <f t="shared" si="315"/>
        <v>0</v>
      </c>
      <c r="G1372" s="2133">
        <f t="shared" si="315"/>
        <v>0</v>
      </c>
      <c r="H1372" s="2133">
        <f t="shared" si="325"/>
        <v>0</v>
      </c>
      <c r="I1372" s="2133">
        <f t="shared" si="322"/>
        <v>0</v>
      </c>
      <c r="J1372" s="2133">
        <f t="shared" si="316"/>
        <v>0</v>
      </c>
      <c r="K1372" s="2133">
        <f t="shared" si="323"/>
        <v>0</v>
      </c>
      <c r="L1372" s="2133">
        <f t="shared" si="324"/>
        <v>0</v>
      </c>
      <c r="N1372" s="2133">
        <f t="shared" si="317"/>
        <v>0</v>
      </c>
      <c r="O1372" s="2133">
        <f t="shared" si="318"/>
        <v>0</v>
      </c>
      <c r="P1372" s="2133">
        <f t="shared" si="319"/>
        <v>0</v>
      </c>
      <c r="Q1372" s="2133">
        <f t="shared" si="320"/>
        <v>-0.2</v>
      </c>
      <c r="R1372" s="2133">
        <f t="shared" si="321"/>
        <v>0</v>
      </c>
      <c r="U1372" s="2107"/>
      <c r="V1372" s="2107"/>
      <c r="W1372" s="2107"/>
      <c r="X1372" s="2107"/>
      <c r="Y1372" s="2107"/>
      <c r="Z1372" s="2107"/>
      <c r="AA1372" s="2107"/>
      <c r="AB1372" s="2107"/>
      <c r="AC1372" s="2107"/>
      <c r="AD1372" s="2107"/>
      <c r="AE1372" s="2107"/>
      <c r="AF1372" s="2107"/>
      <c r="AG1372" s="2107"/>
      <c r="AH1372" s="2107"/>
      <c r="AI1372" s="2107"/>
      <c r="AJ1372" s="2107"/>
      <c r="AK1372" s="2107"/>
      <c r="AL1372" s="2107"/>
      <c r="AM1372" s="2107"/>
      <c r="AN1372" s="2107"/>
      <c r="AO1372" s="2107"/>
      <c r="AP1372" s="2107"/>
    </row>
    <row r="1373" spans="1:43">
      <c r="A1373" s="2134" t="s">
        <v>1999</v>
      </c>
      <c r="B1373" s="2124"/>
      <c r="C1373" s="2135">
        <f t="shared" si="315"/>
        <v>0</v>
      </c>
      <c r="D1373" s="2133">
        <f t="shared" si="315"/>
        <v>0</v>
      </c>
      <c r="E1373" s="2133">
        <f t="shared" si="315"/>
        <v>0</v>
      </c>
      <c r="F1373" s="2133">
        <f t="shared" si="315"/>
        <v>0</v>
      </c>
      <c r="G1373" s="2133">
        <f t="shared" si="315"/>
        <v>0</v>
      </c>
      <c r="H1373" s="2133">
        <f t="shared" si="325"/>
        <v>0</v>
      </c>
      <c r="I1373" s="2133">
        <f t="shared" si="322"/>
        <v>0</v>
      </c>
      <c r="J1373" s="2133">
        <f t="shared" si="316"/>
        <v>0</v>
      </c>
      <c r="K1373" s="2133">
        <f t="shared" si="323"/>
        <v>0</v>
      </c>
      <c r="L1373" s="2133">
        <f t="shared" si="324"/>
        <v>0</v>
      </c>
      <c r="N1373" s="2133">
        <f t="shared" si="317"/>
        <v>0</v>
      </c>
      <c r="O1373" s="2133">
        <f t="shared" si="318"/>
        <v>0</v>
      </c>
      <c r="P1373" s="2133">
        <f t="shared" si="319"/>
        <v>0</v>
      </c>
      <c r="Q1373" s="2133">
        <f t="shared" si="320"/>
        <v>-0.2</v>
      </c>
      <c r="R1373" s="2133">
        <f t="shared" si="321"/>
        <v>0</v>
      </c>
      <c r="U1373" s="2107"/>
      <c r="V1373" s="2107"/>
      <c r="W1373" s="2107"/>
      <c r="X1373" s="2107"/>
      <c r="Y1373" s="2107"/>
      <c r="Z1373" s="2107"/>
      <c r="AA1373" s="2107"/>
      <c r="AB1373" s="2107"/>
      <c r="AC1373" s="2107"/>
      <c r="AD1373" s="2107"/>
      <c r="AE1373" s="2107"/>
      <c r="AF1373" s="2107"/>
      <c r="AG1373" s="2107"/>
      <c r="AH1373" s="2107"/>
      <c r="AI1373" s="2107"/>
      <c r="AJ1373" s="2107"/>
      <c r="AK1373" s="2107"/>
      <c r="AL1373" s="2107"/>
      <c r="AM1373" s="2107"/>
      <c r="AN1373" s="2107"/>
      <c r="AO1373" s="2107"/>
      <c r="AP1373" s="2107"/>
    </row>
    <row r="1374" spans="1:43">
      <c r="A1374" s="2134" t="s">
        <v>2000</v>
      </c>
      <c r="B1374" s="2124"/>
      <c r="C1374" s="2135">
        <f t="shared" si="315"/>
        <v>0</v>
      </c>
      <c r="D1374" s="2133">
        <f t="shared" si="315"/>
        <v>0</v>
      </c>
      <c r="E1374" s="2133">
        <f t="shared" si="315"/>
        <v>0</v>
      </c>
      <c r="F1374" s="2133">
        <f t="shared" si="315"/>
        <v>0</v>
      </c>
      <c r="G1374" s="2133">
        <f t="shared" si="315"/>
        <v>0</v>
      </c>
      <c r="H1374" s="2133">
        <f t="shared" si="325"/>
        <v>0</v>
      </c>
      <c r="I1374" s="2133">
        <f t="shared" si="322"/>
        <v>0</v>
      </c>
      <c r="J1374" s="2133">
        <f t="shared" si="316"/>
        <v>0</v>
      </c>
      <c r="K1374" s="2133">
        <f t="shared" si="323"/>
        <v>0</v>
      </c>
      <c r="L1374" s="2133">
        <f t="shared" si="324"/>
        <v>0</v>
      </c>
      <c r="N1374" s="2133">
        <f t="shared" si="317"/>
        <v>0</v>
      </c>
      <c r="O1374" s="2133">
        <f t="shared" si="318"/>
        <v>0</v>
      </c>
      <c r="P1374" s="2133">
        <f t="shared" si="319"/>
        <v>0</v>
      </c>
      <c r="Q1374" s="2133">
        <f t="shared" si="320"/>
        <v>-0.2</v>
      </c>
      <c r="R1374" s="2133">
        <f t="shared" si="321"/>
        <v>0</v>
      </c>
      <c r="U1374" s="2107"/>
      <c r="V1374" s="2107"/>
      <c r="W1374" s="2107"/>
      <c r="X1374" s="2107"/>
      <c r="Y1374" s="2107"/>
      <c r="Z1374" s="2107"/>
      <c r="AA1374" s="2107"/>
      <c r="AB1374" s="2107"/>
      <c r="AC1374" s="2107"/>
      <c r="AD1374" s="2107"/>
      <c r="AE1374" s="2107"/>
      <c r="AF1374" s="2107"/>
      <c r="AG1374" s="2107"/>
      <c r="AH1374" s="2107"/>
      <c r="AI1374" s="2107"/>
      <c r="AJ1374" s="2107"/>
      <c r="AK1374" s="2107"/>
      <c r="AL1374" s="2107"/>
      <c r="AM1374" s="2107"/>
      <c r="AN1374" s="2107"/>
      <c r="AO1374" s="2107"/>
      <c r="AP1374" s="2107"/>
    </row>
    <row r="1375" spans="1:43">
      <c r="A1375" s="2134" t="s">
        <v>2001</v>
      </c>
      <c r="B1375" s="2124"/>
      <c r="C1375" s="2135">
        <f t="shared" si="315"/>
        <v>0</v>
      </c>
      <c r="D1375" s="2133">
        <f t="shared" si="315"/>
        <v>0</v>
      </c>
      <c r="E1375" s="2133">
        <f t="shared" si="315"/>
        <v>0</v>
      </c>
      <c r="F1375" s="2133">
        <f t="shared" si="315"/>
        <v>0</v>
      </c>
      <c r="G1375" s="2133">
        <f t="shared" si="315"/>
        <v>0</v>
      </c>
      <c r="H1375" s="2133">
        <f t="shared" si="325"/>
        <v>0</v>
      </c>
      <c r="I1375" s="2133">
        <f t="shared" si="322"/>
        <v>0</v>
      </c>
      <c r="J1375" s="2133">
        <f t="shared" si="316"/>
        <v>0</v>
      </c>
      <c r="K1375" s="2133">
        <f t="shared" si="323"/>
        <v>0</v>
      </c>
      <c r="L1375" s="2133">
        <f t="shared" si="324"/>
        <v>0</v>
      </c>
      <c r="N1375" s="2133">
        <f t="shared" si="317"/>
        <v>0</v>
      </c>
      <c r="O1375" s="2133">
        <f t="shared" si="318"/>
        <v>0</v>
      </c>
      <c r="P1375" s="2133">
        <f t="shared" si="319"/>
        <v>0</v>
      </c>
      <c r="Q1375" s="2133">
        <f t="shared" si="320"/>
        <v>-0.2</v>
      </c>
      <c r="R1375" s="2133">
        <f t="shared" si="321"/>
        <v>0</v>
      </c>
      <c r="U1375" s="2107"/>
      <c r="V1375" s="2107"/>
      <c r="W1375" s="2107"/>
      <c r="X1375" s="2107"/>
      <c r="Y1375" s="2107"/>
      <c r="Z1375" s="2107"/>
      <c r="AA1375" s="2107"/>
      <c r="AB1375" s="2107"/>
      <c r="AC1375" s="2107"/>
      <c r="AD1375" s="2107"/>
      <c r="AE1375" s="2107"/>
      <c r="AF1375" s="2107"/>
      <c r="AG1375" s="2107"/>
      <c r="AH1375" s="2107"/>
      <c r="AI1375" s="2107"/>
      <c r="AJ1375" s="2107"/>
      <c r="AK1375" s="2107"/>
      <c r="AL1375" s="2107"/>
      <c r="AM1375" s="2107"/>
      <c r="AN1375" s="2107"/>
      <c r="AO1375" s="2107"/>
      <c r="AP1375" s="2107"/>
    </row>
    <row r="1376" spans="1:43">
      <c r="A1376" s="2134" t="s">
        <v>2002</v>
      </c>
      <c r="B1376" s="2124"/>
      <c r="C1376" s="2135">
        <f t="shared" si="315"/>
        <v>0</v>
      </c>
      <c r="D1376" s="2133">
        <f t="shared" si="315"/>
        <v>0</v>
      </c>
      <c r="E1376" s="2133">
        <f t="shared" si="315"/>
        <v>0</v>
      </c>
      <c r="F1376" s="2133">
        <f t="shared" si="315"/>
        <v>0</v>
      </c>
      <c r="G1376" s="2133">
        <f t="shared" si="315"/>
        <v>0</v>
      </c>
      <c r="H1376" s="2133">
        <f t="shared" si="325"/>
        <v>0</v>
      </c>
      <c r="I1376" s="2133">
        <f t="shared" si="322"/>
        <v>0</v>
      </c>
      <c r="J1376" s="2133">
        <f t="shared" si="316"/>
        <v>0</v>
      </c>
      <c r="K1376" s="2133">
        <f t="shared" si="323"/>
        <v>0</v>
      </c>
      <c r="L1376" s="2133">
        <f t="shared" si="324"/>
        <v>0</v>
      </c>
      <c r="N1376" s="2133">
        <f t="shared" si="317"/>
        <v>0</v>
      </c>
      <c r="O1376" s="2133">
        <f t="shared" si="318"/>
        <v>0</v>
      </c>
      <c r="P1376" s="2133">
        <f t="shared" si="319"/>
        <v>0</v>
      </c>
      <c r="Q1376" s="2133">
        <f t="shared" si="320"/>
        <v>-0.2</v>
      </c>
      <c r="R1376" s="2133">
        <f t="shared" si="321"/>
        <v>0</v>
      </c>
      <c r="U1376" s="2107"/>
      <c r="V1376" s="2107"/>
      <c r="W1376" s="2107"/>
      <c r="X1376" s="2107"/>
      <c r="Y1376" s="2107"/>
      <c r="Z1376" s="2107"/>
      <c r="AA1376" s="2107"/>
      <c r="AB1376" s="2107"/>
      <c r="AC1376" s="2107"/>
      <c r="AD1376" s="2107"/>
      <c r="AE1376" s="2107"/>
      <c r="AF1376" s="2107"/>
      <c r="AG1376" s="2107"/>
      <c r="AH1376" s="2107"/>
      <c r="AI1376" s="2107"/>
      <c r="AJ1376" s="2107"/>
      <c r="AK1376" s="2107"/>
      <c r="AL1376" s="2107"/>
      <c r="AM1376" s="2107"/>
      <c r="AN1376" s="2107"/>
      <c r="AO1376" s="2107"/>
      <c r="AP1376" s="2107"/>
    </row>
    <row r="1377" spans="1:43" ht="15" customHeight="1">
      <c r="A1377" s="2134" t="s">
        <v>2003</v>
      </c>
      <c r="B1377" s="2124"/>
      <c r="C1377" s="2135">
        <f t="shared" si="315"/>
        <v>0</v>
      </c>
      <c r="D1377" s="2133">
        <f t="shared" si="315"/>
        <v>0</v>
      </c>
      <c r="E1377" s="2133">
        <f t="shared" si="315"/>
        <v>0</v>
      </c>
      <c r="F1377" s="2133">
        <f t="shared" si="315"/>
        <v>0</v>
      </c>
      <c r="G1377" s="2133">
        <f t="shared" si="315"/>
        <v>0</v>
      </c>
      <c r="H1377" s="2133">
        <f t="shared" si="325"/>
        <v>0</v>
      </c>
      <c r="I1377" s="2133">
        <f t="shared" si="322"/>
        <v>0</v>
      </c>
      <c r="J1377" s="2133">
        <f t="shared" si="316"/>
        <v>0</v>
      </c>
      <c r="K1377" s="2133">
        <f t="shared" si="323"/>
        <v>0</v>
      </c>
      <c r="L1377" s="2133">
        <f t="shared" si="324"/>
        <v>0</v>
      </c>
      <c r="N1377" s="2133">
        <f t="shared" si="317"/>
        <v>0</v>
      </c>
      <c r="O1377" s="2133">
        <f t="shared" si="318"/>
        <v>0</v>
      </c>
      <c r="P1377" s="2133">
        <f t="shared" si="319"/>
        <v>0</v>
      </c>
      <c r="Q1377" s="2133">
        <f t="shared" si="320"/>
        <v>-0.2</v>
      </c>
      <c r="R1377" s="2133">
        <f t="shared" si="321"/>
        <v>0</v>
      </c>
      <c r="U1377" s="2107"/>
      <c r="V1377" s="2107"/>
      <c r="W1377" s="2107"/>
      <c r="X1377" s="2107"/>
      <c r="Y1377" s="2107"/>
      <c r="Z1377" s="2107"/>
      <c r="AA1377" s="2107"/>
      <c r="AB1377" s="2107"/>
      <c r="AC1377" s="2107"/>
      <c r="AD1377" s="2107"/>
      <c r="AE1377" s="2107"/>
      <c r="AF1377" s="2107"/>
      <c r="AG1377" s="2107"/>
      <c r="AH1377" s="2107"/>
      <c r="AI1377" s="2107"/>
      <c r="AJ1377" s="2107"/>
      <c r="AK1377" s="2107"/>
      <c r="AL1377" s="2107"/>
      <c r="AM1377" s="2107"/>
      <c r="AN1377" s="2107"/>
      <c r="AO1377" s="2107"/>
    </row>
    <row r="1378" spans="1:43" ht="15" customHeight="1">
      <c r="A1378" s="2134" t="s">
        <v>2251</v>
      </c>
      <c r="B1378" s="2124"/>
      <c r="C1378" s="2135">
        <f t="shared" si="315"/>
        <v>0</v>
      </c>
      <c r="D1378" s="2133">
        <f t="shared" si="315"/>
        <v>0</v>
      </c>
      <c r="E1378" s="2133">
        <f t="shared" si="315"/>
        <v>0</v>
      </c>
      <c r="F1378" s="2133">
        <f t="shared" si="315"/>
        <v>0</v>
      </c>
      <c r="G1378" s="2133">
        <f t="shared" si="315"/>
        <v>0</v>
      </c>
      <c r="H1378" s="2133">
        <f t="shared" si="325"/>
        <v>0</v>
      </c>
      <c r="I1378" s="2133">
        <f t="shared" si="322"/>
        <v>0</v>
      </c>
      <c r="J1378" s="2133">
        <f t="shared" si="316"/>
        <v>0</v>
      </c>
      <c r="K1378" s="2133">
        <f t="shared" si="323"/>
        <v>0</v>
      </c>
      <c r="L1378" s="2133">
        <f t="shared" si="324"/>
        <v>0</v>
      </c>
      <c r="N1378" s="2133">
        <f t="shared" si="317"/>
        <v>0</v>
      </c>
      <c r="O1378" s="2133">
        <f t="shared" si="318"/>
        <v>0</v>
      </c>
      <c r="P1378" s="2133">
        <f t="shared" si="319"/>
        <v>0</v>
      </c>
      <c r="Q1378" s="2133">
        <f t="shared" si="320"/>
        <v>-0.2</v>
      </c>
      <c r="R1378" s="2133">
        <f t="shared" si="321"/>
        <v>0</v>
      </c>
      <c r="U1378" s="2107"/>
      <c r="V1378" s="2107"/>
      <c r="W1378" s="2107"/>
      <c r="X1378" s="2107"/>
      <c r="Y1378" s="2107"/>
      <c r="Z1378" s="2107"/>
      <c r="AA1378" s="2107"/>
      <c r="AB1378" s="2107"/>
      <c r="AC1378" s="2107"/>
      <c r="AD1378" s="2107"/>
      <c r="AE1378" s="2107"/>
      <c r="AF1378" s="2107"/>
      <c r="AG1378" s="2107"/>
      <c r="AH1378" s="2107"/>
      <c r="AI1378" s="2107"/>
      <c r="AJ1378" s="2107"/>
      <c r="AK1378" s="2107"/>
      <c r="AL1378" s="2107"/>
      <c r="AM1378" s="2107"/>
      <c r="AN1378" s="2107"/>
      <c r="AO1378" s="2107"/>
    </row>
    <row r="1379" spans="1:43">
      <c r="A1379" s="2134" t="s">
        <v>2273</v>
      </c>
      <c r="B1379" s="2124"/>
      <c r="C1379" s="2135">
        <f t="shared" si="315"/>
        <v>0</v>
      </c>
      <c r="D1379" s="2133">
        <f t="shared" si="315"/>
        <v>0</v>
      </c>
      <c r="E1379" s="2133">
        <f t="shared" si="315"/>
        <v>0</v>
      </c>
      <c r="F1379" s="2133">
        <f t="shared" si="315"/>
        <v>0</v>
      </c>
      <c r="G1379" s="2133">
        <f t="shared" si="315"/>
        <v>0</v>
      </c>
      <c r="H1379" s="2133">
        <f t="shared" si="325"/>
        <v>0</v>
      </c>
      <c r="I1379" s="2133">
        <f t="shared" si="322"/>
        <v>0</v>
      </c>
      <c r="J1379" s="2133">
        <f t="shared" si="316"/>
        <v>0</v>
      </c>
      <c r="K1379" s="2133">
        <f t="shared" si="323"/>
        <v>0</v>
      </c>
      <c r="L1379" s="2133">
        <f t="shared" si="324"/>
        <v>0</v>
      </c>
      <c r="N1379" s="2133">
        <f t="shared" si="317"/>
        <v>0</v>
      </c>
      <c r="O1379" s="2133">
        <f t="shared" si="318"/>
        <v>0</v>
      </c>
      <c r="P1379" s="2133">
        <f t="shared" si="319"/>
        <v>0</v>
      </c>
      <c r="Q1379" s="2133">
        <f t="shared" si="320"/>
        <v>-0.2</v>
      </c>
      <c r="R1379" s="2133">
        <f t="shared" si="321"/>
        <v>0</v>
      </c>
      <c r="U1379" s="2107"/>
      <c r="V1379" s="2107"/>
      <c r="W1379" s="2107"/>
      <c r="X1379" s="2107"/>
      <c r="Y1379" s="2107"/>
      <c r="Z1379" s="2107"/>
      <c r="AA1379" s="2107"/>
      <c r="AB1379" s="2107"/>
      <c r="AC1379" s="2107"/>
      <c r="AD1379" s="2107"/>
      <c r="AE1379" s="2107"/>
      <c r="AF1379" s="2107"/>
      <c r="AG1379" s="2107"/>
      <c r="AH1379" s="2107"/>
      <c r="AI1379" s="2107"/>
      <c r="AJ1379" s="2107"/>
      <c r="AK1379" s="2107"/>
      <c r="AL1379" s="2107"/>
      <c r="AM1379" s="2107"/>
      <c r="AN1379" s="2107"/>
      <c r="AO1379" s="2107"/>
      <c r="AP1379" s="2107"/>
    </row>
    <row r="1380" spans="1:43" ht="15" customHeight="1">
      <c r="A1380" s="2134" t="s">
        <v>2274</v>
      </c>
      <c r="B1380" s="2124"/>
      <c r="C1380" s="2135">
        <f t="shared" si="315"/>
        <v>0</v>
      </c>
      <c r="D1380" s="2133">
        <f t="shared" si="315"/>
        <v>0</v>
      </c>
      <c r="E1380" s="2133">
        <f t="shared" si="315"/>
        <v>0</v>
      </c>
      <c r="F1380" s="2133">
        <f t="shared" si="315"/>
        <v>0</v>
      </c>
      <c r="G1380" s="2133">
        <f t="shared" si="315"/>
        <v>0</v>
      </c>
      <c r="H1380" s="2133">
        <f t="shared" si="325"/>
        <v>0</v>
      </c>
      <c r="I1380" s="2133">
        <f t="shared" si="322"/>
        <v>0</v>
      </c>
      <c r="J1380" s="2133">
        <f t="shared" si="316"/>
        <v>0</v>
      </c>
      <c r="K1380" s="2133">
        <f t="shared" si="323"/>
        <v>0</v>
      </c>
      <c r="L1380" s="2133">
        <f t="shared" si="324"/>
        <v>0</v>
      </c>
      <c r="N1380" s="2133">
        <f t="shared" si="317"/>
        <v>0</v>
      </c>
      <c r="O1380" s="2133">
        <f t="shared" si="318"/>
        <v>0</v>
      </c>
      <c r="P1380" s="2133">
        <f t="shared" si="319"/>
        <v>0</v>
      </c>
      <c r="Q1380" s="2133">
        <f t="shared" si="320"/>
        <v>-0.2</v>
      </c>
      <c r="R1380" s="2133">
        <f t="shared" si="321"/>
        <v>0</v>
      </c>
      <c r="U1380" s="2107"/>
      <c r="V1380" s="2107"/>
      <c r="W1380" s="2107"/>
      <c r="X1380" s="2107"/>
      <c r="Y1380" s="2107"/>
      <c r="Z1380" s="2107"/>
      <c r="AA1380" s="2107"/>
      <c r="AB1380" s="2107"/>
      <c r="AC1380" s="2107"/>
      <c r="AD1380" s="2107"/>
      <c r="AE1380" s="2107"/>
      <c r="AF1380" s="2107"/>
      <c r="AG1380" s="2107"/>
      <c r="AH1380" s="2107"/>
      <c r="AI1380" s="2107"/>
      <c r="AJ1380" s="2107"/>
      <c r="AK1380" s="2107"/>
      <c r="AL1380" s="2107"/>
      <c r="AM1380" s="2107"/>
      <c r="AN1380" s="2107"/>
      <c r="AO1380" s="2107"/>
    </row>
    <row r="1381" spans="1:43" ht="15" customHeight="1">
      <c r="A1381" s="2134" t="s">
        <v>2275</v>
      </c>
      <c r="B1381" s="2124"/>
      <c r="C1381" s="2135">
        <f t="shared" si="315"/>
        <v>0</v>
      </c>
      <c r="D1381" s="2133">
        <f t="shared" si="315"/>
        <v>0</v>
      </c>
      <c r="E1381" s="2133">
        <f t="shared" si="315"/>
        <v>0</v>
      </c>
      <c r="F1381" s="2133">
        <f t="shared" si="315"/>
        <v>0</v>
      </c>
      <c r="G1381" s="2133">
        <f t="shared" si="315"/>
        <v>0</v>
      </c>
      <c r="H1381" s="2133">
        <f t="shared" si="325"/>
        <v>0</v>
      </c>
      <c r="I1381" s="2133">
        <f t="shared" si="322"/>
        <v>0</v>
      </c>
      <c r="J1381" s="2133">
        <f t="shared" si="316"/>
        <v>0</v>
      </c>
      <c r="K1381" s="2133">
        <f t="shared" si="323"/>
        <v>0</v>
      </c>
      <c r="L1381" s="2133">
        <f t="shared" si="324"/>
        <v>0</v>
      </c>
      <c r="N1381" s="2133">
        <f t="shared" si="317"/>
        <v>0</v>
      </c>
      <c r="O1381" s="2133">
        <f t="shared" si="318"/>
        <v>0</v>
      </c>
      <c r="P1381" s="2133">
        <f t="shared" si="319"/>
        <v>0</v>
      </c>
      <c r="Q1381" s="2133">
        <f t="shared" si="320"/>
        <v>-0.2</v>
      </c>
      <c r="R1381" s="2133">
        <f t="shared" si="321"/>
        <v>0</v>
      </c>
      <c r="U1381" s="2107"/>
      <c r="V1381" s="2107"/>
      <c r="W1381" s="2107"/>
      <c r="X1381" s="2107"/>
      <c r="Y1381" s="2107"/>
      <c r="Z1381" s="2107"/>
      <c r="AA1381" s="2107"/>
      <c r="AB1381" s="2107"/>
      <c r="AC1381" s="2107"/>
      <c r="AD1381" s="2107"/>
      <c r="AE1381" s="2107"/>
      <c r="AF1381" s="2107"/>
      <c r="AG1381" s="2107"/>
      <c r="AH1381" s="2107"/>
      <c r="AI1381" s="2107"/>
      <c r="AJ1381" s="2107"/>
      <c r="AK1381" s="2107"/>
      <c r="AL1381" s="2107"/>
      <c r="AM1381" s="2107"/>
      <c r="AN1381" s="2107"/>
      <c r="AO1381" s="2107"/>
    </row>
    <row r="1382" spans="1:43" s="2532" customFormat="1" ht="15" customHeight="1">
      <c r="A1382" s="2134" t="s">
        <v>2851</v>
      </c>
      <c r="B1382" s="2124"/>
      <c r="C1382" s="2135">
        <f t="shared" ref="C1382:G1387" si="326">C510</f>
        <v>0</v>
      </c>
      <c r="D1382" s="2133">
        <f t="shared" si="326"/>
        <v>0</v>
      </c>
      <c r="E1382" s="2133">
        <f t="shared" si="326"/>
        <v>0</v>
      </c>
      <c r="F1382" s="2133">
        <f t="shared" si="326"/>
        <v>4</v>
      </c>
      <c r="G1382" s="2133">
        <f t="shared" si="326"/>
        <v>0</v>
      </c>
      <c r="H1382" s="2133">
        <f>B1382*C1382</f>
        <v>0</v>
      </c>
      <c r="I1382" s="2133">
        <f>B1382*D1382</f>
        <v>0</v>
      </c>
      <c r="J1382" s="2133">
        <f>B1382*E1382</f>
        <v>0</v>
      </c>
      <c r="K1382" s="2133">
        <f>B1382*F1382</f>
        <v>0</v>
      </c>
      <c r="L1382" s="2133">
        <f>B1382*G1382</f>
        <v>0</v>
      </c>
      <c r="N1382" s="2133">
        <f>(B1382/2)/0.2</f>
        <v>0</v>
      </c>
      <c r="O1382" s="2133">
        <f>(B1382/2)/0.1</f>
        <v>0</v>
      </c>
      <c r="P1382" s="2133">
        <f>SUM(N1382:O1382)</f>
        <v>0</v>
      </c>
      <c r="Q1382" s="2133">
        <f t="shared" ref="Q1382:Q1387" si="327">Q510</f>
        <v>0.5</v>
      </c>
      <c r="R1382" s="2133">
        <f>P1382*Q1382</f>
        <v>0</v>
      </c>
      <c r="U1382" s="2531"/>
      <c r="V1382" s="2531"/>
      <c r="W1382" s="2531"/>
      <c r="X1382" s="2531"/>
      <c r="Y1382" s="2531"/>
      <c r="Z1382" s="2531"/>
      <c r="AA1382" s="2531"/>
      <c r="AB1382" s="2531"/>
      <c r="AC1382" s="2531"/>
      <c r="AD1382" s="2531"/>
      <c r="AE1382" s="2531"/>
      <c r="AF1382" s="2531"/>
      <c r="AG1382" s="2531"/>
      <c r="AH1382" s="2531"/>
      <c r="AI1382" s="2531"/>
      <c r="AJ1382" s="2531"/>
      <c r="AK1382" s="2531"/>
      <c r="AL1382" s="2531"/>
      <c r="AM1382" s="2531"/>
      <c r="AN1382" s="2531"/>
      <c r="AO1382" s="2531"/>
    </row>
    <row r="1383" spans="1:43" s="2532" customFormat="1" ht="15" customHeight="1">
      <c r="A1383" s="2134" t="s">
        <v>2852</v>
      </c>
      <c r="B1383" s="2124"/>
      <c r="C1383" s="2135">
        <f t="shared" si="326"/>
        <v>0</v>
      </c>
      <c r="D1383" s="2133">
        <f t="shared" si="326"/>
        <v>0</v>
      </c>
      <c r="E1383" s="2133">
        <f t="shared" si="326"/>
        <v>0</v>
      </c>
      <c r="F1383" s="2133">
        <f t="shared" si="326"/>
        <v>0</v>
      </c>
      <c r="G1383" s="2133">
        <f t="shared" si="326"/>
        <v>0</v>
      </c>
      <c r="H1383" s="2133">
        <f>B1383*C1383</f>
        <v>0</v>
      </c>
      <c r="I1383" s="2133">
        <f>B1383*D1383</f>
        <v>0</v>
      </c>
      <c r="J1383" s="2133">
        <f>B1383*E1383</f>
        <v>0</v>
      </c>
      <c r="K1383" s="2133">
        <f>B1383*F1383</f>
        <v>0</v>
      </c>
      <c r="L1383" s="2133">
        <f>B1383*G1383</f>
        <v>0</v>
      </c>
      <c r="N1383" s="2133">
        <f>(B1383/2)/0.2</f>
        <v>0</v>
      </c>
      <c r="O1383" s="2133">
        <f>(B1383/2)/0.1</f>
        <v>0</v>
      </c>
      <c r="P1383" s="2133">
        <f>SUM(N1383:O1383)</f>
        <v>0</v>
      </c>
      <c r="Q1383" s="2133">
        <f t="shared" si="327"/>
        <v>-0.2</v>
      </c>
      <c r="R1383" s="2133">
        <f>P1383*Q1383</f>
        <v>0</v>
      </c>
      <c r="U1383" s="2531"/>
      <c r="V1383" s="2531"/>
      <c r="W1383" s="2531"/>
      <c r="X1383" s="2531"/>
      <c r="Y1383" s="2531"/>
      <c r="Z1383" s="2531"/>
      <c r="AA1383" s="2531"/>
      <c r="AB1383" s="2531"/>
      <c r="AC1383" s="2531"/>
      <c r="AD1383" s="2531"/>
      <c r="AE1383" s="2531"/>
      <c r="AF1383" s="2531"/>
      <c r="AG1383" s="2531"/>
      <c r="AH1383" s="2531"/>
      <c r="AI1383" s="2531"/>
      <c r="AJ1383" s="2531"/>
      <c r="AK1383" s="2531"/>
      <c r="AL1383" s="2531"/>
      <c r="AM1383" s="2531"/>
      <c r="AN1383" s="2531"/>
      <c r="AO1383" s="2531"/>
    </row>
    <row r="1384" spans="1:43" s="2532" customFormat="1" ht="15" customHeight="1">
      <c r="A1384" s="2134" t="s">
        <v>2853</v>
      </c>
      <c r="B1384" s="2124"/>
      <c r="C1384" s="2135">
        <f t="shared" si="326"/>
        <v>0</v>
      </c>
      <c r="D1384" s="2133">
        <f t="shared" si="326"/>
        <v>0</v>
      </c>
      <c r="E1384" s="2133">
        <f t="shared" si="326"/>
        <v>0</v>
      </c>
      <c r="F1384" s="2133">
        <f t="shared" si="326"/>
        <v>0</v>
      </c>
      <c r="G1384" s="2133">
        <f t="shared" si="326"/>
        <v>0</v>
      </c>
      <c r="H1384" s="2133">
        <f>B1384*C1384</f>
        <v>0</v>
      </c>
      <c r="I1384" s="2133">
        <f>B1384*D1384</f>
        <v>0</v>
      </c>
      <c r="J1384" s="2133">
        <f>B1384*E1384</f>
        <v>0</v>
      </c>
      <c r="K1384" s="2133">
        <f>B1384*F1384</f>
        <v>0</v>
      </c>
      <c r="L1384" s="2133">
        <f>B1384*G1384</f>
        <v>0</v>
      </c>
      <c r="N1384" s="2133">
        <f>(B1384/2)/0.2</f>
        <v>0</v>
      </c>
      <c r="O1384" s="2133">
        <f>(B1384/2)/0.1</f>
        <v>0</v>
      </c>
      <c r="P1384" s="2133">
        <f>SUM(N1384:O1384)</f>
        <v>0</v>
      </c>
      <c r="Q1384" s="2133">
        <f t="shared" si="327"/>
        <v>-0.2</v>
      </c>
      <c r="R1384" s="2133">
        <f>P1384*Q1384</f>
        <v>0</v>
      </c>
      <c r="U1384" s="2531"/>
      <c r="V1384" s="2531"/>
      <c r="W1384" s="2531"/>
      <c r="X1384" s="2531"/>
      <c r="Y1384" s="2531"/>
      <c r="Z1384" s="2531"/>
      <c r="AA1384" s="2531"/>
      <c r="AB1384" s="2531"/>
      <c r="AC1384" s="2531"/>
      <c r="AD1384" s="2531"/>
      <c r="AE1384" s="2531"/>
      <c r="AF1384" s="2531"/>
      <c r="AG1384" s="2531"/>
      <c r="AH1384" s="2531"/>
      <c r="AI1384" s="2531"/>
      <c r="AJ1384" s="2531"/>
      <c r="AK1384" s="2531"/>
      <c r="AL1384" s="2531"/>
      <c r="AM1384" s="2531"/>
      <c r="AN1384" s="2531"/>
      <c r="AO1384" s="2531"/>
    </row>
    <row r="1385" spans="1:43" s="2532" customFormat="1" ht="15" customHeight="1">
      <c r="A1385" s="2134" t="s">
        <v>2854</v>
      </c>
      <c r="B1385" s="2124"/>
      <c r="C1385" s="2135">
        <f t="shared" si="326"/>
        <v>0</v>
      </c>
      <c r="D1385" s="2133">
        <f t="shared" si="326"/>
        <v>0</v>
      </c>
      <c r="E1385" s="2133">
        <f t="shared" si="326"/>
        <v>0</v>
      </c>
      <c r="F1385" s="2133">
        <f t="shared" si="326"/>
        <v>0</v>
      </c>
      <c r="G1385" s="2133">
        <f t="shared" si="326"/>
        <v>0</v>
      </c>
      <c r="H1385" s="2133">
        <f>B1385*C1385</f>
        <v>0</v>
      </c>
      <c r="I1385" s="2133">
        <f>B1385*D1385</f>
        <v>0</v>
      </c>
      <c r="J1385" s="2133">
        <f>B1385*E1385</f>
        <v>0</v>
      </c>
      <c r="K1385" s="2133">
        <f>B1385*F1385</f>
        <v>0</v>
      </c>
      <c r="L1385" s="2133">
        <f>B1385*G1385</f>
        <v>0</v>
      </c>
      <c r="N1385" s="2133">
        <f>(B1385/2)/0.2</f>
        <v>0</v>
      </c>
      <c r="O1385" s="2133">
        <f>(B1385/2)/0.1</f>
        <v>0</v>
      </c>
      <c r="P1385" s="2133">
        <f>SUM(N1385:O1385)</f>
        <v>0</v>
      </c>
      <c r="Q1385" s="2133">
        <f t="shared" si="327"/>
        <v>-0.2</v>
      </c>
      <c r="R1385" s="2133">
        <f>P1385*Q1385</f>
        <v>0</v>
      </c>
      <c r="U1385" s="2531"/>
      <c r="V1385" s="2531"/>
      <c r="W1385" s="2531"/>
      <c r="X1385" s="2531"/>
      <c r="Y1385" s="2531"/>
      <c r="Z1385" s="2531"/>
      <c r="AA1385" s="2531"/>
      <c r="AB1385" s="2531"/>
      <c r="AC1385" s="2531"/>
      <c r="AD1385" s="2531"/>
      <c r="AE1385" s="2531"/>
      <c r="AF1385" s="2531"/>
      <c r="AG1385" s="2531"/>
      <c r="AH1385" s="2531"/>
      <c r="AI1385" s="2531"/>
      <c r="AJ1385" s="2531"/>
      <c r="AK1385" s="2531"/>
      <c r="AL1385" s="2531"/>
      <c r="AM1385" s="2531"/>
      <c r="AN1385" s="2531"/>
      <c r="AO1385" s="2531"/>
    </row>
    <row r="1386" spans="1:43" s="2532" customFormat="1" ht="15" customHeight="1">
      <c r="A1386" s="2134" t="s">
        <v>2855</v>
      </c>
      <c r="B1386" s="2124"/>
      <c r="C1386" s="2135">
        <f t="shared" si="326"/>
        <v>0</v>
      </c>
      <c r="D1386" s="2133">
        <f t="shared" si="326"/>
        <v>0</v>
      </c>
      <c r="E1386" s="2133">
        <f t="shared" si="326"/>
        <v>0</v>
      </c>
      <c r="F1386" s="2133">
        <f t="shared" si="326"/>
        <v>0</v>
      </c>
      <c r="G1386" s="2133">
        <f t="shared" si="326"/>
        <v>0</v>
      </c>
      <c r="H1386" s="2133">
        <f>B1386*C1386</f>
        <v>0</v>
      </c>
      <c r="I1386" s="2133">
        <f>B1386*D1386</f>
        <v>0</v>
      </c>
      <c r="J1386" s="2133">
        <f>B1386*E1386</f>
        <v>0</v>
      </c>
      <c r="K1386" s="2133">
        <f>B1386*F1386</f>
        <v>0</v>
      </c>
      <c r="L1386" s="2133">
        <f>B1386*G1386</f>
        <v>0</v>
      </c>
      <c r="N1386" s="2133">
        <f>(B1386/2)/0.2</f>
        <v>0</v>
      </c>
      <c r="O1386" s="2133">
        <f>(B1386/2)/0.1</f>
        <v>0</v>
      </c>
      <c r="P1386" s="2133">
        <f>SUM(N1386:O1386)</f>
        <v>0</v>
      </c>
      <c r="Q1386" s="2133">
        <f t="shared" si="327"/>
        <v>-0.2</v>
      </c>
      <c r="R1386" s="2133">
        <f>P1386*Q1386</f>
        <v>0</v>
      </c>
      <c r="U1386" s="2531"/>
      <c r="V1386" s="2531"/>
      <c r="W1386" s="2531"/>
      <c r="X1386" s="2531"/>
      <c r="Y1386" s="2531"/>
      <c r="Z1386" s="2531"/>
      <c r="AA1386" s="2531"/>
      <c r="AB1386" s="2531"/>
      <c r="AC1386" s="2531"/>
      <c r="AD1386" s="2531"/>
      <c r="AE1386" s="2531"/>
      <c r="AF1386" s="2531"/>
      <c r="AG1386" s="2531"/>
      <c r="AH1386" s="2531"/>
      <c r="AI1386" s="2531"/>
      <c r="AJ1386" s="2531"/>
      <c r="AK1386" s="2531"/>
      <c r="AL1386" s="2531"/>
      <c r="AM1386" s="2531"/>
      <c r="AN1386" s="2531"/>
      <c r="AO1386" s="2531"/>
    </row>
    <row r="1387" spans="1:43" ht="15" thickBot="1">
      <c r="A1387" s="2134" t="s">
        <v>175</v>
      </c>
      <c r="B1387" s="2126"/>
      <c r="C1387" s="2135">
        <f t="shared" si="326"/>
        <v>0</v>
      </c>
      <c r="D1387" s="2133">
        <f t="shared" si="326"/>
        <v>0</v>
      </c>
      <c r="E1387" s="2133">
        <f t="shared" si="326"/>
        <v>0</v>
      </c>
      <c r="F1387" s="2133">
        <f t="shared" si="326"/>
        <v>4</v>
      </c>
      <c r="G1387" s="2133">
        <f t="shared" si="326"/>
        <v>0</v>
      </c>
      <c r="H1387" s="2133">
        <f t="shared" si="325"/>
        <v>0</v>
      </c>
      <c r="I1387" s="2133">
        <f t="shared" si="322"/>
        <v>0</v>
      </c>
      <c r="J1387" s="2133">
        <f t="shared" si="316"/>
        <v>0</v>
      </c>
      <c r="K1387" s="2133">
        <f t="shared" si="323"/>
        <v>0</v>
      </c>
      <c r="L1387" s="2133">
        <f t="shared" si="324"/>
        <v>0</v>
      </c>
      <c r="N1387" s="2133">
        <f t="shared" si="317"/>
        <v>0</v>
      </c>
      <c r="O1387" s="2133">
        <f t="shared" si="318"/>
        <v>0</v>
      </c>
      <c r="P1387" s="2133">
        <f t="shared" si="319"/>
        <v>0</v>
      </c>
      <c r="Q1387" s="2133">
        <f t="shared" si="327"/>
        <v>0.5</v>
      </c>
      <c r="R1387" s="2133">
        <f t="shared" si="321"/>
        <v>0</v>
      </c>
      <c r="T1387" s="2107"/>
      <c r="U1387" s="2833"/>
      <c r="V1387" s="2833"/>
      <c r="W1387" s="2833"/>
      <c r="X1387" s="2833"/>
      <c r="Y1387" s="2107"/>
      <c r="Z1387" s="2107"/>
      <c r="AA1387" s="2107"/>
      <c r="AB1387" s="2107"/>
      <c r="AC1387" s="2107"/>
      <c r="AD1387" s="2107"/>
      <c r="AE1387" s="2107"/>
      <c r="AF1387" s="2107"/>
      <c r="AG1387" s="2107"/>
      <c r="AH1387" s="2107"/>
      <c r="AI1387" s="2107"/>
      <c r="AJ1387" s="2107"/>
      <c r="AK1387" s="2107"/>
      <c r="AL1387" s="2107"/>
      <c r="AM1387" s="2107"/>
      <c r="AN1387" s="2107"/>
      <c r="AO1387" s="2107"/>
    </row>
    <row r="1388" spans="1:43" ht="15">
      <c r="A1388" s="2107"/>
      <c r="B1388" s="2107"/>
      <c r="C1388" s="2107"/>
      <c r="D1388" s="2107"/>
      <c r="E1388" s="2107"/>
      <c r="F1388" s="2804" t="s">
        <v>2074</v>
      </c>
      <c r="G1388" s="2805"/>
      <c r="H1388" s="2133">
        <f>SUM(H1367:H1387)</f>
        <v>0</v>
      </c>
      <c r="I1388" s="2133">
        <f>SUM(I1367:I1387)</f>
        <v>0</v>
      </c>
      <c r="J1388" s="2133">
        <f>SUM(J1367:J1387)</f>
        <v>0</v>
      </c>
      <c r="K1388" s="2133">
        <f>SUM(K1367:K1387)</f>
        <v>0</v>
      </c>
      <c r="L1388" s="2133">
        <f>SUM(L1367:L1387)</f>
        <v>0</v>
      </c>
      <c r="N1388" s="2804" t="s">
        <v>1972</v>
      </c>
      <c r="O1388" s="2805"/>
      <c r="P1388" s="2805"/>
      <c r="Q1388" s="2133">
        <f>SUMIF($K$445:$K$465,S1388,$R$1290:$R$1310)</f>
        <v>0</v>
      </c>
      <c r="R1388" s="2157">
        <f>Q1388*0.4</f>
        <v>0</v>
      </c>
      <c r="S1388" s="2086">
        <v>8</v>
      </c>
      <c r="T1388" s="2107"/>
      <c r="V1388" s="2107"/>
      <c r="W1388" s="2107"/>
      <c r="X1388" s="2107"/>
      <c r="Y1388" s="2107"/>
      <c r="Z1388" s="2107"/>
      <c r="AA1388" s="2107"/>
      <c r="AB1388" s="2107"/>
      <c r="AC1388" s="2107"/>
      <c r="AD1388" s="2107"/>
      <c r="AE1388" s="2107"/>
      <c r="AF1388" s="2107"/>
      <c r="AG1388" s="2107"/>
      <c r="AH1388" s="2107"/>
      <c r="AI1388" s="2107"/>
      <c r="AJ1388" s="2107"/>
      <c r="AK1388" s="2107"/>
      <c r="AL1388" s="2107"/>
      <c r="AM1388" s="2107"/>
      <c r="AN1388" s="2107"/>
      <c r="AO1388" s="2107"/>
      <c r="AP1388" s="2107"/>
      <c r="AQ1388" s="2107"/>
    </row>
    <row r="1389" spans="1:43" ht="15">
      <c r="A1389" s="2107"/>
      <c r="B1389" s="2107"/>
      <c r="C1389" s="2107"/>
      <c r="D1389" s="2107"/>
      <c r="E1389" s="2107"/>
      <c r="F1389" s="2804" t="s">
        <v>2075</v>
      </c>
      <c r="G1389" s="2805"/>
      <c r="H1389" s="2182">
        <f>H1388*1.04</f>
        <v>0</v>
      </c>
      <c r="I1389" s="2182">
        <f>I1388*0.89</f>
        <v>0</v>
      </c>
      <c r="J1389" s="2182">
        <f>J1388*0.62</f>
        <v>0</v>
      </c>
      <c r="K1389" s="2182">
        <f>K1388*0.62</f>
        <v>0</v>
      </c>
      <c r="L1389" s="2183">
        <f>L1388*0.62</f>
        <v>0</v>
      </c>
      <c r="N1389" s="2804" t="s">
        <v>2387</v>
      </c>
      <c r="O1389" s="2805"/>
      <c r="P1389" s="2805"/>
      <c r="Q1389" s="2133">
        <f>SUMIF($K$445:$K$465,S1389,$R$1290:$R$1310)</f>
        <v>0</v>
      </c>
      <c r="R1389" s="2184">
        <f>Q1389*0.62</f>
        <v>0</v>
      </c>
      <c r="S1389" s="2086">
        <v>10</v>
      </c>
      <c r="V1389" s="2107"/>
      <c r="W1389" s="2107"/>
      <c r="X1389" s="2107"/>
      <c r="Y1389" s="2107"/>
      <c r="Z1389" s="2107"/>
      <c r="AA1389" s="2107"/>
      <c r="AB1389" s="2107"/>
      <c r="AC1389" s="2107"/>
      <c r="AD1389" s="2107"/>
      <c r="AE1389" s="2107"/>
      <c r="AF1389" s="2107"/>
      <c r="AG1389" s="2107"/>
      <c r="AH1389" s="2107"/>
      <c r="AI1389" s="2107"/>
      <c r="AJ1389" s="2107"/>
      <c r="AK1389" s="2107"/>
      <c r="AL1389" s="2107"/>
      <c r="AM1389" s="2107"/>
      <c r="AN1389" s="2107"/>
      <c r="AO1389" s="2107"/>
      <c r="AP1389" s="2107"/>
      <c r="AQ1389" s="2107"/>
    </row>
    <row r="1390" spans="1:43" ht="15">
      <c r="A1390" s="2107"/>
      <c r="B1390" s="2107"/>
      <c r="C1390" s="2107"/>
      <c r="D1390" s="2107"/>
      <c r="E1390" s="2107"/>
      <c r="F1390" s="2107"/>
      <c r="G1390" s="2107"/>
      <c r="N1390" s="2804" t="s">
        <v>2443</v>
      </c>
      <c r="O1390" s="2805"/>
      <c r="P1390" s="2805"/>
      <c r="Q1390" s="2133">
        <f>SUMIF($K$445:$K$465,S1390,$R$1290:$R$1310)</f>
        <v>0</v>
      </c>
      <c r="R1390" s="2184">
        <f>Q1390*0.62</f>
        <v>0</v>
      </c>
      <c r="S1390" s="2086" t="s">
        <v>1807</v>
      </c>
      <c r="V1390" s="2107"/>
      <c r="W1390" s="2107"/>
      <c r="X1390" s="2107"/>
      <c r="Y1390" s="2107"/>
      <c r="Z1390" s="2107"/>
      <c r="AA1390" s="2107"/>
      <c r="AB1390" s="2107"/>
      <c r="AC1390" s="2107"/>
      <c r="AD1390" s="2107"/>
      <c r="AE1390" s="2107"/>
      <c r="AF1390" s="2107"/>
      <c r="AG1390" s="2107"/>
      <c r="AH1390" s="2107"/>
      <c r="AI1390" s="2107"/>
      <c r="AJ1390" s="2107"/>
      <c r="AK1390" s="2107"/>
      <c r="AL1390" s="2107"/>
      <c r="AM1390" s="2107"/>
      <c r="AN1390" s="2107"/>
      <c r="AO1390" s="2107"/>
      <c r="AP1390" s="2107"/>
      <c r="AQ1390" s="2107"/>
    </row>
    <row r="1391" spans="1:43">
      <c r="V1391" s="2107"/>
      <c r="W1391" s="2107"/>
      <c r="X1391" s="2107"/>
      <c r="Y1391" s="2107"/>
      <c r="Z1391" s="2107"/>
      <c r="AA1391" s="2107"/>
      <c r="AB1391" s="2107"/>
      <c r="AC1391" s="2107"/>
      <c r="AD1391" s="2107"/>
      <c r="AE1391" s="2107"/>
      <c r="AF1391" s="2107"/>
      <c r="AG1391" s="2107"/>
      <c r="AH1391" s="2107"/>
      <c r="AI1391" s="2107"/>
      <c r="AJ1391" s="2107"/>
      <c r="AK1391" s="2107"/>
      <c r="AL1391" s="2107"/>
      <c r="AM1391" s="2107"/>
      <c r="AN1391" s="2107"/>
      <c r="AO1391" s="2107"/>
      <c r="AP1391" s="2107"/>
      <c r="AQ1391" s="2107"/>
    </row>
    <row r="1392" spans="1:43">
      <c r="A1392" s="2831" t="s">
        <v>2005</v>
      </c>
      <c r="B1392" s="2832"/>
      <c r="C1392" s="2832"/>
      <c r="D1392" s="2832"/>
      <c r="V1392" s="2107"/>
      <c r="W1392" s="2107"/>
      <c r="X1392" s="2107"/>
      <c r="Y1392" s="2107"/>
      <c r="Z1392" s="2107"/>
      <c r="AA1392" s="2107"/>
      <c r="AB1392" s="2107"/>
      <c r="AC1392" s="2107"/>
      <c r="AD1392" s="2107"/>
      <c r="AE1392" s="2107"/>
      <c r="AF1392" s="2107"/>
      <c r="AG1392" s="2107"/>
      <c r="AH1392" s="2107"/>
      <c r="AI1392" s="2107"/>
      <c r="AJ1392" s="2107"/>
      <c r="AK1392" s="2107"/>
      <c r="AL1392" s="2107"/>
      <c r="AM1392" s="2107"/>
      <c r="AN1392" s="2107"/>
      <c r="AO1392" s="2107"/>
      <c r="AP1392" s="2107"/>
      <c r="AQ1392" s="2107"/>
    </row>
    <row r="1393" spans="1:43">
      <c r="A1393" s="2133" t="s">
        <v>1796</v>
      </c>
      <c r="B1393" s="2133" t="s">
        <v>2004</v>
      </c>
      <c r="C1393" s="2133" t="s">
        <v>1791</v>
      </c>
      <c r="D1393" s="2133" t="s">
        <v>2008</v>
      </c>
      <c r="E1393" s="2086" t="s">
        <v>2368</v>
      </c>
      <c r="V1393" s="2107"/>
      <c r="W1393" s="2107"/>
      <c r="X1393" s="2107"/>
      <c r="Y1393" s="2107"/>
      <c r="Z1393" s="2107"/>
      <c r="AA1393" s="2107"/>
      <c r="AB1393" s="2107"/>
      <c r="AC1393" s="2107"/>
      <c r="AD1393" s="2107"/>
      <c r="AE1393" s="2107"/>
      <c r="AF1393" s="2107"/>
      <c r="AG1393" s="2107"/>
      <c r="AH1393" s="2107"/>
      <c r="AI1393" s="2107"/>
      <c r="AJ1393" s="2107"/>
      <c r="AK1393" s="2107"/>
      <c r="AL1393" s="2107"/>
      <c r="AM1393" s="2107"/>
      <c r="AN1393" s="2107"/>
      <c r="AO1393" s="2107"/>
      <c r="AP1393" s="2107"/>
      <c r="AQ1393" s="2107"/>
    </row>
    <row r="1394" spans="1:43">
      <c r="A1394" s="2133" t="str">
        <f t="shared" ref="A1394:B1408" si="328">A1367</f>
        <v>B1</v>
      </c>
      <c r="B1394" s="2133">
        <f t="shared" si="328"/>
        <v>0</v>
      </c>
      <c r="C1394" s="2133">
        <f t="shared" ref="C1394:C1408" si="329">C522</f>
        <v>8.0000000000000016E-2</v>
      </c>
      <c r="D1394" s="2133">
        <f>B1394*C1394</f>
        <v>0</v>
      </c>
      <c r="E1394" s="2086">
        <f>$F$445*B1394</f>
        <v>0</v>
      </c>
      <c r="G1394" s="2099"/>
      <c r="V1394" s="2107"/>
      <c r="W1394" s="2107"/>
      <c r="X1394" s="2107"/>
      <c r="Y1394" s="2107"/>
      <c r="Z1394" s="2107"/>
      <c r="AA1394" s="2107"/>
      <c r="AB1394" s="2107"/>
      <c r="AC1394" s="2107"/>
      <c r="AD1394" s="2107"/>
      <c r="AE1394" s="2107"/>
      <c r="AF1394" s="2107"/>
      <c r="AG1394" s="2107"/>
      <c r="AH1394" s="2107"/>
      <c r="AI1394" s="2107"/>
      <c r="AJ1394" s="2107"/>
      <c r="AK1394" s="2107"/>
      <c r="AL1394" s="2107"/>
      <c r="AM1394" s="2107"/>
      <c r="AN1394" s="2107"/>
      <c r="AO1394" s="2107"/>
      <c r="AP1394" s="2107"/>
      <c r="AQ1394" s="2107"/>
    </row>
    <row r="1395" spans="1:43">
      <c r="A1395" s="2133" t="str">
        <f t="shared" si="328"/>
        <v>B2</v>
      </c>
      <c r="B1395" s="2133">
        <f t="shared" si="328"/>
        <v>0</v>
      </c>
      <c r="C1395" s="2133">
        <f t="shared" si="329"/>
        <v>6.7500000000000004E-2</v>
      </c>
      <c r="D1395" s="2133">
        <f t="shared" ref="D1395:D1414" si="330">B1395*C1395</f>
        <v>0</v>
      </c>
      <c r="E1395" s="2086">
        <f>$F$446*B1395</f>
        <v>0</v>
      </c>
      <c r="V1395" s="2107"/>
      <c r="W1395" s="2107"/>
      <c r="X1395" s="2107"/>
      <c r="Y1395" s="2107"/>
      <c r="Z1395" s="2107"/>
      <c r="AA1395" s="2107"/>
      <c r="AB1395" s="2107"/>
      <c r="AC1395" s="2107"/>
      <c r="AD1395" s="2107"/>
      <c r="AE1395" s="2107"/>
      <c r="AF1395" s="2107"/>
      <c r="AG1395" s="2107"/>
      <c r="AH1395" s="2107"/>
      <c r="AI1395" s="2107"/>
      <c r="AJ1395" s="2107"/>
      <c r="AK1395" s="2107"/>
      <c r="AL1395" s="2107"/>
      <c r="AM1395" s="2107"/>
      <c r="AN1395" s="2107"/>
      <c r="AO1395" s="2107"/>
      <c r="AP1395" s="2107"/>
      <c r="AQ1395" s="2107"/>
    </row>
    <row r="1396" spans="1:43">
      <c r="A1396" s="2133" t="str">
        <f t="shared" si="328"/>
        <v>B3</v>
      </c>
      <c r="B1396" s="2133">
        <f t="shared" si="328"/>
        <v>0</v>
      </c>
      <c r="C1396" s="2133">
        <f t="shared" si="329"/>
        <v>7.9999999999999988E-2</v>
      </c>
      <c r="D1396" s="2133">
        <f t="shared" si="330"/>
        <v>0</v>
      </c>
      <c r="E1396" s="2086">
        <f>$F$447*B1396</f>
        <v>0</v>
      </c>
      <c r="V1396" s="2107"/>
      <c r="W1396" s="2107"/>
      <c r="X1396" s="2107"/>
      <c r="Y1396" s="2107"/>
      <c r="Z1396" s="2107"/>
      <c r="AA1396" s="2107"/>
      <c r="AB1396" s="2107"/>
      <c r="AC1396" s="2107"/>
      <c r="AD1396" s="2107"/>
      <c r="AE1396" s="2107"/>
      <c r="AF1396" s="2107"/>
      <c r="AG1396" s="2107"/>
      <c r="AH1396" s="2107"/>
      <c r="AI1396" s="2107"/>
      <c r="AJ1396" s="2107"/>
      <c r="AK1396" s="2107"/>
      <c r="AL1396" s="2107"/>
      <c r="AM1396" s="2107"/>
      <c r="AN1396" s="2107"/>
      <c r="AO1396" s="2107"/>
      <c r="AP1396" s="2107"/>
      <c r="AQ1396" s="2107"/>
    </row>
    <row r="1397" spans="1:43">
      <c r="A1397" s="2133" t="str">
        <f t="shared" si="328"/>
        <v>B4</v>
      </c>
      <c r="B1397" s="2133">
        <f t="shared" si="328"/>
        <v>0</v>
      </c>
      <c r="C1397" s="2133">
        <f t="shared" si="329"/>
        <v>4.4999999999999998E-2</v>
      </c>
      <c r="D1397" s="2133">
        <f t="shared" si="330"/>
        <v>0</v>
      </c>
      <c r="E1397" s="2086">
        <f>$F$448*B1397</f>
        <v>0</v>
      </c>
      <c r="V1397" s="2107"/>
      <c r="W1397" s="2107"/>
      <c r="X1397" s="2107"/>
      <c r="Y1397" s="2107"/>
      <c r="Z1397" s="2107"/>
      <c r="AA1397" s="2107"/>
      <c r="AB1397" s="2107"/>
      <c r="AC1397" s="2107"/>
      <c r="AD1397" s="2107"/>
      <c r="AE1397" s="2107"/>
      <c r="AF1397" s="2107"/>
      <c r="AG1397" s="2107"/>
      <c r="AH1397" s="2107"/>
      <c r="AI1397" s="2107"/>
      <c r="AJ1397" s="2107"/>
      <c r="AK1397" s="2107"/>
      <c r="AL1397" s="2107"/>
      <c r="AM1397" s="2107"/>
      <c r="AN1397" s="2107"/>
      <c r="AO1397" s="2107"/>
      <c r="AP1397" s="2107"/>
      <c r="AQ1397" s="2107"/>
    </row>
    <row r="1398" spans="1:43">
      <c r="A1398" s="2133" t="str">
        <f t="shared" si="328"/>
        <v>B5</v>
      </c>
      <c r="B1398" s="2133">
        <f t="shared" si="328"/>
        <v>0</v>
      </c>
      <c r="C1398" s="2133">
        <f t="shared" si="329"/>
        <v>0</v>
      </c>
      <c r="D1398" s="2133">
        <f t="shared" si="330"/>
        <v>0</v>
      </c>
      <c r="E1398" s="2086">
        <f>$F$449*B1398</f>
        <v>0</v>
      </c>
      <c r="V1398" s="2107"/>
      <c r="W1398" s="2107"/>
      <c r="X1398" s="2107"/>
      <c r="Y1398" s="2107"/>
      <c r="Z1398" s="2107"/>
      <c r="AA1398" s="2107"/>
      <c r="AB1398" s="2107"/>
      <c r="AC1398" s="2107"/>
      <c r="AD1398" s="2107"/>
      <c r="AE1398" s="2107"/>
      <c r="AF1398" s="2107"/>
      <c r="AG1398" s="2107"/>
      <c r="AH1398" s="2107"/>
      <c r="AI1398" s="2107"/>
      <c r="AJ1398" s="2107"/>
      <c r="AK1398" s="2107"/>
      <c r="AL1398" s="2107"/>
      <c r="AM1398" s="2107"/>
      <c r="AN1398" s="2107"/>
      <c r="AO1398" s="2107"/>
      <c r="AP1398" s="2107"/>
      <c r="AQ1398" s="2107"/>
    </row>
    <row r="1399" spans="1:43" ht="15" customHeight="1">
      <c r="A1399" s="2133" t="str">
        <f t="shared" si="328"/>
        <v>B6</v>
      </c>
      <c r="B1399" s="2133">
        <f t="shared" si="328"/>
        <v>0</v>
      </c>
      <c r="C1399" s="2133">
        <f t="shared" si="329"/>
        <v>0</v>
      </c>
      <c r="D1399" s="2133">
        <f t="shared" si="330"/>
        <v>0</v>
      </c>
      <c r="E1399" s="2086">
        <f>$F$450*B1399</f>
        <v>0</v>
      </c>
      <c r="V1399" s="2107"/>
      <c r="W1399" s="2107"/>
      <c r="X1399" s="2107"/>
      <c r="Y1399" s="2107"/>
      <c r="Z1399" s="2107"/>
      <c r="AA1399" s="2107"/>
      <c r="AB1399" s="2107"/>
      <c r="AC1399" s="2107"/>
      <c r="AD1399" s="2107"/>
      <c r="AE1399" s="2107"/>
      <c r="AF1399" s="2107"/>
      <c r="AG1399" s="2107"/>
      <c r="AH1399" s="2107"/>
      <c r="AI1399" s="2107"/>
      <c r="AJ1399" s="2107"/>
      <c r="AK1399" s="2107"/>
      <c r="AL1399" s="2107"/>
      <c r="AM1399" s="2107"/>
      <c r="AN1399" s="2107"/>
      <c r="AO1399" s="2107"/>
      <c r="AP1399" s="2107"/>
      <c r="AQ1399" s="2107"/>
    </row>
    <row r="1400" spans="1:43" ht="15" customHeight="1">
      <c r="A1400" s="2133" t="str">
        <f t="shared" si="328"/>
        <v>B7</v>
      </c>
      <c r="B1400" s="2133">
        <f t="shared" si="328"/>
        <v>0</v>
      </c>
      <c r="C1400" s="2133">
        <f t="shared" si="329"/>
        <v>0</v>
      </c>
      <c r="D1400" s="2133">
        <f t="shared" si="330"/>
        <v>0</v>
      </c>
      <c r="E1400" s="2086">
        <f>$F$451*B1400</f>
        <v>0</v>
      </c>
      <c r="V1400" s="2107"/>
      <c r="W1400" s="2107"/>
      <c r="X1400" s="2107"/>
      <c r="Y1400" s="2107"/>
      <c r="Z1400" s="2107"/>
      <c r="AA1400" s="2107"/>
      <c r="AB1400" s="2107"/>
      <c r="AC1400" s="2107"/>
      <c r="AD1400" s="2107"/>
      <c r="AE1400" s="2107"/>
      <c r="AF1400" s="2107"/>
      <c r="AG1400" s="2107"/>
      <c r="AH1400" s="2107"/>
      <c r="AI1400" s="2107"/>
      <c r="AJ1400" s="2107"/>
      <c r="AK1400" s="2107"/>
      <c r="AL1400" s="2107"/>
      <c r="AM1400" s="2107"/>
      <c r="AN1400" s="2107"/>
      <c r="AO1400" s="2107"/>
      <c r="AP1400" s="2107"/>
      <c r="AQ1400" s="2107"/>
    </row>
    <row r="1401" spans="1:43" ht="15" customHeight="1">
      <c r="A1401" s="2133" t="str">
        <f t="shared" si="328"/>
        <v>B8</v>
      </c>
      <c r="B1401" s="2133">
        <f t="shared" si="328"/>
        <v>0</v>
      </c>
      <c r="C1401" s="2133">
        <f t="shared" si="329"/>
        <v>0</v>
      </c>
      <c r="D1401" s="2133">
        <f t="shared" si="330"/>
        <v>0</v>
      </c>
      <c r="E1401" s="2086">
        <f>$F$452*B1401</f>
        <v>0</v>
      </c>
      <c r="V1401" s="2107"/>
      <c r="W1401" s="2107"/>
      <c r="X1401" s="2107"/>
      <c r="Y1401" s="2107"/>
      <c r="Z1401" s="2107"/>
      <c r="AA1401" s="2107"/>
      <c r="AB1401" s="2107"/>
      <c r="AC1401" s="2107"/>
      <c r="AD1401" s="2107"/>
      <c r="AE1401" s="2107"/>
      <c r="AF1401" s="2107"/>
      <c r="AG1401" s="2107"/>
      <c r="AH1401" s="2107"/>
      <c r="AI1401" s="2107"/>
      <c r="AJ1401" s="2107"/>
      <c r="AK1401" s="2107"/>
      <c r="AL1401" s="2107"/>
      <c r="AM1401" s="2107"/>
      <c r="AN1401" s="2107"/>
      <c r="AO1401" s="2107"/>
      <c r="AP1401" s="2107"/>
      <c r="AQ1401" s="2107"/>
    </row>
    <row r="1402" spans="1:43">
      <c r="A1402" s="2133" t="str">
        <f t="shared" si="328"/>
        <v>B9</v>
      </c>
      <c r="B1402" s="2133">
        <f t="shared" si="328"/>
        <v>0</v>
      </c>
      <c r="C1402" s="2133">
        <f t="shared" si="329"/>
        <v>0</v>
      </c>
      <c r="D1402" s="2133">
        <f t="shared" si="330"/>
        <v>0</v>
      </c>
      <c r="E1402" s="2086">
        <f>$F$453*B1402</f>
        <v>0</v>
      </c>
      <c r="V1402" s="2107"/>
      <c r="W1402" s="2107"/>
      <c r="X1402" s="2107"/>
      <c r="Y1402" s="2107"/>
      <c r="Z1402" s="2107"/>
      <c r="AA1402" s="2107"/>
      <c r="AB1402" s="2107"/>
      <c r="AC1402" s="2107"/>
      <c r="AD1402" s="2107"/>
      <c r="AE1402" s="2107"/>
      <c r="AF1402" s="2107"/>
      <c r="AG1402" s="2107"/>
      <c r="AH1402" s="2107"/>
      <c r="AI1402" s="2107"/>
      <c r="AJ1402" s="2107"/>
      <c r="AK1402" s="2107"/>
      <c r="AL1402" s="2107"/>
      <c r="AM1402" s="2107"/>
      <c r="AN1402" s="2107"/>
      <c r="AO1402" s="2107"/>
      <c r="AP1402" s="2107"/>
      <c r="AQ1402" s="2107"/>
    </row>
    <row r="1403" spans="1:43">
      <c r="A1403" s="2133" t="str">
        <f t="shared" si="328"/>
        <v>B10</v>
      </c>
      <c r="B1403" s="2133">
        <f t="shared" si="328"/>
        <v>0</v>
      </c>
      <c r="C1403" s="2133">
        <f t="shared" si="329"/>
        <v>0</v>
      </c>
      <c r="D1403" s="2133">
        <f t="shared" si="330"/>
        <v>0</v>
      </c>
      <c r="E1403" s="2086">
        <f>$F$454*B1403</f>
        <v>0</v>
      </c>
      <c r="V1403" s="2107"/>
      <c r="W1403" s="2833"/>
      <c r="X1403" s="2833"/>
      <c r="Y1403" s="2833"/>
      <c r="Z1403" s="2833"/>
      <c r="AA1403" s="2107"/>
      <c r="AB1403" s="2107"/>
      <c r="AC1403" s="2107"/>
      <c r="AD1403" s="2107"/>
      <c r="AE1403" s="2107"/>
      <c r="AF1403" s="2107"/>
      <c r="AG1403" s="2107"/>
      <c r="AH1403" s="2107"/>
      <c r="AI1403" s="2107"/>
      <c r="AJ1403" s="2107"/>
      <c r="AK1403" s="2107"/>
      <c r="AL1403" s="2107"/>
      <c r="AM1403" s="2107"/>
      <c r="AN1403" s="2107"/>
      <c r="AO1403" s="2107"/>
      <c r="AP1403" s="2107"/>
      <c r="AQ1403" s="2107"/>
    </row>
    <row r="1404" spans="1:43">
      <c r="A1404" s="2133" t="str">
        <f t="shared" si="328"/>
        <v>B11</v>
      </c>
      <c r="B1404" s="2133">
        <f t="shared" si="328"/>
        <v>0</v>
      </c>
      <c r="C1404" s="2133">
        <f t="shared" si="329"/>
        <v>0</v>
      </c>
      <c r="D1404" s="2133">
        <f t="shared" si="330"/>
        <v>0</v>
      </c>
      <c r="E1404" s="2086">
        <f>$F$455*B1404</f>
        <v>0</v>
      </c>
      <c r="V1404" s="2107"/>
      <c r="W1404" s="2107"/>
      <c r="X1404" s="2107"/>
      <c r="Y1404" s="2107"/>
      <c r="Z1404" s="2107"/>
      <c r="AA1404" s="2107"/>
      <c r="AB1404" s="2107"/>
      <c r="AC1404" s="2107"/>
      <c r="AD1404" s="2107"/>
      <c r="AE1404" s="2107"/>
      <c r="AF1404" s="2107"/>
      <c r="AG1404" s="2107"/>
      <c r="AH1404" s="2107"/>
      <c r="AI1404" s="2107"/>
      <c r="AJ1404" s="2107"/>
      <c r="AK1404" s="2107"/>
      <c r="AL1404" s="2107"/>
      <c r="AM1404" s="2107"/>
      <c r="AN1404" s="2107"/>
      <c r="AO1404" s="2107"/>
      <c r="AP1404" s="2107"/>
      <c r="AQ1404" s="2107"/>
    </row>
    <row r="1405" spans="1:43">
      <c r="A1405" s="2133" t="str">
        <f t="shared" si="328"/>
        <v>B12</v>
      </c>
      <c r="B1405" s="2133">
        <f t="shared" si="328"/>
        <v>0</v>
      </c>
      <c r="C1405" s="2133">
        <f t="shared" si="329"/>
        <v>0</v>
      </c>
      <c r="D1405" s="2133">
        <f t="shared" si="330"/>
        <v>0</v>
      </c>
      <c r="E1405" s="2086">
        <f>$F$456*B1405</f>
        <v>0</v>
      </c>
      <c r="V1405" s="2107"/>
      <c r="W1405" s="2107"/>
      <c r="X1405" s="2107"/>
      <c r="Y1405" s="2107"/>
      <c r="Z1405" s="2107"/>
      <c r="AA1405" s="2107"/>
      <c r="AB1405" s="2107"/>
      <c r="AC1405" s="2107"/>
      <c r="AD1405" s="2107"/>
      <c r="AE1405" s="2107"/>
      <c r="AF1405" s="2107"/>
      <c r="AG1405" s="2107"/>
      <c r="AH1405" s="2107"/>
      <c r="AI1405" s="2107"/>
      <c r="AJ1405" s="2107"/>
      <c r="AK1405" s="2107"/>
      <c r="AL1405" s="2107"/>
      <c r="AM1405" s="2107"/>
      <c r="AN1405" s="2107"/>
      <c r="AO1405" s="2107"/>
      <c r="AP1405" s="2107"/>
      <c r="AQ1405" s="2107"/>
    </row>
    <row r="1406" spans="1:43">
      <c r="A1406" s="2133" t="str">
        <f t="shared" si="328"/>
        <v>B13</v>
      </c>
      <c r="B1406" s="2133">
        <f t="shared" si="328"/>
        <v>0</v>
      </c>
      <c r="C1406" s="2133">
        <f t="shared" si="329"/>
        <v>0</v>
      </c>
      <c r="D1406" s="2133">
        <f t="shared" si="330"/>
        <v>0</v>
      </c>
      <c r="E1406" s="2086">
        <f>$F$457*B1406</f>
        <v>0</v>
      </c>
      <c r="V1406" s="2107"/>
      <c r="W1406" s="2833"/>
      <c r="X1406" s="2833"/>
      <c r="Y1406" s="2833"/>
      <c r="Z1406" s="2833"/>
      <c r="AA1406" s="2107"/>
      <c r="AB1406" s="2107"/>
      <c r="AC1406" s="2107"/>
      <c r="AD1406" s="2107"/>
      <c r="AE1406" s="2107"/>
      <c r="AF1406" s="2107"/>
      <c r="AG1406" s="2107"/>
      <c r="AH1406" s="2107"/>
      <c r="AI1406" s="2107"/>
      <c r="AJ1406" s="2107"/>
      <c r="AK1406" s="2107"/>
      <c r="AL1406" s="2107"/>
      <c r="AM1406" s="2107"/>
      <c r="AN1406" s="2107"/>
      <c r="AO1406" s="2107"/>
      <c r="AP1406" s="2107"/>
      <c r="AQ1406" s="2107"/>
    </row>
    <row r="1407" spans="1:43">
      <c r="A1407" s="2133" t="str">
        <f t="shared" si="328"/>
        <v>B14</v>
      </c>
      <c r="B1407" s="2133">
        <f t="shared" si="328"/>
        <v>0</v>
      </c>
      <c r="C1407" s="2133">
        <f t="shared" si="329"/>
        <v>0</v>
      </c>
      <c r="D1407" s="2133">
        <f t="shared" si="330"/>
        <v>0</v>
      </c>
      <c r="E1407" s="2086">
        <f>$F$458*B1407</f>
        <v>0</v>
      </c>
      <c r="V1407" s="2107"/>
      <c r="W1407" s="2107"/>
      <c r="X1407" s="2107"/>
      <c r="Y1407" s="2107"/>
      <c r="Z1407" s="2107"/>
      <c r="AA1407" s="2107"/>
      <c r="AB1407" s="2107"/>
      <c r="AC1407" s="2107"/>
      <c r="AD1407" s="2107"/>
      <c r="AE1407" s="2107"/>
      <c r="AF1407" s="2107"/>
      <c r="AG1407" s="2107"/>
      <c r="AH1407" s="2107"/>
      <c r="AI1407" s="2107"/>
      <c r="AJ1407" s="2107"/>
      <c r="AK1407" s="2107"/>
      <c r="AL1407" s="2107"/>
      <c r="AM1407" s="2107"/>
      <c r="AN1407" s="2107"/>
      <c r="AO1407" s="2107"/>
      <c r="AP1407" s="2107"/>
      <c r="AQ1407" s="2107"/>
    </row>
    <row r="1408" spans="1:43">
      <c r="A1408" s="2133" t="str">
        <f t="shared" si="328"/>
        <v>B15</v>
      </c>
      <c r="B1408" s="2133">
        <f t="shared" si="328"/>
        <v>0</v>
      </c>
      <c r="C1408" s="2133">
        <f t="shared" si="329"/>
        <v>0</v>
      </c>
      <c r="D1408" s="2133">
        <f t="shared" si="330"/>
        <v>0</v>
      </c>
      <c r="E1408" s="2086">
        <f t="shared" ref="E1408:E1413" si="331">$F$459*B1408</f>
        <v>0</v>
      </c>
      <c r="V1408" s="2107"/>
      <c r="W1408" s="2107"/>
      <c r="X1408" s="2107"/>
      <c r="Y1408" s="2107"/>
      <c r="Z1408" s="2107"/>
      <c r="AA1408" s="2107"/>
      <c r="AB1408" s="2107"/>
      <c r="AC1408" s="2107"/>
      <c r="AD1408" s="2107"/>
      <c r="AE1408" s="2107"/>
      <c r="AF1408" s="2107"/>
      <c r="AG1408" s="2107"/>
      <c r="AH1408" s="2107"/>
      <c r="AI1408" s="2107"/>
      <c r="AJ1408" s="2107"/>
      <c r="AK1408" s="2107"/>
      <c r="AL1408" s="2107"/>
      <c r="AM1408" s="2107"/>
      <c r="AN1408" s="2107"/>
      <c r="AO1408" s="2107"/>
      <c r="AP1408" s="2107"/>
      <c r="AQ1408" s="2107"/>
    </row>
    <row r="1409" spans="1:43" s="2532" customFormat="1">
      <c r="A1409" s="2133" t="str">
        <f t="shared" ref="A1409:B1414" si="332">A1382</f>
        <v>B16</v>
      </c>
      <c r="B1409" s="2133">
        <f t="shared" si="332"/>
        <v>0</v>
      </c>
      <c r="C1409" s="2133">
        <f t="shared" ref="C1409:C1414" si="333">C537</f>
        <v>0</v>
      </c>
      <c r="D1409" s="2133">
        <f>B1409*C1409</f>
        <v>0</v>
      </c>
      <c r="E1409" s="2532">
        <f t="shared" si="331"/>
        <v>0</v>
      </c>
      <c r="V1409" s="2531"/>
      <c r="W1409" s="2531"/>
      <c r="X1409" s="2531"/>
      <c r="Y1409" s="2531"/>
      <c r="Z1409" s="2531"/>
      <c r="AA1409" s="2531"/>
      <c r="AB1409" s="2531"/>
      <c r="AC1409" s="2531"/>
      <c r="AD1409" s="2531"/>
      <c r="AE1409" s="2531"/>
      <c r="AF1409" s="2531"/>
      <c r="AG1409" s="2531"/>
      <c r="AH1409" s="2531"/>
      <c r="AI1409" s="2531"/>
      <c r="AJ1409" s="2531"/>
      <c r="AK1409" s="2531"/>
      <c r="AL1409" s="2531"/>
      <c r="AM1409" s="2531"/>
      <c r="AN1409" s="2531"/>
      <c r="AO1409" s="2531"/>
      <c r="AP1409" s="2531"/>
      <c r="AQ1409" s="2531"/>
    </row>
    <row r="1410" spans="1:43" s="2532" customFormat="1">
      <c r="A1410" s="2133" t="str">
        <f t="shared" si="332"/>
        <v>B17</v>
      </c>
      <c r="B1410" s="2133">
        <f t="shared" si="332"/>
        <v>0</v>
      </c>
      <c r="C1410" s="2133">
        <f t="shared" si="333"/>
        <v>0</v>
      </c>
      <c r="D1410" s="2133">
        <f>B1410*C1410</f>
        <v>0</v>
      </c>
      <c r="E1410" s="2532">
        <f t="shared" si="331"/>
        <v>0</v>
      </c>
      <c r="V1410" s="2531"/>
      <c r="W1410" s="2531"/>
      <c r="X1410" s="2531"/>
      <c r="Y1410" s="2531"/>
      <c r="Z1410" s="2531"/>
      <c r="AA1410" s="2531"/>
      <c r="AB1410" s="2531"/>
      <c r="AC1410" s="2531"/>
      <c r="AD1410" s="2531"/>
      <c r="AE1410" s="2531"/>
      <c r="AF1410" s="2531"/>
      <c r="AG1410" s="2531"/>
      <c r="AH1410" s="2531"/>
      <c r="AI1410" s="2531"/>
      <c r="AJ1410" s="2531"/>
      <c r="AK1410" s="2531"/>
      <c r="AL1410" s="2531"/>
      <c r="AM1410" s="2531"/>
      <c r="AN1410" s="2531"/>
      <c r="AO1410" s="2531"/>
      <c r="AP1410" s="2531"/>
      <c r="AQ1410" s="2531"/>
    </row>
    <row r="1411" spans="1:43" s="2532" customFormat="1">
      <c r="A1411" s="2133" t="str">
        <f t="shared" si="332"/>
        <v>B18</v>
      </c>
      <c r="B1411" s="2133">
        <f t="shared" si="332"/>
        <v>0</v>
      </c>
      <c r="C1411" s="2133">
        <f t="shared" si="333"/>
        <v>0</v>
      </c>
      <c r="D1411" s="2133">
        <f>B1411*C1411</f>
        <v>0</v>
      </c>
      <c r="E1411" s="2532">
        <f t="shared" si="331"/>
        <v>0</v>
      </c>
      <c r="V1411" s="2531"/>
      <c r="W1411" s="2531"/>
      <c r="X1411" s="2531"/>
      <c r="Y1411" s="2531"/>
      <c r="Z1411" s="2531"/>
      <c r="AA1411" s="2531"/>
      <c r="AB1411" s="2531"/>
      <c r="AC1411" s="2531"/>
      <c r="AD1411" s="2531"/>
      <c r="AE1411" s="2531"/>
      <c r="AF1411" s="2531"/>
      <c r="AG1411" s="2531"/>
      <c r="AH1411" s="2531"/>
      <c r="AI1411" s="2531"/>
      <c r="AJ1411" s="2531"/>
      <c r="AK1411" s="2531"/>
      <c r="AL1411" s="2531"/>
      <c r="AM1411" s="2531"/>
      <c r="AN1411" s="2531"/>
      <c r="AO1411" s="2531"/>
      <c r="AP1411" s="2531"/>
      <c r="AQ1411" s="2531"/>
    </row>
    <row r="1412" spans="1:43" s="2532" customFormat="1">
      <c r="A1412" s="2133" t="str">
        <f t="shared" si="332"/>
        <v>B19</v>
      </c>
      <c r="B1412" s="2133">
        <f t="shared" si="332"/>
        <v>0</v>
      </c>
      <c r="C1412" s="2133">
        <f t="shared" si="333"/>
        <v>0</v>
      </c>
      <c r="D1412" s="2133">
        <f>B1412*C1412</f>
        <v>0</v>
      </c>
      <c r="E1412" s="2532">
        <f t="shared" si="331"/>
        <v>0</v>
      </c>
      <c r="V1412" s="2531"/>
      <c r="W1412" s="2531"/>
      <c r="X1412" s="2531"/>
      <c r="Y1412" s="2531"/>
      <c r="Z1412" s="2531"/>
      <c r="AA1412" s="2531"/>
      <c r="AB1412" s="2531"/>
      <c r="AC1412" s="2531"/>
      <c r="AD1412" s="2531"/>
      <c r="AE1412" s="2531"/>
      <c r="AF1412" s="2531"/>
      <c r="AG1412" s="2531"/>
      <c r="AH1412" s="2531"/>
      <c r="AI1412" s="2531"/>
      <c r="AJ1412" s="2531"/>
      <c r="AK1412" s="2531"/>
      <c r="AL1412" s="2531"/>
      <c r="AM1412" s="2531"/>
      <c r="AN1412" s="2531"/>
      <c r="AO1412" s="2531"/>
      <c r="AP1412" s="2531"/>
      <c r="AQ1412" s="2531"/>
    </row>
    <row r="1413" spans="1:43" s="2532" customFormat="1">
      <c r="A1413" s="2133" t="str">
        <f t="shared" si="332"/>
        <v>B20</v>
      </c>
      <c r="B1413" s="2133">
        <f t="shared" si="332"/>
        <v>0</v>
      </c>
      <c r="C1413" s="2133">
        <f t="shared" si="333"/>
        <v>0</v>
      </c>
      <c r="D1413" s="2133">
        <f>B1413*C1413</f>
        <v>0</v>
      </c>
      <c r="E1413" s="2532">
        <f t="shared" si="331"/>
        <v>0</v>
      </c>
      <c r="V1413" s="2531"/>
      <c r="W1413" s="2531"/>
      <c r="X1413" s="2531"/>
      <c r="Y1413" s="2531"/>
      <c r="Z1413" s="2531"/>
      <c r="AA1413" s="2531"/>
      <c r="AB1413" s="2531"/>
      <c r="AC1413" s="2531"/>
      <c r="AD1413" s="2531"/>
      <c r="AE1413" s="2531"/>
      <c r="AF1413" s="2531"/>
      <c r="AG1413" s="2531"/>
      <c r="AH1413" s="2531"/>
      <c r="AI1413" s="2531"/>
      <c r="AJ1413" s="2531"/>
      <c r="AK1413" s="2531"/>
      <c r="AL1413" s="2531"/>
      <c r="AM1413" s="2531"/>
      <c r="AN1413" s="2531"/>
      <c r="AO1413" s="2531"/>
      <c r="AP1413" s="2531"/>
      <c r="AQ1413" s="2531"/>
    </row>
    <row r="1414" spans="1:43">
      <c r="A1414" s="2133" t="str">
        <f t="shared" si="332"/>
        <v>RB</v>
      </c>
      <c r="B1414" s="2133">
        <f t="shared" si="332"/>
        <v>0</v>
      </c>
      <c r="C1414" s="2133">
        <f t="shared" si="333"/>
        <v>0.03</v>
      </c>
      <c r="D1414" s="2145">
        <f t="shared" si="330"/>
        <v>0</v>
      </c>
      <c r="E1414" s="2086">
        <f>$F$465*B1414</f>
        <v>0</v>
      </c>
      <c r="G1414" s="2099"/>
      <c r="V1414" s="2107"/>
      <c r="W1414" s="2107"/>
      <c r="X1414" s="2107"/>
      <c r="Y1414" s="2107"/>
      <c r="Z1414" s="2107"/>
      <c r="AA1414" s="2107"/>
      <c r="AB1414" s="2107"/>
      <c r="AC1414" s="2107"/>
      <c r="AD1414" s="2107"/>
      <c r="AE1414" s="2107"/>
      <c r="AF1414" s="2107"/>
      <c r="AG1414" s="2107"/>
      <c r="AH1414" s="2107"/>
      <c r="AI1414" s="2107"/>
      <c r="AJ1414" s="2107"/>
      <c r="AK1414" s="2107"/>
      <c r="AL1414" s="2107"/>
      <c r="AM1414" s="2107"/>
      <c r="AN1414" s="2107"/>
      <c r="AO1414" s="2107"/>
      <c r="AP1414" s="2107"/>
      <c r="AQ1414" s="2107"/>
    </row>
    <row r="1415" spans="1:43" ht="30">
      <c r="C1415" s="2138" t="s">
        <v>2078</v>
      </c>
      <c r="D1415" s="2182">
        <f>SUM(D1394:D1414)</f>
        <v>0</v>
      </c>
      <c r="E1415" s="2086">
        <f>SUM(E1394:E1408)</f>
        <v>0</v>
      </c>
      <c r="V1415" s="2107"/>
      <c r="W1415" s="2107"/>
      <c r="X1415" s="2107"/>
      <c r="Y1415" s="2107"/>
      <c r="Z1415" s="2107"/>
      <c r="AA1415" s="2107"/>
      <c r="AB1415" s="2107"/>
      <c r="AC1415" s="2107"/>
      <c r="AD1415" s="2107"/>
      <c r="AE1415" s="2107"/>
      <c r="AF1415" s="2107"/>
      <c r="AG1415" s="2107"/>
      <c r="AH1415" s="2107"/>
      <c r="AI1415" s="2107"/>
      <c r="AJ1415" s="2107"/>
      <c r="AK1415" s="2107"/>
      <c r="AL1415" s="2107"/>
      <c r="AM1415" s="2107"/>
      <c r="AN1415" s="2107"/>
      <c r="AO1415" s="2107"/>
      <c r="AP1415" s="2107"/>
      <c r="AQ1415" s="2107"/>
    </row>
    <row r="1416" spans="1:43">
      <c r="V1416" s="2107"/>
      <c r="W1416" s="2107"/>
      <c r="X1416" s="2107"/>
      <c r="Y1416" s="2107"/>
      <c r="Z1416" s="2107"/>
      <c r="AA1416" s="2107"/>
      <c r="AB1416" s="2107"/>
      <c r="AC1416" s="2107"/>
      <c r="AD1416" s="2107"/>
      <c r="AE1416" s="2107"/>
      <c r="AF1416" s="2107"/>
      <c r="AG1416" s="2107"/>
      <c r="AH1416" s="2107"/>
      <c r="AI1416" s="2107"/>
      <c r="AJ1416" s="2107"/>
      <c r="AK1416" s="2107"/>
      <c r="AL1416" s="2107"/>
      <c r="AM1416" s="2107"/>
      <c r="AN1416" s="2107"/>
      <c r="AO1416" s="2107"/>
      <c r="AP1416" s="2107"/>
      <c r="AQ1416" s="2107"/>
    </row>
    <row r="1417" spans="1:43">
      <c r="A1417" s="2831" t="s">
        <v>2006</v>
      </c>
      <c r="B1417" s="2832"/>
      <c r="C1417" s="2832"/>
      <c r="D1417" s="2832"/>
      <c r="V1417" s="2107"/>
      <c r="W1417" s="2107"/>
      <c r="X1417" s="2107"/>
      <c r="Y1417" s="2107"/>
      <c r="Z1417" s="2107"/>
      <c r="AA1417" s="2107"/>
      <c r="AB1417" s="2107"/>
      <c r="AC1417" s="2107"/>
      <c r="AD1417" s="2107"/>
      <c r="AE1417" s="2107"/>
      <c r="AF1417" s="2107"/>
      <c r="AG1417" s="2107"/>
      <c r="AH1417" s="2107"/>
      <c r="AI1417" s="2107"/>
      <c r="AJ1417" s="2107"/>
      <c r="AK1417" s="2107"/>
      <c r="AL1417" s="2107"/>
      <c r="AM1417" s="2107"/>
      <c r="AN1417" s="2107"/>
      <c r="AO1417" s="2107"/>
      <c r="AP1417" s="2107"/>
      <c r="AQ1417" s="2107"/>
    </row>
    <row r="1418" spans="1:43">
      <c r="A1418" s="2133" t="s">
        <v>1796</v>
      </c>
      <c r="B1418" s="2133" t="s">
        <v>2004</v>
      </c>
      <c r="C1418" s="2133" t="s">
        <v>1791</v>
      </c>
      <c r="D1418" s="2133" t="s">
        <v>2007</v>
      </c>
      <c r="V1418" s="2107"/>
      <c r="W1418" s="2107"/>
      <c r="X1418" s="2107"/>
      <c r="Y1418" s="2107"/>
      <c r="Z1418" s="2107"/>
      <c r="AA1418" s="2107"/>
      <c r="AB1418" s="2107"/>
      <c r="AC1418" s="2107"/>
      <c r="AD1418" s="2107"/>
      <c r="AE1418" s="2107"/>
      <c r="AF1418" s="2107"/>
      <c r="AG1418" s="2107"/>
      <c r="AH1418" s="2107"/>
      <c r="AI1418" s="2107"/>
      <c r="AJ1418" s="2107"/>
      <c r="AK1418" s="2107"/>
      <c r="AL1418" s="2107"/>
      <c r="AM1418" s="2107"/>
      <c r="AN1418" s="2107"/>
      <c r="AO1418" s="2107"/>
      <c r="AP1418" s="2107"/>
      <c r="AQ1418" s="2107"/>
    </row>
    <row r="1419" spans="1:43">
      <c r="A1419" s="2133" t="str">
        <f t="shared" ref="A1419:B1430" si="334">A1394</f>
        <v>B1</v>
      </c>
      <c r="B1419" s="2133">
        <f t="shared" si="334"/>
        <v>0</v>
      </c>
      <c r="C1419" s="2133">
        <f t="shared" ref="C1419:C1433" si="335">C547</f>
        <v>0.8</v>
      </c>
      <c r="D1419" s="2133">
        <f t="shared" ref="D1419:D1439" si="336">B1419*C1419</f>
        <v>0</v>
      </c>
      <c r="V1419" s="2107"/>
      <c r="W1419" s="2107"/>
      <c r="X1419" s="2107"/>
      <c r="Y1419" s="2107"/>
      <c r="Z1419" s="2107"/>
      <c r="AA1419" s="2107"/>
      <c r="AB1419" s="2107"/>
      <c r="AC1419" s="2107"/>
      <c r="AD1419" s="2107"/>
      <c r="AE1419" s="2107"/>
      <c r="AF1419" s="2107"/>
      <c r="AG1419" s="2107"/>
      <c r="AH1419" s="2107"/>
      <c r="AI1419" s="2107"/>
      <c r="AJ1419" s="2107"/>
      <c r="AK1419" s="2107"/>
      <c r="AL1419" s="2107"/>
      <c r="AM1419" s="2107"/>
      <c r="AN1419" s="2107"/>
      <c r="AO1419" s="2107"/>
      <c r="AP1419" s="2107"/>
      <c r="AQ1419" s="2107"/>
    </row>
    <row r="1420" spans="1:43">
      <c r="A1420" s="2133" t="str">
        <f t="shared" si="334"/>
        <v>B2</v>
      </c>
      <c r="B1420" s="2133">
        <f t="shared" si="334"/>
        <v>0</v>
      </c>
      <c r="C1420" s="2133">
        <f t="shared" si="335"/>
        <v>1.1000000000000001</v>
      </c>
      <c r="D1420" s="2133">
        <f t="shared" si="336"/>
        <v>0</v>
      </c>
      <c r="V1420" s="2107"/>
      <c r="W1420" s="2107"/>
      <c r="X1420" s="2107"/>
      <c r="Y1420" s="2107"/>
      <c r="Z1420" s="2107"/>
      <c r="AA1420" s="2107"/>
      <c r="AB1420" s="2107"/>
      <c r="AC1420" s="2107"/>
      <c r="AD1420" s="2107"/>
      <c r="AE1420" s="2107"/>
      <c r="AF1420" s="2107"/>
      <c r="AG1420" s="2107"/>
      <c r="AH1420" s="2107"/>
      <c r="AI1420" s="2107"/>
      <c r="AJ1420" s="2107"/>
      <c r="AK1420" s="2107"/>
      <c r="AL1420" s="2107"/>
      <c r="AM1420" s="2107"/>
      <c r="AN1420" s="2107"/>
      <c r="AO1420" s="2107"/>
      <c r="AP1420" s="2107"/>
      <c r="AQ1420" s="2107"/>
    </row>
    <row r="1421" spans="1:43">
      <c r="A1421" s="2133" t="str">
        <f t="shared" si="334"/>
        <v>B3</v>
      </c>
      <c r="B1421" s="2133">
        <f t="shared" si="334"/>
        <v>0</v>
      </c>
      <c r="C1421" s="2133">
        <f t="shared" si="335"/>
        <v>1.6</v>
      </c>
      <c r="D1421" s="2133">
        <f t="shared" si="336"/>
        <v>0</v>
      </c>
      <c r="V1421" s="2107"/>
      <c r="W1421" s="2107"/>
      <c r="X1421" s="2107"/>
      <c r="Y1421" s="2107"/>
      <c r="Z1421" s="2107"/>
      <c r="AA1421" s="2107"/>
      <c r="AB1421" s="2107"/>
      <c r="AC1421" s="2107"/>
      <c r="AD1421" s="2107"/>
      <c r="AE1421" s="2107"/>
      <c r="AF1421" s="2107"/>
      <c r="AG1421" s="2107"/>
      <c r="AH1421" s="2107"/>
      <c r="AI1421" s="2107"/>
      <c r="AJ1421" s="2107"/>
      <c r="AK1421" s="2107"/>
      <c r="AL1421" s="2107"/>
      <c r="AM1421" s="2107"/>
      <c r="AN1421" s="2107"/>
      <c r="AO1421" s="2107"/>
      <c r="AP1421" s="2107"/>
      <c r="AQ1421" s="2107"/>
    </row>
    <row r="1422" spans="1:43">
      <c r="A1422" s="2133" t="str">
        <f t="shared" si="334"/>
        <v>B4</v>
      </c>
      <c r="B1422" s="2133">
        <f t="shared" si="334"/>
        <v>0</v>
      </c>
      <c r="C1422" s="2133">
        <f t="shared" si="335"/>
        <v>0.6</v>
      </c>
      <c r="D1422" s="2133">
        <f t="shared" si="336"/>
        <v>0</v>
      </c>
      <c r="V1422" s="2107"/>
      <c r="W1422" s="2107"/>
      <c r="X1422" s="2107"/>
      <c r="Y1422" s="2107"/>
      <c r="Z1422" s="2107"/>
      <c r="AA1422" s="2107"/>
      <c r="AB1422" s="2107"/>
      <c r="AC1422" s="2107"/>
      <c r="AD1422" s="2107"/>
      <c r="AE1422" s="2107"/>
      <c r="AF1422" s="2107"/>
      <c r="AG1422" s="2107"/>
      <c r="AH1422" s="2107"/>
      <c r="AI1422" s="2107"/>
      <c r="AJ1422" s="2107"/>
      <c r="AK1422" s="2107"/>
      <c r="AL1422" s="2107"/>
      <c r="AM1422" s="2107"/>
      <c r="AN1422" s="2107"/>
      <c r="AO1422" s="2107"/>
      <c r="AP1422" s="2107"/>
      <c r="AQ1422" s="2107"/>
    </row>
    <row r="1423" spans="1:43">
      <c r="A1423" s="2133" t="str">
        <f t="shared" si="334"/>
        <v>B5</v>
      </c>
      <c r="B1423" s="2133">
        <f t="shared" si="334"/>
        <v>0</v>
      </c>
      <c r="C1423" s="2133">
        <f t="shared" si="335"/>
        <v>0</v>
      </c>
      <c r="D1423" s="2133">
        <f t="shared" si="336"/>
        <v>0</v>
      </c>
      <c r="V1423" s="2107"/>
      <c r="W1423" s="2107"/>
      <c r="X1423" s="2107"/>
      <c r="Y1423" s="2107"/>
      <c r="Z1423" s="2107"/>
      <c r="AA1423" s="2107"/>
      <c r="AB1423" s="2107"/>
      <c r="AC1423" s="2107"/>
      <c r="AD1423" s="2107"/>
      <c r="AE1423" s="2107"/>
      <c r="AF1423" s="2107"/>
      <c r="AG1423" s="2107"/>
      <c r="AH1423" s="2107"/>
      <c r="AI1423" s="2107"/>
      <c r="AJ1423" s="2107"/>
      <c r="AK1423" s="2107"/>
      <c r="AL1423" s="2107"/>
      <c r="AM1423" s="2107"/>
      <c r="AN1423" s="2107"/>
      <c r="AO1423" s="2107"/>
      <c r="AP1423" s="2107"/>
      <c r="AQ1423" s="2107"/>
    </row>
    <row r="1424" spans="1:43">
      <c r="A1424" s="2133" t="str">
        <f t="shared" si="334"/>
        <v>B6</v>
      </c>
      <c r="B1424" s="2133">
        <f t="shared" si="334"/>
        <v>0</v>
      </c>
      <c r="C1424" s="2133">
        <f t="shared" si="335"/>
        <v>0</v>
      </c>
      <c r="D1424" s="2133">
        <f t="shared" si="336"/>
        <v>0</v>
      </c>
      <c r="V1424" s="2107"/>
      <c r="W1424" s="2107"/>
      <c r="X1424" s="2107"/>
      <c r="Y1424" s="2107"/>
      <c r="Z1424" s="2107"/>
      <c r="AA1424" s="2107"/>
      <c r="AB1424" s="2107"/>
      <c r="AC1424" s="2107"/>
      <c r="AD1424" s="2107"/>
      <c r="AE1424" s="2107"/>
      <c r="AF1424" s="2107"/>
      <c r="AG1424" s="2107"/>
      <c r="AH1424" s="2107"/>
      <c r="AI1424" s="2107"/>
      <c r="AJ1424" s="2107"/>
      <c r="AK1424" s="2107"/>
      <c r="AL1424" s="2107"/>
      <c r="AM1424" s="2107"/>
      <c r="AN1424" s="2107"/>
      <c r="AO1424" s="2107"/>
      <c r="AP1424" s="2107"/>
      <c r="AQ1424" s="2107"/>
    </row>
    <row r="1425" spans="1:43">
      <c r="A1425" s="2133" t="str">
        <f t="shared" si="334"/>
        <v>B7</v>
      </c>
      <c r="B1425" s="2133">
        <f t="shared" si="334"/>
        <v>0</v>
      </c>
      <c r="C1425" s="2133">
        <f t="shared" si="335"/>
        <v>0</v>
      </c>
      <c r="D1425" s="2133">
        <f t="shared" si="336"/>
        <v>0</v>
      </c>
      <c r="V1425" s="2107"/>
      <c r="W1425" s="2107"/>
      <c r="X1425" s="2107"/>
      <c r="Y1425" s="2107"/>
      <c r="Z1425" s="2107"/>
      <c r="AA1425" s="2107"/>
      <c r="AB1425" s="2107"/>
      <c r="AC1425" s="2107"/>
      <c r="AD1425" s="2107"/>
      <c r="AE1425" s="2107"/>
      <c r="AF1425" s="2107"/>
      <c r="AG1425" s="2107"/>
      <c r="AH1425" s="2107"/>
      <c r="AI1425" s="2107"/>
      <c r="AJ1425" s="2107"/>
      <c r="AK1425" s="2107"/>
      <c r="AL1425" s="2107"/>
      <c r="AM1425" s="2107"/>
      <c r="AN1425" s="2107"/>
      <c r="AO1425" s="2107"/>
      <c r="AP1425" s="2107"/>
      <c r="AQ1425" s="2107"/>
    </row>
    <row r="1426" spans="1:43">
      <c r="A1426" s="2133" t="str">
        <f t="shared" si="334"/>
        <v>B8</v>
      </c>
      <c r="B1426" s="2133">
        <f t="shared" si="334"/>
        <v>0</v>
      </c>
      <c r="C1426" s="2133">
        <f t="shared" si="335"/>
        <v>0</v>
      </c>
      <c r="D1426" s="2133">
        <f t="shared" si="336"/>
        <v>0</v>
      </c>
      <c r="V1426" s="2107"/>
      <c r="W1426" s="2107"/>
      <c r="X1426" s="2107"/>
      <c r="Y1426" s="2107"/>
      <c r="Z1426" s="2107"/>
      <c r="AA1426" s="2107"/>
      <c r="AB1426" s="2107"/>
      <c r="AC1426" s="2107"/>
      <c r="AD1426" s="2107"/>
      <c r="AE1426" s="2107"/>
      <c r="AF1426" s="2107"/>
      <c r="AG1426" s="2107"/>
      <c r="AH1426" s="2107"/>
      <c r="AI1426" s="2107"/>
      <c r="AJ1426" s="2107"/>
      <c r="AK1426" s="2107"/>
      <c r="AL1426" s="2107"/>
      <c r="AM1426" s="2107"/>
      <c r="AN1426" s="2107"/>
      <c r="AO1426" s="2107"/>
      <c r="AP1426" s="2107"/>
      <c r="AQ1426" s="2107"/>
    </row>
    <row r="1427" spans="1:43">
      <c r="A1427" s="2133" t="str">
        <f t="shared" si="334"/>
        <v>B9</v>
      </c>
      <c r="B1427" s="2133">
        <f t="shared" si="334"/>
        <v>0</v>
      </c>
      <c r="C1427" s="2133">
        <f t="shared" si="335"/>
        <v>0</v>
      </c>
      <c r="D1427" s="2133">
        <f t="shared" si="336"/>
        <v>0</v>
      </c>
      <c r="V1427" s="2107"/>
      <c r="W1427" s="2107"/>
      <c r="X1427" s="2107"/>
      <c r="Y1427" s="2107"/>
      <c r="Z1427" s="2107"/>
      <c r="AA1427" s="2107"/>
      <c r="AB1427" s="2107"/>
      <c r="AC1427" s="2107"/>
      <c r="AD1427" s="2107"/>
      <c r="AE1427" s="2107"/>
      <c r="AF1427" s="2107"/>
      <c r="AG1427" s="2107"/>
      <c r="AH1427" s="2107"/>
      <c r="AI1427" s="2107"/>
      <c r="AJ1427" s="2107"/>
      <c r="AK1427" s="2107"/>
      <c r="AL1427" s="2107"/>
      <c r="AM1427" s="2107"/>
      <c r="AN1427" s="2107"/>
      <c r="AO1427" s="2107"/>
      <c r="AP1427" s="2107"/>
      <c r="AQ1427" s="2107"/>
    </row>
    <row r="1428" spans="1:43">
      <c r="A1428" s="2133" t="str">
        <f t="shared" si="334"/>
        <v>B10</v>
      </c>
      <c r="B1428" s="2133">
        <f t="shared" si="334"/>
        <v>0</v>
      </c>
      <c r="C1428" s="2133">
        <f t="shared" si="335"/>
        <v>0</v>
      </c>
      <c r="D1428" s="2133">
        <f t="shared" si="336"/>
        <v>0</v>
      </c>
      <c r="V1428" s="2107"/>
      <c r="W1428" s="2107"/>
      <c r="X1428" s="2107"/>
      <c r="Y1428" s="2107"/>
      <c r="Z1428" s="2107"/>
      <c r="AA1428" s="2107"/>
      <c r="AB1428" s="2107"/>
      <c r="AC1428" s="2107"/>
      <c r="AD1428" s="2107"/>
      <c r="AE1428" s="2107"/>
      <c r="AF1428" s="2107"/>
      <c r="AG1428" s="2107"/>
      <c r="AH1428" s="2107"/>
      <c r="AI1428" s="2107"/>
      <c r="AJ1428" s="2107"/>
      <c r="AK1428" s="2107"/>
      <c r="AL1428" s="2107"/>
      <c r="AM1428" s="2107"/>
      <c r="AN1428" s="2107"/>
      <c r="AO1428" s="2107"/>
      <c r="AP1428" s="2107"/>
      <c r="AQ1428" s="2107"/>
    </row>
    <row r="1429" spans="1:43">
      <c r="A1429" s="2133" t="str">
        <f t="shared" si="334"/>
        <v>B11</v>
      </c>
      <c r="B1429" s="2133">
        <f t="shared" si="334"/>
        <v>0</v>
      </c>
      <c r="C1429" s="2133">
        <f t="shared" si="335"/>
        <v>0</v>
      </c>
      <c r="D1429" s="2133">
        <f t="shared" si="336"/>
        <v>0</v>
      </c>
      <c r="V1429" s="2107"/>
      <c r="W1429" s="2107"/>
      <c r="X1429" s="2107"/>
      <c r="Y1429" s="2107"/>
      <c r="Z1429" s="2107"/>
      <c r="AA1429" s="2107"/>
      <c r="AB1429" s="2107"/>
      <c r="AC1429" s="2107"/>
      <c r="AD1429" s="2107"/>
      <c r="AE1429" s="2107"/>
      <c r="AF1429" s="2107"/>
      <c r="AG1429" s="2107"/>
      <c r="AH1429" s="2107"/>
      <c r="AI1429" s="2107"/>
      <c r="AJ1429" s="2107"/>
      <c r="AK1429" s="2107"/>
      <c r="AL1429" s="2107"/>
      <c r="AM1429" s="2107"/>
      <c r="AN1429" s="2107"/>
      <c r="AO1429" s="2107"/>
      <c r="AP1429" s="2107"/>
      <c r="AQ1429" s="2107"/>
    </row>
    <row r="1430" spans="1:43">
      <c r="A1430" s="2133" t="str">
        <f t="shared" si="334"/>
        <v>B12</v>
      </c>
      <c r="B1430" s="2133">
        <f t="shared" si="334"/>
        <v>0</v>
      </c>
      <c r="C1430" s="2133">
        <f t="shared" si="335"/>
        <v>0</v>
      </c>
      <c r="D1430" s="2133">
        <f t="shared" si="336"/>
        <v>0</v>
      </c>
      <c r="V1430" s="2107"/>
      <c r="W1430" s="2107"/>
      <c r="X1430" s="2107"/>
      <c r="Y1430" s="2107"/>
      <c r="Z1430" s="2107"/>
      <c r="AA1430" s="2107"/>
      <c r="AB1430" s="2107"/>
      <c r="AC1430" s="2107"/>
      <c r="AD1430" s="2107"/>
      <c r="AE1430" s="2107"/>
      <c r="AF1430" s="2107"/>
      <c r="AG1430" s="2107"/>
      <c r="AH1430" s="2107"/>
      <c r="AI1430" s="2107"/>
      <c r="AJ1430" s="2107"/>
      <c r="AK1430" s="2107"/>
      <c r="AL1430" s="2107"/>
      <c r="AM1430" s="2107"/>
      <c r="AN1430" s="2107"/>
      <c r="AO1430" s="2107"/>
      <c r="AP1430" s="2107"/>
      <c r="AQ1430" s="2107"/>
    </row>
    <row r="1431" spans="1:43">
      <c r="A1431" s="2133" t="str">
        <f t="shared" ref="A1431:B1439" si="337">A1406</f>
        <v>B13</v>
      </c>
      <c r="B1431" s="2133">
        <f t="shared" si="337"/>
        <v>0</v>
      </c>
      <c r="C1431" s="2133">
        <f t="shared" si="335"/>
        <v>0</v>
      </c>
      <c r="D1431" s="2133">
        <f t="shared" si="336"/>
        <v>0</v>
      </c>
      <c r="V1431" s="2107"/>
      <c r="W1431" s="2107"/>
      <c r="X1431" s="2107"/>
      <c r="Y1431" s="2107"/>
      <c r="Z1431" s="2107"/>
      <c r="AA1431" s="2107"/>
      <c r="AB1431" s="2107"/>
      <c r="AC1431" s="2107"/>
      <c r="AD1431" s="2107"/>
      <c r="AE1431" s="2107"/>
      <c r="AF1431" s="2107"/>
      <c r="AG1431" s="2107"/>
      <c r="AH1431" s="2107"/>
      <c r="AI1431" s="2107"/>
      <c r="AJ1431" s="2107"/>
      <c r="AK1431" s="2107"/>
      <c r="AL1431" s="2107"/>
      <c r="AM1431" s="2107"/>
      <c r="AN1431" s="2107"/>
      <c r="AO1431" s="2107"/>
      <c r="AP1431" s="2107"/>
      <c r="AQ1431" s="2107"/>
    </row>
    <row r="1432" spans="1:43">
      <c r="A1432" s="2133" t="str">
        <f t="shared" si="337"/>
        <v>B14</v>
      </c>
      <c r="B1432" s="2133">
        <f t="shared" si="337"/>
        <v>0</v>
      </c>
      <c r="C1432" s="2133">
        <f t="shared" si="335"/>
        <v>0</v>
      </c>
      <c r="D1432" s="2133">
        <f t="shared" si="336"/>
        <v>0</v>
      </c>
      <c r="V1432" s="2107"/>
      <c r="W1432" s="2107"/>
      <c r="X1432" s="2107"/>
      <c r="Y1432" s="2107"/>
      <c r="Z1432" s="2107"/>
      <c r="AA1432" s="2107"/>
      <c r="AB1432" s="2107"/>
      <c r="AC1432" s="2107"/>
      <c r="AD1432" s="2107"/>
      <c r="AE1432" s="2107"/>
      <c r="AF1432" s="2107"/>
      <c r="AG1432" s="2107"/>
      <c r="AH1432" s="2107"/>
      <c r="AI1432" s="2107"/>
      <c r="AJ1432" s="2107"/>
      <c r="AK1432" s="2107"/>
      <c r="AL1432" s="2107"/>
      <c r="AM1432" s="2107"/>
      <c r="AN1432" s="2107"/>
      <c r="AO1432" s="2107"/>
      <c r="AP1432" s="2107"/>
      <c r="AQ1432" s="2107"/>
    </row>
    <row r="1433" spans="1:43">
      <c r="A1433" s="2133" t="str">
        <f t="shared" si="337"/>
        <v>B15</v>
      </c>
      <c r="B1433" s="2133">
        <f t="shared" si="337"/>
        <v>0</v>
      </c>
      <c r="C1433" s="2133">
        <f t="shared" si="335"/>
        <v>0</v>
      </c>
      <c r="D1433" s="2133">
        <f t="shared" si="336"/>
        <v>0</v>
      </c>
      <c r="V1433" s="2107"/>
      <c r="W1433" s="2107"/>
      <c r="X1433" s="2107"/>
      <c r="Y1433" s="2107"/>
      <c r="Z1433" s="2107"/>
      <c r="AA1433" s="2107"/>
      <c r="AB1433" s="2107"/>
      <c r="AC1433" s="2107"/>
      <c r="AD1433" s="2107"/>
      <c r="AE1433" s="2107"/>
      <c r="AF1433" s="2107"/>
      <c r="AG1433" s="2107"/>
      <c r="AH1433" s="2107"/>
      <c r="AI1433" s="2107"/>
      <c r="AJ1433" s="2107"/>
      <c r="AK1433" s="2107"/>
      <c r="AL1433" s="2107"/>
      <c r="AM1433" s="2107"/>
      <c r="AN1433" s="2107"/>
      <c r="AO1433" s="2107"/>
      <c r="AP1433" s="2107"/>
      <c r="AQ1433" s="2107"/>
    </row>
    <row r="1434" spans="1:43" s="2532" customFormat="1">
      <c r="A1434" s="2133" t="str">
        <f t="shared" si="337"/>
        <v>B16</v>
      </c>
      <c r="B1434" s="2133">
        <f t="shared" si="337"/>
        <v>0</v>
      </c>
      <c r="C1434" s="2133">
        <f t="shared" ref="C1434:C1439" si="338">C562</f>
        <v>0</v>
      </c>
      <c r="D1434" s="2133">
        <f>B1434*C1434</f>
        <v>0</v>
      </c>
      <c r="V1434" s="2531"/>
      <c r="W1434" s="2531"/>
      <c r="X1434" s="2531"/>
      <c r="Y1434" s="2531"/>
      <c r="Z1434" s="2531"/>
      <c r="AA1434" s="2531"/>
      <c r="AB1434" s="2531"/>
      <c r="AC1434" s="2531"/>
      <c r="AD1434" s="2531"/>
      <c r="AE1434" s="2531"/>
      <c r="AF1434" s="2531"/>
      <c r="AG1434" s="2531"/>
      <c r="AH1434" s="2531"/>
      <c r="AI1434" s="2531"/>
      <c r="AJ1434" s="2531"/>
      <c r="AK1434" s="2531"/>
      <c r="AL1434" s="2531"/>
      <c r="AM1434" s="2531"/>
      <c r="AN1434" s="2531"/>
      <c r="AO1434" s="2531"/>
      <c r="AP1434" s="2531"/>
      <c r="AQ1434" s="2531"/>
    </row>
    <row r="1435" spans="1:43" s="2532" customFormat="1">
      <c r="A1435" s="2133" t="str">
        <f t="shared" si="337"/>
        <v>B17</v>
      </c>
      <c r="B1435" s="2133">
        <f t="shared" si="337"/>
        <v>0</v>
      </c>
      <c r="C1435" s="2133">
        <f t="shared" si="338"/>
        <v>0</v>
      </c>
      <c r="D1435" s="2133">
        <f>B1435*C1435</f>
        <v>0</v>
      </c>
      <c r="V1435" s="2531"/>
      <c r="W1435" s="2531"/>
      <c r="X1435" s="2531"/>
      <c r="Y1435" s="2531"/>
      <c r="Z1435" s="2531"/>
      <c r="AA1435" s="2531"/>
      <c r="AB1435" s="2531"/>
      <c r="AC1435" s="2531"/>
      <c r="AD1435" s="2531"/>
      <c r="AE1435" s="2531"/>
      <c r="AF1435" s="2531"/>
      <c r="AG1435" s="2531"/>
      <c r="AH1435" s="2531"/>
      <c r="AI1435" s="2531"/>
      <c r="AJ1435" s="2531"/>
      <c r="AK1435" s="2531"/>
      <c r="AL1435" s="2531"/>
      <c r="AM1435" s="2531"/>
      <c r="AN1435" s="2531"/>
      <c r="AO1435" s="2531"/>
      <c r="AP1435" s="2531"/>
      <c r="AQ1435" s="2531"/>
    </row>
    <row r="1436" spans="1:43" s="2532" customFormat="1">
      <c r="A1436" s="2133" t="str">
        <f t="shared" si="337"/>
        <v>B18</v>
      </c>
      <c r="B1436" s="2133">
        <f t="shared" si="337"/>
        <v>0</v>
      </c>
      <c r="C1436" s="2133">
        <f t="shared" si="338"/>
        <v>0</v>
      </c>
      <c r="D1436" s="2133">
        <f>B1436*C1436</f>
        <v>0</v>
      </c>
      <c r="V1436" s="2531"/>
      <c r="W1436" s="2531"/>
      <c r="X1436" s="2531"/>
      <c r="Y1436" s="2531"/>
      <c r="Z1436" s="2531"/>
      <c r="AA1436" s="2531"/>
      <c r="AB1436" s="2531"/>
      <c r="AC1436" s="2531"/>
      <c r="AD1436" s="2531"/>
      <c r="AE1436" s="2531"/>
      <c r="AF1436" s="2531"/>
      <c r="AG1436" s="2531"/>
      <c r="AH1436" s="2531"/>
      <c r="AI1436" s="2531"/>
      <c r="AJ1436" s="2531"/>
      <c r="AK1436" s="2531"/>
      <c r="AL1436" s="2531"/>
      <c r="AM1436" s="2531"/>
      <c r="AN1436" s="2531"/>
      <c r="AO1436" s="2531"/>
      <c r="AP1436" s="2531"/>
      <c r="AQ1436" s="2531"/>
    </row>
    <row r="1437" spans="1:43" s="2532" customFormat="1">
      <c r="A1437" s="2133" t="str">
        <f t="shared" si="337"/>
        <v>B19</v>
      </c>
      <c r="B1437" s="2133">
        <f t="shared" si="337"/>
        <v>0</v>
      </c>
      <c r="C1437" s="2133">
        <f t="shared" si="338"/>
        <v>0</v>
      </c>
      <c r="D1437" s="2133">
        <f>B1437*C1437</f>
        <v>0</v>
      </c>
      <c r="V1437" s="2531"/>
      <c r="W1437" s="2531"/>
      <c r="X1437" s="2531"/>
      <c r="Y1437" s="2531"/>
      <c r="Z1437" s="2531"/>
      <c r="AA1437" s="2531"/>
      <c r="AB1437" s="2531"/>
      <c r="AC1437" s="2531"/>
      <c r="AD1437" s="2531"/>
      <c r="AE1437" s="2531"/>
      <c r="AF1437" s="2531"/>
      <c r="AG1437" s="2531"/>
      <c r="AH1437" s="2531"/>
      <c r="AI1437" s="2531"/>
      <c r="AJ1437" s="2531"/>
      <c r="AK1437" s="2531"/>
      <c r="AL1437" s="2531"/>
      <c r="AM1437" s="2531"/>
      <c r="AN1437" s="2531"/>
      <c r="AO1437" s="2531"/>
      <c r="AP1437" s="2531"/>
      <c r="AQ1437" s="2531"/>
    </row>
    <row r="1438" spans="1:43" s="2532" customFormat="1">
      <c r="A1438" s="2133" t="str">
        <f t="shared" si="337"/>
        <v>B20</v>
      </c>
      <c r="B1438" s="2133">
        <f t="shared" si="337"/>
        <v>0</v>
      </c>
      <c r="C1438" s="2133">
        <f t="shared" si="338"/>
        <v>0</v>
      </c>
      <c r="D1438" s="2133">
        <f>B1438*C1438</f>
        <v>0</v>
      </c>
      <c r="V1438" s="2531"/>
      <c r="W1438" s="2531"/>
      <c r="X1438" s="2531"/>
      <c r="Y1438" s="2531"/>
      <c r="Z1438" s="2531"/>
      <c r="AA1438" s="2531"/>
      <c r="AB1438" s="2531"/>
      <c r="AC1438" s="2531"/>
      <c r="AD1438" s="2531"/>
      <c r="AE1438" s="2531"/>
      <c r="AF1438" s="2531"/>
      <c r="AG1438" s="2531"/>
      <c r="AH1438" s="2531"/>
      <c r="AI1438" s="2531"/>
      <c r="AJ1438" s="2531"/>
      <c r="AK1438" s="2531"/>
      <c r="AL1438" s="2531"/>
      <c r="AM1438" s="2531"/>
      <c r="AN1438" s="2531"/>
      <c r="AO1438" s="2531"/>
      <c r="AP1438" s="2531"/>
      <c r="AQ1438" s="2531"/>
    </row>
    <row r="1439" spans="1:43">
      <c r="A1439" s="2133" t="str">
        <f t="shared" si="337"/>
        <v>RB</v>
      </c>
      <c r="B1439" s="2133">
        <f t="shared" si="337"/>
        <v>0</v>
      </c>
      <c r="C1439" s="2133">
        <f t="shared" si="338"/>
        <v>0.4</v>
      </c>
      <c r="D1439" s="2133">
        <f t="shared" si="336"/>
        <v>0</v>
      </c>
      <c r="V1439" s="2107"/>
      <c r="W1439" s="2107"/>
      <c r="X1439" s="2107"/>
      <c r="Y1439" s="2107"/>
      <c r="Z1439" s="2107"/>
      <c r="AA1439" s="2107"/>
      <c r="AB1439" s="2107"/>
      <c r="AC1439" s="2107"/>
      <c r="AD1439" s="2107"/>
      <c r="AE1439" s="2107"/>
      <c r="AF1439" s="2107"/>
      <c r="AG1439" s="2107"/>
      <c r="AH1439" s="2107"/>
      <c r="AI1439" s="2107"/>
      <c r="AJ1439" s="2107"/>
      <c r="AK1439" s="2107"/>
      <c r="AL1439" s="2107"/>
      <c r="AM1439" s="2107"/>
      <c r="AN1439" s="2107"/>
      <c r="AO1439" s="2107"/>
      <c r="AP1439" s="2107"/>
      <c r="AQ1439" s="2107"/>
    </row>
    <row r="1440" spans="1:43" ht="30">
      <c r="C1440" s="2138" t="s">
        <v>2076</v>
      </c>
      <c r="D1440" s="2182">
        <f>SUM(D1419:D1439)</f>
        <v>0</v>
      </c>
      <c r="V1440" s="2107"/>
      <c r="W1440" s="2107"/>
      <c r="X1440" s="2107"/>
      <c r="Y1440" s="2107"/>
      <c r="Z1440" s="2107"/>
      <c r="AA1440" s="2107"/>
      <c r="AB1440" s="2107"/>
      <c r="AC1440" s="2107"/>
      <c r="AD1440" s="2107"/>
      <c r="AE1440" s="2107"/>
      <c r="AF1440" s="2107"/>
      <c r="AG1440" s="2107"/>
      <c r="AH1440" s="2107"/>
      <c r="AI1440" s="2107"/>
      <c r="AJ1440" s="2107"/>
      <c r="AK1440" s="2107"/>
      <c r="AL1440" s="2107"/>
      <c r="AM1440" s="2107"/>
      <c r="AN1440" s="2107"/>
      <c r="AO1440" s="2107"/>
      <c r="AP1440" s="2107"/>
      <c r="AQ1440" s="2107"/>
    </row>
    <row r="1442" spans="1:12" ht="15" customHeight="1">
      <c r="A1442" s="2834" t="s">
        <v>2016</v>
      </c>
      <c r="B1442" s="2835"/>
      <c r="C1442" s="2835"/>
      <c r="D1442" s="2835"/>
      <c r="E1442" s="2812"/>
    </row>
    <row r="1443" spans="1:12" ht="15" customHeight="1" thickBot="1">
      <c r="A1443" s="2176" t="s">
        <v>1987</v>
      </c>
      <c r="B1443" s="2204" t="s">
        <v>1205</v>
      </c>
      <c r="C1443" s="2189" t="s">
        <v>1111</v>
      </c>
      <c r="D1443" s="2176" t="s">
        <v>1243</v>
      </c>
      <c r="E1443" s="2205" t="s">
        <v>1568</v>
      </c>
    </row>
    <row r="1444" spans="1:12" ht="15" customHeight="1">
      <c r="A1444" s="2119" t="s">
        <v>1709</v>
      </c>
      <c r="B1444" s="2122">
        <v>0</v>
      </c>
      <c r="C1444" s="2136"/>
      <c r="D1444" s="2121">
        <v>0.15</v>
      </c>
      <c r="E1444" s="2087">
        <f>B1444*C1444*D1444</f>
        <v>0</v>
      </c>
    </row>
    <row r="1445" spans="1:12" ht="15" customHeight="1">
      <c r="A1445" s="2134"/>
      <c r="B1445" s="2125">
        <v>0</v>
      </c>
      <c r="C1445" s="2144"/>
      <c r="D1445" s="2135">
        <v>0.15</v>
      </c>
      <c r="E1445" s="2133">
        <f>B1445*C1445*D1445</f>
        <v>0</v>
      </c>
    </row>
    <row r="1446" spans="1:12" ht="15" customHeight="1">
      <c r="A1446" s="2134" t="s">
        <v>1710</v>
      </c>
      <c r="B1446" s="2125">
        <v>0</v>
      </c>
      <c r="C1446" s="2144">
        <v>0</v>
      </c>
      <c r="D1446" s="2135">
        <v>0.15</v>
      </c>
      <c r="E1446" s="2133">
        <f>B1446*C1446*D1446</f>
        <v>0</v>
      </c>
    </row>
    <row r="1447" spans="1:12" ht="15" thickBot="1">
      <c r="A1447" s="2134"/>
      <c r="B1447" s="2127">
        <v>0</v>
      </c>
      <c r="C1447" s="2137">
        <v>0</v>
      </c>
      <c r="D1447" s="2135">
        <v>0.15</v>
      </c>
      <c r="E1447" s="2133">
        <f>B1447*C1447*D1447</f>
        <v>0</v>
      </c>
    </row>
    <row r="1448" spans="1:12" ht="30">
      <c r="D1448" s="2138" t="s">
        <v>2078</v>
      </c>
      <c r="E1448" s="2086">
        <f>SUM(E1444:E1447)</f>
        <v>0</v>
      </c>
    </row>
    <row r="1450" spans="1:12">
      <c r="A1450" s="2831" t="s">
        <v>2018</v>
      </c>
      <c r="B1450" s="2832"/>
      <c r="C1450" s="2832"/>
      <c r="D1450" s="2832"/>
      <c r="E1450" s="2832"/>
      <c r="F1450" s="2832"/>
      <c r="G1450" s="2836"/>
    </row>
    <row r="1451" spans="1:12">
      <c r="A1451" s="2087" t="s">
        <v>1996</v>
      </c>
      <c r="B1451" s="2087" t="s">
        <v>1205</v>
      </c>
      <c r="C1451" s="2087" t="s">
        <v>1607</v>
      </c>
      <c r="D1451" s="2087" t="s">
        <v>1168</v>
      </c>
      <c r="E1451" s="2087" t="s">
        <v>1205</v>
      </c>
      <c r="F1451" s="2087" t="s">
        <v>1243</v>
      </c>
      <c r="G1451" s="2087"/>
    </row>
    <row r="1452" spans="1:12">
      <c r="A1452" s="2824" t="s">
        <v>2079</v>
      </c>
      <c r="B1452" s="2133">
        <f>B1444</f>
        <v>0</v>
      </c>
      <c r="C1452" s="2133">
        <f>B1452/0.2</f>
        <v>0</v>
      </c>
      <c r="D1452" s="2133">
        <f>ROUNDUP(C1452,0)</f>
        <v>0</v>
      </c>
      <c r="E1452" s="2133">
        <f>(2*(B1454-0.05))+0.2</f>
        <v>0.1</v>
      </c>
      <c r="F1452" s="2133">
        <f>D1452*E1452</f>
        <v>0</v>
      </c>
      <c r="G1452" s="2133">
        <f>F1452*0.89</f>
        <v>0</v>
      </c>
      <c r="I1452" s="2089"/>
      <c r="J1452" s="2089"/>
      <c r="K1452" s="2089"/>
      <c r="L1452" s="2089"/>
    </row>
    <row r="1453" spans="1:12">
      <c r="A1453" s="2829"/>
      <c r="B1453" s="2133"/>
      <c r="C1453" s="2133"/>
      <c r="D1453" s="2133"/>
      <c r="E1453" s="2133"/>
      <c r="F1453" s="2133"/>
      <c r="G1453" s="2133"/>
      <c r="I1453" s="2089"/>
      <c r="J1453" s="2089"/>
      <c r="K1453" s="2089"/>
      <c r="L1453" s="2089"/>
    </row>
    <row r="1454" spans="1:12">
      <c r="A1454" s="2825"/>
      <c r="B1454" s="2133">
        <v>0</v>
      </c>
      <c r="C1454" s="2133">
        <f>B1454/0.2</f>
        <v>0</v>
      </c>
      <c r="D1454" s="2133">
        <f>ROUNDUP(C1454,0)</f>
        <v>0</v>
      </c>
      <c r="E1454" s="2133">
        <f>(2*(B1452-0.05))+0.2</f>
        <v>0.1</v>
      </c>
      <c r="F1454" s="2133">
        <f>D1454*E1454</f>
        <v>0</v>
      </c>
      <c r="G1454" s="2133">
        <f>F1454*0.4</f>
        <v>0</v>
      </c>
      <c r="L1454" s="2089"/>
    </row>
    <row r="1456" spans="1:12">
      <c r="A1456" s="2831" t="s">
        <v>2017</v>
      </c>
      <c r="B1456" s="2832"/>
      <c r="C1456" s="2832"/>
      <c r="D1456" s="2832"/>
      <c r="E1456" s="2832"/>
      <c r="F1456" s="2832"/>
      <c r="G1456" s="2836"/>
    </row>
    <row r="1457" spans="1:7">
      <c r="A1457" s="2824" t="s">
        <v>2079</v>
      </c>
      <c r="B1457" s="2087">
        <f>B1445</f>
        <v>0</v>
      </c>
      <c r="C1457" s="2087">
        <f>B1457/0.2</f>
        <v>0</v>
      </c>
      <c r="D1457" s="2087">
        <f>ROUNDUP(C1457,0)</f>
        <v>0</v>
      </c>
      <c r="E1457" s="2087">
        <f>(2*(B1458-0.05))+0.2</f>
        <v>0.1</v>
      </c>
      <c r="F1457" s="2087">
        <f>D1457*E1457</f>
        <v>0</v>
      </c>
      <c r="G1457" s="2087">
        <f>F1457*0.89</f>
        <v>0</v>
      </c>
    </row>
    <row r="1458" spans="1:7">
      <c r="A1458" s="2825"/>
      <c r="B1458" s="2133"/>
      <c r="C1458" s="2133"/>
      <c r="D1458" s="2133">
        <f>ROUNDUP(C1458,0)</f>
        <v>0</v>
      </c>
      <c r="E1458" s="2133">
        <f>(2*(B1457-0.05))+0.2</f>
        <v>0.1</v>
      </c>
      <c r="F1458" s="2133">
        <f>D1458*E1458</f>
        <v>0</v>
      </c>
      <c r="G1458" s="2133">
        <f>F1458*0.4</f>
        <v>0</v>
      </c>
    </row>
    <row r="1460" spans="1:7">
      <c r="A1460" s="2826" t="s">
        <v>2019</v>
      </c>
      <c r="B1460" s="2827"/>
      <c r="C1460" s="2827"/>
      <c r="D1460" s="2827"/>
      <c r="E1460" s="2827"/>
      <c r="F1460" s="2827"/>
      <c r="G1460" s="2828"/>
    </row>
    <row r="1461" spans="1:7">
      <c r="A1461" s="2087" t="s">
        <v>1996</v>
      </c>
      <c r="B1461" s="2087" t="s">
        <v>1205</v>
      </c>
      <c r="C1461" s="2087" t="s">
        <v>1607</v>
      </c>
      <c r="D1461" s="2087" t="s">
        <v>1168</v>
      </c>
      <c r="E1461" s="2087" t="s">
        <v>1205</v>
      </c>
      <c r="F1461" s="2087" t="s">
        <v>1243</v>
      </c>
      <c r="G1461" s="2087"/>
    </row>
    <row r="1462" spans="1:7">
      <c r="A1462" s="2824" t="s">
        <v>2080</v>
      </c>
      <c r="B1462" s="2133">
        <f>B1446</f>
        <v>0</v>
      </c>
      <c r="C1462" s="2133">
        <f>B1462/0.2</f>
        <v>0</v>
      </c>
      <c r="D1462" s="2133">
        <f>ROUNDUP(C1462,0)</f>
        <v>0</v>
      </c>
      <c r="E1462" s="2133">
        <f>(2*(B1464-0.05))+0.2</f>
        <v>0.1</v>
      </c>
      <c r="F1462" s="2133">
        <f>D1462*E1462</f>
        <v>0</v>
      </c>
      <c r="G1462" s="2133">
        <f>F1462*0.89</f>
        <v>0</v>
      </c>
    </row>
    <row r="1463" spans="1:7">
      <c r="A1463" s="2829"/>
      <c r="B1463" s="2133"/>
      <c r="C1463" s="2133"/>
      <c r="D1463" s="2133"/>
      <c r="E1463" s="2133"/>
      <c r="F1463" s="2133"/>
      <c r="G1463" s="2133"/>
    </row>
    <row r="1464" spans="1:7">
      <c r="A1464" s="2825"/>
      <c r="B1464" s="2133">
        <v>0</v>
      </c>
      <c r="C1464" s="2133">
        <f>B1464/0.2</f>
        <v>0</v>
      </c>
      <c r="D1464" s="2133">
        <f>ROUNDUP(C1464,0)</f>
        <v>0</v>
      </c>
      <c r="E1464" s="2133">
        <f>(2*(B1462-0.05))+0.2</f>
        <v>0.1</v>
      </c>
      <c r="F1464" s="2133">
        <f>D1464*E1464</f>
        <v>0</v>
      </c>
      <c r="G1464" s="2133">
        <f>F1464*0.4</f>
        <v>0</v>
      </c>
    </row>
    <row r="1466" spans="1:7">
      <c r="A1466" s="2826" t="s">
        <v>2017</v>
      </c>
      <c r="B1466" s="2827"/>
      <c r="C1466" s="2827"/>
      <c r="D1466" s="2827"/>
      <c r="E1466" s="2827"/>
      <c r="F1466" s="2827"/>
      <c r="G1466" s="2828"/>
    </row>
    <row r="1467" spans="1:7">
      <c r="A1467" s="2830" t="s">
        <v>2080</v>
      </c>
      <c r="B1467" s="2087">
        <f>B1447</f>
        <v>0</v>
      </c>
      <c r="C1467" s="2087">
        <f>B1467/0.2</f>
        <v>0</v>
      </c>
      <c r="D1467" s="2087">
        <f>ROUNDUP(C1467,0)</f>
        <v>0</v>
      </c>
      <c r="E1467" s="2087">
        <f>(2*(B1468-0.05))+0.2</f>
        <v>0.1</v>
      </c>
      <c r="F1467" s="2087">
        <f>D1467*E1467</f>
        <v>0</v>
      </c>
      <c r="G1467" s="2087">
        <f>F1467*0.89</f>
        <v>0</v>
      </c>
    </row>
    <row r="1468" spans="1:7">
      <c r="A1468" s="2825"/>
      <c r="B1468" s="2133">
        <v>0</v>
      </c>
      <c r="C1468" s="2133">
        <f>B1468/0.2</f>
        <v>0</v>
      </c>
      <c r="D1468" s="2133">
        <f>ROUNDUP(C1468,0)</f>
        <v>0</v>
      </c>
      <c r="E1468" s="2133">
        <f>(2*(B1467-0.05))+0.2</f>
        <v>0.1</v>
      </c>
      <c r="F1468" s="2133">
        <f>D1468*E1468</f>
        <v>0</v>
      </c>
      <c r="G1468" s="2133">
        <f>F1468*0.4</f>
        <v>0</v>
      </c>
    </row>
    <row r="1469" spans="1:7" ht="15">
      <c r="E1469" s="2804" t="s">
        <v>2097</v>
      </c>
      <c r="F1469" s="2805"/>
      <c r="G1469" s="2086">
        <f>G1452+G1457+G1462+G1467</f>
        <v>0</v>
      </c>
    </row>
    <row r="1470" spans="1:7" ht="15">
      <c r="E1470" s="2804" t="s">
        <v>2096</v>
      </c>
      <c r="F1470" s="2805"/>
      <c r="G1470" s="2086">
        <f>G1454+G1458+G1464+G1468</f>
        <v>0</v>
      </c>
    </row>
    <row r="1472" spans="1:7">
      <c r="A1472" s="2176" t="s">
        <v>2047</v>
      </c>
      <c r="B1472" s="2176" t="s">
        <v>2009</v>
      </c>
      <c r="C1472" s="2176" t="s">
        <v>2045</v>
      </c>
      <c r="D1472" s="2176" t="s">
        <v>1568</v>
      </c>
    </row>
    <row r="1473" spans="1:6">
      <c r="A1473" s="2830" t="s">
        <v>2079</v>
      </c>
      <c r="B1473" s="2087">
        <f t="shared" ref="B1473:C1476" si="339">B1444</f>
        <v>0</v>
      </c>
      <c r="C1473" s="2087">
        <f t="shared" si="339"/>
        <v>0</v>
      </c>
      <c r="D1473" s="2087">
        <f>B1473*C1473</f>
        <v>0</v>
      </c>
    </row>
    <row r="1474" spans="1:6">
      <c r="A1474" s="2825"/>
      <c r="B1474" s="2133">
        <f t="shared" si="339"/>
        <v>0</v>
      </c>
      <c r="C1474" s="2133">
        <f t="shared" si="339"/>
        <v>0</v>
      </c>
      <c r="D1474" s="2133">
        <f>B1474*C1474</f>
        <v>0</v>
      </c>
    </row>
    <row r="1475" spans="1:6">
      <c r="A1475" s="2824" t="s">
        <v>2081</v>
      </c>
      <c r="B1475" s="2133">
        <f t="shared" si="339"/>
        <v>0</v>
      </c>
      <c r="C1475" s="2133">
        <f t="shared" si="339"/>
        <v>0</v>
      </c>
      <c r="D1475" s="2133">
        <f>B1475*C1475</f>
        <v>0</v>
      </c>
    </row>
    <row r="1476" spans="1:6">
      <c r="A1476" s="2825"/>
      <c r="B1476" s="2133">
        <f t="shared" si="339"/>
        <v>0</v>
      </c>
      <c r="C1476" s="2133">
        <f t="shared" si="339"/>
        <v>0</v>
      </c>
      <c r="D1476" s="2133">
        <f>B1476*C1476</f>
        <v>0</v>
      </c>
    </row>
    <row r="1477" spans="1:6" ht="30">
      <c r="C1477" s="2156" t="s">
        <v>2076</v>
      </c>
      <c r="D1477" s="2133">
        <f>SUM(D1473:D1476)</f>
        <v>0</v>
      </c>
    </row>
    <row r="1478" spans="1:6" ht="14.25" customHeight="1"/>
    <row r="1479" spans="1:6">
      <c r="A1479" s="2810" t="s">
        <v>2085</v>
      </c>
      <c r="B1479" s="2176" t="s">
        <v>2009</v>
      </c>
      <c r="C1479" s="2176" t="s">
        <v>2045</v>
      </c>
      <c r="D1479" s="2176" t="s">
        <v>1568</v>
      </c>
    </row>
    <row r="1480" spans="1:6">
      <c r="A1480" s="2879"/>
      <c r="B1480" s="2133">
        <v>0</v>
      </c>
      <c r="C1480" s="2134">
        <v>0</v>
      </c>
      <c r="D1480" s="2133">
        <v>0</v>
      </c>
    </row>
    <row r="1481" spans="1:6" ht="15" customHeight="1">
      <c r="A1481" s="2812"/>
      <c r="B1481" s="2816" t="s">
        <v>2078</v>
      </c>
      <c r="C1481" s="2817"/>
      <c r="D1481" s="2133">
        <f>B1480*C1480*D1480</f>
        <v>0</v>
      </c>
    </row>
    <row r="1482" spans="1:6" ht="15">
      <c r="A1482" s="2813"/>
      <c r="B1482" s="2816" t="s">
        <v>2082</v>
      </c>
      <c r="C1482" s="2817"/>
      <c r="D1482" s="2133">
        <f>D1481-(0.4*0.1)*0</f>
        <v>0</v>
      </c>
    </row>
    <row r="1483" spans="1:6" ht="14.25" customHeight="1"/>
    <row r="1484" spans="1:6">
      <c r="A1484" s="2818" t="s">
        <v>2084</v>
      </c>
      <c r="B1484" s="2176" t="s">
        <v>1205</v>
      </c>
      <c r="C1484" s="2176" t="s">
        <v>1607</v>
      </c>
      <c r="D1484" s="2176" t="s">
        <v>2093</v>
      </c>
      <c r="E1484" s="2176" t="s">
        <v>1205</v>
      </c>
      <c r="F1484" s="2176" t="s">
        <v>1568</v>
      </c>
    </row>
    <row r="1485" spans="1:6">
      <c r="A1485" s="2819"/>
      <c r="B1485" s="2135">
        <f>B1480</f>
        <v>0</v>
      </c>
      <c r="C1485" s="2133">
        <f>B1485/0.15</f>
        <v>0</v>
      </c>
      <c r="D1485" s="2133">
        <f>ROUNDUP(C1485,0)</f>
        <v>0</v>
      </c>
      <c r="E1485" s="2133">
        <f>B1486-0.05</f>
        <v>-0.05</v>
      </c>
      <c r="F1485" s="2133">
        <f>D1485*E1485</f>
        <v>0</v>
      </c>
    </row>
    <row r="1486" spans="1:6">
      <c r="A1486" s="2820"/>
      <c r="B1486" s="2135">
        <f>C1480</f>
        <v>0</v>
      </c>
      <c r="C1486" s="2133">
        <f>B1486/0.15</f>
        <v>0</v>
      </c>
      <c r="D1486" s="2145">
        <f>ROUNDUP(C1486,0)</f>
        <v>0</v>
      </c>
      <c r="E1486" s="2145">
        <f>B1485-0.05</f>
        <v>-0.05</v>
      </c>
      <c r="F1486" s="2145">
        <f>D1486*E1486</f>
        <v>0</v>
      </c>
    </row>
    <row r="1487" spans="1:6" ht="15">
      <c r="A1487" s="2107"/>
      <c r="B1487" s="2107"/>
      <c r="C1487" s="2107"/>
      <c r="D1487" s="2821" t="s">
        <v>2086</v>
      </c>
      <c r="E1487" s="2821"/>
      <c r="F1487" s="2133">
        <f>F1485*0.62</f>
        <v>0</v>
      </c>
    </row>
    <row r="1488" spans="1:6" ht="15">
      <c r="A1488" s="2107"/>
      <c r="B1488" s="2107"/>
      <c r="C1488" s="2107"/>
      <c r="D1488" s="2821" t="s">
        <v>2087</v>
      </c>
      <c r="E1488" s="2821"/>
      <c r="F1488" s="2133">
        <f>F1486*0.62</f>
        <v>0</v>
      </c>
    </row>
    <row r="1490" spans="1:16">
      <c r="A1490" s="2818" t="s">
        <v>2083</v>
      </c>
      <c r="B1490" s="2176" t="s">
        <v>1205</v>
      </c>
      <c r="C1490" s="2176" t="s">
        <v>1111</v>
      </c>
      <c r="D1490" s="2176" t="s">
        <v>1568</v>
      </c>
    </row>
    <row r="1491" spans="1:16">
      <c r="A1491" s="2822"/>
      <c r="B1491" s="2135">
        <f>B1480</f>
        <v>0</v>
      </c>
      <c r="C1491" s="2133">
        <f>C1480</f>
        <v>0</v>
      </c>
      <c r="D1491" s="2133">
        <f>B1491*C1491</f>
        <v>0</v>
      </c>
    </row>
    <row r="1492" spans="1:16">
      <c r="A1492" s="2823"/>
      <c r="B1492" s="2135">
        <f>B1480</f>
        <v>0</v>
      </c>
      <c r="C1492" s="2133">
        <f>D1480</f>
        <v>0</v>
      </c>
      <c r="D1492" s="2133">
        <f>B1492*C1492</f>
        <v>0</v>
      </c>
    </row>
    <row r="1493" spans="1:16" ht="30">
      <c r="C1493" s="2156" t="s">
        <v>2076</v>
      </c>
      <c r="D1493" s="2133">
        <f>SUM(D1491:D1492)</f>
        <v>0</v>
      </c>
    </row>
    <row r="1495" spans="1:16">
      <c r="A1495" s="2807" t="s">
        <v>2056</v>
      </c>
      <c r="B1495" s="2808"/>
      <c r="C1495" s="2808"/>
      <c r="D1495" s="2808"/>
      <c r="E1495" s="2808"/>
      <c r="F1495" s="2809"/>
      <c r="G1495" s="2166" t="s">
        <v>1568</v>
      </c>
      <c r="H1495" s="2167"/>
      <c r="I1495" s="2167"/>
      <c r="J1495" s="2168"/>
      <c r="L1495" s="2807" t="s">
        <v>2094</v>
      </c>
      <c r="M1495" s="2808"/>
      <c r="N1495" s="2808"/>
      <c r="O1495" s="2808"/>
      <c r="P1495" s="2808"/>
    </row>
    <row r="1496" spans="1:16" ht="15.75" thickBot="1">
      <c r="A1496" s="2133" t="s">
        <v>2090</v>
      </c>
      <c r="B1496" s="2145" t="s">
        <v>2009</v>
      </c>
      <c r="C1496" s="2145" t="s">
        <v>1609</v>
      </c>
      <c r="D1496" s="2133" t="s">
        <v>1679</v>
      </c>
      <c r="E1496" s="2169" t="s">
        <v>2435</v>
      </c>
      <c r="F1496" s="2170" t="s">
        <v>2440</v>
      </c>
      <c r="G1496" s="2133" t="s">
        <v>2050</v>
      </c>
      <c r="H1496" s="2133" t="s">
        <v>2051</v>
      </c>
      <c r="I1496" s="2133" t="s">
        <v>2441</v>
      </c>
      <c r="J1496" s="2133" t="s">
        <v>2442</v>
      </c>
      <c r="L1496" s="2133" t="s">
        <v>1607</v>
      </c>
      <c r="M1496" s="2133" t="s">
        <v>1611</v>
      </c>
      <c r="N1496" s="2133" t="s">
        <v>1168</v>
      </c>
      <c r="O1496" s="2133" t="s">
        <v>1205</v>
      </c>
      <c r="P1496" s="2133" t="s">
        <v>1243</v>
      </c>
    </row>
    <row r="1497" spans="1:16">
      <c r="A1497" s="2134" t="s">
        <v>187</v>
      </c>
      <c r="B1497" s="2122">
        <f>M7</f>
        <v>0</v>
      </c>
      <c r="C1497" s="2136">
        <v>0</v>
      </c>
      <c r="D1497" s="2135">
        <v>0</v>
      </c>
      <c r="E1497" s="2133">
        <v>0</v>
      </c>
      <c r="F1497" s="2134">
        <v>4</v>
      </c>
      <c r="G1497" s="2133">
        <f>B1497*C1497</f>
        <v>0</v>
      </c>
      <c r="H1497" s="2133">
        <f>B1497*D1497</f>
        <v>0</v>
      </c>
      <c r="I1497" s="2133">
        <f>B1497*E1497</f>
        <v>0</v>
      </c>
      <c r="J1497" s="2133">
        <f>B1497*F1497</f>
        <v>0</v>
      </c>
      <c r="L1497" s="2133">
        <f>(B1497/2)/0.2</f>
        <v>0</v>
      </c>
      <c r="M1497" s="2133">
        <f>(B1497/2)/0.1</f>
        <v>0</v>
      </c>
      <c r="N1497" s="2133">
        <f>SUM(L1497:M1497)</f>
        <v>0</v>
      </c>
      <c r="O1497" s="2133">
        <f>2*(0.07+0.15)</f>
        <v>0.44</v>
      </c>
      <c r="P1497" s="2133">
        <f>N1497*O1497</f>
        <v>0</v>
      </c>
    </row>
    <row r="1498" spans="1:16" ht="15" customHeight="1" thickBot="1">
      <c r="A1498" s="2134" t="s">
        <v>173</v>
      </c>
      <c r="B1498" s="2127">
        <v>0</v>
      </c>
      <c r="C1498" s="2137">
        <v>0</v>
      </c>
      <c r="D1498" s="2135">
        <v>0</v>
      </c>
      <c r="E1498" s="2133">
        <v>0</v>
      </c>
      <c r="F1498" s="2134">
        <v>4</v>
      </c>
      <c r="G1498" s="2133">
        <f>B1498*C1498</f>
        <v>0</v>
      </c>
      <c r="H1498" s="2133">
        <f>B1498*D1498</f>
        <v>0</v>
      </c>
      <c r="I1498" s="2133">
        <f>B1498*E1498</f>
        <v>0</v>
      </c>
      <c r="J1498" s="2133">
        <f>B1498*F1498</f>
        <v>0</v>
      </c>
      <c r="L1498" s="2133">
        <f>(B1498/2)/0.2</f>
        <v>0</v>
      </c>
      <c r="M1498" s="2133">
        <f>(B1498/2)/0.1</f>
        <v>0</v>
      </c>
      <c r="N1498" s="2133">
        <f>SUM(L1498:M1498)</f>
        <v>0</v>
      </c>
      <c r="O1498" s="2133">
        <f>2*(0.07+0.07)</f>
        <v>0.28000000000000003</v>
      </c>
      <c r="P1498" s="2133">
        <f>N1498*O1498</f>
        <v>0</v>
      </c>
    </row>
    <row r="1499" spans="1:16" ht="15" customHeight="1">
      <c r="A1499" s="2107"/>
      <c r="B1499" s="2107"/>
      <c r="C1499" s="2107"/>
      <c r="D1499" s="2107"/>
      <c r="E1499" s="2804" t="s">
        <v>2074</v>
      </c>
      <c r="F1499" s="2805"/>
      <c r="G1499" s="2133">
        <f>SUM(G1497:G1498)</f>
        <v>0</v>
      </c>
      <c r="H1499" s="2133">
        <f>SUM(H1497:H1498)</f>
        <v>0</v>
      </c>
      <c r="I1499" s="2133">
        <f>SUM(I1497:I1498)</f>
        <v>0</v>
      </c>
      <c r="J1499" s="2133">
        <f>SUM(J1497:J1498)</f>
        <v>0</v>
      </c>
      <c r="M1499" s="2806" t="s">
        <v>2074</v>
      </c>
      <c r="N1499" s="2806"/>
      <c r="O1499" s="2806"/>
      <c r="P1499" s="2133">
        <f>SUM(P1497:P1498)</f>
        <v>0</v>
      </c>
    </row>
    <row r="1500" spans="1:16" ht="15">
      <c r="A1500" s="2107"/>
      <c r="B1500" s="2107"/>
      <c r="C1500" s="2107"/>
      <c r="D1500" s="2107"/>
      <c r="E1500" s="2804" t="s">
        <v>2075</v>
      </c>
      <c r="F1500" s="2805"/>
      <c r="G1500" s="2133">
        <f>G1499*1.58</f>
        <v>0</v>
      </c>
      <c r="H1500" s="2133">
        <f>H1499*1.04</f>
        <v>0</v>
      </c>
      <c r="I1500" s="2133">
        <f>I1499*0.89</f>
        <v>0</v>
      </c>
      <c r="J1500" s="2159">
        <f>J1499*0.62</f>
        <v>0</v>
      </c>
      <c r="M1500" s="2806" t="s">
        <v>2075</v>
      </c>
      <c r="N1500" s="2806"/>
      <c r="O1500" s="2806"/>
      <c r="P1500" s="2159">
        <f>P1499*0.4</f>
        <v>0</v>
      </c>
    </row>
    <row r="1501" spans="1:16">
      <c r="A1501" s="2107"/>
      <c r="B1501" s="2107"/>
      <c r="C1501" s="2107"/>
      <c r="D1501" s="2107"/>
      <c r="E1501" s="2107"/>
      <c r="F1501" s="2107"/>
      <c r="G1501" s="2107"/>
      <c r="H1501" s="2107"/>
      <c r="I1501" s="2107"/>
      <c r="J1501" s="2107"/>
    </row>
    <row r="1502" spans="1:16">
      <c r="A1502" s="2807" t="s">
        <v>2052</v>
      </c>
      <c r="B1502" s="2808"/>
      <c r="C1502" s="2808"/>
      <c r="D1502" s="2808"/>
    </row>
    <row r="1503" spans="1:16">
      <c r="A1503" s="2133" t="s">
        <v>1711</v>
      </c>
      <c r="B1503" s="2133" t="s">
        <v>1614</v>
      </c>
      <c r="C1503" s="2133" t="s">
        <v>1615</v>
      </c>
      <c r="D1503" s="2133"/>
    </row>
    <row r="1504" spans="1:16">
      <c r="A1504" s="2133" t="str">
        <f>A1497</f>
        <v>B1</v>
      </c>
      <c r="B1504" s="2133">
        <f>B1497</f>
        <v>0</v>
      </c>
      <c r="C1504" s="2133">
        <f>0.15*0.15</f>
        <v>2.2499999999999999E-2</v>
      </c>
      <c r="D1504" s="2133">
        <f>B1504*C1504</f>
        <v>0</v>
      </c>
    </row>
    <row r="1505" spans="1:16" ht="15" customHeight="1">
      <c r="A1505" s="2133" t="str">
        <f>A1498</f>
        <v>B2</v>
      </c>
      <c r="B1505" s="2133">
        <f>B1498</f>
        <v>0</v>
      </c>
      <c r="C1505" s="2133">
        <f>0.12*0.12</f>
        <v>1.44E-2</v>
      </c>
      <c r="D1505" s="2133">
        <f>B1505*C1505</f>
        <v>0</v>
      </c>
    </row>
    <row r="1506" spans="1:16" ht="30">
      <c r="C1506" s="2156" t="s">
        <v>2078</v>
      </c>
      <c r="D1506" s="2159">
        <f>SUM(D1504:D1505)</f>
        <v>0</v>
      </c>
    </row>
    <row r="1508" spans="1:16">
      <c r="A1508" s="2807" t="s">
        <v>2053</v>
      </c>
      <c r="B1508" s="2808"/>
      <c r="C1508" s="2808"/>
      <c r="D1508" s="2808"/>
    </row>
    <row r="1509" spans="1:16">
      <c r="A1509" s="2133" t="s">
        <v>1711</v>
      </c>
      <c r="B1509" s="2133" t="s">
        <v>1614</v>
      </c>
      <c r="C1509" s="2133" t="s">
        <v>1615</v>
      </c>
      <c r="D1509" s="2133"/>
    </row>
    <row r="1510" spans="1:16">
      <c r="A1510" s="2133" t="str">
        <f>A1504</f>
        <v>B1</v>
      </c>
      <c r="B1510" s="2133">
        <f>B1504</f>
        <v>0</v>
      </c>
      <c r="C1510" s="2133">
        <f>0.15*3</f>
        <v>0.44999999999999996</v>
      </c>
      <c r="D1510" s="2133">
        <f>B1510*C1510</f>
        <v>0</v>
      </c>
    </row>
    <row r="1511" spans="1:16">
      <c r="A1511" s="2133" t="str">
        <f>A1505</f>
        <v>B2</v>
      </c>
      <c r="B1511" s="2133">
        <f>B1505</f>
        <v>0</v>
      </c>
      <c r="C1511" s="2133">
        <f>0.12*4</f>
        <v>0.48</v>
      </c>
      <c r="D1511" s="2133">
        <f>B1511*C1511</f>
        <v>0</v>
      </c>
    </row>
    <row r="1512" spans="1:16" ht="30">
      <c r="C1512" s="2156" t="s">
        <v>2076</v>
      </c>
      <c r="D1512" s="2159">
        <f>SUM(D1510:D1511)</f>
        <v>0</v>
      </c>
    </row>
    <row r="1514" spans="1:16">
      <c r="A1514" s="2807" t="s">
        <v>2054</v>
      </c>
      <c r="B1514" s="2808"/>
      <c r="C1514" s="2808"/>
      <c r="D1514" s="2808"/>
      <c r="E1514" s="2808"/>
      <c r="F1514" s="2809"/>
      <c r="G1514" s="2166" t="s">
        <v>1568</v>
      </c>
      <c r="H1514" s="2167"/>
      <c r="I1514" s="2167"/>
      <c r="J1514" s="2168"/>
      <c r="L1514" s="2807" t="s">
        <v>2094</v>
      </c>
      <c r="M1514" s="2808"/>
      <c r="N1514" s="2808"/>
      <c r="O1514" s="2808"/>
      <c r="P1514" s="2808"/>
    </row>
    <row r="1515" spans="1:16" ht="15.75" thickBot="1">
      <c r="A1515" s="2133" t="s">
        <v>2130</v>
      </c>
      <c r="B1515" s="2145" t="s">
        <v>2009</v>
      </c>
      <c r="C1515" s="2133" t="s">
        <v>1609</v>
      </c>
      <c r="D1515" s="2133" t="s">
        <v>1679</v>
      </c>
      <c r="E1515" s="2169" t="s">
        <v>2435</v>
      </c>
      <c r="F1515" s="2170" t="s">
        <v>2440</v>
      </c>
      <c r="G1515" s="2133" t="s">
        <v>2050</v>
      </c>
      <c r="H1515" s="2133" t="s">
        <v>2051</v>
      </c>
      <c r="I1515" s="2133" t="s">
        <v>2441</v>
      </c>
      <c r="J1515" s="2133" t="s">
        <v>2442</v>
      </c>
      <c r="L1515" s="2133" t="s">
        <v>1607</v>
      </c>
      <c r="M1515" s="2133" t="s">
        <v>1611</v>
      </c>
      <c r="N1515" s="2133" t="s">
        <v>1168</v>
      </c>
      <c r="O1515" s="2133" t="s">
        <v>1205</v>
      </c>
      <c r="P1515" s="2133" t="s">
        <v>1243</v>
      </c>
    </row>
    <row r="1516" spans="1:16">
      <c r="A1516" s="2134" t="s">
        <v>187</v>
      </c>
      <c r="B1516" s="2120"/>
      <c r="C1516" s="2135">
        <v>0</v>
      </c>
      <c r="D1516" s="2133">
        <v>0</v>
      </c>
      <c r="E1516" s="2133">
        <v>0</v>
      </c>
      <c r="F1516" s="2134">
        <v>4</v>
      </c>
      <c r="G1516" s="2133">
        <f>B1516*C1516</f>
        <v>0</v>
      </c>
      <c r="H1516" s="2133">
        <f>B1516*D1516</f>
        <v>0</v>
      </c>
      <c r="I1516" s="2133">
        <f>B1516*E1516</f>
        <v>0</v>
      </c>
      <c r="J1516" s="2133">
        <f>B1516*F1516</f>
        <v>0</v>
      </c>
      <c r="L1516" s="2133">
        <f>(B1516/2)/0.2</f>
        <v>0</v>
      </c>
      <c r="M1516" s="2133">
        <f>(B1516/2)/0.1</f>
        <v>0</v>
      </c>
      <c r="N1516" s="2133">
        <f>SUM(L1516:M1516)</f>
        <v>0</v>
      </c>
      <c r="O1516" s="2133">
        <f>2*(0.07+0.15)</f>
        <v>0.44</v>
      </c>
      <c r="P1516" s="2133">
        <f>N1516*O1516</f>
        <v>0</v>
      </c>
    </row>
    <row r="1517" spans="1:16" ht="15" customHeight="1" thickBot="1">
      <c r="A1517" s="2134" t="s">
        <v>173</v>
      </c>
      <c r="B1517" s="2126"/>
      <c r="C1517" s="2135">
        <v>0</v>
      </c>
      <c r="D1517" s="2133">
        <v>0</v>
      </c>
      <c r="E1517" s="2133">
        <v>0</v>
      </c>
      <c r="F1517" s="2134">
        <v>4</v>
      </c>
      <c r="G1517" s="2133">
        <f>B1517*C1517</f>
        <v>0</v>
      </c>
      <c r="H1517" s="2133">
        <f>B1517*D1517</f>
        <v>0</v>
      </c>
      <c r="I1517" s="2133">
        <f>B1517*E1517</f>
        <v>0</v>
      </c>
      <c r="J1517" s="2133">
        <f>B1517*F1517</f>
        <v>0</v>
      </c>
      <c r="L1517" s="2133">
        <f>(B1517/2)/0.2</f>
        <v>0</v>
      </c>
      <c r="M1517" s="2133">
        <f>(B1517/2)/0.1</f>
        <v>0</v>
      </c>
      <c r="N1517" s="2133">
        <f>SUM(L1517:M1517)</f>
        <v>0</v>
      </c>
      <c r="O1517" s="2133">
        <f>2*(0.07+0.07)</f>
        <v>0.28000000000000003</v>
      </c>
      <c r="P1517" s="2133">
        <f>N1517*O1517</f>
        <v>0</v>
      </c>
    </row>
    <row r="1518" spans="1:16" ht="15" customHeight="1">
      <c r="A1518" s="2107"/>
      <c r="B1518" s="2107"/>
      <c r="C1518" s="2107"/>
      <c r="D1518" s="2107"/>
      <c r="E1518" s="2804" t="s">
        <v>2074</v>
      </c>
      <c r="F1518" s="2805"/>
      <c r="G1518" s="2133">
        <f>SUM(G1516:G1517)</f>
        <v>0</v>
      </c>
      <c r="H1518" s="2133">
        <f>SUM(H1516:H1517)</f>
        <v>0</v>
      </c>
      <c r="I1518" s="2133">
        <f>SUM(I1516:I1517)</f>
        <v>0</v>
      </c>
      <c r="J1518" s="2133">
        <f>SUM(J1516:J1517)</f>
        <v>0</v>
      </c>
      <c r="M1518" s="2806" t="s">
        <v>2074</v>
      </c>
      <c r="N1518" s="2806"/>
      <c r="O1518" s="2806"/>
      <c r="P1518" s="2133">
        <f>SUM(P1516:P1517)</f>
        <v>0</v>
      </c>
    </row>
    <row r="1519" spans="1:16" ht="15">
      <c r="A1519" s="2107"/>
      <c r="B1519" s="2107"/>
      <c r="C1519" s="2107"/>
      <c r="D1519" s="2107"/>
      <c r="E1519" s="2804" t="s">
        <v>2075</v>
      </c>
      <c r="F1519" s="2805"/>
      <c r="G1519" s="2133">
        <f>G1518*1.58</f>
        <v>0</v>
      </c>
      <c r="H1519" s="2133">
        <f>H1518*1.04</f>
        <v>0</v>
      </c>
      <c r="I1519" s="2133">
        <f>I1518*0.89</f>
        <v>0</v>
      </c>
      <c r="J1519" s="2133">
        <f>J1518*0.62</f>
        <v>0</v>
      </c>
      <c r="M1519" s="2806" t="s">
        <v>2075</v>
      </c>
      <c r="N1519" s="2806"/>
      <c r="O1519" s="2806"/>
      <c r="P1519" s="2133">
        <f>P1518*0.4</f>
        <v>0</v>
      </c>
    </row>
    <row r="1520" spans="1:16">
      <c r="A1520" s="2107"/>
      <c r="B1520" s="2107"/>
      <c r="C1520" s="2107"/>
      <c r="D1520" s="2107"/>
      <c r="E1520" s="2107"/>
      <c r="F1520" s="2107"/>
      <c r="G1520" s="2107"/>
      <c r="H1520" s="2107"/>
      <c r="I1520" s="2107"/>
      <c r="J1520" s="2107"/>
    </row>
    <row r="1521" spans="1:15">
      <c r="A1521" s="2807" t="s">
        <v>2055</v>
      </c>
      <c r="B1521" s="2808"/>
      <c r="C1521" s="2808"/>
      <c r="D1521" s="2808"/>
    </row>
    <row r="1522" spans="1:15">
      <c r="A1522" s="2133" t="s">
        <v>2130</v>
      </c>
      <c r="B1522" s="2133" t="s">
        <v>1614</v>
      </c>
      <c r="C1522" s="2133" t="s">
        <v>1615</v>
      </c>
      <c r="D1522" s="2133"/>
    </row>
    <row r="1523" spans="1:15">
      <c r="A1523" s="2133" t="str">
        <f>A1516</f>
        <v>B1</v>
      </c>
      <c r="B1523" s="2133">
        <f>B1516</f>
        <v>0</v>
      </c>
      <c r="C1523" s="2133">
        <f>0.12*0.2</f>
        <v>2.4E-2</v>
      </c>
      <c r="D1523" s="2133">
        <f>B1523*C1523</f>
        <v>0</v>
      </c>
    </row>
    <row r="1524" spans="1:15" ht="15" customHeight="1">
      <c r="A1524" s="2133" t="str">
        <f>A1517</f>
        <v>B2</v>
      </c>
      <c r="B1524" s="2133">
        <f>B1517</f>
        <v>0</v>
      </c>
      <c r="C1524" s="2133">
        <f>0.1*0.4</f>
        <v>4.0000000000000008E-2</v>
      </c>
      <c r="D1524" s="2133">
        <f>B1524*C1524</f>
        <v>0</v>
      </c>
    </row>
    <row r="1525" spans="1:15" ht="30">
      <c r="C1525" s="2156" t="s">
        <v>2078</v>
      </c>
      <c r="D1525" s="2133">
        <f>SUM(D1523:D1524)</f>
        <v>0</v>
      </c>
    </row>
    <row r="1527" spans="1:15">
      <c r="A1527" s="2807" t="s">
        <v>2095</v>
      </c>
      <c r="B1527" s="2808"/>
      <c r="C1527" s="2808"/>
      <c r="D1527" s="2808"/>
    </row>
    <row r="1528" spans="1:15">
      <c r="A1528" s="2133" t="s">
        <v>2130</v>
      </c>
      <c r="B1528" s="2133" t="s">
        <v>1614</v>
      </c>
      <c r="C1528" s="2133" t="s">
        <v>1615</v>
      </c>
      <c r="D1528" s="2133"/>
    </row>
    <row r="1529" spans="1:15">
      <c r="A1529" s="2133" t="str">
        <f>A1523</f>
        <v>B1</v>
      </c>
      <c r="B1529" s="2133">
        <f>B1523</f>
        <v>0</v>
      </c>
      <c r="C1529" s="2133">
        <f>0.12+0.2*2</f>
        <v>0.52</v>
      </c>
      <c r="D1529" s="2133">
        <f>B1529*C1529</f>
        <v>0</v>
      </c>
    </row>
    <row r="1530" spans="1:15">
      <c r="A1530" s="2133" t="str">
        <f>A1524</f>
        <v>B2</v>
      </c>
      <c r="B1530" s="2133">
        <f>B1524</f>
        <v>0</v>
      </c>
      <c r="C1530" s="2133">
        <v>0.4</v>
      </c>
      <c r="D1530" s="2133">
        <f>B1530*C1530</f>
        <v>0</v>
      </c>
    </row>
    <row r="1531" spans="1:15" ht="30">
      <c r="C1531" s="2156" t="s">
        <v>2076</v>
      </c>
      <c r="D1531" s="2133">
        <f>SUM(D1529:D1530)</f>
        <v>0</v>
      </c>
    </row>
    <row r="1532" spans="1:15" ht="14.25" customHeight="1"/>
    <row r="1533" spans="1:15" s="2140" customFormat="1" ht="41.25" customHeight="1">
      <c r="A1533" s="2403" t="s">
        <v>2661</v>
      </c>
      <c r="B1533" s="2404"/>
      <c r="C1533" s="2404"/>
      <c r="D1533" s="2404"/>
      <c r="E1533" s="2404"/>
      <c r="F1533" s="2404"/>
      <c r="G1533" s="2404"/>
      <c r="H1533" s="2404"/>
      <c r="I1533" s="2404"/>
      <c r="J1533" s="2404"/>
      <c r="K1533" s="2404"/>
      <c r="L1533" s="2404"/>
      <c r="M1533" s="2404"/>
      <c r="N1533" s="2404"/>
      <c r="O1533" s="2405"/>
    </row>
    <row r="1534" spans="1:15" s="2402" customFormat="1" ht="14.25" customHeight="1">
      <c r="A1534" s="2193"/>
      <c r="B1534" s="2194"/>
      <c r="C1534" s="2194"/>
      <c r="D1534" s="2194"/>
      <c r="E1534" s="2194"/>
      <c r="F1534" s="2194"/>
      <c r="G1534" s="2194"/>
      <c r="H1534" s="2194"/>
      <c r="I1534" s="2194"/>
      <c r="J1534" s="2194"/>
      <c r="K1534" s="2194"/>
      <c r="L1534" s="2194"/>
      <c r="M1534" s="2194"/>
      <c r="N1534" s="2194"/>
      <c r="O1534" s="2195"/>
    </row>
    <row r="1535" spans="1:15" s="2402" customFormat="1" ht="14.25" customHeight="1">
      <c r="A1535" s="2196"/>
      <c r="B1535" s="2197"/>
      <c r="C1535" s="2197"/>
      <c r="D1535" s="2197"/>
      <c r="E1535" s="2197"/>
      <c r="F1535" s="2197"/>
      <c r="G1535" s="2197"/>
      <c r="H1535" s="2197"/>
      <c r="I1535" s="2197"/>
      <c r="J1535" s="2197"/>
      <c r="K1535" s="2197"/>
      <c r="L1535" s="2197"/>
      <c r="M1535" s="2197"/>
      <c r="N1535" s="2197"/>
      <c r="O1535" s="2198"/>
    </row>
    <row r="1536" spans="1:15" s="2402" customFormat="1"/>
    <row r="1537" spans="1:5" s="2402" customFormat="1">
      <c r="A1537" s="2831" t="s">
        <v>2020</v>
      </c>
      <c r="B1537" s="2832"/>
      <c r="C1537" s="2832"/>
      <c r="D1537" s="2832"/>
      <c r="E1537" s="2875"/>
    </row>
    <row r="1538" spans="1:5" s="2402" customFormat="1">
      <c r="A1538" s="2399" t="s">
        <v>1987</v>
      </c>
      <c r="B1538" s="2399" t="s">
        <v>1608</v>
      </c>
      <c r="C1538" s="2189" t="s">
        <v>2062</v>
      </c>
      <c r="D1538" s="2399" t="s">
        <v>2088</v>
      </c>
      <c r="E1538" s="2399" t="s">
        <v>1568</v>
      </c>
    </row>
    <row r="1539" spans="1:5" s="2402" customFormat="1">
      <c r="A1539" s="2391" t="s">
        <v>1704</v>
      </c>
      <c r="B1539" s="2119">
        <f>BOQ!$Q$446</f>
        <v>0</v>
      </c>
      <c r="C1539" s="2133">
        <f>N10</f>
        <v>0</v>
      </c>
      <c r="D1539" s="2121">
        <f>$D$134</f>
        <v>0.30250000000000005</v>
      </c>
      <c r="E1539" s="2391">
        <f t="shared" ref="E1539:E1556" si="340">B1539*C1539*D1539</f>
        <v>0</v>
      </c>
    </row>
    <row r="1540" spans="1:5" s="2402" customFormat="1">
      <c r="A1540" s="2133" t="s">
        <v>1705</v>
      </c>
      <c r="B1540" s="2119">
        <f>$B$676</f>
        <v>0</v>
      </c>
      <c r="C1540" s="2133">
        <f>N11</f>
        <v>0</v>
      </c>
      <c r="D1540" s="2121">
        <f>$D$135</f>
        <v>0</v>
      </c>
      <c r="E1540" s="2133">
        <f t="shared" si="340"/>
        <v>0</v>
      </c>
    </row>
    <row r="1541" spans="1:5" s="2402" customFormat="1">
      <c r="A1541" s="2391" t="s">
        <v>1917</v>
      </c>
      <c r="B1541" s="2119">
        <f>$B$676</f>
        <v>0</v>
      </c>
      <c r="C1541" s="2133">
        <f t="shared" ref="C1541:C1556" si="341">N12</f>
        <v>0</v>
      </c>
      <c r="D1541" s="2121">
        <f>$D$136</f>
        <v>8.0000000000000016E-2</v>
      </c>
      <c r="E1541" s="2133">
        <f t="shared" si="340"/>
        <v>0</v>
      </c>
    </row>
    <row r="1542" spans="1:5" s="2402" customFormat="1">
      <c r="A1542" s="2133" t="s">
        <v>1918</v>
      </c>
      <c r="B1542" s="2119">
        <f t="shared" ref="B1542:B1556" si="342">$B$676</f>
        <v>0</v>
      </c>
      <c r="C1542" s="2133">
        <f t="shared" si="341"/>
        <v>0</v>
      </c>
      <c r="D1542" s="2121">
        <f>$D$137</f>
        <v>0.06</v>
      </c>
      <c r="E1542" s="2133">
        <f t="shared" si="340"/>
        <v>0</v>
      </c>
    </row>
    <row r="1543" spans="1:5" s="2402" customFormat="1">
      <c r="A1543" s="2391" t="s">
        <v>1919</v>
      </c>
      <c r="B1543" s="2119">
        <f t="shared" si="342"/>
        <v>0</v>
      </c>
      <c r="C1543" s="2133">
        <f t="shared" si="341"/>
        <v>0</v>
      </c>
      <c r="D1543" s="2121">
        <f>$D$138</f>
        <v>4.4999999999999998E-2</v>
      </c>
      <c r="E1543" s="2133">
        <f t="shared" si="340"/>
        <v>0</v>
      </c>
    </row>
    <row r="1544" spans="1:5" s="2402" customFormat="1">
      <c r="A1544" s="2133" t="s">
        <v>1992</v>
      </c>
      <c r="B1544" s="2119">
        <f t="shared" si="342"/>
        <v>0</v>
      </c>
      <c r="C1544" s="2133">
        <f t="shared" si="341"/>
        <v>0</v>
      </c>
      <c r="D1544" s="2121">
        <f>$D$139</f>
        <v>6.25E-2</v>
      </c>
      <c r="E1544" s="2133">
        <f t="shared" si="340"/>
        <v>0</v>
      </c>
    </row>
    <row r="1545" spans="1:5" s="2402" customFormat="1">
      <c r="A1545" s="2391" t="s">
        <v>1993</v>
      </c>
      <c r="B1545" s="2119">
        <f t="shared" si="342"/>
        <v>0</v>
      </c>
      <c r="C1545" s="2133">
        <f t="shared" si="341"/>
        <v>0</v>
      </c>
      <c r="D1545" s="2121">
        <f>$D$140</f>
        <v>3.7499999999999999E-2</v>
      </c>
      <c r="E1545" s="2133">
        <f t="shared" si="340"/>
        <v>0</v>
      </c>
    </row>
    <row r="1546" spans="1:5" s="2402" customFormat="1">
      <c r="A1546" s="2133" t="s">
        <v>1994</v>
      </c>
      <c r="B1546" s="2119">
        <f t="shared" si="342"/>
        <v>0</v>
      </c>
      <c r="C1546" s="2133">
        <f t="shared" si="341"/>
        <v>0</v>
      </c>
      <c r="D1546" s="2121">
        <f>$D$141</f>
        <v>0</v>
      </c>
      <c r="E1546" s="2133">
        <f t="shared" si="340"/>
        <v>0</v>
      </c>
    </row>
    <row r="1547" spans="1:5" s="2402" customFormat="1">
      <c r="A1547" s="2391" t="s">
        <v>1995</v>
      </c>
      <c r="B1547" s="2119">
        <f t="shared" si="342"/>
        <v>0</v>
      </c>
      <c r="C1547" s="2133">
        <f t="shared" si="341"/>
        <v>0</v>
      </c>
      <c r="D1547" s="2121">
        <f>$D$142</f>
        <v>0</v>
      </c>
      <c r="E1547" s="2133">
        <f t="shared" si="340"/>
        <v>0</v>
      </c>
    </row>
    <row r="1548" spans="1:5" s="2402" customFormat="1">
      <c r="A1548" s="2133" t="s">
        <v>1706</v>
      </c>
      <c r="B1548" s="2119">
        <f t="shared" si="342"/>
        <v>0</v>
      </c>
      <c r="C1548" s="2133">
        <f t="shared" si="341"/>
        <v>0</v>
      </c>
      <c r="D1548" s="2121">
        <f>$D$143</f>
        <v>0</v>
      </c>
      <c r="E1548" s="2133">
        <f t="shared" si="340"/>
        <v>0</v>
      </c>
    </row>
    <row r="1549" spans="1:5" s="2402" customFormat="1">
      <c r="A1549" s="2391" t="s">
        <v>2451</v>
      </c>
      <c r="B1549" s="2119">
        <f t="shared" si="342"/>
        <v>0</v>
      </c>
      <c r="C1549" s="2133">
        <f t="shared" si="341"/>
        <v>0</v>
      </c>
      <c r="D1549" s="2121">
        <f>$D$144</f>
        <v>0</v>
      </c>
      <c r="E1549" s="2133">
        <f t="shared" si="340"/>
        <v>0</v>
      </c>
    </row>
    <row r="1550" spans="1:5" s="2402" customFormat="1">
      <c r="A1550" s="2133" t="s">
        <v>2452</v>
      </c>
      <c r="B1550" s="2119">
        <f t="shared" si="342"/>
        <v>0</v>
      </c>
      <c r="C1550" s="2133">
        <f t="shared" si="341"/>
        <v>0</v>
      </c>
      <c r="D1550" s="2121">
        <f>$D$145</f>
        <v>0</v>
      </c>
      <c r="E1550" s="2133">
        <f t="shared" si="340"/>
        <v>0</v>
      </c>
    </row>
    <row r="1551" spans="1:5" s="2402" customFormat="1">
      <c r="A1551" s="2391" t="s">
        <v>2453</v>
      </c>
      <c r="B1551" s="2119">
        <f t="shared" si="342"/>
        <v>0</v>
      </c>
      <c r="C1551" s="2133">
        <f t="shared" si="341"/>
        <v>0</v>
      </c>
      <c r="D1551" s="2121">
        <f>$D$146</f>
        <v>0</v>
      </c>
      <c r="E1551" s="2133">
        <f t="shared" si="340"/>
        <v>0</v>
      </c>
    </row>
    <row r="1552" spans="1:5" s="2402" customFormat="1">
      <c r="A1552" s="2133" t="s">
        <v>2454</v>
      </c>
      <c r="B1552" s="2119">
        <f t="shared" si="342"/>
        <v>0</v>
      </c>
      <c r="C1552" s="2133">
        <f t="shared" si="341"/>
        <v>0</v>
      </c>
      <c r="D1552" s="2121">
        <f>$D$147</f>
        <v>0</v>
      </c>
      <c r="E1552" s="2133">
        <f t="shared" si="340"/>
        <v>0</v>
      </c>
    </row>
    <row r="1553" spans="1:17" s="2402" customFormat="1">
      <c r="A1553" s="2391" t="s">
        <v>2455</v>
      </c>
      <c r="B1553" s="2119">
        <f t="shared" si="342"/>
        <v>0</v>
      </c>
      <c r="C1553" s="2133">
        <f t="shared" si="341"/>
        <v>0</v>
      </c>
      <c r="D1553" s="2121">
        <f>$D$148</f>
        <v>0</v>
      </c>
      <c r="E1553" s="2133">
        <f t="shared" si="340"/>
        <v>0</v>
      </c>
    </row>
    <row r="1554" spans="1:17" s="2402" customFormat="1">
      <c r="A1554" s="2133" t="s">
        <v>2456</v>
      </c>
      <c r="B1554" s="2119">
        <f t="shared" si="342"/>
        <v>0</v>
      </c>
      <c r="C1554" s="2133">
        <f t="shared" si="341"/>
        <v>0</v>
      </c>
      <c r="D1554" s="2121">
        <f>$D$149</f>
        <v>0</v>
      </c>
      <c r="E1554" s="2133">
        <f t="shared" si="340"/>
        <v>0</v>
      </c>
    </row>
    <row r="1555" spans="1:17" s="2402" customFormat="1">
      <c r="A1555" s="2391" t="s">
        <v>2457</v>
      </c>
      <c r="B1555" s="2119">
        <f t="shared" si="342"/>
        <v>0</v>
      </c>
      <c r="C1555" s="2133">
        <f t="shared" si="341"/>
        <v>0</v>
      </c>
      <c r="D1555" s="2121">
        <f>$D$150</f>
        <v>0</v>
      </c>
      <c r="E1555" s="2133">
        <f t="shared" si="340"/>
        <v>0</v>
      </c>
    </row>
    <row r="1556" spans="1:17" s="2402" customFormat="1">
      <c r="A1556" s="2133" t="s">
        <v>2458</v>
      </c>
      <c r="B1556" s="2119">
        <f t="shared" si="342"/>
        <v>0</v>
      </c>
      <c r="C1556" s="2133">
        <f t="shared" si="341"/>
        <v>0</v>
      </c>
      <c r="D1556" s="2121">
        <f>$D$151</f>
        <v>0</v>
      </c>
      <c r="E1556" s="2133">
        <f t="shared" si="340"/>
        <v>0</v>
      </c>
    </row>
    <row r="1557" spans="1:17" s="2402" customFormat="1" ht="14.25" customHeight="1">
      <c r="C1557" s="2400"/>
      <c r="D1557" s="2301" t="s">
        <v>2070</v>
      </c>
      <c r="E1557" s="2200">
        <f>SUM(E1539:E1556)</f>
        <v>0</v>
      </c>
    </row>
    <row r="1558" spans="1:17" s="2402" customFormat="1" ht="14.25" customHeight="1">
      <c r="C1558" s="2400"/>
      <c r="D1558" s="2302"/>
      <c r="E1558" s="2202"/>
    </row>
    <row r="1559" spans="1:17" s="2402" customFormat="1"/>
    <row r="1560" spans="1:17" s="2402" customFormat="1">
      <c r="A1560" s="2133" t="s">
        <v>1707</v>
      </c>
      <c r="B1560" s="2119">
        <f>B1556</f>
        <v>0</v>
      </c>
      <c r="C1560" s="2133">
        <f>N28</f>
        <v>69</v>
      </c>
      <c r="D1560" s="2135">
        <f>$D$155</f>
        <v>2.2499999999999999E-2</v>
      </c>
      <c r="E1560" s="2133">
        <f>B1560*C1560*D1560</f>
        <v>0</v>
      </c>
    </row>
    <row r="1561" spans="1:17" s="2402" customFormat="1">
      <c r="A1561" s="2133" t="s">
        <v>1708</v>
      </c>
      <c r="B1561" s="2119">
        <f>B1557</f>
        <v>0</v>
      </c>
      <c r="C1561" s="2133">
        <f>L626</f>
        <v>0</v>
      </c>
      <c r="D1561" s="2135">
        <f>$D$156</f>
        <v>2.2499999999999999E-2</v>
      </c>
      <c r="E1561" s="2133">
        <f>B1561*C1561*D1561</f>
        <v>0</v>
      </c>
    </row>
    <row r="1562" spans="1:17" s="2402" customFormat="1" ht="60">
      <c r="D1562" s="2175" t="s">
        <v>2071</v>
      </c>
      <c r="E1562" s="2157">
        <f>SUM(E1560:E1561)</f>
        <v>0</v>
      </c>
    </row>
    <row r="1563" spans="1:17" s="2402" customFormat="1"/>
    <row r="1564" spans="1:17" s="2402" customFormat="1">
      <c r="A1564" s="2872" t="s">
        <v>2106</v>
      </c>
      <c r="B1564" s="2872"/>
      <c r="C1564" s="2872"/>
      <c r="D1564" s="2831" t="s">
        <v>2069</v>
      </c>
      <c r="E1564" s="2832"/>
      <c r="F1564" s="2832"/>
      <c r="G1564" s="2836"/>
      <c r="H1564" s="2831" t="s">
        <v>2068</v>
      </c>
      <c r="I1564" s="2832"/>
      <c r="J1564" s="2832"/>
      <c r="K1564" s="2836"/>
      <c r="M1564" s="2831" t="s">
        <v>1610</v>
      </c>
      <c r="N1564" s="2832"/>
      <c r="O1564" s="2832"/>
      <c r="P1564" s="2832"/>
      <c r="Q1564" s="2836"/>
    </row>
    <row r="1565" spans="1:17" s="2402" customFormat="1" ht="15">
      <c r="A1565" s="2391" t="s">
        <v>1796</v>
      </c>
      <c r="B1565" s="2391" t="s">
        <v>1608</v>
      </c>
      <c r="C1565" s="2391" t="s">
        <v>1606</v>
      </c>
      <c r="D1565" s="2391" t="s">
        <v>1609</v>
      </c>
      <c r="E1565" s="2391" t="s">
        <v>1679</v>
      </c>
      <c r="F1565" s="2088" t="s">
        <v>2435</v>
      </c>
      <c r="G1565" s="2119" t="s">
        <v>1807</v>
      </c>
      <c r="H1565" s="2391" t="s">
        <v>1568</v>
      </c>
      <c r="I1565" s="2391" t="s">
        <v>1568</v>
      </c>
      <c r="J1565" s="2391" t="s">
        <v>1568</v>
      </c>
      <c r="K1565" s="2391" t="s">
        <v>1568</v>
      </c>
      <c r="M1565" s="2391" t="s">
        <v>1607</v>
      </c>
      <c r="N1565" s="2391" t="s">
        <v>1611</v>
      </c>
      <c r="O1565" s="2391" t="s">
        <v>1168</v>
      </c>
      <c r="P1565" s="2391" t="s">
        <v>1205</v>
      </c>
      <c r="Q1565" s="2391" t="s">
        <v>1243</v>
      </c>
    </row>
    <row r="1566" spans="1:17" s="2402" customFormat="1">
      <c r="A1566" s="2133" t="str">
        <f t="shared" ref="A1566:B1583" si="343">A1539</f>
        <v>K1</v>
      </c>
      <c r="B1566" s="2133">
        <f t="shared" si="343"/>
        <v>0</v>
      </c>
      <c r="C1566" s="2244">
        <f>N10</f>
        <v>0</v>
      </c>
      <c r="D1566" s="2244">
        <f t="shared" ref="D1566:G1583" si="344">E10</f>
        <v>8</v>
      </c>
      <c r="E1566" s="2244">
        <f t="shared" si="344"/>
        <v>0</v>
      </c>
      <c r="F1566" s="2244">
        <f t="shared" si="344"/>
        <v>0</v>
      </c>
      <c r="G1566" s="2244">
        <f t="shared" si="344"/>
        <v>0</v>
      </c>
      <c r="H1566" s="2133">
        <f>B1566*C1566*D1566</f>
        <v>0</v>
      </c>
      <c r="I1566" s="2133">
        <f t="shared" ref="I1566:I1583" si="345">B1566*C1566*E1566</f>
        <v>0</v>
      </c>
      <c r="J1566" s="2133">
        <f t="shared" ref="J1566:J1583" si="346">B1566*C1566*F1566</f>
        <v>0</v>
      </c>
      <c r="K1566" s="2133">
        <f t="shared" ref="K1566:K1583" si="347">B1566*C1566*G1566</f>
        <v>0</v>
      </c>
      <c r="M1566" s="2133">
        <f t="shared" ref="M1566:M1583" si="348">(B1566/2)/0.2</f>
        <v>0</v>
      </c>
      <c r="N1566" s="2133">
        <f t="shared" ref="N1566:N1583" si="349">(B1566/2)/0.1</f>
        <v>0</v>
      </c>
      <c r="O1566" s="2133">
        <f t="shared" ref="O1566:O1583" si="350">SUM(M1566:N1566)*C1566</f>
        <v>0</v>
      </c>
      <c r="P1566" s="2133">
        <f t="shared" ref="P1566:P1578" si="351">P1292</f>
        <v>0</v>
      </c>
      <c r="Q1566" s="2133">
        <f t="shared" ref="Q1566:Q1583" si="352">O1566*P1566</f>
        <v>0</v>
      </c>
    </row>
    <row r="1567" spans="1:17" s="2402" customFormat="1">
      <c r="A1567" s="2133" t="str">
        <f t="shared" si="343"/>
        <v>K2</v>
      </c>
      <c r="B1567" s="2133">
        <f t="shared" si="343"/>
        <v>0</v>
      </c>
      <c r="C1567" s="2244">
        <f>N11</f>
        <v>0</v>
      </c>
      <c r="D1567" s="2244">
        <f t="shared" si="344"/>
        <v>0</v>
      </c>
      <c r="E1567" s="2244">
        <f t="shared" si="344"/>
        <v>0</v>
      </c>
      <c r="F1567" s="2244">
        <f t="shared" si="344"/>
        <v>0</v>
      </c>
      <c r="G1567" s="2244">
        <f t="shared" si="344"/>
        <v>0</v>
      </c>
      <c r="H1567" s="2133">
        <f t="shared" ref="H1567:H1583" si="353">B1567*C1567*D1567</f>
        <v>0</v>
      </c>
      <c r="I1567" s="2133">
        <f t="shared" si="345"/>
        <v>0</v>
      </c>
      <c r="J1567" s="2133">
        <f t="shared" si="346"/>
        <v>0</v>
      </c>
      <c r="K1567" s="2133">
        <f t="shared" si="347"/>
        <v>0</v>
      </c>
      <c r="M1567" s="2133">
        <f t="shared" si="348"/>
        <v>0</v>
      </c>
      <c r="N1567" s="2133">
        <f t="shared" si="349"/>
        <v>0</v>
      </c>
      <c r="O1567" s="2133">
        <f t="shared" si="350"/>
        <v>0</v>
      </c>
      <c r="P1567" s="2133">
        <f t="shared" si="351"/>
        <v>0</v>
      </c>
      <c r="Q1567" s="2133">
        <f t="shared" si="352"/>
        <v>0</v>
      </c>
    </row>
    <row r="1568" spans="1:17" s="2402" customFormat="1">
      <c r="A1568" s="2133" t="str">
        <f t="shared" si="343"/>
        <v>K3</v>
      </c>
      <c r="B1568" s="2133">
        <f t="shared" si="343"/>
        <v>0</v>
      </c>
      <c r="C1568" s="2244">
        <f t="shared" ref="C1568:C1583" si="354">N12</f>
        <v>0</v>
      </c>
      <c r="D1568" s="2244">
        <f t="shared" si="344"/>
        <v>10</v>
      </c>
      <c r="E1568" s="2244">
        <f t="shared" si="344"/>
        <v>0</v>
      </c>
      <c r="F1568" s="2244">
        <f t="shared" si="344"/>
        <v>0</v>
      </c>
      <c r="G1568" s="2244">
        <f t="shared" si="344"/>
        <v>0</v>
      </c>
      <c r="H1568" s="2133">
        <f t="shared" si="353"/>
        <v>0</v>
      </c>
      <c r="I1568" s="2133">
        <f t="shared" si="345"/>
        <v>0</v>
      </c>
      <c r="J1568" s="2133">
        <f t="shared" si="346"/>
        <v>0</v>
      </c>
      <c r="K1568" s="2133">
        <f t="shared" si="347"/>
        <v>0</v>
      </c>
      <c r="M1568" s="2133">
        <f t="shared" si="348"/>
        <v>0</v>
      </c>
      <c r="N1568" s="2133">
        <f t="shared" si="349"/>
        <v>0</v>
      </c>
      <c r="O1568" s="2133">
        <f t="shared" si="350"/>
        <v>0</v>
      </c>
      <c r="P1568" s="2133">
        <f t="shared" si="351"/>
        <v>0</v>
      </c>
      <c r="Q1568" s="2133">
        <f t="shared" si="352"/>
        <v>0</v>
      </c>
    </row>
    <row r="1569" spans="1:19" s="2402" customFormat="1">
      <c r="A1569" s="2133" t="str">
        <f t="shared" si="343"/>
        <v>K4</v>
      </c>
      <c r="B1569" s="2133">
        <f t="shared" si="343"/>
        <v>0</v>
      </c>
      <c r="C1569" s="2244">
        <f t="shared" si="354"/>
        <v>0</v>
      </c>
      <c r="D1569" s="2244">
        <f t="shared" si="344"/>
        <v>8</v>
      </c>
      <c r="E1569" s="2244">
        <f t="shared" si="344"/>
        <v>0</v>
      </c>
      <c r="F1569" s="2244">
        <f t="shared" si="344"/>
        <v>0</v>
      </c>
      <c r="G1569" s="2244">
        <f t="shared" si="344"/>
        <v>0</v>
      </c>
      <c r="H1569" s="2133">
        <f t="shared" si="353"/>
        <v>0</v>
      </c>
      <c r="I1569" s="2133">
        <f t="shared" si="345"/>
        <v>0</v>
      </c>
      <c r="J1569" s="2133">
        <f t="shared" si="346"/>
        <v>0</v>
      </c>
      <c r="K1569" s="2133">
        <f t="shared" si="347"/>
        <v>0</v>
      </c>
      <c r="M1569" s="2133">
        <f t="shared" si="348"/>
        <v>0</v>
      </c>
      <c r="N1569" s="2133">
        <f t="shared" si="349"/>
        <v>0</v>
      </c>
      <c r="O1569" s="2133">
        <f t="shared" si="350"/>
        <v>0</v>
      </c>
      <c r="P1569" s="2133">
        <f t="shared" si="351"/>
        <v>0</v>
      </c>
      <c r="Q1569" s="2133">
        <f t="shared" si="352"/>
        <v>0</v>
      </c>
    </row>
    <row r="1570" spans="1:19" s="2402" customFormat="1">
      <c r="A1570" s="2133" t="str">
        <f t="shared" si="343"/>
        <v>K5</v>
      </c>
      <c r="B1570" s="2133">
        <f t="shared" si="343"/>
        <v>0</v>
      </c>
      <c r="C1570" s="2244">
        <f t="shared" si="354"/>
        <v>0</v>
      </c>
      <c r="D1570" s="2244">
        <f t="shared" si="344"/>
        <v>0</v>
      </c>
      <c r="E1570" s="2244">
        <f t="shared" si="344"/>
        <v>0</v>
      </c>
      <c r="F1570" s="2244">
        <f t="shared" si="344"/>
        <v>6</v>
      </c>
      <c r="G1570" s="2244">
        <f t="shared" si="344"/>
        <v>0</v>
      </c>
      <c r="H1570" s="2133">
        <f t="shared" si="353"/>
        <v>0</v>
      </c>
      <c r="I1570" s="2133">
        <f t="shared" si="345"/>
        <v>0</v>
      </c>
      <c r="J1570" s="2133">
        <f t="shared" si="346"/>
        <v>0</v>
      </c>
      <c r="K1570" s="2133">
        <f t="shared" si="347"/>
        <v>0</v>
      </c>
      <c r="M1570" s="2133">
        <f t="shared" si="348"/>
        <v>0</v>
      </c>
      <c r="N1570" s="2133">
        <f t="shared" si="349"/>
        <v>0</v>
      </c>
      <c r="O1570" s="2133">
        <f t="shared" si="350"/>
        <v>0</v>
      </c>
      <c r="P1570" s="2133">
        <f t="shared" si="351"/>
        <v>0</v>
      </c>
      <c r="Q1570" s="2133">
        <f t="shared" si="352"/>
        <v>0</v>
      </c>
    </row>
    <row r="1571" spans="1:19" s="2402" customFormat="1">
      <c r="A1571" s="2133" t="str">
        <f t="shared" si="343"/>
        <v>K6</v>
      </c>
      <c r="B1571" s="2133">
        <f t="shared" si="343"/>
        <v>0</v>
      </c>
      <c r="C1571" s="2244">
        <f t="shared" si="354"/>
        <v>0</v>
      </c>
      <c r="D1571" s="2244">
        <f t="shared" si="344"/>
        <v>0</v>
      </c>
      <c r="E1571" s="2244">
        <f t="shared" si="344"/>
        <v>0</v>
      </c>
      <c r="F1571" s="2244">
        <f t="shared" si="344"/>
        <v>8</v>
      </c>
      <c r="G1571" s="2244">
        <f t="shared" si="344"/>
        <v>0</v>
      </c>
      <c r="H1571" s="2133">
        <f t="shared" si="353"/>
        <v>0</v>
      </c>
      <c r="I1571" s="2133">
        <f t="shared" si="345"/>
        <v>0</v>
      </c>
      <c r="J1571" s="2133">
        <f t="shared" si="346"/>
        <v>0</v>
      </c>
      <c r="K1571" s="2133">
        <f t="shared" si="347"/>
        <v>0</v>
      </c>
      <c r="M1571" s="2133">
        <f t="shared" si="348"/>
        <v>0</v>
      </c>
      <c r="N1571" s="2133">
        <f t="shared" si="349"/>
        <v>0</v>
      </c>
      <c r="O1571" s="2133">
        <f t="shared" si="350"/>
        <v>0</v>
      </c>
      <c r="P1571" s="2133">
        <f t="shared" si="351"/>
        <v>0</v>
      </c>
      <c r="Q1571" s="2133">
        <f t="shared" si="352"/>
        <v>0</v>
      </c>
    </row>
    <row r="1572" spans="1:19" s="2402" customFormat="1">
      <c r="A1572" s="2133" t="str">
        <f t="shared" si="343"/>
        <v>K7</v>
      </c>
      <c r="B1572" s="2133">
        <f t="shared" si="343"/>
        <v>0</v>
      </c>
      <c r="C1572" s="2244">
        <f t="shared" si="354"/>
        <v>0</v>
      </c>
      <c r="D1572" s="2244">
        <f t="shared" si="344"/>
        <v>0</v>
      </c>
      <c r="E1572" s="2244">
        <f t="shared" si="344"/>
        <v>0</v>
      </c>
      <c r="F1572" s="2244">
        <f t="shared" si="344"/>
        <v>6</v>
      </c>
      <c r="G1572" s="2244">
        <f t="shared" si="344"/>
        <v>0</v>
      </c>
      <c r="H1572" s="2133">
        <f t="shared" si="353"/>
        <v>0</v>
      </c>
      <c r="I1572" s="2133">
        <f t="shared" si="345"/>
        <v>0</v>
      </c>
      <c r="J1572" s="2133">
        <f t="shared" si="346"/>
        <v>0</v>
      </c>
      <c r="K1572" s="2133">
        <f t="shared" si="347"/>
        <v>0</v>
      </c>
      <c r="M1572" s="2133">
        <f t="shared" si="348"/>
        <v>0</v>
      </c>
      <c r="N1572" s="2133">
        <f t="shared" si="349"/>
        <v>0</v>
      </c>
      <c r="O1572" s="2133">
        <f t="shared" si="350"/>
        <v>0</v>
      </c>
      <c r="P1572" s="2133">
        <f t="shared" si="351"/>
        <v>0</v>
      </c>
      <c r="Q1572" s="2133">
        <f t="shared" si="352"/>
        <v>0</v>
      </c>
    </row>
    <row r="1573" spans="1:19" s="2402" customFormat="1">
      <c r="A1573" s="2133" t="str">
        <f t="shared" si="343"/>
        <v>K8</v>
      </c>
      <c r="B1573" s="2133">
        <f t="shared" si="343"/>
        <v>0</v>
      </c>
      <c r="C1573" s="2244">
        <f t="shared" si="354"/>
        <v>0</v>
      </c>
      <c r="D1573" s="2244">
        <f t="shared" si="344"/>
        <v>0</v>
      </c>
      <c r="E1573" s="2244">
        <f t="shared" si="344"/>
        <v>0</v>
      </c>
      <c r="F1573" s="2244">
        <f t="shared" si="344"/>
        <v>0</v>
      </c>
      <c r="G1573" s="2244">
        <f t="shared" si="344"/>
        <v>0</v>
      </c>
      <c r="H1573" s="2133">
        <f t="shared" si="353"/>
        <v>0</v>
      </c>
      <c r="I1573" s="2133">
        <f t="shared" si="345"/>
        <v>0</v>
      </c>
      <c r="J1573" s="2133">
        <f t="shared" si="346"/>
        <v>0</v>
      </c>
      <c r="K1573" s="2133">
        <f t="shared" si="347"/>
        <v>0</v>
      </c>
      <c r="M1573" s="2133">
        <f t="shared" si="348"/>
        <v>0</v>
      </c>
      <c r="N1573" s="2133">
        <f t="shared" si="349"/>
        <v>0</v>
      </c>
      <c r="O1573" s="2133">
        <f t="shared" si="350"/>
        <v>0</v>
      </c>
      <c r="P1573" s="2133">
        <f t="shared" si="351"/>
        <v>0</v>
      </c>
      <c r="Q1573" s="2133">
        <f t="shared" si="352"/>
        <v>0</v>
      </c>
    </row>
    <row r="1574" spans="1:19" s="2402" customFormat="1">
      <c r="A1574" s="2133" t="str">
        <f t="shared" si="343"/>
        <v>K9</v>
      </c>
      <c r="B1574" s="2133">
        <f t="shared" si="343"/>
        <v>0</v>
      </c>
      <c r="C1574" s="2244">
        <f t="shared" si="354"/>
        <v>0</v>
      </c>
      <c r="D1574" s="2244">
        <f t="shared" si="344"/>
        <v>0</v>
      </c>
      <c r="E1574" s="2244">
        <f t="shared" si="344"/>
        <v>0</v>
      </c>
      <c r="F1574" s="2244">
        <f t="shared" si="344"/>
        <v>0</v>
      </c>
      <c r="G1574" s="2244">
        <f t="shared" si="344"/>
        <v>0</v>
      </c>
      <c r="H1574" s="2133">
        <f t="shared" si="353"/>
        <v>0</v>
      </c>
      <c r="I1574" s="2133">
        <f t="shared" si="345"/>
        <v>0</v>
      </c>
      <c r="J1574" s="2133">
        <f t="shared" si="346"/>
        <v>0</v>
      </c>
      <c r="K1574" s="2133">
        <f t="shared" si="347"/>
        <v>0</v>
      </c>
      <c r="M1574" s="2133">
        <f t="shared" si="348"/>
        <v>0</v>
      </c>
      <c r="N1574" s="2133">
        <f t="shared" si="349"/>
        <v>0</v>
      </c>
      <c r="O1574" s="2133">
        <f t="shared" si="350"/>
        <v>0</v>
      </c>
      <c r="P1574" s="2133">
        <f t="shared" si="351"/>
        <v>0</v>
      </c>
      <c r="Q1574" s="2133">
        <f t="shared" si="352"/>
        <v>0</v>
      </c>
    </row>
    <row r="1575" spans="1:19" s="2402" customFormat="1" ht="15" customHeight="1">
      <c r="A1575" s="2133" t="str">
        <f t="shared" si="343"/>
        <v>K10</v>
      </c>
      <c r="B1575" s="2133">
        <f t="shared" si="343"/>
        <v>0</v>
      </c>
      <c r="C1575" s="2244">
        <f t="shared" si="354"/>
        <v>0</v>
      </c>
      <c r="D1575" s="2244">
        <f t="shared" si="344"/>
        <v>0</v>
      </c>
      <c r="E1575" s="2244">
        <f t="shared" si="344"/>
        <v>0</v>
      </c>
      <c r="F1575" s="2244">
        <f t="shared" si="344"/>
        <v>0</v>
      </c>
      <c r="G1575" s="2244">
        <f t="shared" si="344"/>
        <v>0</v>
      </c>
      <c r="H1575" s="2133">
        <f t="shared" si="353"/>
        <v>0</v>
      </c>
      <c r="I1575" s="2133">
        <f t="shared" si="345"/>
        <v>0</v>
      </c>
      <c r="J1575" s="2133">
        <f t="shared" si="346"/>
        <v>0</v>
      </c>
      <c r="K1575" s="2133">
        <f t="shared" si="347"/>
        <v>0</v>
      </c>
      <c r="M1575" s="2392">
        <f t="shared" si="348"/>
        <v>0</v>
      </c>
      <c r="N1575" s="2392">
        <f t="shared" si="349"/>
        <v>0</v>
      </c>
      <c r="O1575" s="2392">
        <f t="shared" si="350"/>
        <v>0</v>
      </c>
      <c r="P1575" s="2133">
        <f t="shared" si="351"/>
        <v>0</v>
      </c>
      <c r="Q1575" s="2392">
        <f t="shared" si="352"/>
        <v>0</v>
      </c>
    </row>
    <row r="1576" spans="1:19" s="2402" customFormat="1">
      <c r="A1576" s="2133" t="str">
        <f t="shared" si="343"/>
        <v>K11</v>
      </c>
      <c r="B1576" s="2133">
        <f t="shared" si="343"/>
        <v>0</v>
      </c>
      <c r="C1576" s="2244">
        <f t="shared" si="354"/>
        <v>0</v>
      </c>
      <c r="D1576" s="2244">
        <f t="shared" si="344"/>
        <v>0</v>
      </c>
      <c r="E1576" s="2244">
        <f t="shared" si="344"/>
        <v>0</v>
      </c>
      <c r="F1576" s="2244">
        <f t="shared" si="344"/>
        <v>0</v>
      </c>
      <c r="G1576" s="2244">
        <f t="shared" si="344"/>
        <v>0</v>
      </c>
      <c r="H1576" s="2133">
        <f t="shared" si="353"/>
        <v>0</v>
      </c>
      <c r="I1576" s="2133">
        <f t="shared" si="345"/>
        <v>0</v>
      </c>
      <c r="J1576" s="2133">
        <f t="shared" si="346"/>
        <v>0</v>
      </c>
      <c r="K1576" s="2133">
        <f t="shared" si="347"/>
        <v>0</v>
      </c>
      <c r="M1576" s="2133">
        <f t="shared" si="348"/>
        <v>0</v>
      </c>
      <c r="N1576" s="2133">
        <f t="shared" si="349"/>
        <v>0</v>
      </c>
      <c r="O1576" s="2133">
        <f t="shared" si="350"/>
        <v>0</v>
      </c>
      <c r="P1576" s="2133">
        <f t="shared" si="351"/>
        <v>0</v>
      </c>
      <c r="Q1576" s="2133">
        <f t="shared" si="352"/>
        <v>0</v>
      </c>
    </row>
    <row r="1577" spans="1:19" s="2402" customFormat="1">
      <c r="A1577" s="2133" t="str">
        <f t="shared" si="343"/>
        <v>K12</v>
      </c>
      <c r="B1577" s="2133">
        <f t="shared" si="343"/>
        <v>0</v>
      </c>
      <c r="C1577" s="2244">
        <f t="shared" si="354"/>
        <v>0</v>
      </c>
      <c r="D1577" s="2244">
        <f t="shared" si="344"/>
        <v>0</v>
      </c>
      <c r="E1577" s="2244">
        <f t="shared" si="344"/>
        <v>0</v>
      </c>
      <c r="F1577" s="2244">
        <f t="shared" si="344"/>
        <v>0</v>
      </c>
      <c r="G1577" s="2244">
        <f t="shared" si="344"/>
        <v>0</v>
      </c>
      <c r="H1577" s="2133">
        <f t="shared" si="353"/>
        <v>0</v>
      </c>
      <c r="I1577" s="2133">
        <f t="shared" si="345"/>
        <v>0</v>
      </c>
      <c r="J1577" s="2133">
        <f t="shared" si="346"/>
        <v>0</v>
      </c>
      <c r="K1577" s="2133">
        <f t="shared" si="347"/>
        <v>0</v>
      </c>
      <c r="M1577" s="2133">
        <f t="shared" si="348"/>
        <v>0</v>
      </c>
      <c r="N1577" s="2133">
        <f t="shared" si="349"/>
        <v>0</v>
      </c>
      <c r="O1577" s="2133">
        <f t="shared" si="350"/>
        <v>0</v>
      </c>
      <c r="P1577" s="2133">
        <f t="shared" si="351"/>
        <v>0</v>
      </c>
      <c r="Q1577" s="2133">
        <f t="shared" si="352"/>
        <v>0</v>
      </c>
    </row>
    <row r="1578" spans="1:19" s="2402" customFormat="1">
      <c r="A1578" s="2133" t="str">
        <f t="shared" si="343"/>
        <v>K13</v>
      </c>
      <c r="B1578" s="2133">
        <f t="shared" si="343"/>
        <v>0</v>
      </c>
      <c r="C1578" s="2244">
        <f t="shared" si="354"/>
        <v>0</v>
      </c>
      <c r="D1578" s="2244">
        <f t="shared" si="344"/>
        <v>0</v>
      </c>
      <c r="E1578" s="2244">
        <f t="shared" si="344"/>
        <v>0</v>
      </c>
      <c r="F1578" s="2244">
        <f t="shared" si="344"/>
        <v>0</v>
      </c>
      <c r="G1578" s="2244">
        <f t="shared" si="344"/>
        <v>0</v>
      </c>
      <c r="H1578" s="2133">
        <f t="shared" si="353"/>
        <v>0</v>
      </c>
      <c r="I1578" s="2133">
        <f t="shared" si="345"/>
        <v>0</v>
      </c>
      <c r="J1578" s="2133">
        <f t="shared" si="346"/>
        <v>0</v>
      </c>
      <c r="K1578" s="2133">
        <f t="shared" si="347"/>
        <v>0</v>
      </c>
      <c r="M1578" s="2133">
        <f t="shared" si="348"/>
        <v>0</v>
      </c>
      <c r="N1578" s="2133">
        <f t="shared" si="349"/>
        <v>0</v>
      </c>
      <c r="O1578" s="2133">
        <f t="shared" si="350"/>
        <v>0</v>
      </c>
      <c r="P1578" s="2133">
        <f t="shared" si="351"/>
        <v>0</v>
      </c>
      <c r="Q1578" s="2133">
        <f t="shared" si="352"/>
        <v>0</v>
      </c>
    </row>
    <row r="1579" spans="1:19" s="2402" customFormat="1">
      <c r="A1579" s="2133" t="str">
        <f t="shared" si="343"/>
        <v>K14</v>
      </c>
      <c r="B1579" s="2133">
        <f t="shared" si="343"/>
        <v>0</v>
      </c>
      <c r="C1579" s="2244">
        <f t="shared" si="354"/>
        <v>0</v>
      </c>
      <c r="D1579" s="2244">
        <f t="shared" si="344"/>
        <v>0</v>
      </c>
      <c r="E1579" s="2244">
        <f t="shared" si="344"/>
        <v>0</v>
      </c>
      <c r="F1579" s="2244">
        <f t="shared" si="344"/>
        <v>0</v>
      </c>
      <c r="G1579" s="2244">
        <f t="shared" si="344"/>
        <v>0</v>
      </c>
      <c r="H1579" s="2133">
        <f t="shared" si="353"/>
        <v>0</v>
      </c>
      <c r="I1579" s="2133">
        <f t="shared" si="345"/>
        <v>0</v>
      </c>
      <c r="J1579" s="2133">
        <f t="shared" si="346"/>
        <v>0</v>
      </c>
      <c r="K1579" s="2133">
        <f t="shared" si="347"/>
        <v>0</v>
      </c>
      <c r="M1579" s="2133">
        <f t="shared" si="348"/>
        <v>0</v>
      </c>
      <c r="N1579" s="2133">
        <f t="shared" si="349"/>
        <v>0</v>
      </c>
      <c r="O1579" s="2133">
        <f t="shared" si="350"/>
        <v>0</v>
      </c>
      <c r="P1579" s="2133">
        <f>P1310</f>
        <v>0</v>
      </c>
      <c r="Q1579" s="2133">
        <f t="shared" si="352"/>
        <v>0</v>
      </c>
    </row>
    <row r="1580" spans="1:19" s="2402" customFormat="1">
      <c r="A1580" s="2133" t="str">
        <f t="shared" si="343"/>
        <v>K15</v>
      </c>
      <c r="B1580" s="2133">
        <f t="shared" si="343"/>
        <v>0</v>
      </c>
      <c r="C1580" s="2244">
        <f t="shared" si="354"/>
        <v>0</v>
      </c>
      <c r="D1580" s="2244">
        <f t="shared" si="344"/>
        <v>0</v>
      </c>
      <c r="E1580" s="2244">
        <f t="shared" si="344"/>
        <v>0</v>
      </c>
      <c r="F1580" s="2244">
        <f t="shared" si="344"/>
        <v>0</v>
      </c>
      <c r="G1580" s="2244">
        <f t="shared" si="344"/>
        <v>0</v>
      </c>
      <c r="H1580" s="2133">
        <f t="shared" si="353"/>
        <v>0</v>
      </c>
      <c r="I1580" s="2133">
        <f t="shared" si="345"/>
        <v>0</v>
      </c>
      <c r="J1580" s="2133">
        <f t="shared" si="346"/>
        <v>0</v>
      </c>
      <c r="K1580" s="2133">
        <f t="shared" si="347"/>
        <v>0</v>
      </c>
      <c r="M1580" s="2133">
        <f t="shared" si="348"/>
        <v>0</v>
      </c>
      <c r="N1580" s="2133">
        <f t="shared" si="349"/>
        <v>0</v>
      </c>
      <c r="O1580" s="2133">
        <f t="shared" si="350"/>
        <v>0</v>
      </c>
      <c r="P1580" s="2133">
        <f>P1311</f>
        <v>0</v>
      </c>
      <c r="Q1580" s="2133">
        <f t="shared" si="352"/>
        <v>0</v>
      </c>
    </row>
    <row r="1581" spans="1:19" s="2402" customFormat="1">
      <c r="A1581" s="2133" t="str">
        <f t="shared" si="343"/>
        <v>K16</v>
      </c>
      <c r="B1581" s="2133">
        <f t="shared" si="343"/>
        <v>0</v>
      </c>
      <c r="C1581" s="2244">
        <f t="shared" si="354"/>
        <v>0</v>
      </c>
      <c r="D1581" s="2244">
        <f t="shared" si="344"/>
        <v>0</v>
      </c>
      <c r="E1581" s="2244">
        <f t="shared" si="344"/>
        <v>0</v>
      </c>
      <c r="F1581" s="2244">
        <f t="shared" si="344"/>
        <v>0</v>
      </c>
      <c r="G1581" s="2244">
        <f t="shared" si="344"/>
        <v>0</v>
      </c>
      <c r="H1581" s="2133">
        <f t="shared" si="353"/>
        <v>0</v>
      </c>
      <c r="I1581" s="2133">
        <f t="shared" si="345"/>
        <v>0</v>
      </c>
      <c r="J1581" s="2133">
        <f t="shared" si="346"/>
        <v>0</v>
      </c>
      <c r="K1581" s="2133">
        <f t="shared" si="347"/>
        <v>0</v>
      </c>
      <c r="M1581" s="2133">
        <f t="shared" si="348"/>
        <v>0</v>
      </c>
      <c r="N1581" s="2133">
        <f t="shared" si="349"/>
        <v>0</v>
      </c>
      <c r="O1581" s="2133">
        <f t="shared" si="350"/>
        <v>0</v>
      </c>
      <c r="P1581" s="2133">
        <f>P1312</f>
        <v>0</v>
      </c>
      <c r="Q1581" s="2133">
        <f t="shared" si="352"/>
        <v>0</v>
      </c>
    </row>
    <row r="1582" spans="1:19" s="2402" customFormat="1">
      <c r="A1582" s="2133" t="str">
        <f t="shared" si="343"/>
        <v>K17</v>
      </c>
      <c r="B1582" s="2133">
        <f t="shared" si="343"/>
        <v>0</v>
      </c>
      <c r="C1582" s="2244">
        <f t="shared" si="354"/>
        <v>0</v>
      </c>
      <c r="D1582" s="2244">
        <f t="shared" si="344"/>
        <v>0</v>
      </c>
      <c r="E1582" s="2244">
        <f t="shared" si="344"/>
        <v>0</v>
      </c>
      <c r="F1582" s="2244">
        <f t="shared" si="344"/>
        <v>0</v>
      </c>
      <c r="G1582" s="2244">
        <f t="shared" si="344"/>
        <v>0</v>
      </c>
      <c r="H1582" s="2133">
        <f t="shared" si="353"/>
        <v>0</v>
      </c>
      <c r="I1582" s="2133">
        <f t="shared" si="345"/>
        <v>0</v>
      </c>
      <c r="J1582" s="2133">
        <f t="shared" si="346"/>
        <v>0</v>
      </c>
      <c r="K1582" s="2133">
        <f t="shared" si="347"/>
        <v>0</v>
      </c>
      <c r="M1582" s="2133">
        <f t="shared" si="348"/>
        <v>0</v>
      </c>
      <c r="N1582" s="2133">
        <f t="shared" si="349"/>
        <v>0</v>
      </c>
      <c r="O1582" s="2133">
        <f t="shared" si="350"/>
        <v>0</v>
      </c>
      <c r="P1582" s="2133">
        <f>P1313</f>
        <v>0</v>
      </c>
      <c r="Q1582" s="2133">
        <f t="shared" si="352"/>
        <v>0</v>
      </c>
    </row>
    <row r="1583" spans="1:19" s="2402" customFormat="1" ht="15" customHeight="1">
      <c r="A1583" s="2133" t="str">
        <f t="shared" si="343"/>
        <v>K18</v>
      </c>
      <c r="B1583" s="2133">
        <f t="shared" si="343"/>
        <v>0</v>
      </c>
      <c r="C1583" s="2244">
        <f t="shared" si="354"/>
        <v>0</v>
      </c>
      <c r="D1583" s="2244">
        <f t="shared" si="344"/>
        <v>0</v>
      </c>
      <c r="E1583" s="2244">
        <f t="shared" si="344"/>
        <v>0</v>
      </c>
      <c r="F1583" s="2244">
        <f t="shared" si="344"/>
        <v>0</v>
      </c>
      <c r="G1583" s="2244">
        <f t="shared" si="344"/>
        <v>0</v>
      </c>
      <c r="H1583" s="2133">
        <f t="shared" si="353"/>
        <v>0</v>
      </c>
      <c r="I1583" s="2133">
        <f t="shared" si="345"/>
        <v>0</v>
      </c>
      <c r="J1583" s="2133">
        <f t="shared" si="346"/>
        <v>0</v>
      </c>
      <c r="K1583" s="2133">
        <f t="shared" si="347"/>
        <v>0</v>
      </c>
      <c r="M1583" s="2392">
        <f t="shared" si="348"/>
        <v>0</v>
      </c>
      <c r="N1583" s="2392">
        <f t="shared" si="349"/>
        <v>0</v>
      </c>
      <c r="O1583" s="2392">
        <f t="shared" si="350"/>
        <v>0</v>
      </c>
      <c r="P1583" s="2133">
        <f>P1314</f>
        <v>0</v>
      </c>
      <c r="Q1583" s="2392">
        <f t="shared" si="352"/>
        <v>0</v>
      </c>
    </row>
    <row r="1584" spans="1:19" s="2402" customFormat="1" ht="15" customHeight="1">
      <c r="C1584" s="2244">
        <f>N46</f>
        <v>0</v>
      </c>
      <c r="F1584" s="2804" t="s">
        <v>2074</v>
      </c>
      <c r="G1584" s="2805"/>
      <c r="H1584" s="2133">
        <f>SUM(H1566:H1583)</f>
        <v>0</v>
      </c>
      <c r="I1584" s="2133">
        <f>SUM(I1566:I1583)</f>
        <v>0</v>
      </c>
      <c r="J1584" s="2133">
        <f>SUM(J1566:J1583)</f>
        <v>0</v>
      </c>
      <c r="K1584" s="2133">
        <f>SUM(K1566:K1583)</f>
        <v>0</v>
      </c>
      <c r="M1584" s="2804" t="s">
        <v>1972</v>
      </c>
      <c r="N1584" s="2805"/>
      <c r="O1584" s="2805"/>
      <c r="P1584" s="2837"/>
      <c r="Q1584" s="2135">
        <f>SUMIF($I$134:$I$151,S1584,$Q$1566:$Q$1583)</f>
        <v>0</v>
      </c>
      <c r="R1584" s="2139">
        <f>Q1584*0.4</f>
        <v>0</v>
      </c>
      <c r="S1584" s="2402">
        <v>8</v>
      </c>
    </row>
    <row r="1585" spans="1:19" s="2402" customFormat="1" ht="15">
      <c r="F1585" s="2804" t="s">
        <v>2075</v>
      </c>
      <c r="G1585" s="2805"/>
      <c r="H1585" s="2401">
        <f>H1584*1.58</f>
        <v>0</v>
      </c>
      <c r="I1585" s="2133">
        <f>I1584*1.04</f>
        <v>0</v>
      </c>
      <c r="J1585" s="2401">
        <f>J1584*0.89</f>
        <v>0</v>
      </c>
      <c r="K1585" s="2203">
        <f>K1584*0.62</f>
        <v>0</v>
      </c>
      <c r="M1585" s="2804" t="s">
        <v>2431</v>
      </c>
      <c r="N1585" s="2805"/>
      <c r="O1585" s="2805"/>
      <c r="P1585" s="2837"/>
      <c r="Q1585" s="2135">
        <f>SUMIF($I$134:$I$151,S1585,$Q$1566:$Q$1583)</f>
        <v>0</v>
      </c>
      <c r="R1585" s="2139">
        <f>Q1585*0.62</f>
        <v>0</v>
      </c>
      <c r="S1585" s="2402">
        <v>10</v>
      </c>
    </row>
    <row r="1586" spans="1:19" s="2402" customFormat="1"/>
    <row r="1587" spans="1:19" s="2402" customFormat="1">
      <c r="A1587" s="2399" t="s">
        <v>1796</v>
      </c>
      <c r="B1587" s="2399" t="s">
        <v>1608</v>
      </c>
      <c r="C1587" s="2399" t="s">
        <v>2062</v>
      </c>
      <c r="D1587" s="2399" t="s">
        <v>1807</v>
      </c>
      <c r="E1587" s="2399" t="s">
        <v>1997</v>
      </c>
      <c r="F1587" s="2399" t="s">
        <v>1568</v>
      </c>
      <c r="M1587" s="2133" t="s">
        <v>1607</v>
      </c>
      <c r="N1587" s="2133" t="s">
        <v>1611</v>
      </c>
      <c r="O1587" s="2133" t="s">
        <v>1168</v>
      </c>
      <c r="P1587" s="2133" t="s">
        <v>1205</v>
      </c>
      <c r="Q1587" s="2133" t="s">
        <v>1243</v>
      </c>
    </row>
    <row r="1588" spans="1:19" s="2402" customFormat="1">
      <c r="A1588" s="2133" t="str">
        <f t="shared" ref="A1588:C1589" si="355">A1560</f>
        <v>KP1</v>
      </c>
      <c r="B1588" s="2133">
        <f t="shared" si="355"/>
        <v>0</v>
      </c>
      <c r="C1588" s="2133">
        <f t="shared" si="355"/>
        <v>69</v>
      </c>
      <c r="D1588" s="2133">
        <v>4</v>
      </c>
      <c r="E1588" s="2133"/>
      <c r="F1588" s="2133">
        <f>B1588*C1588*D1588</f>
        <v>0</v>
      </c>
      <c r="M1588" s="2133">
        <f>(B1588/2)/0.2</f>
        <v>0</v>
      </c>
      <c r="N1588" s="2133">
        <f>(B1588/2)/0.1</f>
        <v>0</v>
      </c>
      <c r="O1588" s="2133">
        <f>SUM(M1588:N1588)*C1588</f>
        <v>0</v>
      </c>
      <c r="P1588" s="2133">
        <f>P1255</f>
        <v>0.4</v>
      </c>
      <c r="Q1588" s="2133">
        <f>O1588*P1588</f>
        <v>0</v>
      </c>
    </row>
    <row r="1589" spans="1:19" s="2402" customFormat="1" ht="15" customHeight="1">
      <c r="A1589" s="2133" t="str">
        <f t="shared" si="355"/>
        <v>KP2</v>
      </c>
      <c r="B1589" s="2133">
        <f t="shared" si="355"/>
        <v>0</v>
      </c>
      <c r="C1589" s="2133">
        <f t="shared" si="355"/>
        <v>0</v>
      </c>
      <c r="D1589" s="2133">
        <v>4</v>
      </c>
      <c r="E1589" s="2133">
        <v>0</v>
      </c>
      <c r="F1589" s="2133">
        <f>B1589*C1589*D1589</f>
        <v>0</v>
      </c>
      <c r="M1589" s="2392">
        <f>(B1589/2)/0.2</f>
        <v>0</v>
      </c>
      <c r="N1589" s="2392">
        <f>(B1589/2)/0.1</f>
        <v>0</v>
      </c>
      <c r="O1589" s="2392">
        <f>SUM(M1589:N1589)*C1589</f>
        <v>0</v>
      </c>
      <c r="P1589" s="2133">
        <f>P1256</f>
        <v>0</v>
      </c>
      <c r="Q1589" s="2392">
        <f>O1589*P1589</f>
        <v>0</v>
      </c>
    </row>
    <row r="1590" spans="1:19" s="2402" customFormat="1" ht="15" customHeight="1">
      <c r="D1590" s="2804" t="s">
        <v>2074</v>
      </c>
      <c r="E1590" s="2805"/>
      <c r="F1590" s="2133">
        <f>SUM(F1588:F1589)</f>
        <v>0</v>
      </c>
      <c r="M1590" s="2804" t="s">
        <v>2109</v>
      </c>
      <c r="N1590" s="2805"/>
      <c r="O1590" s="2805"/>
      <c r="P1590" s="2837"/>
      <c r="Q1590" s="2135">
        <f>SUM(Q1588:Q1589)</f>
        <v>0</v>
      </c>
    </row>
    <row r="1591" spans="1:19" s="2402" customFormat="1" ht="15">
      <c r="D1591" s="2804" t="s">
        <v>2075</v>
      </c>
      <c r="E1591" s="2805"/>
      <c r="F1591" s="2401">
        <f>F1590*0.62</f>
        <v>0</v>
      </c>
      <c r="M1591" s="2804" t="s">
        <v>2108</v>
      </c>
      <c r="N1591" s="2805"/>
      <c r="O1591" s="2805"/>
      <c r="P1591" s="2837"/>
      <c r="Q1591" s="2401">
        <f>Q1590*0.4</f>
        <v>0</v>
      </c>
    </row>
    <row r="1592" spans="1:19" s="2402" customFormat="1"/>
    <row r="1593" spans="1:19" s="2402" customFormat="1">
      <c r="A1593" s="2399" t="s">
        <v>1612</v>
      </c>
      <c r="B1593" s="2399" t="s">
        <v>1608</v>
      </c>
      <c r="C1593" s="2399" t="s">
        <v>2062</v>
      </c>
      <c r="D1593" s="2399" t="s">
        <v>2089</v>
      </c>
      <c r="E1593" s="2399" t="s">
        <v>1568</v>
      </c>
    </row>
    <row r="1594" spans="1:19" s="2402" customFormat="1">
      <c r="A1594" s="2391" t="str">
        <f t="shared" ref="A1594:C1611" si="356">A1539</f>
        <v>K1</v>
      </c>
      <c r="B1594" s="2391">
        <f t="shared" si="356"/>
        <v>0</v>
      </c>
      <c r="C1594" s="2391">
        <f t="shared" si="356"/>
        <v>0</v>
      </c>
      <c r="D1594" s="2391">
        <f>$D$189</f>
        <v>2.2000000000000002</v>
      </c>
      <c r="E1594" s="2391">
        <f t="shared" ref="E1594:E1611" si="357">B1594*C1594*D1594</f>
        <v>0</v>
      </c>
    </row>
    <row r="1595" spans="1:19" s="2402" customFormat="1">
      <c r="A1595" s="2133" t="str">
        <f t="shared" si="356"/>
        <v>K2</v>
      </c>
      <c r="B1595" s="2391">
        <f t="shared" si="356"/>
        <v>0</v>
      </c>
      <c r="C1595" s="2391">
        <f t="shared" si="356"/>
        <v>0</v>
      </c>
      <c r="D1595" s="2391">
        <f>$D$190</f>
        <v>0</v>
      </c>
      <c r="E1595" s="2133">
        <f t="shared" si="357"/>
        <v>0</v>
      </c>
    </row>
    <row r="1596" spans="1:19" s="2402" customFormat="1">
      <c r="A1596" s="2133" t="str">
        <f t="shared" si="356"/>
        <v>K3</v>
      </c>
      <c r="B1596" s="2391">
        <f t="shared" si="356"/>
        <v>0</v>
      </c>
      <c r="C1596" s="2391">
        <f t="shared" si="356"/>
        <v>0</v>
      </c>
      <c r="D1596" s="2391">
        <f>$D$191</f>
        <v>1.2000000000000002</v>
      </c>
      <c r="E1596" s="2133">
        <f t="shared" si="357"/>
        <v>0</v>
      </c>
    </row>
    <row r="1597" spans="1:19" s="2402" customFormat="1">
      <c r="A1597" s="2133" t="str">
        <f t="shared" si="356"/>
        <v>K4</v>
      </c>
      <c r="B1597" s="2391">
        <f t="shared" si="356"/>
        <v>0</v>
      </c>
      <c r="C1597" s="2391">
        <f t="shared" si="356"/>
        <v>0</v>
      </c>
      <c r="D1597" s="2391">
        <f>$D$192</f>
        <v>1.1000000000000001</v>
      </c>
      <c r="E1597" s="2133">
        <f t="shared" si="357"/>
        <v>0</v>
      </c>
    </row>
    <row r="1598" spans="1:19" s="2402" customFormat="1">
      <c r="A1598" s="2133" t="str">
        <f t="shared" si="356"/>
        <v>K5</v>
      </c>
      <c r="B1598" s="2391">
        <f t="shared" si="356"/>
        <v>0</v>
      </c>
      <c r="C1598" s="2391">
        <f t="shared" si="356"/>
        <v>0</v>
      </c>
      <c r="D1598" s="2391">
        <f>$D$193</f>
        <v>0.89999999999999991</v>
      </c>
      <c r="E1598" s="2133">
        <f t="shared" si="357"/>
        <v>0</v>
      </c>
    </row>
    <row r="1599" spans="1:19" s="2402" customFormat="1">
      <c r="A1599" s="2133" t="str">
        <f t="shared" si="356"/>
        <v>K6</v>
      </c>
      <c r="B1599" s="2391">
        <f t="shared" si="356"/>
        <v>0</v>
      </c>
      <c r="C1599" s="2391">
        <f t="shared" si="356"/>
        <v>0</v>
      </c>
      <c r="D1599" s="2391">
        <f>$D$194</f>
        <v>1</v>
      </c>
      <c r="E1599" s="2133">
        <f t="shared" si="357"/>
        <v>0</v>
      </c>
    </row>
    <row r="1600" spans="1:19" s="2402" customFormat="1">
      <c r="A1600" s="2133" t="str">
        <f t="shared" si="356"/>
        <v>K7</v>
      </c>
      <c r="B1600" s="2391">
        <f t="shared" si="356"/>
        <v>0</v>
      </c>
      <c r="C1600" s="2391">
        <f t="shared" si="356"/>
        <v>0</v>
      </c>
      <c r="D1600" s="2391">
        <f>$D$195</f>
        <v>0.8</v>
      </c>
      <c r="E1600" s="2133">
        <f t="shared" si="357"/>
        <v>0</v>
      </c>
    </row>
    <row r="1601" spans="1:7" s="2402" customFormat="1">
      <c r="A1601" s="2133" t="str">
        <f t="shared" si="356"/>
        <v>K8</v>
      </c>
      <c r="B1601" s="2391">
        <f t="shared" si="356"/>
        <v>0</v>
      </c>
      <c r="C1601" s="2391">
        <f t="shared" si="356"/>
        <v>0</v>
      </c>
      <c r="D1601" s="2391">
        <f>$D$196</f>
        <v>0</v>
      </c>
      <c r="E1601" s="2133">
        <f t="shared" si="357"/>
        <v>0</v>
      </c>
    </row>
    <row r="1602" spans="1:7" s="2402" customFormat="1" ht="15" customHeight="1">
      <c r="A1602" s="2133" t="str">
        <f t="shared" si="356"/>
        <v>K9</v>
      </c>
      <c r="B1602" s="2391">
        <f t="shared" si="356"/>
        <v>0</v>
      </c>
      <c r="C1602" s="2391">
        <f t="shared" si="356"/>
        <v>0</v>
      </c>
      <c r="D1602" s="2391">
        <f>$D$197</f>
        <v>0</v>
      </c>
      <c r="E1602" s="2133">
        <f t="shared" si="357"/>
        <v>0</v>
      </c>
    </row>
    <row r="1603" spans="1:7" s="2402" customFormat="1" ht="15" customHeight="1">
      <c r="A1603" s="2133" t="str">
        <f t="shared" si="356"/>
        <v>K10</v>
      </c>
      <c r="B1603" s="2391">
        <f t="shared" si="356"/>
        <v>0</v>
      </c>
      <c r="C1603" s="2391">
        <f t="shared" si="356"/>
        <v>0</v>
      </c>
      <c r="D1603" s="2391">
        <f>$D$198</f>
        <v>0</v>
      </c>
      <c r="E1603" s="2133">
        <f t="shared" si="357"/>
        <v>0</v>
      </c>
    </row>
    <row r="1604" spans="1:7" s="2402" customFormat="1">
      <c r="A1604" s="2133" t="str">
        <f t="shared" si="356"/>
        <v>K11</v>
      </c>
      <c r="B1604" s="2391">
        <f t="shared" si="356"/>
        <v>0</v>
      </c>
      <c r="C1604" s="2391">
        <f t="shared" si="356"/>
        <v>0</v>
      </c>
      <c r="D1604" s="2391">
        <f>$D$199</f>
        <v>0</v>
      </c>
      <c r="E1604" s="2133">
        <f t="shared" si="357"/>
        <v>0</v>
      </c>
    </row>
    <row r="1605" spans="1:7" s="2402" customFormat="1">
      <c r="A1605" s="2133" t="str">
        <f t="shared" si="356"/>
        <v>K12</v>
      </c>
      <c r="B1605" s="2391">
        <f t="shared" si="356"/>
        <v>0</v>
      </c>
      <c r="C1605" s="2391">
        <f t="shared" si="356"/>
        <v>0</v>
      </c>
      <c r="D1605" s="2391">
        <f>$D$200</f>
        <v>0</v>
      </c>
      <c r="E1605" s="2133">
        <f t="shared" si="357"/>
        <v>0</v>
      </c>
    </row>
    <row r="1606" spans="1:7" s="2402" customFormat="1">
      <c r="A1606" s="2133" t="str">
        <f t="shared" si="356"/>
        <v>K13</v>
      </c>
      <c r="B1606" s="2391">
        <f t="shared" si="356"/>
        <v>0</v>
      </c>
      <c r="C1606" s="2391">
        <f t="shared" si="356"/>
        <v>0</v>
      </c>
      <c r="D1606" s="2391">
        <f>$D$201</f>
        <v>0</v>
      </c>
      <c r="E1606" s="2133">
        <f t="shared" si="357"/>
        <v>0</v>
      </c>
    </row>
    <row r="1607" spans="1:7" s="2402" customFormat="1">
      <c r="A1607" s="2133" t="str">
        <f t="shared" si="356"/>
        <v>K14</v>
      </c>
      <c r="B1607" s="2391">
        <f t="shared" si="356"/>
        <v>0</v>
      </c>
      <c r="C1607" s="2391">
        <f t="shared" si="356"/>
        <v>0</v>
      </c>
      <c r="D1607" s="2391">
        <f>$D$202</f>
        <v>0</v>
      </c>
      <c r="E1607" s="2133">
        <f t="shared" si="357"/>
        <v>0</v>
      </c>
    </row>
    <row r="1608" spans="1:7" s="2402" customFormat="1">
      <c r="A1608" s="2133" t="str">
        <f t="shared" si="356"/>
        <v>K15</v>
      </c>
      <c r="B1608" s="2391">
        <f t="shared" si="356"/>
        <v>0</v>
      </c>
      <c r="C1608" s="2391">
        <f t="shared" si="356"/>
        <v>0</v>
      </c>
      <c r="D1608" s="2391">
        <f>$D$203</f>
        <v>0</v>
      </c>
      <c r="E1608" s="2133">
        <f t="shared" si="357"/>
        <v>0</v>
      </c>
    </row>
    <row r="1609" spans="1:7" s="2402" customFormat="1">
      <c r="A1609" s="2133" t="str">
        <f t="shared" si="356"/>
        <v>K16</v>
      </c>
      <c r="B1609" s="2391">
        <f t="shared" si="356"/>
        <v>0</v>
      </c>
      <c r="C1609" s="2391">
        <f t="shared" si="356"/>
        <v>0</v>
      </c>
      <c r="D1609" s="2391">
        <f>$D$204</f>
        <v>0</v>
      </c>
      <c r="E1609" s="2133">
        <f t="shared" si="357"/>
        <v>0</v>
      </c>
    </row>
    <row r="1610" spans="1:7" s="2402" customFormat="1" ht="15" customHeight="1">
      <c r="A1610" s="2133" t="str">
        <f t="shared" si="356"/>
        <v>K17</v>
      </c>
      <c r="B1610" s="2391">
        <f t="shared" si="356"/>
        <v>0</v>
      </c>
      <c r="C1610" s="2391">
        <f t="shared" si="356"/>
        <v>0</v>
      </c>
      <c r="D1610" s="2391">
        <f>$D$205</f>
        <v>0</v>
      </c>
      <c r="E1610" s="2133">
        <f t="shared" si="357"/>
        <v>0</v>
      </c>
    </row>
    <row r="1611" spans="1:7" s="2402" customFormat="1" ht="15" customHeight="1">
      <c r="A1611" s="2133" t="str">
        <f t="shared" si="356"/>
        <v>K18</v>
      </c>
      <c r="B1611" s="2391">
        <f t="shared" si="356"/>
        <v>0</v>
      </c>
      <c r="C1611" s="2391">
        <f t="shared" si="356"/>
        <v>0</v>
      </c>
      <c r="D1611" s="2391">
        <f>$D$206</f>
        <v>0</v>
      </c>
      <c r="E1611" s="2133">
        <f t="shared" si="357"/>
        <v>0</v>
      </c>
      <c r="G1611" s="2391"/>
    </row>
    <row r="1612" spans="1:7" s="2402" customFormat="1">
      <c r="D1612" s="2876" t="s">
        <v>2076</v>
      </c>
      <c r="E1612" s="2878">
        <f>SUM(E1594:E1611)</f>
        <v>0</v>
      </c>
      <c r="G1612" s="2391"/>
    </row>
    <row r="1613" spans="1:7" s="2402" customFormat="1">
      <c r="D1613" s="2877"/>
      <c r="E1613" s="2878"/>
      <c r="G1613" s="2391"/>
    </row>
    <row r="1614" spans="1:7" s="2402" customFormat="1">
      <c r="G1614" s="2391"/>
    </row>
    <row r="1615" spans="1:7" s="2402" customFormat="1">
      <c r="G1615" s="2391"/>
    </row>
    <row r="1616" spans="1:7" s="2402" customFormat="1">
      <c r="A1616" s="2399" t="s">
        <v>1612</v>
      </c>
      <c r="B1616" s="2399" t="s">
        <v>1608</v>
      </c>
      <c r="C1616" s="2399" t="s">
        <v>2062</v>
      </c>
      <c r="D1616" s="2399" t="s">
        <v>2088</v>
      </c>
      <c r="E1616" s="2399" t="s">
        <v>1568</v>
      </c>
      <c r="G1616" s="2391"/>
    </row>
    <row r="1617" spans="1:43" s="2402" customFormat="1">
      <c r="A1617" s="2391" t="str">
        <f>A1588</f>
        <v>KP1</v>
      </c>
      <c r="B1617" s="2391">
        <f>B1588</f>
        <v>0</v>
      </c>
      <c r="C1617" s="2391">
        <f>C1560</f>
        <v>69</v>
      </c>
      <c r="D1617" s="2391">
        <f>$D$212</f>
        <v>0.6</v>
      </c>
      <c r="E1617" s="2391">
        <f>B1617*C1617*D1617</f>
        <v>0</v>
      </c>
      <c r="G1617" s="2391"/>
    </row>
    <row r="1618" spans="1:43" s="2402" customFormat="1">
      <c r="A1618" s="2133" t="str">
        <f>A1589</f>
        <v>KP2</v>
      </c>
      <c r="B1618" s="2133">
        <f>B1589</f>
        <v>0</v>
      </c>
      <c r="C1618" s="2391">
        <f>C1561</f>
        <v>0</v>
      </c>
      <c r="D1618" s="2391">
        <f>$D$213</f>
        <v>0.6</v>
      </c>
      <c r="E1618" s="2133">
        <f>B1618*C1618*D1618</f>
        <v>0</v>
      </c>
      <c r="G1618" s="2391"/>
      <c r="V1618" s="2400"/>
      <c r="W1618" s="2400"/>
      <c r="X1618" s="2400"/>
      <c r="Y1618" s="2400"/>
      <c r="Z1618" s="2400"/>
      <c r="AA1618" s="2400"/>
      <c r="AB1618" s="2400"/>
      <c r="AC1618" s="2400"/>
      <c r="AD1618" s="2400"/>
      <c r="AE1618" s="2400"/>
      <c r="AF1618" s="2400"/>
      <c r="AG1618" s="2400"/>
      <c r="AH1618" s="2400"/>
      <c r="AI1618" s="2400"/>
      <c r="AJ1618" s="2400"/>
      <c r="AK1618" s="2400"/>
      <c r="AL1618" s="2400"/>
      <c r="AM1618" s="2400"/>
      <c r="AN1618" s="2400"/>
      <c r="AO1618" s="2400"/>
      <c r="AP1618" s="2400"/>
      <c r="AQ1618" s="2400"/>
    </row>
    <row r="1619" spans="1:43" s="2402" customFormat="1" ht="30">
      <c r="D1619" s="2138" t="s">
        <v>2076</v>
      </c>
      <c r="E1619" s="2401">
        <f>SUM(E1617:E1618)</f>
        <v>0</v>
      </c>
      <c r="V1619" s="2400"/>
      <c r="W1619" s="2833"/>
      <c r="X1619" s="2833"/>
      <c r="Y1619" s="2833"/>
      <c r="Z1619" s="2833"/>
      <c r="AA1619" s="2833"/>
      <c r="AB1619" s="2833"/>
      <c r="AC1619" s="2833"/>
      <c r="AD1619" s="2833"/>
      <c r="AE1619" s="2400"/>
      <c r="AF1619" s="2400"/>
      <c r="AG1619" s="2400"/>
      <c r="AH1619" s="2400"/>
      <c r="AI1619" s="2400"/>
      <c r="AJ1619" s="2400"/>
      <c r="AK1619" s="2400"/>
      <c r="AL1619" s="2400"/>
      <c r="AM1619" s="2400"/>
      <c r="AN1619" s="2400"/>
      <c r="AO1619" s="2400"/>
      <c r="AP1619" s="2400"/>
      <c r="AQ1619" s="2400"/>
    </row>
    <row r="1620" spans="1:43" s="2402" customFormat="1">
      <c r="U1620" s="2400"/>
      <c r="V1620" s="2400"/>
      <c r="W1620" s="2400"/>
      <c r="X1620" s="2400"/>
      <c r="Y1620" s="2179"/>
      <c r="Z1620" s="2400"/>
      <c r="AA1620" s="2179"/>
      <c r="AB1620" s="2400"/>
      <c r="AC1620" s="2400"/>
      <c r="AD1620" s="2400"/>
      <c r="AE1620" s="2400"/>
      <c r="AF1620" s="2400"/>
      <c r="AG1620" s="2400"/>
      <c r="AH1620" s="2400"/>
      <c r="AI1620" s="2400"/>
      <c r="AJ1620" s="2400"/>
      <c r="AK1620" s="2400"/>
      <c r="AL1620" s="2400"/>
      <c r="AM1620" s="2400"/>
      <c r="AN1620" s="2400"/>
      <c r="AO1620" s="2400"/>
      <c r="AP1620" s="2400"/>
    </row>
    <row r="1621" spans="1:43" s="2402" customFormat="1">
      <c r="A1621" s="2831" t="s">
        <v>2105</v>
      </c>
      <c r="B1621" s="2832"/>
      <c r="C1621" s="2832"/>
      <c r="D1621" s="2832"/>
      <c r="E1621" s="2832"/>
      <c r="F1621" s="2832"/>
      <c r="G1621" s="2836"/>
      <c r="H1621" s="2831" t="s">
        <v>1568</v>
      </c>
      <c r="I1621" s="2832"/>
      <c r="J1621" s="2832"/>
      <c r="K1621" s="2832"/>
      <c r="L1621" s="2836"/>
      <c r="N1621" s="2831" t="s">
        <v>1610</v>
      </c>
      <c r="O1621" s="2832"/>
      <c r="P1621" s="2832"/>
      <c r="Q1621" s="2832"/>
      <c r="R1621" s="2836"/>
      <c r="U1621" s="2400"/>
      <c r="V1621" s="2400"/>
      <c r="W1621" s="2400"/>
      <c r="X1621" s="2400"/>
      <c r="Y1621" s="2400"/>
      <c r="Z1621" s="2400"/>
      <c r="AA1621" s="2400"/>
      <c r="AB1621" s="2400"/>
      <c r="AC1621" s="2400"/>
      <c r="AD1621" s="2400"/>
      <c r="AE1621" s="2400"/>
      <c r="AF1621" s="2400"/>
      <c r="AG1621" s="2400"/>
      <c r="AH1621" s="2400"/>
      <c r="AI1621" s="2400"/>
      <c r="AJ1621" s="2400"/>
      <c r="AK1621" s="2400"/>
      <c r="AL1621" s="2400"/>
      <c r="AM1621" s="2400"/>
      <c r="AN1621" s="2400"/>
      <c r="AO1621" s="2400"/>
      <c r="AP1621" s="2400"/>
    </row>
    <row r="1622" spans="1:43" s="2402" customFormat="1" ht="15">
      <c r="A1622" s="2391" t="s">
        <v>1796</v>
      </c>
      <c r="B1622" s="2393" t="s">
        <v>2004</v>
      </c>
      <c r="C1622" s="2391" t="s">
        <v>1609</v>
      </c>
      <c r="D1622" s="2088" t="s">
        <v>2098</v>
      </c>
      <c r="E1622" s="2187" t="s">
        <v>2099</v>
      </c>
      <c r="F1622" s="2088" t="s">
        <v>2440</v>
      </c>
      <c r="G1622" s="2391" t="s">
        <v>2107</v>
      </c>
      <c r="H1622" s="2391" t="s">
        <v>2100</v>
      </c>
      <c r="I1622" s="2391" t="s">
        <v>2101</v>
      </c>
      <c r="J1622" s="2391" t="s">
        <v>2102</v>
      </c>
      <c r="K1622" s="2391" t="s">
        <v>2103</v>
      </c>
      <c r="L1622" s="2391" t="s">
        <v>2104</v>
      </c>
      <c r="N1622" s="2133" t="s">
        <v>1607</v>
      </c>
      <c r="O1622" s="2133" t="s">
        <v>1611</v>
      </c>
      <c r="P1622" s="2133" t="s">
        <v>1168</v>
      </c>
      <c r="Q1622" s="2133" t="s">
        <v>1205</v>
      </c>
      <c r="R1622" s="2133" t="s">
        <v>1243</v>
      </c>
      <c r="U1622" s="2400"/>
      <c r="V1622" s="2400"/>
      <c r="W1622" s="2400"/>
      <c r="X1622" s="2400"/>
      <c r="Y1622" s="2400"/>
      <c r="Z1622" s="2400"/>
      <c r="AA1622" s="2400"/>
      <c r="AB1622" s="2400"/>
      <c r="AC1622" s="2400"/>
      <c r="AD1622" s="2400"/>
      <c r="AE1622" s="2400"/>
      <c r="AF1622" s="2400"/>
      <c r="AG1622" s="2400"/>
      <c r="AH1622" s="2400"/>
      <c r="AI1622" s="2400"/>
      <c r="AJ1622" s="2400"/>
      <c r="AK1622" s="2400"/>
      <c r="AL1622" s="2400"/>
      <c r="AM1622" s="2400"/>
      <c r="AN1622" s="2400"/>
      <c r="AO1622" s="2400"/>
      <c r="AP1622" s="2400"/>
    </row>
    <row r="1623" spans="1:43" s="2402" customFormat="1">
      <c r="A1623" s="2134" t="s">
        <v>187</v>
      </c>
      <c r="B1623" s="2133">
        <f t="shared" ref="B1623:B1643" si="358">R33</f>
        <v>0</v>
      </c>
      <c r="C1623" s="2407">
        <f t="shared" ref="C1623:C1637" si="359">H33</f>
        <v>10</v>
      </c>
      <c r="D1623" s="2407">
        <f t="shared" ref="D1623:D1637" si="360">I33</f>
        <v>0</v>
      </c>
      <c r="E1623" s="2407">
        <f t="shared" ref="E1623:E1637" si="361">J33</f>
        <v>0</v>
      </c>
      <c r="F1623" s="2407">
        <f t="shared" ref="F1623:F1637" si="362">K33</f>
        <v>0</v>
      </c>
      <c r="G1623" s="2407">
        <f t="shared" ref="G1623:G1637" si="363">L33</f>
        <v>0</v>
      </c>
      <c r="H1623" s="2133">
        <f>B1623*C1623</f>
        <v>0</v>
      </c>
      <c r="I1623" s="2133">
        <f>B1623*D1623</f>
        <v>0</v>
      </c>
      <c r="J1623" s="2133">
        <f t="shared" ref="J1623:J1643" si="364">B1623*E1623</f>
        <v>0</v>
      </c>
      <c r="K1623" s="2133">
        <f>B1623*F1623</f>
        <v>0</v>
      </c>
      <c r="L1623" s="2133">
        <f t="shared" ref="L1623:L1643" si="365">B1623*G1623</f>
        <v>0</v>
      </c>
      <c r="N1623" s="2133">
        <f t="shared" ref="N1623:N1643" si="366">(B1623/2)/0.2</f>
        <v>0</v>
      </c>
      <c r="O1623" s="2133">
        <f t="shared" ref="O1623:O1643" si="367">(B1623/2)/0.1</f>
        <v>0</v>
      </c>
      <c r="P1623" s="2133">
        <f t="shared" ref="P1623:P1643" si="368">SUM(N1623:O1623)</f>
        <v>0</v>
      </c>
      <c r="Q1623" s="2133">
        <f t="shared" ref="Q1623:Q1637" si="369">Q418</f>
        <v>1</v>
      </c>
      <c r="R1623" s="2133">
        <f t="shared" ref="R1623:R1643" si="370">P1623*Q1623</f>
        <v>0</v>
      </c>
      <c r="U1623" s="2400"/>
      <c r="V1623" s="2400"/>
      <c r="W1623" s="2400"/>
      <c r="X1623" s="2400"/>
      <c r="Y1623" s="2400"/>
      <c r="Z1623" s="2400"/>
      <c r="AA1623" s="2400"/>
      <c r="AB1623" s="2400"/>
      <c r="AC1623" s="2400"/>
      <c r="AD1623" s="2400"/>
      <c r="AE1623" s="2400"/>
      <c r="AF1623" s="2400"/>
      <c r="AG1623" s="2400"/>
      <c r="AH1623" s="2400"/>
      <c r="AI1623" s="2400"/>
      <c r="AJ1623" s="2400"/>
      <c r="AK1623" s="2400"/>
      <c r="AL1623" s="2400"/>
      <c r="AM1623" s="2400"/>
      <c r="AN1623" s="2400"/>
      <c r="AO1623" s="2400"/>
      <c r="AP1623" s="2400"/>
    </row>
    <row r="1624" spans="1:43" s="2402" customFormat="1">
      <c r="A1624" s="2134" t="s">
        <v>173</v>
      </c>
      <c r="B1624" s="2133">
        <f t="shared" si="358"/>
        <v>0</v>
      </c>
      <c r="C1624" s="2407">
        <f t="shared" si="359"/>
        <v>10</v>
      </c>
      <c r="D1624" s="2407">
        <f t="shared" si="360"/>
        <v>0</v>
      </c>
      <c r="E1624" s="2407">
        <f t="shared" si="361"/>
        <v>0</v>
      </c>
      <c r="F1624" s="2407">
        <f t="shared" si="362"/>
        <v>1</v>
      </c>
      <c r="G1624" s="2407">
        <f t="shared" si="363"/>
        <v>0</v>
      </c>
      <c r="H1624" s="2133">
        <f>B1624*C1624</f>
        <v>0</v>
      </c>
      <c r="I1624" s="2133">
        <f t="shared" ref="I1624:I1643" si="371">B1624*D1624</f>
        <v>0</v>
      </c>
      <c r="J1624" s="2133">
        <f t="shared" si="364"/>
        <v>0</v>
      </c>
      <c r="K1624" s="2133">
        <f t="shared" ref="K1624:K1630" si="372">B1624*F1624</f>
        <v>0</v>
      </c>
      <c r="L1624" s="2133">
        <f t="shared" si="365"/>
        <v>0</v>
      </c>
      <c r="N1624" s="2133">
        <f t="shared" si="366"/>
        <v>0</v>
      </c>
      <c r="O1624" s="2133">
        <f t="shared" si="367"/>
        <v>0</v>
      </c>
      <c r="P1624" s="2133">
        <f t="shared" si="368"/>
        <v>0</v>
      </c>
      <c r="Q1624" s="2133">
        <f t="shared" si="369"/>
        <v>1.1000000000000001</v>
      </c>
      <c r="R1624" s="2133">
        <f t="shared" si="370"/>
        <v>0</v>
      </c>
      <c r="U1624" s="2400"/>
      <c r="V1624" s="2400"/>
      <c r="W1624" s="2400"/>
      <c r="X1624" s="2400"/>
      <c r="Y1624" s="2400"/>
      <c r="Z1624" s="2400"/>
      <c r="AA1624" s="2400"/>
      <c r="AB1624" s="2400"/>
      <c r="AC1624" s="2400"/>
      <c r="AD1624" s="2400"/>
      <c r="AE1624" s="2400"/>
      <c r="AF1624" s="2400"/>
      <c r="AG1624" s="2400"/>
      <c r="AH1624" s="2400"/>
      <c r="AI1624" s="2400"/>
      <c r="AJ1624" s="2400"/>
      <c r="AK1624" s="2400"/>
      <c r="AL1624" s="2400"/>
      <c r="AM1624" s="2400"/>
      <c r="AN1624" s="2400"/>
      <c r="AO1624" s="2400"/>
      <c r="AP1624" s="2400"/>
    </row>
    <row r="1625" spans="1:43" s="2402" customFormat="1">
      <c r="A1625" s="2134" t="s">
        <v>172</v>
      </c>
      <c r="B1625" s="2133">
        <f t="shared" si="358"/>
        <v>0</v>
      </c>
      <c r="C1625" s="2407">
        <f t="shared" si="359"/>
        <v>10</v>
      </c>
      <c r="D1625" s="2407">
        <f t="shared" si="360"/>
        <v>0</v>
      </c>
      <c r="E1625" s="2407">
        <f t="shared" si="361"/>
        <v>0</v>
      </c>
      <c r="F1625" s="2407">
        <f t="shared" si="362"/>
        <v>3</v>
      </c>
      <c r="G1625" s="2407">
        <f t="shared" si="363"/>
        <v>0</v>
      </c>
      <c r="H1625" s="2133">
        <f>B1625*C1625</f>
        <v>0</v>
      </c>
      <c r="I1625" s="2133">
        <f t="shared" si="371"/>
        <v>0</v>
      </c>
      <c r="J1625" s="2133">
        <f t="shared" si="364"/>
        <v>0</v>
      </c>
      <c r="K1625" s="2133">
        <f t="shared" si="372"/>
        <v>0</v>
      </c>
      <c r="L1625" s="2133">
        <f t="shared" si="365"/>
        <v>0</v>
      </c>
      <c r="N1625" s="2133">
        <f t="shared" si="366"/>
        <v>0</v>
      </c>
      <c r="O1625" s="2133">
        <f t="shared" si="367"/>
        <v>0</v>
      </c>
      <c r="P1625" s="2133">
        <f t="shared" si="368"/>
        <v>0</v>
      </c>
      <c r="Q1625" s="2133">
        <f t="shared" si="369"/>
        <v>1.35</v>
      </c>
      <c r="R1625" s="2133">
        <f t="shared" si="370"/>
        <v>0</v>
      </c>
      <c r="U1625" s="2400"/>
      <c r="V1625" s="2400"/>
      <c r="W1625" s="2400"/>
      <c r="X1625" s="2400"/>
      <c r="Y1625" s="2400"/>
      <c r="Z1625" s="2400"/>
      <c r="AA1625" s="2400"/>
      <c r="AB1625" s="2400"/>
      <c r="AC1625" s="2400"/>
      <c r="AD1625" s="2400"/>
      <c r="AE1625" s="2400"/>
      <c r="AF1625" s="2400"/>
      <c r="AG1625" s="2400"/>
      <c r="AH1625" s="2400"/>
      <c r="AI1625" s="2400"/>
      <c r="AJ1625" s="2400"/>
      <c r="AK1625" s="2400"/>
      <c r="AL1625" s="2400"/>
      <c r="AM1625" s="2400"/>
      <c r="AN1625" s="2400"/>
      <c r="AO1625" s="2400"/>
      <c r="AP1625" s="2400"/>
    </row>
    <row r="1626" spans="1:43" s="2402" customFormat="1">
      <c r="A1626" s="2134" t="s">
        <v>174</v>
      </c>
      <c r="B1626" s="2133">
        <f t="shared" si="358"/>
        <v>0</v>
      </c>
      <c r="C1626" s="2407">
        <f t="shared" si="359"/>
        <v>6</v>
      </c>
      <c r="D1626" s="2407">
        <f t="shared" si="360"/>
        <v>0</v>
      </c>
      <c r="E1626" s="2407">
        <f t="shared" si="361"/>
        <v>0</v>
      </c>
      <c r="F1626" s="2407">
        <f t="shared" si="362"/>
        <v>4</v>
      </c>
      <c r="G1626" s="2407">
        <f t="shared" si="363"/>
        <v>0</v>
      </c>
      <c r="H1626" s="2133">
        <f t="shared" ref="H1626:H1643" si="373">B1626*C1626</f>
        <v>0</v>
      </c>
      <c r="I1626" s="2133">
        <f t="shared" si="371"/>
        <v>0</v>
      </c>
      <c r="J1626" s="2133">
        <f t="shared" si="364"/>
        <v>0</v>
      </c>
      <c r="K1626" s="2133">
        <f t="shared" si="372"/>
        <v>0</v>
      </c>
      <c r="L1626" s="2133">
        <f t="shared" si="365"/>
        <v>0</v>
      </c>
      <c r="N1626" s="2133">
        <f t="shared" si="366"/>
        <v>0</v>
      </c>
      <c r="O1626" s="2133">
        <f t="shared" si="367"/>
        <v>0</v>
      </c>
      <c r="P1626" s="2133">
        <f t="shared" si="368"/>
        <v>0</v>
      </c>
      <c r="Q1626" s="2133">
        <f t="shared" si="369"/>
        <v>0.7</v>
      </c>
      <c r="R1626" s="2133">
        <f t="shared" si="370"/>
        <v>0</v>
      </c>
      <c r="U1626" s="2400"/>
      <c r="V1626" s="2400"/>
      <c r="W1626" s="2400"/>
      <c r="X1626" s="2400"/>
      <c r="Y1626" s="2400"/>
      <c r="Z1626" s="2400"/>
      <c r="AA1626" s="2400"/>
      <c r="AB1626" s="2400"/>
      <c r="AC1626" s="2400"/>
      <c r="AD1626" s="2400"/>
      <c r="AE1626" s="2400"/>
      <c r="AF1626" s="2400"/>
      <c r="AG1626" s="2400"/>
      <c r="AH1626" s="2400"/>
      <c r="AI1626" s="2400"/>
      <c r="AJ1626" s="2400"/>
      <c r="AK1626" s="2400"/>
      <c r="AL1626" s="2400"/>
      <c r="AM1626" s="2400"/>
      <c r="AN1626" s="2400"/>
      <c r="AO1626" s="2400"/>
      <c r="AP1626" s="2400"/>
    </row>
    <row r="1627" spans="1:43" s="2402" customFormat="1">
      <c r="A1627" s="2134" t="s">
        <v>188</v>
      </c>
      <c r="B1627" s="2133">
        <f t="shared" si="358"/>
        <v>0</v>
      </c>
      <c r="C1627" s="2407">
        <f t="shared" si="359"/>
        <v>0</v>
      </c>
      <c r="D1627" s="2407">
        <f t="shared" si="360"/>
        <v>0</v>
      </c>
      <c r="E1627" s="2407">
        <f t="shared" si="361"/>
        <v>0</v>
      </c>
      <c r="F1627" s="2407">
        <f t="shared" si="362"/>
        <v>0</v>
      </c>
      <c r="G1627" s="2407">
        <f t="shared" si="363"/>
        <v>0</v>
      </c>
      <c r="H1627" s="2133">
        <f t="shared" si="373"/>
        <v>0</v>
      </c>
      <c r="I1627" s="2133">
        <f t="shared" si="371"/>
        <v>0</v>
      </c>
      <c r="J1627" s="2133">
        <f t="shared" si="364"/>
        <v>0</v>
      </c>
      <c r="K1627" s="2133">
        <f t="shared" si="372"/>
        <v>0</v>
      </c>
      <c r="L1627" s="2133">
        <f t="shared" si="365"/>
        <v>0</v>
      </c>
      <c r="N1627" s="2133">
        <f t="shared" si="366"/>
        <v>0</v>
      </c>
      <c r="O1627" s="2133">
        <f t="shared" si="367"/>
        <v>0</v>
      </c>
      <c r="P1627" s="2133">
        <f t="shared" si="368"/>
        <v>0</v>
      </c>
      <c r="Q1627" s="2133">
        <f t="shared" si="369"/>
        <v>-0.2</v>
      </c>
      <c r="R1627" s="2133">
        <f t="shared" si="370"/>
        <v>0</v>
      </c>
      <c r="U1627" s="2400"/>
      <c r="V1627" s="2400"/>
      <c r="W1627" s="2400"/>
      <c r="X1627" s="2400"/>
      <c r="Y1627" s="2400"/>
      <c r="Z1627" s="2400"/>
      <c r="AA1627" s="2400"/>
      <c r="AB1627" s="2400"/>
      <c r="AC1627" s="2400"/>
      <c r="AD1627" s="2400"/>
      <c r="AE1627" s="2400"/>
      <c r="AF1627" s="2400"/>
      <c r="AG1627" s="2400"/>
      <c r="AH1627" s="2400"/>
      <c r="AI1627" s="2400"/>
      <c r="AJ1627" s="2400"/>
      <c r="AK1627" s="2400"/>
      <c r="AL1627" s="2400"/>
      <c r="AM1627" s="2400"/>
      <c r="AN1627" s="2400"/>
      <c r="AO1627" s="2400"/>
      <c r="AP1627" s="2400"/>
    </row>
    <row r="1628" spans="1:43" s="2402" customFormat="1">
      <c r="A1628" s="2134" t="s">
        <v>1998</v>
      </c>
      <c r="B1628" s="2133">
        <f t="shared" si="358"/>
        <v>0</v>
      </c>
      <c r="C1628" s="2407">
        <f t="shared" si="359"/>
        <v>0</v>
      </c>
      <c r="D1628" s="2407">
        <f t="shared" si="360"/>
        <v>0</v>
      </c>
      <c r="E1628" s="2407">
        <f t="shared" si="361"/>
        <v>0</v>
      </c>
      <c r="F1628" s="2407">
        <f t="shared" si="362"/>
        <v>0</v>
      </c>
      <c r="G1628" s="2407">
        <f t="shared" si="363"/>
        <v>0</v>
      </c>
      <c r="H1628" s="2133">
        <f t="shared" si="373"/>
        <v>0</v>
      </c>
      <c r="I1628" s="2133">
        <f t="shared" si="371"/>
        <v>0</v>
      </c>
      <c r="J1628" s="2133">
        <f t="shared" si="364"/>
        <v>0</v>
      </c>
      <c r="K1628" s="2133">
        <f t="shared" si="372"/>
        <v>0</v>
      </c>
      <c r="L1628" s="2133">
        <f t="shared" si="365"/>
        <v>0</v>
      </c>
      <c r="N1628" s="2133">
        <f t="shared" si="366"/>
        <v>0</v>
      </c>
      <c r="O1628" s="2133">
        <f t="shared" si="367"/>
        <v>0</v>
      </c>
      <c r="P1628" s="2133">
        <f t="shared" si="368"/>
        <v>0</v>
      </c>
      <c r="Q1628" s="2133">
        <f t="shared" si="369"/>
        <v>-0.2</v>
      </c>
      <c r="R1628" s="2133">
        <f t="shared" si="370"/>
        <v>0</v>
      </c>
      <c r="U1628" s="2400"/>
      <c r="V1628" s="2400"/>
      <c r="W1628" s="2400"/>
      <c r="X1628" s="2400"/>
      <c r="Y1628" s="2400"/>
      <c r="Z1628" s="2400"/>
      <c r="AA1628" s="2400"/>
      <c r="AB1628" s="2400"/>
      <c r="AC1628" s="2400"/>
      <c r="AD1628" s="2400"/>
      <c r="AE1628" s="2400"/>
      <c r="AF1628" s="2400"/>
      <c r="AG1628" s="2400"/>
      <c r="AH1628" s="2400"/>
      <c r="AI1628" s="2400"/>
      <c r="AJ1628" s="2400"/>
      <c r="AK1628" s="2400"/>
      <c r="AL1628" s="2400"/>
      <c r="AM1628" s="2400"/>
      <c r="AN1628" s="2400"/>
      <c r="AO1628" s="2400"/>
      <c r="AP1628" s="2400"/>
    </row>
    <row r="1629" spans="1:43" s="2402" customFormat="1">
      <c r="A1629" s="2134" t="s">
        <v>1999</v>
      </c>
      <c r="B1629" s="2133">
        <f t="shared" si="358"/>
        <v>0</v>
      </c>
      <c r="C1629" s="2407">
        <f t="shared" si="359"/>
        <v>0</v>
      </c>
      <c r="D1629" s="2407">
        <f t="shared" si="360"/>
        <v>0</v>
      </c>
      <c r="E1629" s="2407">
        <f t="shared" si="361"/>
        <v>0</v>
      </c>
      <c r="F1629" s="2407">
        <f t="shared" si="362"/>
        <v>0</v>
      </c>
      <c r="G1629" s="2407">
        <f t="shared" si="363"/>
        <v>0</v>
      </c>
      <c r="H1629" s="2133">
        <f t="shared" si="373"/>
        <v>0</v>
      </c>
      <c r="I1629" s="2133">
        <f t="shared" si="371"/>
        <v>0</v>
      </c>
      <c r="J1629" s="2133">
        <f t="shared" si="364"/>
        <v>0</v>
      </c>
      <c r="K1629" s="2133">
        <f t="shared" si="372"/>
        <v>0</v>
      </c>
      <c r="L1629" s="2133">
        <f t="shared" si="365"/>
        <v>0</v>
      </c>
      <c r="N1629" s="2133">
        <f t="shared" si="366"/>
        <v>0</v>
      </c>
      <c r="O1629" s="2133">
        <f t="shared" si="367"/>
        <v>0</v>
      </c>
      <c r="P1629" s="2133">
        <f t="shared" si="368"/>
        <v>0</v>
      </c>
      <c r="Q1629" s="2133">
        <f t="shared" si="369"/>
        <v>-0.2</v>
      </c>
      <c r="R1629" s="2133">
        <f t="shared" si="370"/>
        <v>0</v>
      </c>
      <c r="U1629" s="2400"/>
      <c r="V1629" s="2400"/>
      <c r="W1629" s="2400"/>
      <c r="X1629" s="2400"/>
      <c r="Y1629" s="2400"/>
      <c r="Z1629" s="2400"/>
      <c r="AA1629" s="2400"/>
      <c r="AB1629" s="2400"/>
      <c r="AC1629" s="2400"/>
      <c r="AD1629" s="2400"/>
      <c r="AE1629" s="2400"/>
      <c r="AF1629" s="2400"/>
      <c r="AG1629" s="2400"/>
      <c r="AH1629" s="2400"/>
      <c r="AI1629" s="2400"/>
      <c r="AJ1629" s="2400"/>
      <c r="AK1629" s="2400"/>
      <c r="AL1629" s="2400"/>
      <c r="AM1629" s="2400"/>
      <c r="AN1629" s="2400"/>
      <c r="AO1629" s="2400"/>
      <c r="AP1629" s="2400"/>
    </row>
    <row r="1630" spans="1:43" s="2402" customFormat="1">
      <c r="A1630" s="2134" t="s">
        <v>2000</v>
      </c>
      <c r="B1630" s="2133">
        <f t="shared" si="358"/>
        <v>0</v>
      </c>
      <c r="C1630" s="2407">
        <f t="shared" si="359"/>
        <v>0</v>
      </c>
      <c r="D1630" s="2407">
        <f t="shared" si="360"/>
        <v>0</v>
      </c>
      <c r="E1630" s="2407">
        <f t="shared" si="361"/>
        <v>0</v>
      </c>
      <c r="F1630" s="2407">
        <f t="shared" si="362"/>
        <v>0</v>
      </c>
      <c r="G1630" s="2407">
        <f t="shared" si="363"/>
        <v>0</v>
      </c>
      <c r="H1630" s="2133">
        <f t="shared" si="373"/>
        <v>0</v>
      </c>
      <c r="I1630" s="2133">
        <f t="shared" si="371"/>
        <v>0</v>
      </c>
      <c r="J1630" s="2133">
        <f t="shared" si="364"/>
        <v>0</v>
      </c>
      <c r="K1630" s="2133">
        <f t="shared" si="372"/>
        <v>0</v>
      </c>
      <c r="L1630" s="2133">
        <f t="shared" si="365"/>
        <v>0</v>
      </c>
      <c r="N1630" s="2133">
        <f t="shared" si="366"/>
        <v>0</v>
      </c>
      <c r="O1630" s="2133">
        <f t="shared" si="367"/>
        <v>0</v>
      </c>
      <c r="P1630" s="2133">
        <f t="shared" si="368"/>
        <v>0</v>
      </c>
      <c r="Q1630" s="2133">
        <f t="shared" si="369"/>
        <v>-0.2</v>
      </c>
      <c r="R1630" s="2133">
        <f t="shared" si="370"/>
        <v>0</v>
      </c>
      <c r="U1630" s="2400"/>
      <c r="V1630" s="2400"/>
      <c r="W1630" s="2400"/>
      <c r="X1630" s="2400"/>
      <c r="Y1630" s="2400"/>
      <c r="Z1630" s="2400"/>
      <c r="AA1630" s="2400"/>
      <c r="AB1630" s="2400"/>
      <c r="AC1630" s="2400"/>
      <c r="AD1630" s="2400"/>
      <c r="AE1630" s="2400"/>
      <c r="AF1630" s="2400"/>
      <c r="AG1630" s="2400"/>
      <c r="AH1630" s="2400"/>
      <c r="AI1630" s="2400"/>
      <c r="AJ1630" s="2400"/>
      <c r="AK1630" s="2400"/>
      <c r="AL1630" s="2400"/>
      <c r="AM1630" s="2400"/>
      <c r="AN1630" s="2400"/>
      <c r="AO1630" s="2400"/>
      <c r="AP1630" s="2400"/>
    </row>
    <row r="1631" spans="1:43" s="2402" customFormat="1">
      <c r="A1631" s="2134" t="s">
        <v>2001</v>
      </c>
      <c r="B1631" s="2133">
        <f t="shared" si="358"/>
        <v>0</v>
      </c>
      <c r="C1631" s="2407">
        <f t="shared" si="359"/>
        <v>0</v>
      </c>
      <c r="D1631" s="2407">
        <f t="shared" si="360"/>
        <v>0</v>
      </c>
      <c r="E1631" s="2407">
        <f t="shared" si="361"/>
        <v>0</v>
      </c>
      <c r="F1631" s="2407">
        <f t="shared" si="362"/>
        <v>0</v>
      </c>
      <c r="G1631" s="2407">
        <f t="shared" si="363"/>
        <v>0</v>
      </c>
      <c r="H1631" s="2133">
        <f t="shared" si="373"/>
        <v>0</v>
      </c>
      <c r="I1631" s="2133">
        <f t="shared" si="371"/>
        <v>0</v>
      </c>
      <c r="J1631" s="2133">
        <f t="shared" si="364"/>
        <v>0</v>
      </c>
      <c r="K1631" s="2133">
        <f>B1631*F1631</f>
        <v>0</v>
      </c>
      <c r="L1631" s="2133">
        <f t="shared" si="365"/>
        <v>0</v>
      </c>
      <c r="N1631" s="2133">
        <f t="shared" si="366"/>
        <v>0</v>
      </c>
      <c r="O1631" s="2133">
        <f t="shared" si="367"/>
        <v>0</v>
      </c>
      <c r="P1631" s="2133">
        <f t="shared" si="368"/>
        <v>0</v>
      </c>
      <c r="Q1631" s="2133">
        <f t="shared" si="369"/>
        <v>-0.2</v>
      </c>
      <c r="R1631" s="2133">
        <f t="shared" si="370"/>
        <v>0</v>
      </c>
      <c r="U1631" s="2400"/>
      <c r="V1631" s="2400"/>
      <c r="W1631" s="2400"/>
      <c r="X1631" s="2400"/>
      <c r="Y1631" s="2400"/>
      <c r="Z1631" s="2400"/>
      <c r="AA1631" s="2400"/>
      <c r="AB1631" s="2400"/>
      <c r="AC1631" s="2400"/>
      <c r="AD1631" s="2400"/>
      <c r="AE1631" s="2400"/>
      <c r="AF1631" s="2400"/>
      <c r="AG1631" s="2400"/>
      <c r="AH1631" s="2400"/>
      <c r="AI1631" s="2400"/>
      <c r="AJ1631" s="2400"/>
      <c r="AK1631" s="2400"/>
      <c r="AL1631" s="2400"/>
      <c r="AM1631" s="2400"/>
      <c r="AN1631" s="2400"/>
      <c r="AO1631" s="2400"/>
      <c r="AP1631" s="2400"/>
    </row>
    <row r="1632" spans="1:43" s="2402" customFormat="1">
      <c r="A1632" s="2134" t="s">
        <v>2002</v>
      </c>
      <c r="B1632" s="2133">
        <f t="shared" si="358"/>
        <v>0</v>
      </c>
      <c r="C1632" s="2407">
        <f t="shared" si="359"/>
        <v>0</v>
      </c>
      <c r="D1632" s="2407">
        <f t="shared" si="360"/>
        <v>0</v>
      </c>
      <c r="E1632" s="2407">
        <f t="shared" si="361"/>
        <v>0</v>
      </c>
      <c r="F1632" s="2407">
        <f t="shared" si="362"/>
        <v>0</v>
      </c>
      <c r="G1632" s="2407">
        <f t="shared" si="363"/>
        <v>0</v>
      </c>
      <c r="H1632" s="2133">
        <f t="shared" si="373"/>
        <v>0</v>
      </c>
      <c r="I1632" s="2133">
        <f t="shared" si="371"/>
        <v>0</v>
      </c>
      <c r="J1632" s="2133">
        <f t="shared" si="364"/>
        <v>0</v>
      </c>
      <c r="K1632" s="2133">
        <f t="shared" ref="K1632:K1643" si="374">B1632*F1632</f>
        <v>0</v>
      </c>
      <c r="L1632" s="2133">
        <f t="shared" si="365"/>
        <v>0</v>
      </c>
      <c r="N1632" s="2133">
        <f t="shared" si="366"/>
        <v>0</v>
      </c>
      <c r="O1632" s="2133">
        <f t="shared" si="367"/>
        <v>0</v>
      </c>
      <c r="P1632" s="2133">
        <f t="shared" si="368"/>
        <v>0</v>
      </c>
      <c r="Q1632" s="2133">
        <f t="shared" si="369"/>
        <v>-0.2</v>
      </c>
      <c r="R1632" s="2133">
        <f t="shared" si="370"/>
        <v>0</v>
      </c>
      <c r="U1632" s="2400"/>
      <c r="V1632" s="2400"/>
      <c r="W1632" s="2400"/>
      <c r="X1632" s="2400"/>
      <c r="Y1632" s="2400"/>
      <c r="Z1632" s="2400"/>
      <c r="AA1632" s="2400"/>
      <c r="AB1632" s="2400"/>
      <c r="AC1632" s="2400"/>
      <c r="AD1632" s="2400"/>
      <c r="AE1632" s="2400"/>
      <c r="AF1632" s="2400"/>
      <c r="AG1632" s="2400"/>
      <c r="AH1632" s="2400"/>
      <c r="AI1632" s="2400"/>
      <c r="AJ1632" s="2400"/>
      <c r="AK1632" s="2400"/>
      <c r="AL1632" s="2400"/>
      <c r="AM1632" s="2400"/>
      <c r="AN1632" s="2400"/>
      <c r="AO1632" s="2400"/>
      <c r="AP1632" s="2400"/>
    </row>
    <row r="1633" spans="1:43" s="2402" customFormat="1" ht="15" customHeight="1">
      <c r="A1633" s="2134" t="s">
        <v>2003</v>
      </c>
      <c r="B1633" s="2133">
        <f t="shared" si="358"/>
        <v>0</v>
      </c>
      <c r="C1633" s="2407">
        <f t="shared" si="359"/>
        <v>0</v>
      </c>
      <c r="D1633" s="2407">
        <f t="shared" si="360"/>
        <v>0</v>
      </c>
      <c r="E1633" s="2407">
        <f t="shared" si="361"/>
        <v>0</v>
      </c>
      <c r="F1633" s="2407">
        <f t="shared" si="362"/>
        <v>0</v>
      </c>
      <c r="G1633" s="2407">
        <f t="shared" si="363"/>
        <v>0</v>
      </c>
      <c r="H1633" s="2133">
        <f t="shared" si="373"/>
        <v>0</v>
      </c>
      <c r="I1633" s="2133">
        <f t="shared" si="371"/>
        <v>0</v>
      </c>
      <c r="J1633" s="2133">
        <f t="shared" si="364"/>
        <v>0</v>
      </c>
      <c r="K1633" s="2133">
        <f t="shared" si="374"/>
        <v>0</v>
      </c>
      <c r="L1633" s="2133">
        <f t="shared" si="365"/>
        <v>0</v>
      </c>
      <c r="N1633" s="2133">
        <f t="shared" si="366"/>
        <v>0</v>
      </c>
      <c r="O1633" s="2133">
        <f t="shared" si="367"/>
        <v>0</v>
      </c>
      <c r="P1633" s="2133">
        <f t="shared" si="368"/>
        <v>0</v>
      </c>
      <c r="Q1633" s="2133">
        <f t="shared" si="369"/>
        <v>-0.2</v>
      </c>
      <c r="R1633" s="2133">
        <f t="shared" si="370"/>
        <v>0</v>
      </c>
      <c r="U1633" s="2400"/>
      <c r="V1633" s="2400"/>
      <c r="W1633" s="2400"/>
      <c r="X1633" s="2400"/>
      <c r="Y1633" s="2400"/>
      <c r="Z1633" s="2400"/>
      <c r="AA1633" s="2400"/>
      <c r="AB1633" s="2400"/>
      <c r="AC1633" s="2400"/>
      <c r="AD1633" s="2400"/>
      <c r="AE1633" s="2400"/>
      <c r="AF1633" s="2400"/>
      <c r="AG1633" s="2400"/>
      <c r="AH1633" s="2400"/>
      <c r="AI1633" s="2400"/>
      <c r="AJ1633" s="2400"/>
      <c r="AK1633" s="2400"/>
      <c r="AL1633" s="2400"/>
      <c r="AM1633" s="2400"/>
      <c r="AN1633" s="2400"/>
      <c r="AO1633" s="2400"/>
    </row>
    <row r="1634" spans="1:43" s="2402" customFormat="1" ht="15" customHeight="1">
      <c r="A1634" s="2134" t="s">
        <v>2251</v>
      </c>
      <c r="B1634" s="2133">
        <f t="shared" si="358"/>
        <v>0</v>
      </c>
      <c r="C1634" s="2407">
        <f t="shared" si="359"/>
        <v>0</v>
      </c>
      <c r="D1634" s="2407">
        <f t="shared" si="360"/>
        <v>0</v>
      </c>
      <c r="E1634" s="2407">
        <f t="shared" si="361"/>
        <v>0</v>
      </c>
      <c r="F1634" s="2407">
        <f t="shared" si="362"/>
        <v>0</v>
      </c>
      <c r="G1634" s="2407">
        <f t="shared" si="363"/>
        <v>0</v>
      </c>
      <c r="H1634" s="2133">
        <f t="shared" si="373"/>
        <v>0</v>
      </c>
      <c r="I1634" s="2133">
        <f t="shared" si="371"/>
        <v>0</v>
      </c>
      <c r="J1634" s="2133">
        <f t="shared" si="364"/>
        <v>0</v>
      </c>
      <c r="K1634" s="2133">
        <f t="shared" si="374"/>
        <v>0</v>
      </c>
      <c r="L1634" s="2133">
        <f t="shared" si="365"/>
        <v>0</v>
      </c>
      <c r="N1634" s="2133">
        <f t="shared" si="366"/>
        <v>0</v>
      </c>
      <c r="O1634" s="2133">
        <f t="shared" si="367"/>
        <v>0</v>
      </c>
      <c r="P1634" s="2133">
        <f t="shared" si="368"/>
        <v>0</v>
      </c>
      <c r="Q1634" s="2133">
        <f t="shared" si="369"/>
        <v>-0.2</v>
      </c>
      <c r="R1634" s="2133">
        <f t="shared" si="370"/>
        <v>0</v>
      </c>
      <c r="U1634" s="2400"/>
      <c r="V1634" s="2400"/>
      <c r="W1634" s="2400"/>
      <c r="X1634" s="2400"/>
      <c r="Y1634" s="2400"/>
      <c r="Z1634" s="2400"/>
      <c r="AA1634" s="2400"/>
      <c r="AB1634" s="2400"/>
      <c r="AC1634" s="2400"/>
      <c r="AD1634" s="2400"/>
      <c r="AE1634" s="2400"/>
      <c r="AF1634" s="2400"/>
      <c r="AG1634" s="2400"/>
      <c r="AH1634" s="2400"/>
      <c r="AI1634" s="2400"/>
      <c r="AJ1634" s="2400"/>
      <c r="AK1634" s="2400"/>
      <c r="AL1634" s="2400"/>
      <c r="AM1634" s="2400"/>
      <c r="AN1634" s="2400"/>
      <c r="AO1634" s="2400"/>
    </row>
    <row r="1635" spans="1:43" s="2402" customFormat="1">
      <c r="A1635" s="2134" t="s">
        <v>2273</v>
      </c>
      <c r="B1635" s="2133">
        <f t="shared" si="358"/>
        <v>0</v>
      </c>
      <c r="C1635" s="2407">
        <f t="shared" si="359"/>
        <v>0</v>
      </c>
      <c r="D1635" s="2407">
        <f t="shared" si="360"/>
        <v>0</v>
      </c>
      <c r="E1635" s="2407">
        <f t="shared" si="361"/>
        <v>0</v>
      </c>
      <c r="F1635" s="2407">
        <f t="shared" si="362"/>
        <v>0</v>
      </c>
      <c r="G1635" s="2407">
        <f t="shared" si="363"/>
        <v>0</v>
      </c>
      <c r="H1635" s="2133">
        <f t="shared" si="373"/>
        <v>0</v>
      </c>
      <c r="I1635" s="2133">
        <f t="shared" si="371"/>
        <v>0</v>
      </c>
      <c r="J1635" s="2133">
        <f t="shared" si="364"/>
        <v>0</v>
      </c>
      <c r="K1635" s="2133">
        <f t="shared" si="374"/>
        <v>0</v>
      </c>
      <c r="L1635" s="2133">
        <f t="shared" si="365"/>
        <v>0</v>
      </c>
      <c r="N1635" s="2133">
        <f t="shared" si="366"/>
        <v>0</v>
      </c>
      <c r="O1635" s="2133">
        <f t="shared" si="367"/>
        <v>0</v>
      </c>
      <c r="P1635" s="2133">
        <f t="shared" si="368"/>
        <v>0</v>
      </c>
      <c r="Q1635" s="2133">
        <f t="shared" si="369"/>
        <v>-0.2</v>
      </c>
      <c r="R1635" s="2133">
        <f t="shared" si="370"/>
        <v>0</v>
      </c>
      <c r="U1635" s="2400"/>
      <c r="V1635" s="2400"/>
      <c r="W1635" s="2400"/>
      <c r="X1635" s="2400"/>
      <c r="Y1635" s="2400"/>
      <c r="Z1635" s="2400"/>
      <c r="AA1635" s="2400"/>
      <c r="AB1635" s="2400"/>
      <c r="AC1635" s="2400"/>
      <c r="AD1635" s="2400"/>
      <c r="AE1635" s="2400"/>
      <c r="AF1635" s="2400"/>
      <c r="AG1635" s="2400"/>
      <c r="AH1635" s="2400"/>
      <c r="AI1635" s="2400"/>
      <c r="AJ1635" s="2400"/>
      <c r="AK1635" s="2400"/>
      <c r="AL1635" s="2400"/>
      <c r="AM1635" s="2400"/>
      <c r="AN1635" s="2400"/>
      <c r="AO1635" s="2400"/>
      <c r="AP1635" s="2400"/>
    </row>
    <row r="1636" spans="1:43" s="2402" customFormat="1" ht="15" customHeight="1">
      <c r="A1636" s="2134" t="s">
        <v>2274</v>
      </c>
      <c r="B1636" s="2133">
        <f t="shared" si="358"/>
        <v>0</v>
      </c>
      <c r="C1636" s="2407">
        <f t="shared" si="359"/>
        <v>0</v>
      </c>
      <c r="D1636" s="2407">
        <f t="shared" si="360"/>
        <v>0</v>
      </c>
      <c r="E1636" s="2407">
        <f t="shared" si="361"/>
        <v>0</v>
      </c>
      <c r="F1636" s="2407">
        <f t="shared" si="362"/>
        <v>0</v>
      </c>
      <c r="G1636" s="2407">
        <f t="shared" si="363"/>
        <v>0</v>
      </c>
      <c r="H1636" s="2133">
        <f t="shared" si="373"/>
        <v>0</v>
      </c>
      <c r="I1636" s="2133">
        <f t="shared" si="371"/>
        <v>0</v>
      </c>
      <c r="J1636" s="2133">
        <f t="shared" si="364"/>
        <v>0</v>
      </c>
      <c r="K1636" s="2133">
        <f t="shared" si="374"/>
        <v>0</v>
      </c>
      <c r="L1636" s="2133">
        <f t="shared" si="365"/>
        <v>0</v>
      </c>
      <c r="N1636" s="2133">
        <f t="shared" si="366"/>
        <v>0</v>
      </c>
      <c r="O1636" s="2133">
        <f t="shared" si="367"/>
        <v>0</v>
      </c>
      <c r="P1636" s="2133">
        <f t="shared" si="368"/>
        <v>0</v>
      </c>
      <c r="Q1636" s="2133">
        <f t="shared" si="369"/>
        <v>-0.2</v>
      </c>
      <c r="R1636" s="2133">
        <f t="shared" si="370"/>
        <v>0</v>
      </c>
      <c r="U1636" s="2400"/>
      <c r="V1636" s="2400"/>
      <c r="W1636" s="2400"/>
      <c r="X1636" s="2400"/>
      <c r="Y1636" s="2400"/>
      <c r="Z1636" s="2400"/>
      <c r="AA1636" s="2400"/>
      <c r="AB1636" s="2400"/>
      <c r="AC1636" s="2400"/>
      <c r="AD1636" s="2400"/>
      <c r="AE1636" s="2400"/>
      <c r="AF1636" s="2400"/>
      <c r="AG1636" s="2400"/>
      <c r="AH1636" s="2400"/>
      <c r="AI1636" s="2400"/>
      <c r="AJ1636" s="2400"/>
      <c r="AK1636" s="2400"/>
      <c r="AL1636" s="2400"/>
      <c r="AM1636" s="2400"/>
      <c r="AN1636" s="2400"/>
      <c r="AO1636" s="2400"/>
    </row>
    <row r="1637" spans="1:43" s="2402" customFormat="1" ht="15" customHeight="1">
      <c r="A1637" s="2134" t="s">
        <v>2275</v>
      </c>
      <c r="B1637" s="2133">
        <f t="shared" si="358"/>
        <v>0</v>
      </c>
      <c r="C1637" s="2407">
        <f t="shared" si="359"/>
        <v>0</v>
      </c>
      <c r="D1637" s="2407">
        <f t="shared" si="360"/>
        <v>0</v>
      </c>
      <c r="E1637" s="2407">
        <f t="shared" si="361"/>
        <v>0</v>
      </c>
      <c r="F1637" s="2407">
        <f t="shared" si="362"/>
        <v>0</v>
      </c>
      <c r="G1637" s="2407">
        <f t="shared" si="363"/>
        <v>0</v>
      </c>
      <c r="H1637" s="2133">
        <f t="shared" si="373"/>
        <v>0</v>
      </c>
      <c r="I1637" s="2133">
        <f t="shared" si="371"/>
        <v>0</v>
      </c>
      <c r="J1637" s="2133">
        <f t="shared" si="364"/>
        <v>0</v>
      </c>
      <c r="K1637" s="2133">
        <f t="shared" si="374"/>
        <v>0</v>
      </c>
      <c r="L1637" s="2133">
        <f t="shared" si="365"/>
        <v>0</v>
      </c>
      <c r="N1637" s="2133">
        <f t="shared" si="366"/>
        <v>0</v>
      </c>
      <c r="O1637" s="2133">
        <f t="shared" si="367"/>
        <v>0</v>
      </c>
      <c r="P1637" s="2133">
        <f t="shared" si="368"/>
        <v>0</v>
      </c>
      <c r="Q1637" s="2133">
        <f t="shared" si="369"/>
        <v>-0.2</v>
      </c>
      <c r="R1637" s="2133">
        <f t="shared" si="370"/>
        <v>0</v>
      </c>
      <c r="U1637" s="2400"/>
      <c r="V1637" s="2400"/>
      <c r="W1637" s="2400"/>
      <c r="X1637" s="2400"/>
      <c r="Y1637" s="2400"/>
      <c r="Z1637" s="2400"/>
      <c r="AA1637" s="2400"/>
      <c r="AB1637" s="2400"/>
      <c r="AC1637" s="2400"/>
      <c r="AD1637" s="2400"/>
      <c r="AE1637" s="2400"/>
      <c r="AF1637" s="2400"/>
      <c r="AG1637" s="2400"/>
      <c r="AH1637" s="2400"/>
      <c r="AI1637" s="2400"/>
      <c r="AJ1637" s="2400"/>
      <c r="AK1637" s="2400"/>
      <c r="AL1637" s="2400"/>
      <c r="AM1637" s="2400"/>
      <c r="AN1637" s="2400"/>
      <c r="AO1637" s="2400"/>
    </row>
    <row r="1638" spans="1:43" s="2532" customFormat="1" ht="15" customHeight="1">
      <c r="A1638" s="2134" t="s">
        <v>2851</v>
      </c>
      <c r="B1638" s="2133">
        <f t="shared" si="358"/>
        <v>0</v>
      </c>
      <c r="C1638" s="2407">
        <f t="shared" ref="C1638:G1643" si="375">H48</f>
        <v>0</v>
      </c>
      <c r="D1638" s="2407">
        <f t="shared" si="375"/>
        <v>0</v>
      </c>
      <c r="E1638" s="2407">
        <f t="shared" si="375"/>
        <v>0</v>
      </c>
      <c r="F1638" s="2407">
        <f t="shared" si="375"/>
        <v>0</v>
      </c>
      <c r="G1638" s="2407">
        <f t="shared" si="375"/>
        <v>0</v>
      </c>
      <c r="H1638" s="2133">
        <f>B1638*C1638</f>
        <v>0</v>
      </c>
      <c r="I1638" s="2133">
        <f>B1638*D1638</f>
        <v>0</v>
      </c>
      <c r="J1638" s="2133">
        <f>B1638*E1638</f>
        <v>0</v>
      </c>
      <c r="K1638" s="2133">
        <f>B1638*F1638</f>
        <v>0</v>
      </c>
      <c r="L1638" s="2133">
        <f>B1638*G1638</f>
        <v>0</v>
      </c>
      <c r="N1638" s="2133">
        <f>(B1638/2)/0.2</f>
        <v>0</v>
      </c>
      <c r="O1638" s="2133">
        <f>(B1638/2)/0.1</f>
        <v>0</v>
      </c>
      <c r="P1638" s="2133">
        <f>SUM(N1638:O1638)</f>
        <v>0</v>
      </c>
      <c r="Q1638" s="2133">
        <f t="shared" ref="Q1638:Q1643" si="376">Q433</f>
        <v>0.5</v>
      </c>
      <c r="R1638" s="2133">
        <f>P1638*Q1638</f>
        <v>0</v>
      </c>
      <c r="U1638" s="2531"/>
      <c r="V1638" s="2531"/>
      <c r="W1638" s="2531"/>
      <c r="X1638" s="2531"/>
      <c r="Y1638" s="2531"/>
      <c r="Z1638" s="2531"/>
      <c r="AA1638" s="2531"/>
      <c r="AB1638" s="2531"/>
      <c r="AC1638" s="2531"/>
      <c r="AD1638" s="2531"/>
      <c r="AE1638" s="2531"/>
      <c r="AF1638" s="2531"/>
      <c r="AG1638" s="2531"/>
      <c r="AH1638" s="2531"/>
      <c r="AI1638" s="2531"/>
      <c r="AJ1638" s="2531"/>
      <c r="AK1638" s="2531"/>
      <c r="AL1638" s="2531"/>
      <c r="AM1638" s="2531"/>
      <c r="AN1638" s="2531"/>
      <c r="AO1638" s="2531"/>
    </row>
    <row r="1639" spans="1:43" s="2532" customFormat="1" ht="15" customHeight="1">
      <c r="A1639" s="2134" t="s">
        <v>2852</v>
      </c>
      <c r="B1639" s="2133">
        <f t="shared" si="358"/>
        <v>0</v>
      </c>
      <c r="C1639" s="2407">
        <f t="shared" si="375"/>
        <v>0</v>
      </c>
      <c r="D1639" s="2407">
        <f t="shared" si="375"/>
        <v>0</v>
      </c>
      <c r="E1639" s="2407">
        <f t="shared" si="375"/>
        <v>0</v>
      </c>
      <c r="F1639" s="2407">
        <f t="shared" si="375"/>
        <v>0</v>
      </c>
      <c r="G1639" s="2407">
        <f t="shared" si="375"/>
        <v>0</v>
      </c>
      <c r="H1639" s="2133">
        <f>B1639*C1639</f>
        <v>0</v>
      </c>
      <c r="I1639" s="2133">
        <f>B1639*D1639</f>
        <v>0</v>
      </c>
      <c r="J1639" s="2133">
        <f>B1639*E1639</f>
        <v>0</v>
      </c>
      <c r="K1639" s="2133">
        <f>B1639*F1639</f>
        <v>0</v>
      </c>
      <c r="L1639" s="2133">
        <f>B1639*G1639</f>
        <v>0</v>
      </c>
      <c r="N1639" s="2133">
        <f>(B1639/2)/0.2</f>
        <v>0</v>
      </c>
      <c r="O1639" s="2133">
        <f>(B1639/2)/0.1</f>
        <v>0</v>
      </c>
      <c r="P1639" s="2133">
        <f>SUM(N1639:O1639)</f>
        <v>0</v>
      </c>
      <c r="Q1639" s="2133">
        <f t="shared" si="376"/>
        <v>-0.2</v>
      </c>
      <c r="R1639" s="2133">
        <f>P1639*Q1639</f>
        <v>0</v>
      </c>
      <c r="U1639" s="2531"/>
      <c r="V1639" s="2531"/>
      <c r="W1639" s="2531"/>
      <c r="X1639" s="2531"/>
      <c r="Y1639" s="2531"/>
      <c r="Z1639" s="2531"/>
      <c r="AA1639" s="2531"/>
      <c r="AB1639" s="2531"/>
      <c r="AC1639" s="2531"/>
      <c r="AD1639" s="2531"/>
      <c r="AE1639" s="2531"/>
      <c r="AF1639" s="2531"/>
      <c r="AG1639" s="2531"/>
      <c r="AH1639" s="2531"/>
      <c r="AI1639" s="2531"/>
      <c r="AJ1639" s="2531"/>
      <c r="AK1639" s="2531"/>
      <c r="AL1639" s="2531"/>
      <c r="AM1639" s="2531"/>
      <c r="AN1639" s="2531"/>
      <c r="AO1639" s="2531"/>
    </row>
    <row r="1640" spans="1:43" s="2532" customFormat="1" ht="15" customHeight="1">
      <c r="A1640" s="2134" t="s">
        <v>2853</v>
      </c>
      <c r="B1640" s="2133">
        <f t="shared" si="358"/>
        <v>0</v>
      </c>
      <c r="C1640" s="2407">
        <f t="shared" si="375"/>
        <v>0</v>
      </c>
      <c r="D1640" s="2407">
        <f t="shared" si="375"/>
        <v>0</v>
      </c>
      <c r="E1640" s="2407">
        <f t="shared" si="375"/>
        <v>0</v>
      </c>
      <c r="F1640" s="2407">
        <f t="shared" si="375"/>
        <v>0</v>
      </c>
      <c r="G1640" s="2407">
        <f t="shared" si="375"/>
        <v>0</v>
      </c>
      <c r="H1640" s="2133">
        <f>B1640*C1640</f>
        <v>0</v>
      </c>
      <c r="I1640" s="2133">
        <f>B1640*D1640</f>
        <v>0</v>
      </c>
      <c r="J1640" s="2133">
        <f>B1640*E1640</f>
        <v>0</v>
      </c>
      <c r="K1640" s="2133">
        <f>B1640*F1640</f>
        <v>0</v>
      </c>
      <c r="L1640" s="2133">
        <f>B1640*G1640</f>
        <v>0</v>
      </c>
      <c r="N1640" s="2133">
        <f>(B1640/2)/0.2</f>
        <v>0</v>
      </c>
      <c r="O1640" s="2133">
        <f>(B1640/2)/0.1</f>
        <v>0</v>
      </c>
      <c r="P1640" s="2133">
        <f>SUM(N1640:O1640)</f>
        <v>0</v>
      </c>
      <c r="Q1640" s="2133">
        <f t="shared" si="376"/>
        <v>-0.2</v>
      </c>
      <c r="R1640" s="2133">
        <f>P1640*Q1640</f>
        <v>0</v>
      </c>
      <c r="U1640" s="2531"/>
      <c r="V1640" s="2531"/>
      <c r="W1640" s="2531"/>
      <c r="X1640" s="2531"/>
      <c r="Y1640" s="2531"/>
      <c r="Z1640" s="2531"/>
      <c r="AA1640" s="2531"/>
      <c r="AB1640" s="2531"/>
      <c r="AC1640" s="2531"/>
      <c r="AD1640" s="2531"/>
      <c r="AE1640" s="2531"/>
      <c r="AF1640" s="2531"/>
      <c r="AG1640" s="2531"/>
      <c r="AH1640" s="2531"/>
      <c r="AI1640" s="2531"/>
      <c r="AJ1640" s="2531"/>
      <c r="AK1640" s="2531"/>
      <c r="AL1640" s="2531"/>
      <c r="AM1640" s="2531"/>
      <c r="AN1640" s="2531"/>
      <c r="AO1640" s="2531"/>
    </row>
    <row r="1641" spans="1:43" s="2532" customFormat="1" ht="15" customHeight="1">
      <c r="A1641" s="2134" t="s">
        <v>2854</v>
      </c>
      <c r="B1641" s="2133">
        <f t="shared" si="358"/>
        <v>0</v>
      </c>
      <c r="C1641" s="2407">
        <f t="shared" si="375"/>
        <v>0</v>
      </c>
      <c r="D1641" s="2407">
        <f t="shared" si="375"/>
        <v>0</v>
      </c>
      <c r="E1641" s="2407">
        <f t="shared" si="375"/>
        <v>0</v>
      </c>
      <c r="F1641" s="2407">
        <f t="shared" si="375"/>
        <v>0</v>
      </c>
      <c r="G1641" s="2407">
        <f t="shared" si="375"/>
        <v>0</v>
      </c>
      <c r="H1641" s="2133">
        <f>B1641*C1641</f>
        <v>0</v>
      </c>
      <c r="I1641" s="2133">
        <f>B1641*D1641</f>
        <v>0</v>
      </c>
      <c r="J1641" s="2133">
        <f>B1641*E1641</f>
        <v>0</v>
      </c>
      <c r="K1641" s="2133">
        <f>B1641*F1641</f>
        <v>0</v>
      </c>
      <c r="L1641" s="2133">
        <f>B1641*G1641</f>
        <v>0</v>
      </c>
      <c r="N1641" s="2133">
        <f>(B1641/2)/0.2</f>
        <v>0</v>
      </c>
      <c r="O1641" s="2133">
        <f>(B1641/2)/0.1</f>
        <v>0</v>
      </c>
      <c r="P1641" s="2133">
        <f>SUM(N1641:O1641)</f>
        <v>0</v>
      </c>
      <c r="Q1641" s="2133">
        <f t="shared" si="376"/>
        <v>-0.2</v>
      </c>
      <c r="R1641" s="2133">
        <f>P1641*Q1641</f>
        <v>0</v>
      </c>
      <c r="U1641" s="2531"/>
      <c r="V1641" s="2531"/>
      <c r="W1641" s="2531"/>
      <c r="X1641" s="2531"/>
      <c r="Y1641" s="2531"/>
      <c r="Z1641" s="2531"/>
      <c r="AA1641" s="2531"/>
      <c r="AB1641" s="2531"/>
      <c r="AC1641" s="2531"/>
      <c r="AD1641" s="2531"/>
      <c r="AE1641" s="2531"/>
      <c r="AF1641" s="2531"/>
      <c r="AG1641" s="2531"/>
      <c r="AH1641" s="2531"/>
      <c r="AI1641" s="2531"/>
      <c r="AJ1641" s="2531"/>
      <c r="AK1641" s="2531"/>
      <c r="AL1641" s="2531"/>
      <c r="AM1641" s="2531"/>
      <c r="AN1641" s="2531"/>
      <c r="AO1641" s="2531"/>
    </row>
    <row r="1642" spans="1:43" s="2532" customFormat="1" ht="15" customHeight="1">
      <c r="A1642" s="2134" t="s">
        <v>2855</v>
      </c>
      <c r="B1642" s="2133">
        <f t="shared" si="358"/>
        <v>0</v>
      </c>
      <c r="C1642" s="2407">
        <f t="shared" si="375"/>
        <v>0</v>
      </c>
      <c r="D1642" s="2407">
        <f t="shared" si="375"/>
        <v>0</v>
      </c>
      <c r="E1642" s="2407">
        <f t="shared" si="375"/>
        <v>0</v>
      </c>
      <c r="F1642" s="2407">
        <f t="shared" si="375"/>
        <v>0</v>
      </c>
      <c r="G1642" s="2407">
        <f t="shared" si="375"/>
        <v>0</v>
      </c>
      <c r="H1642" s="2133">
        <f>B1642*C1642</f>
        <v>0</v>
      </c>
      <c r="I1642" s="2133">
        <f>B1642*D1642</f>
        <v>0</v>
      </c>
      <c r="J1642" s="2133">
        <f>B1642*E1642</f>
        <v>0</v>
      </c>
      <c r="K1642" s="2133">
        <f>B1642*F1642</f>
        <v>0</v>
      </c>
      <c r="L1642" s="2133">
        <f>B1642*G1642</f>
        <v>0</v>
      </c>
      <c r="N1642" s="2133">
        <f>(B1642/2)/0.2</f>
        <v>0</v>
      </c>
      <c r="O1642" s="2133">
        <f>(B1642/2)/0.1</f>
        <v>0</v>
      </c>
      <c r="P1642" s="2133">
        <f>SUM(N1642:O1642)</f>
        <v>0</v>
      </c>
      <c r="Q1642" s="2133">
        <f t="shared" si="376"/>
        <v>-0.2</v>
      </c>
      <c r="R1642" s="2133">
        <f>P1642*Q1642</f>
        <v>0</v>
      </c>
      <c r="U1642" s="2531"/>
      <c r="V1642" s="2531"/>
      <c r="W1642" s="2531"/>
      <c r="X1642" s="2531"/>
      <c r="Y1642" s="2531"/>
      <c r="Z1642" s="2531"/>
      <c r="AA1642" s="2531"/>
      <c r="AB1642" s="2531"/>
      <c r="AC1642" s="2531"/>
      <c r="AD1642" s="2531"/>
      <c r="AE1642" s="2531"/>
      <c r="AF1642" s="2531"/>
      <c r="AG1642" s="2531"/>
      <c r="AH1642" s="2531"/>
      <c r="AI1642" s="2531"/>
      <c r="AJ1642" s="2531"/>
      <c r="AK1642" s="2531"/>
      <c r="AL1642" s="2531"/>
      <c r="AM1642" s="2531"/>
      <c r="AN1642" s="2531"/>
      <c r="AO1642" s="2531"/>
    </row>
    <row r="1643" spans="1:43" s="2402" customFormat="1">
      <c r="A1643" s="2134" t="s">
        <v>175</v>
      </c>
      <c r="B1643" s="2133">
        <f t="shared" si="358"/>
        <v>0</v>
      </c>
      <c r="C1643" s="2407">
        <f t="shared" si="375"/>
        <v>0</v>
      </c>
      <c r="D1643" s="2407">
        <f t="shared" si="375"/>
        <v>0</v>
      </c>
      <c r="E1643" s="2407">
        <f t="shared" si="375"/>
        <v>0</v>
      </c>
      <c r="F1643" s="2407">
        <f t="shared" si="375"/>
        <v>4</v>
      </c>
      <c r="G1643" s="2407">
        <f t="shared" si="375"/>
        <v>0</v>
      </c>
      <c r="H1643" s="2133">
        <f t="shared" si="373"/>
        <v>0</v>
      </c>
      <c r="I1643" s="2133">
        <f t="shared" si="371"/>
        <v>0</v>
      </c>
      <c r="J1643" s="2133">
        <f t="shared" si="364"/>
        <v>0</v>
      </c>
      <c r="K1643" s="2133">
        <f t="shared" si="374"/>
        <v>0</v>
      </c>
      <c r="L1643" s="2133">
        <f t="shared" si="365"/>
        <v>0</v>
      </c>
      <c r="N1643" s="2133">
        <f t="shared" si="366"/>
        <v>0</v>
      </c>
      <c r="O1643" s="2133">
        <f t="shared" si="367"/>
        <v>0</v>
      </c>
      <c r="P1643" s="2133">
        <f t="shared" si="368"/>
        <v>0</v>
      </c>
      <c r="Q1643" s="2133">
        <f t="shared" si="376"/>
        <v>0.5</v>
      </c>
      <c r="R1643" s="2133">
        <f t="shared" si="370"/>
        <v>0</v>
      </c>
      <c r="T1643" s="2400"/>
      <c r="U1643" s="2833"/>
      <c r="V1643" s="2833"/>
      <c r="W1643" s="2833"/>
      <c r="X1643" s="2833"/>
      <c r="Y1643" s="2400"/>
      <c r="Z1643" s="2400"/>
      <c r="AA1643" s="2400"/>
      <c r="AB1643" s="2400"/>
      <c r="AC1643" s="2400"/>
      <c r="AD1643" s="2400"/>
      <c r="AE1643" s="2400"/>
      <c r="AF1643" s="2400"/>
      <c r="AG1643" s="2400"/>
      <c r="AH1643" s="2400"/>
      <c r="AI1643" s="2400"/>
      <c r="AJ1643" s="2400"/>
      <c r="AK1643" s="2400"/>
      <c r="AL1643" s="2400"/>
      <c r="AM1643" s="2400"/>
      <c r="AN1643" s="2400"/>
      <c r="AO1643" s="2400"/>
    </row>
    <row r="1644" spans="1:43" s="2402" customFormat="1" ht="15">
      <c r="A1644" s="2400"/>
      <c r="B1644" s="2400"/>
      <c r="C1644" s="2400"/>
      <c r="D1644" s="2400"/>
      <c r="E1644" s="2400"/>
      <c r="F1644" s="2804" t="s">
        <v>2074</v>
      </c>
      <c r="G1644" s="2805"/>
      <c r="H1644" s="2133">
        <f>SUM(H1623:H1643)</f>
        <v>0</v>
      </c>
      <c r="I1644" s="2133">
        <f>SUM(I1623:I1643)</f>
        <v>0</v>
      </c>
      <c r="J1644" s="2133">
        <f>SUM(J1623:J1643)</f>
        <v>0</v>
      </c>
      <c r="K1644" s="2133">
        <f>SUM(K1623:K1643)</f>
        <v>0</v>
      </c>
      <c r="L1644" s="2133">
        <f>SUM(L1623:L1643)</f>
        <v>0</v>
      </c>
      <c r="N1644" s="2804" t="s">
        <v>1972</v>
      </c>
      <c r="O1644" s="2805"/>
      <c r="P1644" s="2805"/>
      <c r="Q1644" s="2133">
        <f>SUMIF($K$445:$K$465,S1644,$R$1623:$R$1643)</f>
        <v>0</v>
      </c>
      <c r="R1644" s="2157">
        <f>Q1644*0.4</f>
        <v>0</v>
      </c>
      <c r="S1644" s="2402">
        <v>8</v>
      </c>
      <c r="T1644" s="2400"/>
      <c r="V1644" s="2400"/>
      <c r="W1644" s="2400"/>
      <c r="X1644" s="2400"/>
      <c r="Y1644" s="2400"/>
      <c r="Z1644" s="2400"/>
      <c r="AA1644" s="2400"/>
      <c r="AB1644" s="2400"/>
      <c r="AC1644" s="2400"/>
      <c r="AD1644" s="2400"/>
      <c r="AE1644" s="2400"/>
      <c r="AF1644" s="2400"/>
      <c r="AG1644" s="2400"/>
      <c r="AH1644" s="2400"/>
      <c r="AI1644" s="2400"/>
      <c r="AJ1644" s="2400"/>
      <c r="AK1644" s="2400"/>
      <c r="AL1644" s="2400"/>
      <c r="AM1644" s="2400"/>
      <c r="AN1644" s="2400"/>
      <c r="AO1644" s="2400"/>
      <c r="AP1644" s="2400"/>
      <c r="AQ1644" s="2400"/>
    </row>
    <row r="1645" spans="1:43" s="2402" customFormat="1" ht="15">
      <c r="A1645" s="2400"/>
      <c r="B1645" s="2400"/>
      <c r="C1645" s="2400"/>
      <c r="D1645" s="2400"/>
      <c r="E1645" s="2400"/>
      <c r="F1645" s="2804" t="s">
        <v>2075</v>
      </c>
      <c r="G1645" s="2805"/>
      <c r="H1645" s="2182">
        <f>H1644*1.04</f>
        <v>0</v>
      </c>
      <c r="I1645" s="2182">
        <f>I1644*0.89</f>
        <v>0</v>
      </c>
      <c r="J1645" s="2182">
        <f>J1644*0.62</f>
        <v>0</v>
      </c>
      <c r="K1645" s="2182">
        <f>K1644*0.62</f>
        <v>0</v>
      </c>
      <c r="L1645" s="2183">
        <f>L1644*0.62</f>
        <v>0</v>
      </c>
      <c r="N1645" s="2804" t="s">
        <v>2387</v>
      </c>
      <c r="O1645" s="2805"/>
      <c r="P1645" s="2805"/>
      <c r="Q1645" s="2133">
        <f>SUMIF($K$445:$K$465,S1645,$R$1623:$R$1643)</f>
        <v>0</v>
      </c>
      <c r="R1645" s="2184">
        <f>Q1645*0.62</f>
        <v>0</v>
      </c>
      <c r="S1645" s="2402">
        <v>10</v>
      </c>
      <c r="V1645" s="2400"/>
      <c r="W1645" s="2400"/>
      <c r="X1645" s="2400"/>
      <c r="Y1645" s="2400"/>
      <c r="Z1645" s="2400"/>
      <c r="AA1645" s="2400"/>
      <c r="AB1645" s="2400"/>
      <c r="AC1645" s="2400"/>
      <c r="AD1645" s="2400"/>
      <c r="AE1645" s="2400"/>
      <c r="AF1645" s="2400"/>
      <c r="AG1645" s="2400"/>
      <c r="AH1645" s="2400"/>
      <c r="AI1645" s="2400"/>
      <c r="AJ1645" s="2400"/>
      <c r="AK1645" s="2400"/>
      <c r="AL1645" s="2400"/>
      <c r="AM1645" s="2400"/>
      <c r="AN1645" s="2400"/>
      <c r="AO1645" s="2400"/>
      <c r="AP1645" s="2400"/>
      <c r="AQ1645" s="2400"/>
    </row>
    <row r="1646" spans="1:43" s="2402" customFormat="1" ht="15">
      <c r="A1646" s="2400"/>
      <c r="B1646" s="2400"/>
      <c r="C1646" s="2400"/>
      <c r="D1646" s="2400"/>
      <c r="E1646" s="2400"/>
      <c r="F1646" s="2400"/>
      <c r="G1646" s="2400"/>
      <c r="N1646" s="2804" t="s">
        <v>2443</v>
      </c>
      <c r="O1646" s="2805"/>
      <c r="P1646" s="2805"/>
      <c r="Q1646" s="2133">
        <f>SUMIF($K$445:$K$465,S1646,$R$1623:$R$1643)</f>
        <v>0</v>
      </c>
      <c r="R1646" s="2184">
        <f>Q1646*0.62</f>
        <v>0</v>
      </c>
      <c r="S1646" s="2402" t="s">
        <v>1807</v>
      </c>
      <c r="V1646" s="2400"/>
      <c r="W1646" s="2400"/>
      <c r="X1646" s="2400"/>
      <c r="Y1646" s="2400"/>
      <c r="Z1646" s="2400"/>
      <c r="AA1646" s="2400"/>
      <c r="AB1646" s="2400"/>
      <c r="AC1646" s="2400"/>
      <c r="AD1646" s="2400"/>
      <c r="AE1646" s="2400"/>
      <c r="AF1646" s="2400"/>
      <c r="AG1646" s="2400"/>
      <c r="AH1646" s="2400"/>
      <c r="AI1646" s="2400"/>
      <c r="AJ1646" s="2400"/>
      <c r="AK1646" s="2400"/>
      <c r="AL1646" s="2400"/>
      <c r="AM1646" s="2400"/>
      <c r="AN1646" s="2400"/>
      <c r="AO1646" s="2400"/>
      <c r="AP1646" s="2400"/>
      <c r="AQ1646" s="2400"/>
    </row>
    <row r="1647" spans="1:43" s="2402" customFormat="1">
      <c r="V1647" s="2400"/>
      <c r="W1647" s="2400"/>
      <c r="X1647" s="2400"/>
      <c r="Y1647" s="2400"/>
      <c r="Z1647" s="2400"/>
      <c r="AA1647" s="2400"/>
      <c r="AB1647" s="2400"/>
      <c r="AC1647" s="2400"/>
      <c r="AD1647" s="2400"/>
      <c r="AE1647" s="2400"/>
      <c r="AF1647" s="2400"/>
      <c r="AG1647" s="2400"/>
      <c r="AH1647" s="2400"/>
      <c r="AI1647" s="2400"/>
      <c r="AJ1647" s="2400"/>
      <c r="AK1647" s="2400"/>
      <c r="AL1647" s="2400"/>
      <c r="AM1647" s="2400"/>
      <c r="AN1647" s="2400"/>
      <c r="AO1647" s="2400"/>
      <c r="AP1647" s="2400"/>
      <c r="AQ1647" s="2400"/>
    </row>
    <row r="1648" spans="1:43" s="2402" customFormat="1">
      <c r="A1648" s="2831" t="s">
        <v>2005</v>
      </c>
      <c r="B1648" s="2832"/>
      <c r="C1648" s="2832"/>
      <c r="D1648" s="2832"/>
      <c r="V1648" s="2400"/>
      <c r="W1648" s="2400"/>
      <c r="X1648" s="2400"/>
      <c r="Y1648" s="2400"/>
      <c r="Z1648" s="2400"/>
      <c r="AA1648" s="2400"/>
      <c r="AB1648" s="2400"/>
      <c r="AC1648" s="2400"/>
      <c r="AD1648" s="2400"/>
      <c r="AE1648" s="2400"/>
      <c r="AF1648" s="2400"/>
      <c r="AG1648" s="2400"/>
      <c r="AH1648" s="2400"/>
      <c r="AI1648" s="2400"/>
      <c r="AJ1648" s="2400"/>
      <c r="AK1648" s="2400"/>
      <c r="AL1648" s="2400"/>
      <c r="AM1648" s="2400"/>
      <c r="AN1648" s="2400"/>
      <c r="AO1648" s="2400"/>
      <c r="AP1648" s="2400"/>
      <c r="AQ1648" s="2400"/>
    </row>
    <row r="1649" spans="1:43" s="2402" customFormat="1">
      <c r="A1649" s="2133" t="s">
        <v>1796</v>
      </c>
      <c r="B1649" s="2133" t="s">
        <v>2004</v>
      </c>
      <c r="C1649" s="2133" t="s">
        <v>1791</v>
      </c>
      <c r="D1649" s="2133" t="s">
        <v>2008</v>
      </c>
      <c r="E1649" s="2402" t="s">
        <v>2368</v>
      </c>
      <c r="V1649" s="2400"/>
      <c r="W1649" s="2400"/>
      <c r="X1649" s="2400"/>
      <c r="Y1649" s="2400"/>
      <c r="Z1649" s="2400"/>
      <c r="AA1649" s="2400"/>
      <c r="AB1649" s="2400"/>
      <c r="AC1649" s="2400"/>
      <c r="AD1649" s="2400"/>
      <c r="AE1649" s="2400"/>
      <c r="AF1649" s="2400"/>
      <c r="AG1649" s="2400"/>
      <c r="AH1649" s="2400"/>
      <c r="AI1649" s="2400"/>
      <c r="AJ1649" s="2400"/>
      <c r="AK1649" s="2400"/>
      <c r="AL1649" s="2400"/>
      <c r="AM1649" s="2400"/>
      <c r="AN1649" s="2400"/>
      <c r="AO1649" s="2400"/>
      <c r="AP1649" s="2400"/>
      <c r="AQ1649" s="2400"/>
    </row>
    <row r="1650" spans="1:43" s="2402" customFormat="1">
      <c r="A1650" s="2133" t="str">
        <f t="shared" ref="A1650:B1670" si="377">A1623</f>
        <v>B1</v>
      </c>
      <c r="B1650" s="2133">
        <f t="shared" si="377"/>
        <v>0</v>
      </c>
      <c r="C1650" s="2133">
        <f t="shared" ref="C1650:C1664" si="378">C445</f>
        <v>8.0000000000000016E-2</v>
      </c>
      <c r="D1650" s="2133">
        <f>B1650*C1650</f>
        <v>0</v>
      </c>
      <c r="E1650" s="2402">
        <f>$F$445*B1650</f>
        <v>0</v>
      </c>
      <c r="G1650" s="2099"/>
      <c r="V1650" s="2400"/>
      <c r="W1650" s="2400"/>
      <c r="X1650" s="2400"/>
      <c r="Y1650" s="2400"/>
      <c r="Z1650" s="2400"/>
      <c r="AA1650" s="2400"/>
      <c r="AB1650" s="2400"/>
      <c r="AC1650" s="2400"/>
      <c r="AD1650" s="2400"/>
      <c r="AE1650" s="2400"/>
      <c r="AF1650" s="2400"/>
      <c r="AG1650" s="2400"/>
      <c r="AH1650" s="2400"/>
      <c r="AI1650" s="2400"/>
      <c r="AJ1650" s="2400"/>
      <c r="AK1650" s="2400"/>
      <c r="AL1650" s="2400"/>
      <c r="AM1650" s="2400"/>
      <c r="AN1650" s="2400"/>
      <c r="AO1650" s="2400"/>
      <c r="AP1650" s="2400"/>
      <c r="AQ1650" s="2400"/>
    </row>
    <row r="1651" spans="1:43" s="2402" customFormat="1">
      <c r="A1651" s="2133" t="str">
        <f t="shared" si="377"/>
        <v>B2</v>
      </c>
      <c r="B1651" s="2133">
        <f t="shared" si="377"/>
        <v>0</v>
      </c>
      <c r="C1651" s="2133">
        <f t="shared" si="378"/>
        <v>6.7500000000000004E-2</v>
      </c>
      <c r="D1651" s="2133">
        <f t="shared" ref="D1651:D1670" si="379">B1651*C1651</f>
        <v>0</v>
      </c>
      <c r="E1651" s="2402">
        <f>$F$446*B1651</f>
        <v>0</v>
      </c>
      <c r="V1651" s="2400"/>
      <c r="W1651" s="2400"/>
      <c r="X1651" s="2400"/>
      <c r="Y1651" s="2400"/>
      <c r="Z1651" s="2400"/>
      <c r="AA1651" s="2400"/>
      <c r="AB1651" s="2400"/>
      <c r="AC1651" s="2400"/>
      <c r="AD1651" s="2400"/>
      <c r="AE1651" s="2400"/>
      <c r="AF1651" s="2400"/>
      <c r="AG1651" s="2400"/>
      <c r="AH1651" s="2400"/>
      <c r="AI1651" s="2400"/>
      <c r="AJ1651" s="2400"/>
      <c r="AK1651" s="2400"/>
      <c r="AL1651" s="2400"/>
      <c r="AM1651" s="2400"/>
      <c r="AN1651" s="2400"/>
      <c r="AO1651" s="2400"/>
      <c r="AP1651" s="2400"/>
      <c r="AQ1651" s="2400"/>
    </row>
    <row r="1652" spans="1:43" s="2402" customFormat="1">
      <c r="A1652" s="2133" t="str">
        <f t="shared" si="377"/>
        <v>B3</v>
      </c>
      <c r="B1652" s="2133">
        <f t="shared" si="377"/>
        <v>0</v>
      </c>
      <c r="C1652" s="2133">
        <f t="shared" si="378"/>
        <v>7.9999999999999988E-2</v>
      </c>
      <c r="D1652" s="2133">
        <f t="shared" si="379"/>
        <v>0</v>
      </c>
      <c r="E1652" s="2402">
        <f>$F$447*B1652</f>
        <v>0</v>
      </c>
      <c r="V1652" s="2400"/>
      <c r="W1652" s="2400"/>
      <c r="X1652" s="2400"/>
      <c r="Y1652" s="2400"/>
      <c r="Z1652" s="2400"/>
      <c r="AA1652" s="2400"/>
      <c r="AB1652" s="2400"/>
      <c r="AC1652" s="2400"/>
      <c r="AD1652" s="2400"/>
      <c r="AE1652" s="2400"/>
      <c r="AF1652" s="2400"/>
      <c r="AG1652" s="2400"/>
      <c r="AH1652" s="2400"/>
      <c r="AI1652" s="2400"/>
      <c r="AJ1652" s="2400"/>
      <c r="AK1652" s="2400"/>
      <c r="AL1652" s="2400"/>
      <c r="AM1652" s="2400"/>
      <c r="AN1652" s="2400"/>
      <c r="AO1652" s="2400"/>
      <c r="AP1652" s="2400"/>
      <c r="AQ1652" s="2400"/>
    </row>
    <row r="1653" spans="1:43" s="2402" customFormat="1">
      <c r="A1653" s="2133" t="str">
        <f t="shared" si="377"/>
        <v>B4</v>
      </c>
      <c r="B1653" s="2133">
        <f t="shared" si="377"/>
        <v>0</v>
      </c>
      <c r="C1653" s="2133">
        <f t="shared" si="378"/>
        <v>4.4999999999999998E-2</v>
      </c>
      <c r="D1653" s="2133">
        <f t="shared" si="379"/>
        <v>0</v>
      </c>
      <c r="E1653" s="2402">
        <f>$F$448*B1653</f>
        <v>0</v>
      </c>
      <c r="V1653" s="2400"/>
      <c r="W1653" s="2400"/>
      <c r="X1653" s="2400"/>
      <c r="Y1653" s="2400"/>
      <c r="Z1653" s="2400"/>
      <c r="AA1653" s="2400"/>
      <c r="AB1653" s="2400"/>
      <c r="AC1653" s="2400"/>
      <c r="AD1653" s="2400"/>
      <c r="AE1653" s="2400"/>
      <c r="AF1653" s="2400"/>
      <c r="AG1653" s="2400"/>
      <c r="AH1653" s="2400"/>
      <c r="AI1653" s="2400"/>
      <c r="AJ1653" s="2400"/>
      <c r="AK1653" s="2400"/>
      <c r="AL1653" s="2400"/>
      <c r="AM1653" s="2400"/>
      <c r="AN1653" s="2400"/>
      <c r="AO1653" s="2400"/>
      <c r="AP1653" s="2400"/>
      <c r="AQ1653" s="2400"/>
    </row>
    <row r="1654" spans="1:43" s="2402" customFormat="1">
      <c r="A1654" s="2133" t="str">
        <f t="shared" si="377"/>
        <v>B5</v>
      </c>
      <c r="B1654" s="2133">
        <f t="shared" si="377"/>
        <v>0</v>
      </c>
      <c r="C1654" s="2133">
        <f t="shared" si="378"/>
        <v>0</v>
      </c>
      <c r="D1654" s="2133">
        <f t="shared" si="379"/>
        <v>0</v>
      </c>
      <c r="E1654" s="2402">
        <f>$F$449*B1654</f>
        <v>0</v>
      </c>
      <c r="V1654" s="2400"/>
      <c r="W1654" s="2400"/>
      <c r="X1654" s="2400"/>
      <c r="Y1654" s="2400"/>
      <c r="Z1654" s="2400"/>
      <c r="AA1654" s="2400"/>
      <c r="AB1654" s="2400"/>
      <c r="AC1654" s="2400"/>
      <c r="AD1654" s="2400"/>
      <c r="AE1654" s="2400"/>
      <c r="AF1654" s="2400"/>
      <c r="AG1654" s="2400"/>
      <c r="AH1654" s="2400"/>
      <c r="AI1654" s="2400"/>
      <c r="AJ1654" s="2400"/>
      <c r="AK1654" s="2400"/>
      <c r="AL1654" s="2400"/>
      <c r="AM1654" s="2400"/>
      <c r="AN1654" s="2400"/>
      <c r="AO1654" s="2400"/>
      <c r="AP1654" s="2400"/>
      <c r="AQ1654" s="2400"/>
    </row>
    <row r="1655" spans="1:43" s="2402" customFormat="1" ht="15" customHeight="1">
      <c r="A1655" s="2133" t="str">
        <f t="shared" si="377"/>
        <v>B6</v>
      </c>
      <c r="B1655" s="2133">
        <f t="shared" si="377"/>
        <v>0</v>
      </c>
      <c r="C1655" s="2133">
        <f t="shared" si="378"/>
        <v>0</v>
      </c>
      <c r="D1655" s="2133">
        <f t="shared" si="379"/>
        <v>0</v>
      </c>
      <c r="E1655" s="2402">
        <f>$F$450*B1655</f>
        <v>0</v>
      </c>
      <c r="V1655" s="2400"/>
      <c r="W1655" s="2400"/>
      <c r="X1655" s="2400"/>
      <c r="Y1655" s="2400"/>
      <c r="Z1655" s="2400"/>
      <c r="AA1655" s="2400"/>
      <c r="AB1655" s="2400"/>
      <c r="AC1655" s="2400"/>
      <c r="AD1655" s="2400"/>
      <c r="AE1655" s="2400"/>
      <c r="AF1655" s="2400"/>
      <c r="AG1655" s="2400"/>
      <c r="AH1655" s="2400"/>
      <c r="AI1655" s="2400"/>
      <c r="AJ1655" s="2400"/>
      <c r="AK1655" s="2400"/>
      <c r="AL1655" s="2400"/>
      <c r="AM1655" s="2400"/>
      <c r="AN1655" s="2400"/>
      <c r="AO1655" s="2400"/>
      <c r="AP1655" s="2400"/>
      <c r="AQ1655" s="2400"/>
    </row>
    <row r="1656" spans="1:43" s="2402" customFormat="1" ht="15" customHeight="1">
      <c r="A1656" s="2133" t="str">
        <f t="shared" si="377"/>
        <v>B7</v>
      </c>
      <c r="B1656" s="2133">
        <f t="shared" si="377"/>
        <v>0</v>
      </c>
      <c r="C1656" s="2133">
        <f t="shared" si="378"/>
        <v>0</v>
      </c>
      <c r="D1656" s="2133">
        <f t="shared" si="379"/>
        <v>0</v>
      </c>
      <c r="E1656" s="2402">
        <f>$F$451*B1656</f>
        <v>0</v>
      </c>
      <c r="V1656" s="2400"/>
      <c r="W1656" s="2400"/>
      <c r="X1656" s="2400"/>
      <c r="Y1656" s="2400"/>
      <c r="Z1656" s="2400"/>
      <c r="AA1656" s="2400"/>
      <c r="AB1656" s="2400"/>
      <c r="AC1656" s="2400"/>
      <c r="AD1656" s="2400"/>
      <c r="AE1656" s="2400"/>
      <c r="AF1656" s="2400"/>
      <c r="AG1656" s="2400"/>
      <c r="AH1656" s="2400"/>
      <c r="AI1656" s="2400"/>
      <c r="AJ1656" s="2400"/>
      <c r="AK1656" s="2400"/>
      <c r="AL1656" s="2400"/>
      <c r="AM1656" s="2400"/>
      <c r="AN1656" s="2400"/>
      <c r="AO1656" s="2400"/>
      <c r="AP1656" s="2400"/>
      <c r="AQ1656" s="2400"/>
    </row>
    <row r="1657" spans="1:43" s="2402" customFormat="1" ht="15" customHeight="1">
      <c r="A1657" s="2133" t="str">
        <f t="shared" si="377"/>
        <v>B8</v>
      </c>
      <c r="B1657" s="2133">
        <f t="shared" si="377"/>
        <v>0</v>
      </c>
      <c r="C1657" s="2133">
        <f t="shared" si="378"/>
        <v>0</v>
      </c>
      <c r="D1657" s="2133">
        <f t="shared" si="379"/>
        <v>0</v>
      </c>
      <c r="E1657" s="2402">
        <f>$F$452*B1657</f>
        <v>0</v>
      </c>
      <c r="V1657" s="2400"/>
      <c r="W1657" s="2400"/>
      <c r="X1657" s="2400"/>
      <c r="Y1657" s="2400"/>
      <c r="Z1657" s="2400"/>
      <c r="AA1657" s="2400"/>
      <c r="AB1657" s="2400"/>
      <c r="AC1657" s="2400"/>
      <c r="AD1657" s="2400"/>
      <c r="AE1657" s="2400"/>
      <c r="AF1657" s="2400"/>
      <c r="AG1657" s="2400"/>
      <c r="AH1657" s="2400"/>
      <c r="AI1657" s="2400"/>
      <c r="AJ1657" s="2400"/>
      <c r="AK1657" s="2400"/>
      <c r="AL1657" s="2400"/>
      <c r="AM1657" s="2400"/>
      <c r="AN1657" s="2400"/>
      <c r="AO1657" s="2400"/>
      <c r="AP1657" s="2400"/>
      <c r="AQ1657" s="2400"/>
    </row>
    <row r="1658" spans="1:43" s="2402" customFormat="1">
      <c r="A1658" s="2133" t="str">
        <f t="shared" si="377"/>
        <v>B9</v>
      </c>
      <c r="B1658" s="2133">
        <f t="shared" si="377"/>
        <v>0</v>
      </c>
      <c r="C1658" s="2133">
        <f t="shared" si="378"/>
        <v>0</v>
      </c>
      <c r="D1658" s="2133">
        <f t="shared" si="379"/>
        <v>0</v>
      </c>
      <c r="E1658" s="2402">
        <f>$F$453*B1658</f>
        <v>0</v>
      </c>
      <c r="V1658" s="2400"/>
      <c r="W1658" s="2400"/>
      <c r="X1658" s="2400"/>
      <c r="Y1658" s="2400"/>
      <c r="Z1658" s="2400"/>
      <c r="AA1658" s="2400"/>
      <c r="AB1658" s="2400"/>
      <c r="AC1658" s="2400"/>
      <c r="AD1658" s="2400"/>
      <c r="AE1658" s="2400"/>
      <c r="AF1658" s="2400"/>
      <c r="AG1658" s="2400"/>
      <c r="AH1658" s="2400"/>
      <c r="AI1658" s="2400"/>
      <c r="AJ1658" s="2400"/>
      <c r="AK1658" s="2400"/>
      <c r="AL1658" s="2400"/>
      <c r="AM1658" s="2400"/>
      <c r="AN1658" s="2400"/>
      <c r="AO1658" s="2400"/>
      <c r="AP1658" s="2400"/>
      <c r="AQ1658" s="2400"/>
    </row>
    <row r="1659" spans="1:43" s="2402" customFormat="1">
      <c r="A1659" s="2133" t="str">
        <f t="shared" si="377"/>
        <v>B10</v>
      </c>
      <c r="B1659" s="2133">
        <f t="shared" si="377"/>
        <v>0</v>
      </c>
      <c r="C1659" s="2133">
        <f t="shared" si="378"/>
        <v>0</v>
      </c>
      <c r="D1659" s="2133">
        <f t="shared" si="379"/>
        <v>0</v>
      </c>
      <c r="E1659" s="2402">
        <f>$F$454*B1659</f>
        <v>0</v>
      </c>
      <c r="V1659" s="2400"/>
      <c r="W1659" s="2833"/>
      <c r="X1659" s="2833"/>
      <c r="Y1659" s="2833"/>
      <c r="Z1659" s="2833"/>
      <c r="AA1659" s="2400"/>
      <c r="AB1659" s="2400"/>
      <c r="AC1659" s="2400"/>
      <c r="AD1659" s="2400"/>
      <c r="AE1659" s="2400"/>
      <c r="AF1659" s="2400"/>
      <c r="AG1659" s="2400"/>
      <c r="AH1659" s="2400"/>
      <c r="AI1659" s="2400"/>
      <c r="AJ1659" s="2400"/>
      <c r="AK1659" s="2400"/>
      <c r="AL1659" s="2400"/>
      <c r="AM1659" s="2400"/>
      <c r="AN1659" s="2400"/>
      <c r="AO1659" s="2400"/>
      <c r="AP1659" s="2400"/>
      <c r="AQ1659" s="2400"/>
    </row>
    <row r="1660" spans="1:43" s="2402" customFormat="1">
      <c r="A1660" s="2133" t="str">
        <f t="shared" si="377"/>
        <v>B11</v>
      </c>
      <c r="B1660" s="2133">
        <f t="shared" si="377"/>
        <v>0</v>
      </c>
      <c r="C1660" s="2133">
        <f t="shared" si="378"/>
        <v>0</v>
      </c>
      <c r="D1660" s="2133">
        <f t="shared" si="379"/>
        <v>0</v>
      </c>
      <c r="E1660" s="2402">
        <f>$F$455*B1660</f>
        <v>0</v>
      </c>
      <c r="V1660" s="2400"/>
      <c r="W1660" s="2400"/>
      <c r="X1660" s="2400"/>
      <c r="Y1660" s="2400"/>
      <c r="Z1660" s="2400"/>
      <c r="AA1660" s="2400"/>
      <c r="AB1660" s="2400"/>
      <c r="AC1660" s="2400"/>
      <c r="AD1660" s="2400"/>
      <c r="AE1660" s="2400"/>
      <c r="AF1660" s="2400"/>
      <c r="AG1660" s="2400"/>
      <c r="AH1660" s="2400"/>
      <c r="AI1660" s="2400"/>
      <c r="AJ1660" s="2400"/>
      <c r="AK1660" s="2400"/>
      <c r="AL1660" s="2400"/>
      <c r="AM1660" s="2400"/>
      <c r="AN1660" s="2400"/>
      <c r="AO1660" s="2400"/>
      <c r="AP1660" s="2400"/>
      <c r="AQ1660" s="2400"/>
    </row>
    <row r="1661" spans="1:43" s="2402" customFormat="1">
      <c r="A1661" s="2133" t="str">
        <f t="shared" si="377"/>
        <v>B12</v>
      </c>
      <c r="B1661" s="2133">
        <f t="shared" si="377"/>
        <v>0</v>
      </c>
      <c r="C1661" s="2133">
        <f t="shared" si="378"/>
        <v>0</v>
      </c>
      <c r="D1661" s="2133">
        <f t="shared" si="379"/>
        <v>0</v>
      </c>
      <c r="E1661" s="2402">
        <f>$F$456*B1661</f>
        <v>0</v>
      </c>
      <c r="V1661" s="2400"/>
      <c r="W1661" s="2400"/>
      <c r="X1661" s="2400"/>
      <c r="Y1661" s="2400"/>
      <c r="Z1661" s="2400"/>
      <c r="AA1661" s="2400"/>
      <c r="AB1661" s="2400"/>
      <c r="AC1661" s="2400"/>
      <c r="AD1661" s="2400"/>
      <c r="AE1661" s="2400"/>
      <c r="AF1661" s="2400"/>
      <c r="AG1661" s="2400"/>
      <c r="AH1661" s="2400"/>
      <c r="AI1661" s="2400"/>
      <c r="AJ1661" s="2400"/>
      <c r="AK1661" s="2400"/>
      <c r="AL1661" s="2400"/>
      <c r="AM1661" s="2400"/>
      <c r="AN1661" s="2400"/>
      <c r="AO1661" s="2400"/>
      <c r="AP1661" s="2400"/>
      <c r="AQ1661" s="2400"/>
    </row>
    <row r="1662" spans="1:43" s="2402" customFormat="1">
      <c r="A1662" s="2133" t="str">
        <f t="shared" si="377"/>
        <v>B13</v>
      </c>
      <c r="B1662" s="2133">
        <f t="shared" si="377"/>
        <v>0</v>
      </c>
      <c r="C1662" s="2133">
        <f t="shared" si="378"/>
        <v>0</v>
      </c>
      <c r="D1662" s="2133">
        <f t="shared" si="379"/>
        <v>0</v>
      </c>
      <c r="E1662" s="2402">
        <f>$F$457*B1662</f>
        <v>0</v>
      </c>
      <c r="V1662" s="2400"/>
      <c r="W1662" s="2833"/>
      <c r="X1662" s="2833"/>
      <c r="Y1662" s="2833"/>
      <c r="Z1662" s="2833"/>
      <c r="AA1662" s="2400"/>
      <c r="AB1662" s="2400"/>
      <c r="AC1662" s="2400"/>
      <c r="AD1662" s="2400"/>
      <c r="AE1662" s="2400"/>
      <c r="AF1662" s="2400"/>
      <c r="AG1662" s="2400"/>
      <c r="AH1662" s="2400"/>
      <c r="AI1662" s="2400"/>
      <c r="AJ1662" s="2400"/>
      <c r="AK1662" s="2400"/>
      <c r="AL1662" s="2400"/>
      <c r="AM1662" s="2400"/>
      <c r="AN1662" s="2400"/>
      <c r="AO1662" s="2400"/>
      <c r="AP1662" s="2400"/>
      <c r="AQ1662" s="2400"/>
    </row>
    <row r="1663" spans="1:43" s="2402" customFormat="1">
      <c r="A1663" s="2133" t="str">
        <f t="shared" si="377"/>
        <v>B14</v>
      </c>
      <c r="B1663" s="2133">
        <f t="shared" si="377"/>
        <v>0</v>
      </c>
      <c r="C1663" s="2133">
        <f t="shared" si="378"/>
        <v>0</v>
      </c>
      <c r="D1663" s="2133">
        <f t="shared" si="379"/>
        <v>0</v>
      </c>
      <c r="E1663" s="2402">
        <f>$F$458*B1663</f>
        <v>0</v>
      </c>
      <c r="V1663" s="2400"/>
      <c r="W1663" s="2400"/>
      <c r="X1663" s="2400"/>
      <c r="Y1663" s="2400"/>
      <c r="Z1663" s="2400"/>
      <c r="AA1663" s="2400"/>
      <c r="AB1663" s="2400"/>
      <c r="AC1663" s="2400"/>
      <c r="AD1663" s="2400"/>
      <c r="AE1663" s="2400"/>
      <c r="AF1663" s="2400"/>
      <c r="AG1663" s="2400"/>
      <c r="AH1663" s="2400"/>
      <c r="AI1663" s="2400"/>
      <c r="AJ1663" s="2400"/>
      <c r="AK1663" s="2400"/>
      <c r="AL1663" s="2400"/>
      <c r="AM1663" s="2400"/>
      <c r="AN1663" s="2400"/>
      <c r="AO1663" s="2400"/>
      <c r="AP1663" s="2400"/>
      <c r="AQ1663" s="2400"/>
    </row>
    <row r="1664" spans="1:43" s="2402" customFormat="1">
      <c r="A1664" s="2133" t="str">
        <f t="shared" si="377"/>
        <v>B15</v>
      </c>
      <c r="B1664" s="2133">
        <f t="shared" si="377"/>
        <v>0</v>
      </c>
      <c r="C1664" s="2133">
        <f t="shared" si="378"/>
        <v>0</v>
      </c>
      <c r="D1664" s="2133">
        <f t="shared" si="379"/>
        <v>0</v>
      </c>
      <c r="E1664" s="2402">
        <f t="shared" ref="E1664:E1669" si="380">$F$459*B1664</f>
        <v>0</v>
      </c>
      <c r="V1664" s="2400"/>
      <c r="W1664" s="2400"/>
      <c r="X1664" s="2400"/>
      <c r="Y1664" s="2400"/>
      <c r="Z1664" s="2400"/>
      <c r="AA1664" s="2400"/>
      <c r="AB1664" s="2400"/>
      <c r="AC1664" s="2400"/>
      <c r="AD1664" s="2400"/>
      <c r="AE1664" s="2400"/>
      <c r="AF1664" s="2400"/>
      <c r="AG1664" s="2400"/>
      <c r="AH1664" s="2400"/>
      <c r="AI1664" s="2400"/>
      <c r="AJ1664" s="2400"/>
      <c r="AK1664" s="2400"/>
      <c r="AL1664" s="2400"/>
      <c r="AM1664" s="2400"/>
      <c r="AN1664" s="2400"/>
      <c r="AO1664" s="2400"/>
      <c r="AP1664" s="2400"/>
      <c r="AQ1664" s="2400"/>
    </row>
    <row r="1665" spans="1:43" s="2532" customFormat="1">
      <c r="A1665" s="2133" t="str">
        <f t="shared" si="377"/>
        <v>B16</v>
      </c>
      <c r="B1665" s="2133">
        <f t="shared" si="377"/>
        <v>0</v>
      </c>
      <c r="C1665" s="2133">
        <f t="shared" ref="C1665:C1670" si="381">C460</f>
        <v>0</v>
      </c>
      <c r="D1665" s="2133">
        <f>B1665*C1665</f>
        <v>0</v>
      </c>
      <c r="E1665" s="2532">
        <f t="shared" si="380"/>
        <v>0</v>
      </c>
      <c r="V1665" s="2531"/>
      <c r="W1665" s="2531"/>
      <c r="X1665" s="2531"/>
      <c r="Y1665" s="2531"/>
      <c r="Z1665" s="2531"/>
      <c r="AA1665" s="2531"/>
      <c r="AB1665" s="2531"/>
      <c r="AC1665" s="2531"/>
      <c r="AD1665" s="2531"/>
      <c r="AE1665" s="2531"/>
      <c r="AF1665" s="2531"/>
      <c r="AG1665" s="2531"/>
      <c r="AH1665" s="2531"/>
      <c r="AI1665" s="2531"/>
      <c r="AJ1665" s="2531"/>
      <c r="AK1665" s="2531"/>
      <c r="AL1665" s="2531"/>
      <c r="AM1665" s="2531"/>
      <c r="AN1665" s="2531"/>
      <c r="AO1665" s="2531"/>
      <c r="AP1665" s="2531"/>
      <c r="AQ1665" s="2531"/>
    </row>
    <row r="1666" spans="1:43" s="2532" customFormat="1">
      <c r="A1666" s="2133" t="str">
        <f t="shared" si="377"/>
        <v>B17</v>
      </c>
      <c r="B1666" s="2133">
        <f t="shared" si="377"/>
        <v>0</v>
      </c>
      <c r="C1666" s="2133">
        <f t="shared" si="381"/>
        <v>0</v>
      </c>
      <c r="D1666" s="2133">
        <f>B1666*C1666</f>
        <v>0</v>
      </c>
      <c r="E1666" s="2532">
        <f t="shared" si="380"/>
        <v>0</v>
      </c>
      <c r="V1666" s="2531"/>
      <c r="W1666" s="2531"/>
      <c r="X1666" s="2531"/>
      <c r="Y1666" s="2531"/>
      <c r="Z1666" s="2531"/>
      <c r="AA1666" s="2531"/>
      <c r="AB1666" s="2531"/>
      <c r="AC1666" s="2531"/>
      <c r="AD1666" s="2531"/>
      <c r="AE1666" s="2531"/>
      <c r="AF1666" s="2531"/>
      <c r="AG1666" s="2531"/>
      <c r="AH1666" s="2531"/>
      <c r="AI1666" s="2531"/>
      <c r="AJ1666" s="2531"/>
      <c r="AK1666" s="2531"/>
      <c r="AL1666" s="2531"/>
      <c r="AM1666" s="2531"/>
      <c r="AN1666" s="2531"/>
      <c r="AO1666" s="2531"/>
      <c r="AP1666" s="2531"/>
      <c r="AQ1666" s="2531"/>
    </row>
    <row r="1667" spans="1:43" s="2532" customFormat="1">
      <c r="A1667" s="2133" t="str">
        <f t="shared" si="377"/>
        <v>B18</v>
      </c>
      <c r="B1667" s="2133">
        <f t="shared" si="377"/>
        <v>0</v>
      </c>
      <c r="C1667" s="2133">
        <f t="shared" si="381"/>
        <v>0</v>
      </c>
      <c r="D1667" s="2133">
        <f>B1667*C1667</f>
        <v>0</v>
      </c>
      <c r="E1667" s="2532">
        <f t="shared" si="380"/>
        <v>0</v>
      </c>
      <c r="V1667" s="2531"/>
      <c r="W1667" s="2531"/>
      <c r="X1667" s="2531"/>
      <c r="Y1667" s="2531"/>
      <c r="Z1667" s="2531"/>
      <c r="AA1667" s="2531"/>
      <c r="AB1667" s="2531"/>
      <c r="AC1667" s="2531"/>
      <c r="AD1667" s="2531"/>
      <c r="AE1667" s="2531"/>
      <c r="AF1667" s="2531"/>
      <c r="AG1667" s="2531"/>
      <c r="AH1667" s="2531"/>
      <c r="AI1667" s="2531"/>
      <c r="AJ1667" s="2531"/>
      <c r="AK1667" s="2531"/>
      <c r="AL1667" s="2531"/>
      <c r="AM1667" s="2531"/>
      <c r="AN1667" s="2531"/>
      <c r="AO1667" s="2531"/>
      <c r="AP1667" s="2531"/>
      <c r="AQ1667" s="2531"/>
    </row>
    <row r="1668" spans="1:43" s="2532" customFormat="1">
      <c r="A1668" s="2133" t="str">
        <f t="shared" si="377"/>
        <v>B19</v>
      </c>
      <c r="B1668" s="2133">
        <f t="shared" si="377"/>
        <v>0</v>
      </c>
      <c r="C1668" s="2133">
        <f t="shared" si="381"/>
        <v>0</v>
      </c>
      <c r="D1668" s="2133">
        <f>B1668*C1668</f>
        <v>0</v>
      </c>
      <c r="E1668" s="2532">
        <f t="shared" si="380"/>
        <v>0</v>
      </c>
      <c r="V1668" s="2531"/>
      <c r="W1668" s="2531"/>
      <c r="X1668" s="2531"/>
      <c r="Y1668" s="2531"/>
      <c r="Z1668" s="2531"/>
      <c r="AA1668" s="2531"/>
      <c r="AB1668" s="2531"/>
      <c r="AC1668" s="2531"/>
      <c r="AD1668" s="2531"/>
      <c r="AE1668" s="2531"/>
      <c r="AF1668" s="2531"/>
      <c r="AG1668" s="2531"/>
      <c r="AH1668" s="2531"/>
      <c r="AI1668" s="2531"/>
      <c r="AJ1668" s="2531"/>
      <c r="AK1668" s="2531"/>
      <c r="AL1668" s="2531"/>
      <c r="AM1668" s="2531"/>
      <c r="AN1668" s="2531"/>
      <c r="AO1668" s="2531"/>
      <c r="AP1668" s="2531"/>
      <c r="AQ1668" s="2531"/>
    </row>
    <row r="1669" spans="1:43" s="2532" customFormat="1">
      <c r="A1669" s="2133" t="str">
        <f t="shared" si="377"/>
        <v>B20</v>
      </c>
      <c r="B1669" s="2133">
        <f t="shared" si="377"/>
        <v>0</v>
      </c>
      <c r="C1669" s="2133">
        <f t="shared" si="381"/>
        <v>0</v>
      </c>
      <c r="D1669" s="2133">
        <f>B1669*C1669</f>
        <v>0</v>
      </c>
      <c r="E1669" s="2532">
        <f t="shared" si="380"/>
        <v>0</v>
      </c>
      <c r="V1669" s="2531"/>
      <c r="W1669" s="2531"/>
      <c r="X1669" s="2531"/>
      <c r="Y1669" s="2531"/>
      <c r="Z1669" s="2531"/>
      <c r="AA1669" s="2531"/>
      <c r="AB1669" s="2531"/>
      <c r="AC1669" s="2531"/>
      <c r="AD1669" s="2531"/>
      <c r="AE1669" s="2531"/>
      <c r="AF1669" s="2531"/>
      <c r="AG1669" s="2531"/>
      <c r="AH1669" s="2531"/>
      <c r="AI1669" s="2531"/>
      <c r="AJ1669" s="2531"/>
      <c r="AK1669" s="2531"/>
      <c r="AL1669" s="2531"/>
      <c r="AM1669" s="2531"/>
      <c r="AN1669" s="2531"/>
      <c r="AO1669" s="2531"/>
      <c r="AP1669" s="2531"/>
      <c r="AQ1669" s="2531"/>
    </row>
    <row r="1670" spans="1:43" s="2402" customFormat="1">
      <c r="A1670" s="2133" t="str">
        <f t="shared" si="377"/>
        <v>RB</v>
      </c>
      <c r="B1670" s="2133">
        <f t="shared" si="377"/>
        <v>0</v>
      </c>
      <c r="C1670" s="2133">
        <f t="shared" si="381"/>
        <v>0.03</v>
      </c>
      <c r="D1670" s="2392">
        <f t="shared" si="379"/>
        <v>0</v>
      </c>
      <c r="E1670" s="2402">
        <f>$F$465*B1670</f>
        <v>0</v>
      </c>
      <c r="G1670" s="2099"/>
      <c r="V1670" s="2400"/>
      <c r="W1670" s="2400"/>
      <c r="X1670" s="2400"/>
      <c r="Y1670" s="2400"/>
      <c r="Z1670" s="2400"/>
      <c r="AA1670" s="2400"/>
      <c r="AB1670" s="2400"/>
      <c r="AC1670" s="2400"/>
      <c r="AD1670" s="2400"/>
      <c r="AE1670" s="2400"/>
      <c r="AF1670" s="2400"/>
      <c r="AG1670" s="2400"/>
      <c r="AH1670" s="2400"/>
      <c r="AI1670" s="2400"/>
      <c r="AJ1670" s="2400"/>
      <c r="AK1670" s="2400"/>
      <c r="AL1670" s="2400"/>
      <c r="AM1670" s="2400"/>
      <c r="AN1670" s="2400"/>
      <c r="AO1670" s="2400"/>
      <c r="AP1670" s="2400"/>
      <c r="AQ1670" s="2400"/>
    </row>
    <row r="1671" spans="1:43" s="2402" customFormat="1" ht="30">
      <c r="C1671" s="2138" t="s">
        <v>2078</v>
      </c>
      <c r="D1671" s="2182">
        <f>SUM(D1650:D1670)</f>
        <v>0</v>
      </c>
      <c r="E1671" s="2402">
        <f>SUM(E1650:E1670)</f>
        <v>0</v>
      </c>
      <c r="V1671" s="2400"/>
      <c r="W1671" s="2400"/>
      <c r="X1671" s="2400"/>
      <c r="Y1671" s="2400"/>
      <c r="Z1671" s="2400"/>
      <c r="AA1671" s="2400"/>
      <c r="AB1671" s="2400"/>
      <c r="AC1671" s="2400"/>
      <c r="AD1671" s="2400"/>
      <c r="AE1671" s="2400"/>
      <c r="AF1671" s="2400"/>
      <c r="AG1671" s="2400"/>
      <c r="AH1671" s="2400"/>
      <c r="AI1671" s="2400"/>
      <c r="AJ1671" s="2400"/>
      <c r="AK1671" s="2400"/>
      <c r="AL1671" s="2400"/>
      <c r="AM1671" s="2400"/>
      <c r="AN1671" s="2400"/>
      <c r="AO1671" s="2400"/>
      <c r="AP1671" s="2400"/>
      <c r="AQ1671" s="2400"/>
    </row>
    <row r="1672" spans="1:43" s="2402" customFormat="1">
      <c r="V1672" s="2400"/>
      <c r="W1672" s="2400"/>
      <c r="X1672" s="2400"/>
      <c r="Y1672" s="2400"/>
      <c r="Z1672" s="2400"/>
      <c r="AA1672" s="2400"/>
      <c r="AB1672" s="2400"/>
      <c r="AC1672" s="2400"/>
      <c r="AD1672" s="2400"/>
      <c r="AE1672" s="2400"/>
      <c r="AF1672" s="2400"/>
      <c r="AG1672" s="2400"/>
      <c r="AH1672" s="2400"/>
      <c r="AI1672" s="2400"/>
      <c r="AJ1672" s="2400"/>
      <c r="AK1672" s="2400"/>
      <c r="AL1672" s="2400"/>
      <c r="AM1672" s="2400"/>
      <c r="AN1672" s="2400"/>
      <c r="AO1672" s="2400"/>
      <c r="AP1672" s="2400"/>
      <c r="AQ1672" s="2400"/>
    </row>
    <row r="1673" spans="1:43" s="2402" customFormat="1">
      <c r="A1673" s="2831" t="s">
        <v>2006</v>
      </c>
      <c r="B1673" s="2832"/>
      <c r="C1673" s="2832"/>
      <c r="D1673" s="2832"/>
      <c r="V1673" s="2400"/>
      <c r="W1673" s="2400"/>
      <c r="X1673" s="2400"/>
      <c r="Y1673" s="2400"/>
      <c r="Z1673" s="2400"/>
      <c r="AA1673" s="2400"/>
      <c r="AB1673" s="2400"/>
      <c r="AC1673" s="2400"/>
      <c r="AD1673" s="2400"/>
      <c r="AE1673" s="2400"/>
      <c r="AF1673" s="2400"/>
      <c r="AG1673" s="2400"/>
      <c r="AH1673" s="2400"/>
      <c r="AI1673" s="2400"/>
      <c r="AJ1673" s="2400"/>
      <c r="AK1673" s="2400"/>
      <c r="AL1673" s="2400"/>
      <c r="AM1673" s="2400"/>
      <c r="AN1673" s="2400"/>
      <c r="AO1673" s="2400"/>
      <c r="AP1673" s="2400"/>
      <c r="AQ1673" s="2400"/>
    </row>
    <row r="1674" spans="1:43" s="2402" customFormat="1">
      <c r="A1674" s="2133" t="s">
        <v>1796</v>
      </c>
      <c r="B1674" s="2133" t="s">
        <v>2004</v>
      </c>
      <c r="C1674" s="2133" t="s">
        <v>1791</v>
      </c>
      <c r="D1674" s="2133" t="s">
        <v>2007</v>
      </c>
      <c r="V1674" s="2400"/>
      <c r="W1674" s="2400"/>
      <c r="X1674" s="2400"/>
      <c r="Y1674" s="2400"/>
      <c r="Z1674" s="2400"/>
      <c r="AA1674" s="2400"/>
      <c r="AB1674" s="2400"/>
      <c r="AC1674" s="2400"/>
      <c r="AD1674" s="2400"/>
      <c r="AE1674" s="2400"/>
      <c r="AF1674" s="2400"/>
      <c r="AG1674" s="2400"/>
      <c r="AH1674" s="2400"/>
      <c r="AI1674" s="2400"/>
      <c r="AJ1674" s="2400"/>
      <c r="AK1674" s="2400"/>
      <c r="AL1674" s="2400"/>
      <c r="AM1674" s="2400"/>
      <c r="AN1674" s="2400"/>
      <c r="AO1674" s="2400"/>
      <c r="AP1674" s="2400"/>
      <c r="AQ1674" s="2400"/>
    </row>
    <row r="1675" spans="1:43" s="2402" customFormat="1">
      <c r="A1675" s="2133" t="str">
        <f t="shared" ref="A1675:B1695" si="382">A1650</f>
        <v>B1</v>
      </c>
      <c r="B1675" s="2133">
        <f t="shared" si="382"/>
        <v>0</v>
      </c>
      <c r="C1675" s="2133">
        <f t="shared" ref="C1675:C1689" si="383">C470</f>
        <v>0.8</v>
      </c>
      <c r="D1675" s="2133">
        <f t="shared" ref="D1675:D1695" si="384">B1675*C1675</f>
        <v>0</v>
      </c>
      <c r="V1675" s="2400"/>
      <c r="W1675" s="2400"/>
      <c r="X1675" s="2400"/>
      <c r="Y1675" s="2400"/>
      <c r="Z1675" s="2400"/>
      <c r="AA1675" s="2400"/>
      <c r="AB1675" s="2400"/>
      <c r="AC1675" s="2400"/>
      <c r="AD1675" s="2400"/>
      <c r="AE1675" s="2400"/>
      <c r="AF1675" s="2400"/>
      <c r="AG1675" s="2400"/>
      <c r="AH1675" s="2400"/>
      <c r="AI1675" s="2400"/>
      <c r="AJ1675" s="2400"/>
      <c r="AK1675" s="2400"/>
      <c r="AL1675" s="2400"/>
      <c r="AM1675" s="2400"/>
      <c r="AN1675" s="2400"/>
      <c r="AO1675" s="2400"/>
      <c r="AP1675" s="2400"/>
      <c r="AQ1675" s="2400"/>
    </row>
    <row r="1676" spans="1:43" s="2402" customFormat="1">
      <c r="A1676" s="2133" t="str">
        <f t="shared" si="382"/>
        <v>B2</v>
      </c>
      <c r="B1676" s="2133">
        <f t="shared" si="382"/>
        <v>0</v>
      </c>
      <c r="C1676" s="2133">
        <f t="shared" si="383"/>
        <v>1.1000000000000001</v>
      </c>
      <c r="D1676" s="2133">
        <f t="shared" si="384"/>
        <v>0</v>
      </c>
      <c r="V1676" s="2400"/>
      <c r="W1676" s="2400"/>
      <c r="X1676" s="2400"/>
      <c r="Y1676" s="2400"/>
      <c r="Z1676" s="2400"/>
      <c r="AA1676" s="2400"/>
      <c r="AB1676" s="2400"/>
      <c r="AC1676" s="2400"/>
      <c r="AD1676" s="2400"/>
      <c r="AE1676" s="2400"/>
      <c r="AF1676" s="2400"/>
      <c r="AG1676" s="2400"/>
      <c r="AH1676" s="2400"/>
      <c r="AI1676" s="2400"/>
      <c r="AJ1676" s="2400"/>
      <c r="AK1676" s="2400"/>
      <c r="AL1676" s="2400"/>
      <c r="AM1676" s="2400"/>
      <c r="AN1676" s="2400"/>
      <c r="AO1676" s="2400"/>
      <c r="AP1676" s="2400"/>
      <c r="AQ1676" s="2400"/>
    </row>
    <row r="1677" spans="1:43" s="2402" customFormat="1">
      <c r="A1677" s="2133" t="str">
        <f t="shared" si="382"/>
        <v>B3</v>
      </c>
      <c r="B1677" s="2133">
        <f t="shared" si="382"/>
        <v>0</v>
      </c>
      <c r="C1677" s="2133">
        <f t="shared" si="383"/>
        <v>1.6</v>
      </c>
      <c r="D1677" s="2133">
        <f t="shared" si="384"/>
        <v>0</v>
      </c>
      <c r="V1677" s="2400"/>
      <c r="W1677" s="2400"/>
      <c r="X1677" s="2400"/>
      <c r="Y1677" s="2400"/>
      <c r="Z1677" s="2400"/>
      <c r="AA1677" s="2400"/>
      <c r="AB1677" s="2400"/>
      <c r="AC1677" s="2400"/>
      <c r="AD1677" s="2400"/>
      <c r="AE1677" s="2400"/>
      <c r="AF1677" s="2400"/>
      <c r="AG1677" s="2400"/>
      <c r="AH1677" s="2400"/>
      <c r="AI1677" s="2400"/>
      <c r="AJ1677" s="2400"/>
      <c r="AK1677" s="2400"/>
      <c r="AL1677" s="2400"/>
      <c r="AM1677" s="2400"/>
      <c r="AN1677" s="2400"/>
      <c r="AO1677" s="2400"/>
      <c r="AP1677" s="2400"/>
      <c r="AQ1677" s="2400"/>
    </row>
    <row r="1678" spans="1:43" s="2402" customFormat="1">
      <c r="A1678" s="2133" t="str">
        <f t="shared" si="382"/>
        <v>B4</v>
      </c>
      <c r="B1678" s="2133">
        <f t="shared" si="382"/>
        <v>0</v>
      </c>
      <c r="C1678" s="2133">
        <f t="shared" si="383"/>
        <v>0.6</v>
      </c>
      <c r="D1678" s="2133">
        <f t="shared" si="384"/>
        <v>0</v>
      </c>
      <c r="V1678" s="2400"/>
      <c r="W1678" s="2400"/>
      <c r="X1678" s="2400"/>
      <c r="Y1678" s="2400"/>
      <c r="Z1678" s="2400"/>
      <c r="AA1678" s="2400"/>
      <c r="AB1678" s="2400"/>
      <c r="AC1678" s="2400"/>
      <c r="AD1678" s="2400"/>
      <c r="AE1678" s="2400"/>
      <c r="AF1678" s="2400"/>
      <c r="AG1678" s="2400"/>
      <c r="AH1678" s="2400"/>
      <c r="AI1678" s="2400"/>
      <c r="AJ1678" s="2400"/>
      <c r="AK1678" s="2400"/>
      <c r="AL1678" s="2400"/>
      <c r="AM1678" s="2400"/>
      <c r="AN1678" s="2400"/>
      <c r="AO1678" s="2400"/>
      <c r="AP1678" s="2400"/>
      <c r="AQ1678" s="2400"/>
    </row>
    <row r="1679" spans="1:43" s="2402" customFormat="1">
      <c r="A1679" s="2133" t="str">
        <f t="shared" si="382"/>
        <v>B5</v>
      </c>
      <c r="B1679" s="2133">
        <f t="shared" si="382"/>
        <v>0</v>
      </c>
      <c r="C1679" s="2133">
        <f t="shared" si="383"/>
        <v>0</v>
      </c>
      <c r="D1679" s="2133">
        <f t="shared" si="384"/>
        <v>0</v>
      </c>
      <c r="V1679" s="2400"/>
      <c r="W1679" s="2400"/>
      <c r="X1679" s="2400"/>
      <c r="Y1679" s="2400"/>
      <c r="Z1679" s="2400"/>
      <c r="AA1679" s="2400"/>
      <c r="AB1679" s="2400"/>
      <c r="AC1679" s="2400"/>
      <c r="AD1679" s="2400"/>
      <c r="AE1679" s="2400"/>
      <c r="AF1679" s="2400"/>
      <c r="AG1679" s="2400"/>
      <c r="AH1679" s="2400"/>
      <c r="AI1679" s="2400"/>
      <c r="AJ1679" s="2400"/>
      <c r="AK1679" s="2400"/>
      <c r="AL1679" s="2400"/>
      <c r="AM1679" s="2400"/>
      <c r="AN1679" s="2400"/>
      <c r="AO1679" s="2400"/>
      <c r="AP1679" s="2400"/>
      <c r="AQ1679" s="2400"/>
    </row>
    <row r="1680" spans="1:43" s="2402" customFormat="1">
      <c r="A1680" s="2133" t="str">
        <f t="shared" si="382"/>
        <v>B6</v>
      </c>
      <c r="B1680" s="2133">
        <f t="shared" si="382"/>
        <v>0</v>
      </c>
      <c r="C1680" s="2133">
        <f t="shared" si="383"/>
        <v>0</v>
      </c>
      <c r="D1680" s="2133">
        <f t="shared" si="384"/>
        <v>0</v>
      </c>
      <c r="V1680" s="2400"/>
      <c r="W1680" s="2400"/>
      <c r="X1680" s="2400"/>
      <c r="Y1680" s="2400"/>
      <c r="Z1680" s="2400"/>
      <c r="AA1680" s="2400"/>
      <c r="AB1680" s="2400"/>
      <c r="AC1680" s="2400"/>
      <c r="AD1680" s="2400"/>
      <c r="AE1680" s="2400"/>
      <c r="AF1680" s="2400"/>
      <c r="AG1680" s="2400"/>
      <c r="AH1680" s="2400"/>
      <c r="AI1680" s="2400"/>
      <c r="AJ1680" s="2400"/>
      <c r="AK1680" s="2400"/>
      <c r="AL1680" s="2400"/>
      <c r="AM1680" s="2400"/>
      <c r="AN1680" s="2400"/>
      <c r="AO1680" s="2400"/>
      <c r="AP1680" s="2400"/>
      <c r="AQ1680" s="2400"/>
    </row>
    <row r="1681" spans="1:43" s="2402" customFormat="1">
      <c r="A1681" s="2133" t="str">
        <f t="shared" si="382"/>
        <v>B7</v>
      </c>
      <c r="B1681" s="2133">
        <f t="shared" si="382"/>
        <v>0</v>
      </c>
      <c r="C1681" s="2133">
        <f t="shared" si="383"/>
        <v>0</v>
      </c>
      <c r="D1681" s="2133">
        <f t="shared" si="384"/>
        <v>0</v>
      </c>
      <c r="V1681" s="2400"/>
      <c r="W1681" s="2400"/>
      <c r="X1681" s="2400"/>
      <c r="Y1681" s="2400"/>
      <c r="Z1681" s="2400"/>
      <c r="AA1681" s="2400"/>
      <c r="AB1681" s="2400"/>
      <c r="AC1681" s="2400"/>
      <c r="AD1681" s="2400"/>
      <c r="AE1681" s="2400"/>
      <c r="AF1681" s="2400"/>
      <c r="AG1681" s="2400"/>
      <c r="AH1681" s="2400"/>
      <c r="AI1681" s="2400"/>
      <c r="AJ1681" s="2400"/>
      <c r="AK1681" s="2400"/>
      <c r="AL1681" s="2400"/>
      <c r="AM1681" s="2400"/>
      <c r="AN1681" s="2400"/>
      <c r="AO1681" s="2400"/>
      <c r="AP1681" s="2400"/>
      <c r="AQ1681" s="2400"/>
    </row>
    <row r="1682" spans="1:43" s="2402" customFormat="1">
      <c r="A1682" s="2133" t="str">
        <f t="shared" si="382"/>
        <v>B8</v>
      </c>
      <c r="B1682" s="2133">
        <f t="shared" si="382"/>
        <v>0</v>
      </c>
      <c r="C1682" s="2133">
        <f t="shared" si="383"/>
        <v>0</v>
      </c>
      <c r="D1682" s="2133">
        <f t="shared" si="384"/>
        <v>0</v>
      </c>
      <c r="V1682" s="2400"/>
      <c r="W1682" s="2400"/>
      <c r="X1682" s="2400"/>
      <c r="Y1682" s="2400"/>
      <c r="Z1682" s="2400"/>
      <c r="AA1682" s="2400"/>
      <c r="AB1682" s="2400"/>
      <c r="AC1682" s="2400"/>
      <c r="AD1682" s="2400"/>
      <c r="AE1682" s="2400"/>
      <c r="AF1682" s="2400"/>
      <c r="AG1682" s="2400"/>
      <c r="AH1682" s="2400"/>
      <c r="AI1682" s="2400"/>
      <c r="AJ1682" s="2400"/>
      <c r="AK1682" s="2400"/>
      <c r="AL1682" s="2400"/>
      <c r="AM1682" s="2400"/>
      <c r="AN1682" s="2400"/>
      <c r="AO1682" s="2400"/>
      <c r="AP1682" s="2400"/>
      <c r="AQ1682" s="2400"/>
    </row>
    <row r="1683" spans="1:43" s="2402" customFormat="1">
      <c r="A1683" s="2133" t="str">
        <f t="shared" si="382"/>
        <v>B9</v>
      </c>
      <c r="B1683" s="2133">
        <f t="shared" si="382"/>
        <v>0</v>
      </c>
      <c r="C1683" s="2133">
        <f t="shared" si="383"/>
        <v>0</v>
      </c>
      <c r="D1683" s="2133">
        <f t="shared" si="384"/>
        <v>0</v>
      </c>
      <c r="V1683" s="2400"/>
      <c r="W1683" s="2400"/>
      <c r="X1683" s="2400"/>
      <c r="Y1683" s="2400"/>
      <c r="Z1683" s="2400"/>
      <c r="AA1683" s="2400"/>
      <c r="AB1683" s="2400"/>
      <c r="AC1683" s="2400"/>
      <c r="AD1683" s="2400"/>
      <c r="AE1683" s="2400"/>
      <c r="AF1683" s="2400"/>
      <c r="AG1683" s="2400"/>
      <c r="AH1683" s="2400"/>
      <c r="AI1683" s="2400"/>
      <c r="AJ1683" s="2400"/>
      <c r="AK1683" s="2400"/>
      <c r="AL1683" s="2400"/>
      <c r="AM1683" s="2400"/>
      <c r="AN1683" s="2400"/>
      <c r="AO1683" s="2400"/>
      <c r="AP1683" s="2400"/>
      <c r="AQ1683" s="2400"/>
    </row>
    <row r="1684" spans="1:43" s="2402" customFormat="1">
      <c r="A1684" s="2133" t="str">
        <f t="shared" si="382"/>
        <v>B10</v>
      </c>
      <c r="B1684" s="2133">
        <f t="shared" si="382"/>
        <v>0</v>
      </c>
      <c r="C1684" s="2133">
        <f t="shared" si="383"/>
        <v>0</v>
      </c>
      <c r="D1684" s="2133">
        <f t="shared" si="384"/>
        <v>0</v>
      </c>
      <c r="V1684" s="2400"/>
      <c r="W1684" s="2400"/>
      <c r="X1684" s="2400"/>
      <c r="Y1684" s="2400"/>
      <c r="Z1684" s="2400"/>
      <c r="AA1684" s="2400"/>
      <c r="AB1684" s="2400"/>
      <c r="AC1684" s="2400"/>
      <c r="AD1684" s="2400"/>
      <c r="AE1684" s="2400"/>
      <c r="AF1684" s="2400"/>
      <c r="AG1684" s="2400"/>
      <c r="AH1684" s="2400"/>
      <c r="AI1684" s="2400"/>
      <c r="AJ1684" s="2400"/>
      <c r="AK1684" s="2400"/>
      <c r="AL1684" s="2400"/>
      <c r="AM1684" s="2400"/>
      <c r="AN1684" s="2400"/>
      <c r="AO1684" s="2400"/>
      <c r="AP1684" s="2400"/>
      <c r="AQ1684" s="2400"/>
    </row>
    <row r="1685" spans="1:43" s="2402" customFormat="1">
      <c r="A1685" s="2133" t="str">
        <f t="shared" si="382"/>
        <v>B11</v>
      </c>
      <c r="B1685" s="2133">
        <f t="shared" si="382"/>
        <v>0</v>
      </c>
      <c r="C1685" s="2133">
        <f t="shared" si="383"/>
        <v>0</v>
      </c>
      <c r="D1685" s="2133">
        <f t="shared" si="384"/>
        <v>0</v>
      </c>
      <c r="V1685" s="2400"/>
      <c r="W1685" s="2400"/>
      <c r="X1685" s="2400"/>
      <c r="Y1685" s="2400"/>
      <c r="Z1685" s="2400"/>
      <c r="AA1685" s="2400"/>
      <c r="AB1685" s="2400"/>
      <c r="AC1685" s="2400"/>
      <c r="AD1685" s="2400"/>
      <c r="AE1685" s="2400"/>
      <c r="AF1685" s="2400"/>
      <c r="AG1685" s="2400"/>
      <c r="AH1685" s="2400"/>
      <c r="AI1685" s="2400"/>
      <c r="AJ1685" s="2400"/>
      <c r="AK1685" s="2400"/>
      <c r="AL1685" s="2400"/>
      <c r="AM1685" s="2400"/>
      <c r="AN1685" s="2400"/>
      <c r="AO1685" s="2400"/>
      <c r="AP1685" s="2400"/>
      <c r="AQ1685" s="2400"/>
    </row>
    <row r="1686" spans="1:43" s="2402" customFormat="1">
      <c r="A1686" s="2133" t="str">
        <f t="shared" si="382"/>
        <v>B12</v>
      </c>
      <c r="B1686" s="2133">
        <f t="shared" si="382"/>
        <v>0</v>
      </c>
      <c r="C1686" s="2133">
        <f t="shared" si="383"/>
        <v>0</v>
      </c>
      <c r="D1686" s="2133">
        <f t="shared" si="384"/>
        <v>0</v>
      </c>
      <c r="V1686" s="2400"/>
      <c r="W1686" s="2400"/>
      <c r="X1686" s="2400"/>
      <c r="Y1686" s="2400"/>
      <c r="Z1686" s="2400"/>
      <c r="AA1686" s="2400"/>
      <c r="AB1686" s="2400"/>
      <c r="AC1686" s="2400"/>
      <c r="AD1686" s="2400"/>
      <c r="AE1686" s="2400"/>
      <c r="AF1686" s="2400"/>
      <c r="AG1686" s="2400"/>
      <c r="AH1686" s="2400"/>
      <c r="AI1686" s="2400"/>
      <c r="AJ1686" s="2400"/>
      <c r="AK1686" s="2400"/>
      <c r="AL1686" s="2400"/>
      <c r="AM1686" s="2400"/>
      <c r="AN1686" s="2400"/>
      <c r="AO1686" s="2400"/>
      <c r="AP1686" s="2400"/>
      <c r="AQ1686" s="2400"/>
    </row>
    <row r="1687" spans="1:43" s="2402" customFormat="1">
      <c r="A1687" s="2133" t="str">
        <f t="shared" si="382"/>
        <v>B13</v>
      </c>
      <c r="B1687" s="2133">
        <f t="shared" si="382"/>
        <v>0</v>
      </c>
      <c r="C1687" s="2133">
        <f t="shared" si="383"/>
        <v>0</v>
      </c>
      <c r="D1687" s="2133">
        <f t="shared" si="384"/>
        <v>0</v>
      </c>
      <c r="V1687" s="2400"/>
      <c r="W1687" s="2400"/>
      <c r="X1687" s="2400"/>
      <c r="Y1687" s="2400"/>
      <c r="Z1687" s="2400"/>
      <c r="AA1687" s="2400"/>
      <c r="AB1687" s="2400"/>
      <c r="AC1687" s="2400"/>
      <c r="AD1687" s="2400"/>
      <c r="AE1687" s="2400"/>
      <c r="AF1687" s="2400"/>
      <c r="AG1687" s="2400"/>
      <c r="AH1687" s="2400"/>
      <c r="AI1687" s="2400"/>
      <c r="AJ1687" s="2400"/>
      <c r="AK1687" s="2400"/>
      <c r="AL1687" s="2400"/>
      <c r="AM1687" s="2400"/>
      <c r="AN1687" s="2400"/>
      <c r="AO1687" s="2400"/>
      <c r="AP1687" s="2400"/>
      <c r="AQ1687" s="2400"/>
    </row>
    <row r="1688" spans="1:43" s="2402" customFormat="1">
      <c r="A1688" s="2133" t="str">
        <f t="shared" si="382"/>
        <v>B14</v>
      </c>
      <c r="B1688" s="2133">
        <f t="shared" si="382"/>
        <v>0</v>
      </c>
      <c r="C1688" s="2133">
        <f t="shared" si="383"/>
        <v>0</v>
      </c>
      <c r="D1688" s="2133">
        <f t="shared" si="384"/>
        <v>0</v>
      </c>
      <c r="V1688" s="2400"/>
      <c r="W1688" s="2400"/>
      <c r="X1688" s="2400"/>
      <c r="Y1688" s="2400"/>
      <c r="Z1688" s="2400"/>
      <c r="AA1688" s="2400"/>
      <c r="AB1688" s="2400"/>
      <c r="AC1688" s="2400"/>
      <c r="AD1688" s="2400"/>
      <c r="AE1688" s="2400"/>
      <c r="AF1688" s="2400"/>
      <c r="AG1688" s="2400"/>
      <c r="AH1688" s="2400"/>
      <c r="AI1688" s="2400"/>
      <c r="AJ1688" s="2400"/>
      <c r="AK1688" s="2400"/>
      <c r="AL1688" s="2400"/>
      <c r="AM1688" s="2400"/>
      <c r="AN1688" s="2400"/>
      <c r="AO1688" s="2400"/>
      <c r="AP1688" s="2400"/>
      <c r="AQ1688" s="2400"/>
    </row>
    <row r="1689" spans="1:43" s="2402" customFormat="1">
      <c r="A1689" s="2133" t="str">
        <f t="shared" si="382"/>
        <v>B15</v>
      </c>
      <c r="B1689" s="2133">
        <f t="shared" si="382"/>
        <v>0</v>
      </c>
      <c r="C1689" s="2133">
        <f t="shared" si="383"/>
        <v>0</v>
      </c>
      <c r="D1689" s="2133">
        <f t="shared" si="384"/>
        <v>0</v>
      </c>
      <c r="V1689" s="2400"/>
      <c r="W1689" s="2400"/>
      <c r="X1689" s="2400"/>
      <c r="Y1689" s="2400"/>
      <c r="Z1689" s="2400"/>
      <c r="AA1689" s="2400"/>
      <c r="AB1689" s="2400"/>
      <c r="AC1689" s="2400"/>
      <c r="AD1689" s="2400"/>
      <c r="AE1689" s="2400"/>
      <c r="AF1689" s="2400"/>
      <c r="AG1689" s="2400"/>
      <c r="AH1689" s="2400"/>
      <c r="AI1689" s="2400"/>
      <c r="AJ1689" s="2400"/>
      <c r="AK1689" s="2400"/>
      <c r="AL1689" s="2400"/>
      <c r="AM1689" s="2400"/>
      <c r="AN1689" s="2400"/>
      <c r="AO1689" s="2400"/>
      <c r="AP1689" s="2400"/>
      <c r="AQ1689" s="2400"/>
    </row>
    <row r="1690" spans="1:43" s="2532" customFormat="1">
      <c r="A1690" s="2133" t="str">
        <f t="shared" si="382"/>
        <v>B16</v>
      </c>
      <c r="B1690" s="2133">
        <f t="shared" si="382"/>
        <v>0</v>
      </c>
      <c r="C1690" s="2133">
        <f t="shared" ref="C1690:C1695" si="385">C485</f>
        <v>0</v>
      </c>
      <c r="D1690" s="2133">
        <f>B1690*C1690</f>
        <v>0</v>
      </c>
      <c r="V1690" s="2531"/>
      <c r="W1690" s="2531"/>
      <c r="X1690" s="2531"/>
      <c r="Y1690" s="2531"/>
      <c r="Z1690" s="2531"/>
      <c r="AA1690" s="2531"/>
      <c r="AB1690" s="2531"/>
      <c r="AC1690" s="2531"/>
      <c r="AD1690" s="2531"/>
      <c r="AE1690" s="2531"/>
      <c r="AF1690" s="2531"/>
      <c r="AG1690" s="2531"/>
      <c r="AH1690" s="2531"/>
      <c r="AI1690" s="2531"/>
      <c r="AJ1690" s="2531"/>
      <c r="AK1690" s="2531"/>
      <c r="AL1690" s="2531"/>
      <c r="AM1690" s="2531"/>
      <c r="AN1690" s="2531"/>
      <c r="AO1690" s="2531"/>
      <c r="AP1690" s="2531"/>
      <c r="AQ1690" s="2531"/>
    </row>
    <row r="1691" spans="1:43" s="2532" customFormat="1">
      <c r="A1691" s="2133" t="str">
        <f t="shared" si="382"/>
        <v>B17</v>
      </c>
      <c r="B1691" s="2133">
        <f t="shared" si="382"/>
        <v>0</v>
      </c>
      <c r="C1691" s="2133">
        <f t="shared" si="385"/>
        <v>0</v>
      </c>
      <c r="D1691" s="2133">
        <f>B1691*C1691</f>
        <v>0</v>
      </c>
      <c r="V1691" s="2531"/>
      <c r="W1691" s="2531"/>
      <c r="X1691" s="2531"/>
      <c r="Y1691" s="2531"/>
      <c r="Z1691" s="2531"/>
      <c r="AA1691" s="2531"/>
      <c r="AB1691" s="2531"/>
      <c r="AC1691" s="2531"/>
      <c r="AD1691" s="2531"/>
      <c r="AE1691" s="2531"/>
      <c r="AF1691" s="2531"/>
      <c r="AG1691" s="2531"/>
      <c r="AH1691" s="2531"/>
      <c r="AI1691" s="2531"/>
      <c r="AJ1691" s="2531"/>
      <c r="AK1691" s="2531"/>
      <c r="AL1691" s="2531"/>
      <c r="AM1691" s="2531"/>
      <c r="AN1691" s="2531"/>
      <c r="AO1691" s="2531"/>
      <c r="AP1691" s="2531"/>
      <c r="AQ1691" s="2531"/>
    </row>
    <row r="1692" spans="1:43" s="2532" customFormat="1">
      <c r="A1692" s="2133" t="str">
        <f t="shared" si="382"/>
        <v>B18</v>
      </c>
      <c r="B1692" s="2133">
        <f t="shared" si="382"/>
        <v>0</v>
      </c>
      <c r="C1692" s="2133">
        <f t="shared" si="385"/>
        <v>0</v>
      </c>
      <c r="D1692" s="2133">
        <f>B1692*C1692</f>
        <v>0</v>
      </c>
      <c r="V1692" s="2531"/>
      <c r="W1692" s="2531"/>
      <c r="X1692" s="2531"/>
      <c r="Y1692" s="2531"/>
      <c r="Z1692" s="2531"/>
      <c r="AA1692" s="2531"/>
      <c r="AB1692" s="2531"/>
      <c r="AC1692" s="2531"/>
      <c r="AD1692" s="2531"/>
      <c r="AE1692" s="2531"/>
      <c r="AF1692" s="2531"/>
      <c r="AG1692" s="2531"/>
      <c r="AH1692" s="2531"/>
      <c r="AI1692" s="2531"/>
      <c r="AJ1692" s="2531"/>
      <c r="AK1692" s="2531"/>
      <c r="AL1692" s="2531"/>
      <c r="AM1692" s="2531"/>
      <c r="AN1692" s="2531"/>
      <c r="AO1692" s="2531"/>
      <c r="AP1692" s="2531"/>
      <c r="AQ1692" s="2531"/>
    </row>
    <row r="1693" spans="1:43" s="2532" customFormat="1">
      <c r="A1693" s="2133" t="str">
        <f t="shared" si="382"/>
        <v>B19</v>
      </c>
      <c r="B1693" s="2133">
        <f t="shared" si="382"/>
        <v>0</v>
      </c>
      <c r="C1693" s="2133">
        <f t="shared" si="385"/>
        <v>0</v>
      </c>
      <c r="D1693" s="2133">
        <f>B1693*C1693</f>
        <v>0</v>
      </c>
      <c r="V1693" s="2531"/>
      <c r="W1693" s="2531"/>
      <c r="X1693" s="2531"/>
      <c r="Y1693" s="2531"/>
      <c r="Z1693" s="2531"/>
      <c r="AA1693" s="2531"/>
      <c r="AB1693" s="2531"/>
      <c r="AC1693" s="2531"/>
      <c r="AD1693" s="2531"/>
      <c r="AE1693" s="2531"/>
      <c r="AF1693" s="2531"/>
      <c r="AG1693" s="2531"/>
      <c r="AH1693" s="2531"/>
      <c r="AI1693" s="2531"/>
      <c r="AJ1693" s="2531"/>
      <c r="AK1693" s="2531"/>
      <c r="AL1693" s="2531"/>
      <c r="AM1693" s="2531"/>
      <c r="AN1693" s="2531"/>
      <c r="AO1693" s="2531"/>
      <c r="AP1693" s="2531"/>
      <c r="AQ1693" s="2531"/>
    </row>
    <row r="1694" spans="1:43" s="2532" customFormat="1">
      <c r="A1694" s="2133" t="str">
        <f t="shared" si="382"/>
        <v>B20</v>
      </c>
      <c r="B1694" s="2133">
        <f t="shared" si="382"/>
        <v>0</v>
      </c>
      <c r="C1694" s="2133">
        <f t="shared" si="385"/>
        <v>0</v>
      </c>
      <c r="D1694" s="2133">
        <f>B1694*C1694</f>
        <v>0</v>
      </c>
      <c r="V1694" s="2531"/>
      <c r="W1694" s="2531"/>
      <c r="X1694" s="2531"/>
      <c r="Y1694" s="2531"/>
      <c r="Z1694" s="2531"/>
      <c r="AA1694" s="2531"/>
      <c r="AB1694" s="2531"/>
      <c r="AC1694" s="2531"/>
      <c r="AD1694" s="2531"/>
      <c r="AE1694" s="2531"/>
      <c r="AF1694" s="2531"/>
      <c r="AG1694" s="2531"/>
      <c r="AH1694" s="2531"/>
      <c r="AI1694" s="2531"/>
      <c r="AJ1694" s="2531"/>
      <c r="AK1694" s="2531"/>
      <c r="AL1694" s="2531"/>
      <c r="AM1694" s="2531"/>
      <c r="AN1694" s="2531"/>
      <c r="AO1694" s="2531"/>
      <c r="AP1694" s="2531"/>
      <c r="AQ1694" s="2531"/>
    </row>
    <row r="1695" spans="1:43" s="2402" customFormat="1">
      <c r="A1695" s="2133" t="str">
        <f t="shared" si="382"/>
        <v>RB</v>
      </c>
      <c r="B1695" s="2133">
        <f t="shared" si="382"/>
        <v>0</v>
      </c>
      <c r="C1695" s="2133">
        <f t="shared" si="385"/>
        <v>0.4</v>
      </c>
      <c r="D1695" s="2133">
        <f t="shared" si="384"/>
        <v>0</v>
      </c>
      <c r="V1695" s="2400"/>
      <c r="W1695" s="2400"/>
      <c r="X1695" s="2400"/>
      <c r="Y1695" s="2400"/>
      <c r="Z1695" s="2400"/>
      <c r="AA1695" s="2400"/>
      <c r="AB1695" s="2400"/>
      <c r="AC1695" s="2400"/>
      <c r="AD1695" s="2400"/>
      <c r="AE1695" s="2400"/>
      <c r="AF1695" s="2400"/>
      <c r="AG1695" s="2400"/>
      <c r="AH1695" s="2400"/>
      <c r="AI1695" s="2400"/>
      <c r="AJ1695" s="2400"/>
      <c r="AK1695" s="2400"/>
      <c r="AL1695" s="2400"/>
      <c r="AM1695" s="2400"/>
      <c r="AN1695" s="2400"/>
      <c r="AO1695" s="2400"/>
      <c r="AP1695" s="2400"/>
      <c r="AQ1695" s="2400"/>
    </row>
    <row r="1696" spans="1:43" s="2402" customFormat="1" ht="30">
      <c r="C1696" s="2138" t="s">
        <v>2076</v>
      </c>
      <c r="D1696" s="2182">
        <f>SUM(D1675:D1695)</f>
        <v>0</v>
      </c>
      <c r="V1696" s="2400"/>
      <c r="W1696" s="2400"/>
      <c r="X1696" s="2400"/>
      <c r="Y1696" s="2400"/>
      <c r="Z1696" s="2400"/>
      <c r="AA1696" s="2400"/>
      <c r="AB1696" s="2400"/>
      <c r="AC1696" s="2400"/>
      <c r="AD1696" s="2400"/>
      <c r="AE1696" s="2400"/>
      <c r="AF1696" s="2400"/>
      <c r="AG1696" s="2400"/>
      <c r="AH1696" s="2400"/>
      <c r="AI1696" s="2400"/>
      <c r="AJ1696" s="2400"/>
      <c r="AK1696" s="2400"/>
      <c r="AL1696" s="2400"/>
      <c r="AM1696" s="2400"/>
      <c r="AN1696" s="2400"/>
      <c r="AO1696" s="2400"/>
      <c r="AP1696" s="2400"/>
      <c r="AQ1696" s="2400"/>
    </row>
    <row r="1697" spans="1:12" s="2402" customFormat="1"/>
    <row r="1698" spans="1:12" s="2402" customFormat="1" ht="15" customHeight="1">
      <c r="A1698" s="2834" t="s">
        <v>2016</v>
      </c>
      <c r="B1698" s="2835"/>
      <c r="C1698" s="2835"/>
      <c r="D1698" s="2835"/>
      <c r="E1698" s="2812"/>
    </row>
    <row r="1699" spans="1:12" s="2402" customFormat="1" ht="15" customHeight="1" thickBot="1">
      <c r="A1699" s="2399" t="s">
        <v>1987</v>
      </c>
      <c r="B1699" s="2394" t="s">
        <v>1205</v>
      </c>
      <c r="C1699" s="2189" t="s">
        <v>1111</v>
      </c>
      <c r="D1699" s="2399" t="s">
        <v>1243</v>
      </c>
      <c r="E1699" s="2398" t="s">
        <v>1568</v>
      </c>
    </row>
    <row r="1700" spans="1:12" s="2402" customFormat="1" ht="15" customHeight="1">
      <c r="A1700" s="2119" t="s">
        <v>1709</v>
      </c>
      <c r="B1700" s="2344"/>
      <c r="C1700" s="2345"/>
      <c r="D1700" s="2121">
        <v>0.15</v>
      </c>
      <c r="E1700" s="2391">
        <f>B1700*C1700*D1700</f>
        <v>0</v>
      </c>
    </row>
    <row r="1701" spans="1:12" s="2402" customFormat="1" ht="15" customHeight="1">
      <c r="A1701" s="2134"/>
      <c r="B1701" s="2346"/>
      <c r="C1701" s="2347"/>
      <c r="D1701" s="2135">
        <v>0.15</v>
      </c>
      <c r="E1701" s="2133">
        <f>B1701*C1701*D1701</f>
        <v>0</v>
      </c>
    </row>
    <row r="1702" spans="1:12" s="2402" customFormat="1" ht="15" customHeight="1">
      <c r="A1702" s="2134" t="s">
        <v>1710</v>
      </c>
      <c r="B1702" s="2352"/>
      <c r="C1702" s="2353"/>
      <c r="D1702" s="2135">
        <v>0.15</v>
      </c>
      <c r="E1702" s="2133">
        <f>B1702*C1702*D1702</f>
        <v>0</v>
      </c>
    </row>
    <row r="1703" spans="1:12" s="2402" customFormat="1" ht="15" thickBot="1">
      <c r="A1703" s="2134"/>
      <c r="B1703" s="2354"/>
      <c r="C1703" s="2355"/>
      <c r="D1703" s="2135">
        <v>0.15</v>
      </c>
      <c r="E1703" s="2133">
        <f>B1703*C1703*D1703</f>
        <v>0</v>
      </c>
    </row>
    <row r="1704" spans="1:12" s="2402" customFormat="1" ht="30">
      <c r="D1704" s="2138" t="s">
        <v>2078</v>
      </c>
      <c r="E1704" s="2402">
        <f>SUM(E1700:E1703)</f>
        <v>0</v>
      </c>
    </row>
    <row r="1705" spans="1:12" s="2402" customFormat="1"/>
    <row r="1706" spans="1:12" s="2402" customFormat="1">
      <c r="A1706" s="2831" t="s">
        <v>2018</v>
      </c>
      <c r="B1706" s="2832"/>
      <c r="C1706" s="2832"/>
      <c r="D1706" s="2832"/>
      <c r="E1706" s="2832"/>
      <c r="F1706" s="2832"/>
      <c r="G1706" s="2836"/>
    </row>
    <row r="1707" spans="1:12" s="2402" customFormat="1">
      <c r="A1707" s="2391" t="s">
        <v>1996</v>
      </c>
      <c r="B1707" s="2391" t="s">
        <v>1205</v>
      </c>
      <c r="C1707" s="2391" t="s">
        <v>1607</v>
      </c>
      <c r="D1707" s="2391" t="s">
        <v>1168</v>
      </c>
      <c r="E1707" s="2391" t="s">
        <v>1205</v>
      </c>
      <c r="F1707" s="2391" t="s">
        <v>1243</v>
      </c>
      <c r="G1707" s="2391"/>
    </row>
    <row r="1708" spans="1:12" s="2402" customFormat="1">
      <c r="A1708" s="2824" t="s">
        <v>2079</v>
      </c>
      <c r="B1708" s="2133">
        <f>B1700</f>
        <v>0</v>
      </c>
      <c r="C1708" s="2133">
        <f>B1708/0.2</f>
        <v>0</v>
      </c>
      <c r="D1708" s="2133">
        <f>ROUNDUP(C1708,0)</f>
        <v>0</v>
      </c>
      <c r="E1708" s="2133">
        <f>(2*(B1710-0.05))+0.2</f>
        <v>0.1</v>
      </c>
      <c r="F1708" s="2133">
        <f>D1708*E1708</f>
        <v>0</v>
      </c>
      <c r="G1708" s="2133">
        <f>F1708*0.89</f>
        <v>0</v>
      </c>
      <c r="I1708" s="2089"/>
      <c r="J1708" s="2089"/>
      <c r="K1708" s="2089"/>
      <c r="L1708" s="2089"/>
    </row>
    <row r="1709" spans="1:12" s="2402" customFormat="1">
      <c r="A1709" s="2829"/>
      <c r="B1709" s="2133"/>
      <c r="C1709" s="2133"/>
      <c r="D1709" s="2133"/>
      <c r="E1709" s="2133"/>
      <c r="F1709" s="2133"/>
      <c r="G1709" s="2133"/>
      <c r="I1709" s="2089"/>
      <c r="J1709" s="2089"/>
      <c r="K1709" s="2089"/>
      <c r="L1709" s="2089"/>
    </row>
    <row r="1710" spans="1:12" s="2402" customFormat="1">
      <c r="A1710" s="2825"/>
      <c r="B1710" s="2133">
        <v>0</v>
      </c>
      <c r="C1710" s="2133">
        <f>B1710/0.2</f>
        <v>0</v>
      </c>
      <c r="D1710" s="2133">
        <f>ROUNDUP(C1710,0)</f>
        <v>0</v>
      </c>
      <c r="E1710" s="2133">
        <f>(2*(B1708-0.05))+0.2</f>
        <v>0.1</v>
      </c>
      <c r="F1710" s="2133">
        <f>D1710*E1710</f>
        <v>0</v>
      </c>
      <c r="G1710" s="2133">
        <f>F1710*0.4</f>
        <v>0</v>
      </c>
      <c r="L1710" s="2089"/>
    </row>
    <row r="1711" spans="1:12" s="2402" customFormat="1"/>
    <row r="1712" spans="1:12" s="2402" customFormat="1">
      <c r="A1712" s="2831" t="s">
        <v>2017</v>
      </c>
      <c r="B1712" s="2832"/>
      <c r="C1712" s="2832"/>
      <c r="D1712" s="2832"/>
      <c r="E1712" s="2832"/>
      <c r="F1712" s="2832"/>
      <c r="G1712" s="2836"/>
    </row>
    <row r="1713" spans="1:7" s="2402" customFormat="1">
      <c r="A1713" s="2824" t="s">
        <v>2079</v>
      </c>
      <c r="B1713" s="2391">
        <f>B1701</f>
        <v>0</v>
      </c>
      <c r="C1713" s="2391">
        <f>B1713/0.2</f>
        <v>0</v>
      </c>
      <c r="D1713" s="2391">
        <f>ROUNDUP(C1713,0)</f>
        <v>0</v>
      </c>
      <c r="E1713" s="2391">
        <f>(2*(B1714-0.05))+0.2</f>
        <v>0.1</v>
      </c>
      <c r="F1713" s="2391">
        <f>D1713*E1713</f>
        <v>0</v>
      </c>
      <c r="G1713" s="2391">
        <f>F1713*0.89</f>
        <v>0</v>
      </c>
    </row>
    <row r="1714" spans="1:7" s="2402" customFormat="1">
      <c r="A1714" s="2825"/>
      <c r="B1714" s="2133"/>
      <c r="C1714" s="2133"/>
      <c r="D1714" s="2133">
        <f>ROUNDUP(C1714,0)</f>
        <v>0</v>
      </c>
      <c r="E1714" s="2133">
        <f>(2*(B1713-0.05))+0.2</f>
        <v>0.1</v>
      </c>
      <c r="F1714" s="2133">
        <f>D1714*E1714</f>
        <v>0</v>
      </c>
      <c r="G1714" s="2133">
        <f>F1714*0.4</f>
        <v>0</v>
      </c>
    </row>
    <row r="1715" spans="1:7" s="2402" customFormat="1"/>
    <row r="1716" spans="1:7" s="2402" customFormat="1">
      <c r="A1716" s="2826" t="s">
        <v>2019</v>
      </c>
      <c r="B1716" s="2827"/>
      <c r="C1716" s="2827"/>
      <c r="D1716" s="2827"/>
      <c r="E1716" s="2827"/>
      <c r="F1716" s="2827"/>
      <c r="G1716" s="2828"/>
    </row>
    <row r="1717" spans="1:7" s="2402" customFormat="1">
      <c r="A1717" s="2391" t="s">
        <v>1996</v>
      </c>
      <c r="B1717" s="2391" t="s">
        <v>1205</v>
      </c>
      <c r="C1717" s="2391" t="s">
        <v>1607</v>
      </c>
      <c r="D1717" s="2391" t="s">
        <v>1168</v>
      </c>
      <c r="E1717" s="2391" t="s">
        <v>1205</v>
      </c>
      <c r="F1717" s="2391" t="s">
        <v>1243</v>
      </c>
      <c r="G1717" s="2391"/>
    </row>
    <row r="1718" spans="1:7" s="2402" customFormat="1">
      <c r="A1718" s="2824" t="s">
        <v>2080</v>
      </c>
      <c r="B1718" s="2133">
        <f>B1702</f>
        <v>0</v>
      </c>
      <c r="C1718" s="2133">
        <f>B1718/0.2</f>
        <v>0</v>
      </c>
      <c r="D1718" s="2133">
        <f>ROUNDUP(C1718,0)</f>
        <v>0</v>
      </c>
      <c r="E1718" s="2133">
        <f>(2*(B1720-0.05))+0.2</f>
        <v>0.1</v>
      </c>
      <c r="F1718" s="2133">
        <f>D1718*E1718</f>
        <v>0</v>
      </c>
      <c r="G1718" s="2133">
        <f>F1718*0.89</f>
        <v>0</v>
      </c>
    </row>
    <row r="1719" spans="1:7" s="2402" customFormat="1">
      <c r="A1719" s="2829"/>
      <c r="B1719" s="2133"/>
      <c r="C1719" s="2133"/>
      <c r="D1719" s="2133"/>
      <c r="E1719" s="2133"/>
      <c r="F1719" s="2133"/>
      <c r="G1719" s="2133"/>
    </row>
    <row r="1720" spans="1:7" s="2402" customFormat="1">
      <c r="A1720" s="2825"/>
      <c r="B1720" s="2133">
        <v>0</v>
      </c>
      <c r="C1720" s="2133">
        <f>B1720/0.2</f>
        <v>0</v>
      </c>
      <c r="D1720" s="2133">
        <f>ROUNDUP(C1720,0)</f>
        <v>0</v>
      </c>
      <c r="E1720" s="2133">
        <f>(2*(B1718-0.05))+0.2</f>
        <v>0.1</v>
      </c>
      <c r="F1720" s="2133">
        <f>D1720*E1720</f>
        <v>0</v>
      </c>
      <c r="G1720" s="2133">
        <f>F1720*0.4</f>
        <v>0</v>
      </c>
    </row>
    <row r="1721" spans="1:7" s="2402" customFormat="1"/>
    <row r="1722" spans="1:7" s="2402" customFormat="1">
      <c r="A1722" s="2826" t="s">
        <v>2017</v>
      </c>
      <c r="B1722" s="2827"/>
      <c r="C1722" s="2827"/>
      <c r="D1722" s="2827"/>
      <c r="E1722" s="2827"/>
      <c r="F1722" s="2827"/>
      <c r="G1722" s="2828"/>
    </row>
    <row r="1723" spans="1:7" s="2402" customFormat="1">
      <c r="A1723" s="2830" t="s">
        <v>2080</v>
      </c>
      <c r="B1723" s="2391">
        <f>B1703</f>
        <v>0</v>
      </c>
      <c r="C1723" s="2391">
        <f>B1723/0.2</f>
        <v>0</v>
      </c>
      <c r="D1723" s="2391">
        <f>ROUNDUP(C1723,0)</f>
        <v>0</v>
      </c>
      <c r="E1723" s="2391">
        <f>(2*(B1724-0.05))+0.2</f>
        <v>0.1</v>
      </c>
      <c r="F1723" s="2391">
        <f>D1723*E1723</f>
        <v>0</v>
      </c>
      <c r="G1723" s="2391">
        <f>F1723*0.89</f>
        <v>0</v>
      </c>
    </row>
    <row r="1724" spans="1:7" s="2402" customFormat="1">
      <c r="A1724" s="2825"/>
      <c r="B1724" s="2133">
        <v>0</v>
      </c>
      <c r="C1724" s="2133">
        <f>B1724/0.2</f>
        <v>0</v>
      </c>
      <c r="D1724" s="2133">
        <f>ROUNDUP(C1724,0)</f>
        <v>0</v>
      </c>
      <c r="E1724" s="2133">
        <f>(2*(B1723-0.05))+0.2</f>
        <v>0.1</v>
      </c>
      <c r="F1724" s="2133">
        <f>D1724*E1724</f>
        <v>0</v>
      </c>
      <c r="G1724" s="2133">
        <f>F1724*0.4</f>
        <v>0</v>
      </c>
    </row>
    <row r="1725" spans="1:7" s="2402" customFormat="1" ht="15">
      <c r="E1725" s="2804" t="s">
        <v>2097</v>
      </c>
      <c r="F1725" s="2805"/>
      <c r="G1725" s="2402">
        <f>G1708+G1713+G1718+G1723</f>
        <v>0</v>
      </c>
    </row>
    <row r="1726" spans="1:7" s="2402" customFormat="1" ht="15">
      <c r="E1726" s="2804" t="s">
        <v>2096</v>
      </c>
      <c r="F1726" s="2805"/>
      <c r="G1726" s="2402">
        <f>G1710+G1714+G1720+G1724</f>
        <v>0</v>
      </c>
    </row>
    <row r="1727" spans="1:7" s="2402" customFormat="1"/>
    <row r="1728" spans="1:7" s="2402" customFormat="1">
      <c r="A1728" s="2399" t="s">
        <v>2047</v>
      </c>
      <c r="B1728" s="2399" t="s">
        <v>2009</v>
      </c>
      <c r="C1728" s="2399" t="s">
        <v>2045</v>
      </c>
      <c r="D1728" s="2399" t="s">
        <v>1568</v>
      </c>
    </row>
    <row r="1729" spans="1:6" s="2402" customFormat="1">
      <c r="A1729" s="2830" t="s">
        <v>2079</v>
      </c>
      <c r="B1729" s="2391">
        <f t="shared" ref="B1729:C1732" si="386">B1700</f>
        <v>0</v>
      </c>
      <c r="C1729" s="2391">
        <f t="shared" si="386"/>
        <v>0</v>
      </c>
      <c r="D1729" s="2391">
        <f>B1729*C1729</f>
        <v>0</v>
      </c>
    </row>
    <row r="1730" spans="1:6" s="2402" customFormat="1">
      <c r="A1730" s="2825"/>
      <c r="B1730" s="2133">
        <f t="shared" si="386"/>
        <v>0</v>
      </c>
      <c r="C1730" s="2133">
        <f t="shared" si="386"/>
        <v>0</v>
      </c>
      <c r="D1730" s="2133">
        <f>B1730*C1730</f>
        <v>0</v>
      </c>
    </row>
    <row r="1731" spans="1:6" s="2402" customFormat="1">
      <c r="A1731" s="2824" t="s">
        <v>2081</v>
      </c>
      <c r="B1731" s="2133">
        <f t="shared" si="386"/>
        <v>0</v>
      </c>
      <c r="C1731" s="2133">
        <f t="shared" si="386"/>
        <v>0</v>
      </c>
      <c r="D1731" s="2133">
        <f>B1731*C1731</f>
        <v>0</v>
      </c>
    </row>
    <row r="1732" spans="1:6" s="2402" customFormat="1">
      <c r="A1732" s="2825"/>
      <c r="B1732" s="2133">
        <f t="shared" si="386"/>
        <v>0</v>
      </c>
      <c r="C1732" s="2133">
        <f t="shared" si="386"/>
        <v>0</v>
      </c>
      <c r="D1732" s="2133">
        <f>B1732*C1732</f>
        <v>0</v>
      </c>
    </row>
    <row r="1733" spans="1:6" s="2402" customFormat="1" ht="30">
      <c r="C1733" s="2156" t="s">
        <v>2076</v>
      </c>
      <c r="D1733" s="2133">
        <f>SUM(D1729:D1732)</f>
        <v>0</v>
      </c>
    </row>
    <row r="1734" spans="1:6" s="2402" customFormat="1" ht="14.25" customHeight="1"/>
    <row r="1735" spans="1:6" s="2402" customFormat="1" ht="15" thickBot="1">
      <c r="A1735" s="2810" t="s">
        <v>2085</v>
      </c>
      <c r="B1735" s="2189" t="s">
        <v>2009</v>
      </c>
      <c r="C1735" s="2189" t="s">
        <v>2045</v>
      </c>
      <c r="D1735" s="2399" t="s">
        <v>1568</v>
      </c>
    </row>
    <row r="1736" spans="1:6" s="2402" customFormat="1" ht="15" thickBot="1">
      <c r="A1736" s="2811"/>
      <c r="B1736" s="2348"/>
      <c r="C1736" s="2349"/>
      <c r="D1736" s="2135">
        <v>0.1</v>
      </c>
    </row>
    <row r="1737" spans="1:6" s="2402" customFormat="1" ht="15" customHeight="1">
      <c r="A1737" s="2812"/>
      <c r="B1737" s="2814" t="s">
        <v>2078</v>
      </c>
      <c r="C1737" s="2815"/>
      <c r="D1737" s="2133">
        <f>B1736*C1736*D1736</f>
        <v>0</v>
      </c>
    </row>
    <row r="1738" spans="1:6" s="2402" customFormat="1" ht="15">
      <c r="A1738" s="2813"/>
      <c r="B1738" s="2816" t="s">
        <v>2082</v>
      </c>
      <c r="C1738" s="2817"/>
      <c r="D1738" s="2133">
        <f>D1737-(0.4*0.1)*0</f>
        <v>0</v>
      </c>
    </row>
    <row r="1739" spans="1:6" s="2402" customFormat="1" ht="14.25" customHeight="1"/>
    <row r="1740" spans="1:6" s="2402" customFormat="1">
      <c r="A1740" s="2818" t="s">
        <v>2084</v>
      </c>
      <c r="B1740" s="2399" t="s">
        <v>1205</v>
      </c>
      <c r="C1740" s="2399" t="s">
        <v>1607</v>
      </c>
      <c r="D1740" s="2399" t="s">
        <v>2093</v>
      </c>
      <c r="E1740" s="2399" t="s">
        <v>1205</v>
      </c>
      <c r="F1740" s="2399" t="s">
        <v>1568</v>
      </c>
    </row>
    <row r="1741" spans="1:6" s="2402" customFormat="1">
      <c r="A1741" s="2819"/>
      <c r="B1741" s="2135">
        <f>B1736</f>
        <v>0</v>
      </c>
      <c r="C1741" s="2133">
        <f>B1741/0.15</f>
        <v>0</v>
      </c>
      <c r="D1741" s="2133">
        <f>ROUNDUP(C1741,0)</f>
        <v>0</v>
      </c>
      <c r="E1741" s="2133">
        <f>B1742-0.05</f>
        <v>-0.05</v>
      </c>
      <c r="F1741" s="2133">
        <f>D1741*E1741</f>
        <v>0</v>
      </c>
    </row>
    <row r="1742" spans="1:6" s="2402" customFormat="1">
      <c r="A1742" s="2820"/>
      <c r="B1742" s="2135">
        <f>C1736</f>
        <v>0</v>
      </c>
      <c r="C1742" s="2133">
        <f>B1742/0.15</f>
        <v>0</v>
      </c>
      <c r="D1742" s="2392">
        <f>ROUNDUP(C1742,0)</f>
        <v>0</v>
      </c>
      <c r="E1742" s="2392">
        <f>B1741-0.05</f>
        <v>-0.05</v>
      </c>
      <c r="F1742" s="2392">
        <f>D1742*E1742</f>
        <v>0</v>
      </c>
    </row>
    <row r="1743" spans="1:6" s="2402" customFormat="1" ht="15">
      <c r="A1743" s="2400"/>
      <c r="B1743" s="2400"/>
      <c r="C1743" s="2400"/>
      <c r="D1743" s="2821" t="s">
        <v>2086</v>
      </c>
      <c r="E1743" s="2821"/>
      <c r="F1743" s="2133">
        <f>F1741*0.62</f>
        <v>0</v>
      </c>
    </row>
    <row r="1744" spans="1:6" s="2402" customFormat="1" ht="15">
      <c r="A1744" s="2400"/>
      <c r="B1744" s="2400"/>
      <c r="C1744" s="2400"/>
      <c r="D1744" s="2821" t="s">
        <v>2087</v>
      </c>
      <c r="E1744" s="2821"/>
      <c r="F1744" s="2133">
        <f>F1742*0.62</f>
        <v>0</v>
      </c>
    </row>
    <row r="1745" spans="1:16" s="2402" customFormat="1"/>
    <row r="1746" spans="1:16" s="2402" customFormat="1">
      <c r="A1746" s="2818" t="s">
        <v>2083</v>
      </c>
      <c r="B1746" s="2399" t="s">
        <v>1205</v>
      </c>
      <c r="C1746" s="2399" t="s">
        <v>1111</v>
      </c>
      <c r="D1746" s="2399" t="s">
        <v>1568</v>
      </c>
    </row>
    <row r="1747" spans="1:16" s="2402" customFormat="1">
      <c r="A1747" s="2822"/>
      <c r="B1747" s="2135">
        <f>B1736</f>
        <v>0</v>
      </c>
      <c r="C1747" s="2133">
        <f>C1736</f>
        <v>0</v>
      </c>
      <c r="D1747" s="2133">
        <f>B1747*C1747</f>
        <v>0</v>
      </c>
    </row>
    <row r="1748" spans="1:16" s="2402" customFormat="1">
      <c r="A1748" s="2823"/>
      <c r="B1748" s="2135">
        <f>B1736</f>
        <v>0</v>
      </c>
      <c r="C1748" s="2133">
        <f>D1736</f>
        <v>0.1</v>
      </c>
      <c r="D1748" s="2133">
        <f>B1748*C1748</f>
        <v>0</v>
      </c>
    </row>
    <row r="1749" spans="1:16" s="2402" customFormat="1" ht="30">
      <c r="C1749" s="2156" t="s">
        <v>2076</v>
      </c>
      <c r="D1749" s="2133">
        <f>SUM(D1747:D1748)</f>
        <v>0</v>
      </c>
    </row>
    <row r="1750" spans="1:16" s="2402" customFormat="1"/>
    <row r="1751" spans="1:16" s="2402" customFormat="1">
      <c r="A1751" s="2807" t="s">
        <v>2056</v>
      </c>
      <c r="B1751" s="2808"/>
      <c r="C1751" s="2808"/>
      <c r="D1751" s="2808"/>
      <c r="E1751" s="2808"/>
      <c r="F1751" s="2809"/>
      <c r="G1751" s="2395" t="s">
        <v>1568</v>
      </c>
      <c r="H1751" s="2396"/>
      <c r="I1751" s="2396"/>
      <c r="J1751" s="2397"/>
      <c r="L1751" s="2807" t="s">
        <v>2094</v>
      </c>
      <c r="M1751" s="2808"/>
      <c r="N1751" s="2808"/>
      <c r="O1751" s="2808"/>
      <c r="P1751" s="2808"/>
    </row>
    <row r="1752" spans="1:16" s="2402" customFormat="1" ht="15.75" thickBot="1">
      <c r="A1752" s="2133" t="s">
        <v>2090</v>
      </c>
      <c r="B1752" s="2392" t="s">
        <v>2009</v>
      </c>
      <c r="C1752" s="2133" t="s">
        <v>1609</v>
      </c>
      <c r="D1752" s="2133" t="s">
        <v>1679</v>
      </c>
      <c r="E1752" s="2169" t="s">
        <v>2435</v>
      </c>
      <c r="F1752" s="2170" t="s">
        <v>2440</v>
      </c>
      <c r="G1752" s="2133" t="s">
        <v>2050</v>
      </c>
      <c r="H1752" s="2133" t="s">
        <v>2051</v>
      </c>
      <c r="I1752" s="2133" t="s">
        <v>2441</v>
      </c>
      <c r="J1752" s="2133" t="s">
        <v>2442</v>
      </c>
      <c r="L1752" s="2133" t="s">
        <v>1607</v>
      </c>
      <c r="M1752" s="2133" t="s">
        <v>1611</v>
      </c>
      <c r="N1752" s="2133" t="s">
        <v>1168</v>
      </c>
      <c r="O1752" s="2133" t="s">
        <v>1205</v>
      </c>
      <c r="P1752" s="2133" t="s">
        <v>1243</v>
      </c>
    </row>
    <row r="1753" spans="1:16" s="2402" customFormat="1">
      <c r="A1753" s="2134" t="s">
        <v>187</v>
      </c>
      <c r="B1753" s="2350">
        <f>N7</f>
        <v>0</v>
      </c>
      <c r="C1753" s="2135">
        <v>0</v>
      </c>
      <c r="D1753" s="2133">
        <v>0</v>
      </c>
      <c r="E1753" s="2133">
        <v>0</v>
      </c>
      <c r="F1753" s="2134">
        <v>4</v>
      </c>
      <c r="G1753" s="2133">
        <f>B1753*C1753</f>
        <v>0</v>
      </c>
      <c r="H1753" s="2133">
        <f>B1753*D1753</f>
        <v>0</v>
      </c>
      <c r="I1753" s="2133">
        <f>B1753*E1753</f>
        <v>0</v>
      </c>
      <c r="J1753" s="2133">
        <f>B1753*F1753</f>
        <v>0</v>
      </c>
      <c r="L1753" s="2133">
        <f>(B1753/2)/0.2</f>
        <v>0</v>
      </c>
      <c r="M1753" s="2133">
        <f>(B1753/2)/0.1</f>
        <v>0</v>
      </c>
      <c r="N1753" s="2133">
        <f>SUM(L1753:M1753)</f>
        <v>0</v>
      </c>
      <c r="O1753" s="2133">
        <f>2*(0.07+0.07)</f>
        <v>0.28000000000000003</v>
      </c>
      <c r="P1753" s="2133">
        <f>N1753*O1753</f>
        <v>0</v>
      </c>
    </row>
    <row r="1754" spans="1:16" s="2402" customFormat="1" ht="15" customHeight="1" thickBot="1">
      <c r="A1754" s="2134" t="s">
        <v>173</v>
      </c>
      <c r="B1754" s="2126"/>
      <c r="C1754" s="2135">
        <v>0</v>
      </c>
      <c r="D1754" s="2133">
        <v>0</v>
      </c>
      <c r="E1754" s="2133">
        <v>0</v>
      </c>
      <c r="F1754" s="2134">
        <v>4</v>
      </c>
      <c r="G1754" s="2133">
        <f>B1754*C1754</f>
        <v>0</v>
      </c>
      <c r="H1754" s="2133">
        <f>B1754*D1754</f>
        <v>0</v>
      </c>
      <c r="I1754" s="2133">
        <f>B1754*E1754</f>
        <v>0</v>
      </c>
      <c r="J1754" s="2133">
        <f>B1754*F1754</f>
        <v>0</v>
      </c>
      <c r="L1754" s="2133">
        <f>(B1754/2)/0.2</f>
        <v>0</v>
      </c>
      <c r="M1754" s="2133">
        <f>(B1754/2)/0.1</f>
        <v>0</v>
      </c>
      <c r="N1754" s="2133">
        <f>SUM(L1754:M1754)</f>
        <v>0</v>
      </c>
      <c r="O1754" s="2133"/>
      <c r="P1754" s="2133">
        <f>N1754*O1754</f>
        <v>0</v>
      </c>
    </row>
    <row r="1755" spans="1:16" s="2402" customFormat="1" ht="15" customHeight="1">
      <c r="A1755" s="2400"/>
      <c r="B1755" s="2400"/>
      <c r="C1755" s="2400"/>
      <c r="D1755" s="2400"/>
      <c r="E1755" s="2804" t="s">
        <v>2074</v>
      </c>
      <c r="F1755" s="2805"/>
      <c r="G1755" s="2133">
        <f>SUM(G1753:G1754)</f>
        <v>0</v>
      </c>
      <c r="H1755" s="2133">
        <f>SUM(H1753:H1754)</f>
        <v>0</v>
      </c>
      <c r="I1755" s="2133">
        <f>SUM(I1753:I1754)</f>
        <v>0</v>
      </c>
      <c r="J1755" s="2133">
        <f>SUM(J1753:J1754)</f>
        <v>0</v>
      </c>
      <c r="M1755" s="2806" t="s">
        <v>2074</v>
      </c>
      <c r="N1755" s="2806"/>
      <c r="O1755" s="2806"/>
      <c r="P1755" s="2133">
        <f>SUM(P1753:P1754)</f>
        <v>0</v>
      </c>
    </row>
    <row r="1756" spans="1:16" s="2402" customFormat="1" ht="15">
      <c r="A1756" s="2400"/>
      <c r="B1756" s="2400"/>
      <c r="C1756" s="2400"/>
      <c r="D1756" s="2400"/>
      <c r="E1756" s="2804" t="s">
        <v>2075</v>
      </c>
      <c r="F1756" s="2805"/>
      <c r="G1756" s="2133">
        <f>G1755*1.58</f>
        <v>0</v>
      </c>
      <c r="H1756" s="2133">
        <f>H1755*1.04</f>
        <v>0</v>
      </c>
      <c r="I1756" s="2133">
        <f>I1755*0.89</f>
        <v>0</v>
      </c>
      <c r="J1756" s="2401">
        <f>J1755*0.62</f>
        <v>0</v>
      </c>
      <c r="M1756" s="2806" t="s">
        <v>2075</v>
      </c>
      <c r="N1756" s="2806"/>
      <c r="O1756" s="2806"/>
      <c r="P1756" s="2401">
        <f>P1755*0.4</f>
        <v>0</v>
      </c>
    </row>
    <row r="1757" spans="1:16" s="2402" customFormat="1">
      <c r="A1757" s="2400"/>
      <c r="B1757" s="2400"/>
      <c r="C1757" s="2400"/>
      <c r="D1757" s="2400"/>
      <c r="E1757" s="2400"/>
      <c r="F1757" s="2400"/>
      <c r="G1757" s="2400"/>
      <c r="H1757" s="2400"/>
      <c r="I1757" s="2400"/>
      <c r="J1757" s="2400"/>
    </row>
    <row r="1758" spans="1:16" s="2402" customFormat="1">
      <c r="A1758" s="2807" t="s">
        <v>2052</v>
      </c>
      <c r="B1758" s="2808"/>
      <c r="C1758" s="2808"/>
      <c r="D1758" s="2808"/>
    </row>
    <row r="1759" spans="1:16" s="2402" customFormat="1">
      <c r="A1759" s="2133" t="s">
        <v>1711</v>
      </c>
      <c r="B1759" s="2133" t="s">
        <v>1614</v>
      </c>
      <c r="C1759" s="2133" t="s">
        <v>1615</v>
      </c>
      <c r="D1759" s="2133"/>
    </row>
    <row r="1760" spans="1:16" s="2402" customFormat="1">
      <c r="A1760" s="2133" t="str">
        <f>A1753</f>
        <v>B1</v>
      </c>
      <c r="B1760" s="2133">
        <f>B1753</f>
        <v>0</v>
      </c>
      <c r="C1760" s="2133">
        <f>0.15*0.15</f>
        <v>2.2499999999999999E-2</v>
      </c>
      <c r="D1760" s="2133">
        <f>B1760*C1760</f>
        <v>0</v>
      </c>
    </row>
    <row r="1761" spans="1:16" s="2402" customFormat="1" ht="15" customHeight="1">
      <c r="A1761" s="2133" t="str">
        <f>A1754</f>
        <v>B2</v>
      </c>
      <c r="B1761" s="2133">
        <f>B1754</f>
        <v>0</v>
      </c>
      <c r="C1761" s="2133"/>
      <c r="D1761" s="2133">
        <f>B1761*C1761</f>
        <v>0</v>
      </c>
    </row>
    <row r="1762" spans="1:16" s="2402" customFormat="1" ht="30">
      <c r="C1762" s="2156" t="s">
        <v>2078</v>
      </c>
      <c r="D1762" s="2401">
        <f>SUM(D1760:D1761)</f>
        <v>0</v>
      </c>
    </row>
    <row r="1763" spans="1:16" s="2402" customFormat="1"/>
    <row r="1764" spans="1:16" s="2402" customFormat="1">
      <c r="A1764" s="2807" t="s">
        <v>2053</v>
      </c>
      <c r="B1764" s="2808"/>
      <c r="C1764" s="2808"/>
      <c r="D1764" s="2808"/>
    </row>
    <row r="1765" spans="1:16" s="2402" customFormat="1">
      <c r="A1765" s="2133" t="s">
        <v>1711</v>
      </c>
      <c r="B1765" s="2133" t="s">
        <v>1614</v>
      </c>
      <c r="C1765" s="2133" t="s">
        <v>1615</v>
      </c>
      <c r="D1765" s="2133"/>
    </row>
    <row r="1766" spans="1:16" s="2402" customFormat="1">
      <c r="A1766" s="2133" t="str">
        <f>A1760</f>
        <v>B1</v>
      </c>
      <c r="B1766" s="2133">
        <f>B1760</f>
        <v>0</v>
      </c>
      <c r="C1766" s="2133">
        <f>0.15*3</f>
        <v>0.44999999999999996</v>
      </c>
      <c r="D1766" s="2133">
        <f>B1766*C1766</f>
        <v>0</v>
      </c>
    </row>
    <row r="1767" spans="1:16" s="2402" customFormat="1">
      <c r="A1767" s="2133" t="str">
        <f>A1761</f>
        <v>B2</v>
      </c>
      <c r="B1767" s="2133">
        <f>B1761</f>
        <v>0</v>
      </c>
      <c r="C1767" s="2133"/>
      <c r="D1767" s="2133">
        <f>B1767*C1767</f>
        <v>0</v>
      </c>
    </row>
    <row r="1768" spans="1:16" s="2402" customFormat="1" ht="30">
      <c r="C1768" s="2156" t="s">
        <v>2076</v>
      </c>
      <c r="D1768" s="2401">
        <f>SUM(D1766:D1767)</f>
        <v>0</v>
      </c>
    </row>
    <row r="1769" spans="1:16" s="2402" customFormat="1"/>
    <row r="1770" spans="1:16" s="2402" customFormat="1">
      <c r="A1770" s="2807" t="s">
        <v>2054</v>
      </c>
      <c r="B1770" s="2808"/>
      <c r="C1770" s="2808"/>
      <c r="D1770" s="2808"/>
      <c r="E1770" s="2808"/>
      <c r="F1770" s="2809"/>
      <c r="G1770" s="2395" t="s">
        <v>1568</v>
      </c>
      <c r="H1770" s="2396"/>
      <c r="I1770" s="2396"/>
      <c r="J1770" s="2397"/>
      <c r="L1770" s="2807" t="s">
        <v>2094</v>
      </c>
      <c r="M1770" s="2808"/>
      <c r="N1770" s="2808"/>
      <c r="O1770" s="2808"/>
      <c r="P1770" s="2808"/>
    </row>
    <row r="1771" spans="1:16" s="2402" customFormat="1" ht="15.75" thickBot="1">
      <c r="A1771" s="2133" t="s">
        <v>2130</v>
      </c>
      <c r="B1771" s="2392" t="s">
        <v>2009</v>
      </c>
      <c r="C1771" s="2133" t="s">
        <v>1609</v>
      </c>
      <c r="D1771" s="2133" t="s">
        <v>1679</v>
      </c>
      <c r="E1771" s="2169" t="s">
        <v>2435</v>
      </c>
      <c r="F1771" s="2170" t="s">
        <v>2440</v>
      </c>
      <c r="G1771" s="2133" t="s">
        <v>2050</v>
      </c>
      <c r="H1771" s="2133" t="s">
        <v>2051</v>
      </c>
      <c r="I1771" s="2133" t="s">
        <v>2441</v>
      </c>
      <c r="J1771" s="2133" t="s">
        <v>2442</v>
      </c>
      <c r="L1771" s="2133" t="s">
        <v>1607</v>
      </c>
      <c r="M1771" s="2133" t="s">
        <v>1611</v>
      </c>
      <c r="N1771" s="2133" t="s">
        <v>1168</v>
      </c>
      <c r="O1771" s="2133" t="s">
        <v>1205</v>
      </c>
      <c r="P1771" s="2133" t="s">
        <v>1243</v>
      </c>
    </row>
    <row r="1772" spans="1:16" s="2402" customFormat="1">
      <c r="A1772" s="2134" t="s">
        <v>187</v>
      </c>
      <c r="B1772" s="2350"/>
      <c r="C1772" s="2135">
        <v>0</v>
      </c>
      <c r="D1772" s="2133">
        <v>0</v>
      </c>
      <c r="E1772" s="2133">
        <v>0</v>
      </c>
      <c r="F1772" s="2134">
        <v>4</v>
      </c>
      <c r="G1772" s="2133">
        <f>B1772*C1772</f>
        <v>0</v>
      </c>
      <c r="H1772" s="2133">
        <f>B1772*D1772</f>
        <v>0</v>
      </c>
      <c r="I1772" s="2133">
        <f>B1772*E1772</f>
        <v>0</v>
      </c>
      <c r="J1772" s="2133">
        <f>B1772*F1772</f>
        <v>0</v>
      </c>
      <c r="L1772" s="2133">
        <f>(B1772/2)/0.2</f>
        <v>0</v>
      </c>
      <c r="M1772" s="2133">
        <f>(B1772/2)/0.1</f>
        <v>0</v>
      </c>
      <c r="N1772" s="2133">
        <f>SUM(L1772:M1772)</f>
        <v>0</v>
      </c>
      <c r="O1772" s="2133">
        <f>(0.05+0.15)*2</f>
        <v>0.4</v>
      </c>
      <c r="P1772" s="2133">
        <f>N1772*O1772</f>
        <v>0</v>
      </c>
    </row>
    <row r="1773" spans="1:16" s="2402" customFormat="1" ht="15" customHeight="1">
      <c r="A1773" s="2134" t="s">
        <v>173</v>
      </c>
      <c r="B1773" s="2351"/>
      <c r="C1773" s="2135">
        <v>0</v>
      </c>
      <c r="D1773" s="2133">
        <v>0</v>
      </c>
      <c r="E1773" s="2133">
        <v>0</v>
      </c>
      <c r="F1773" s="2134">
        <v>4</v>
      </c>
      <c r="G1773" s="2133">
        <f>B1773*C1773</f>
        <v>0</v>
      </c>
      <c r="H1773" s="2133">
        <f>B1773*D1773</f>
        <v>0</v>
      </c>
      <c r="I1773" s="2133">
        <f>B1773*E1773</f>
        <v>0</v>
      </c>
      <c r="J1773" s="2133">
        <f>B1773*F1773</f>
        <v>0</v>
      </c>
      <c r="L1773" s="2133">
        <f>(B1773/2)/0.2</f>
        <v>0</v>
      </c>
      <c r="M1773" s="2133">
        <f>(B1773/2)/0.1</f>
        <v>0</v>
      </c>
      <c r="N1773" s="2133">
        <f>SUM(L1773:M1773)</f>
        <v>0</v>
      </c>
      <c r="O1773" s="2133"/>
      <c r="P1773" s="2133">
        <f>N1773*O1773</f>
        <v>0</v>
      </c>
    </row>
    <row r="1774" spans="1:16" s="2402" customFormat="1" ht="15" customHeight="1">
      <c r="A1774" s="2134" t="s">
        <v>172</v>
      </c>
      <c r="B1774" s="2351"/>
      <c r="C1774" s="2135">
        <v>0</v>
      </c>
      <c r="D1774" s="2133">
        <v>0</v>
      </c>
      <c r="E1774" s="2133">
        <v>0</v>
      </c>
      <c r="F1774" s="2134">
        <v>4</v>
      </c>
      <c r="G1774" s="2133">
        <f>B1774*C1774</f>
        <v>0</v>
      </c>
      <c r="H1774" s="2133">
        <f>B1774*D1774</f>
        <v>0</v>
      </c>
      <c r="I1774" s="2133">
        <f>B1774*E1774</f>
        <v>0</v>
      </c>
      <c r="J1774" s="2133">
        <f>B1774*F1774</f>
        <v>0</v>
      </c>
      <c r="L1774" s="2133">
        <f>(B1774/2)/0.2</f>
        <v>0</v>
      </c>
      <c r="M1774" s="2133">
        <f>(B1774/2)/0.1</f>
        <v>0</v>
      </c>
      <c r="N1774" s="2133">
        <f>SUM(L1774:M1774)</f>
        <v>0</v>
      </c>
      <c r="O1774" s="2133"/>
      <c r="P1774" s="2133">
        <f>N1774*O1774</f>
        <v>0</v>
      </c>
    </row>
    <row r="1775" spans="1:16" s="2402" customFormat="1" ht="15" customHeight="1">
      <c r="A1775" s="2400"/>
      <c r="B1775" s="2400"/>
      <c r="C1775" s="2400"/>
      <c r="D1775" s="2400"/>
      <c r="E1775" s="2804" t="s">
        <v>2074</v>
      </c>
      <c r="F1775" s="2805"/>
      <c r="G1775" s="2133">
        <f>SUM(G1772:G1774)</f>
        <v>0</v>
      </c>
      <c r="H1775" s="2133">
        <f>SUM(H1772:H1774)</f>
        <v>0</v>
      </c>
      <c r="I1775" s="2133">
        <f>SUM(I1772:I1774)</f>
        <v>0</v>
      </c>
      <c r="J1775" s="2133">
        <f>SUM(J1772:J1774)</f>
        <v>0</v>
      </c>
      <c r="M1775" s="2806" t="s">
        <v>2074</v>
      </c>
      <c r="N1775" s="2806"/>
      <c r="O1775" s="2806"/>
      <c r="P1775" s="2133">
        <f>SUM(P1772:P1774)</f>
        <v>0</v>
      </c>
    </row>
    <row r="1776" spans="1:16" s="2402" customFormat="1" ht="15">
      <c r="A1776" s="2400"/>
      <c r="B1776" s="2400"/>
      <c r="C1776" s="2400"/>
      <c r="D1776" s="2400"/>
      <c r="E1776" s="2804" t="s">
        <v>2075</v>
      </c>
      <c r="F1776" s="2805"/>
      <c r="G1776" s="2133">
        <f>G1775*1.58</f>
        <v>0</v>
      </c>
      <c r="H1776" s="2133">
        <f>H1775*1.04</f>
        <v>0</v>
      </c>
      <c r="I1776" s="2133">
        <f>I1775*0.89</f>
        <v>0</v>
      </c>
      <c r="J1776" s="2183">
        <f>J1775*0.62</f>
        <v>0</v>
      </c>
      <c r="M1776" s="2806" t="s">
        <v>2075</v>
      </c>
      <c r="N1776" s="2806"/>
      <c r="O1776" s="2806"/>
      <c r="P1776" s="2183">
        <f>P1775*0.4</f>
        <v>0</v>
      </c>
    </row>
    <row r="1777" spans="1:15" s="2402" customFormat="1">
      <c r="A1777" s="2400"/>
      <c r="B1777" s="2400"/>
      <c r="C1777" s="2400"/>
      <c r="D1777" s="2400"/>
      <c r="E1777" s="2400"/>
      <c r="F1777" s="2400"/>
      <c r="G1777" s="2400"/>
      <c r="H1777" s="2400"/>
      <c r="I1777" s="2400"/>
      <c r="J1777" s="2400"/>
    </row>
    <row r="1778" spans="1:15" s="2402" customFormat="1">
      <c r="A1778" s="2807" t="s">
        <v>2055</v>
      </c>
      <c r="B1778" s="2808"/>
      <c r="C1778" s="2808"/>
      <c r="D1778" s="2808"/>
    </row>
    <row r="1779" spans="1:15" s="2402" customFormat="1">
      <c r="A1779" s="2133" t="s">
        <v>2130</v>
      </c>
      <c r="B1779" s="2133" t="s">
        <v>1614</v>
      </c>
      <c r="C1779" s="2133" t="s">
        <v>1615</v>
      </c>
      <c r="D1779" s="2133"/>
    </row>
    <row r="1780" spans="1:15" s="2402" customFormat="1">
      <c r="A1780" s="2133" t="str">
        <f t="shared" ref="A1780:B1782" si="387">A1772</f>
        <v>B1</v>
      </c>
      <c r="B1780" s="2133">
        <f t="shared" si="387"/>
        <v>0</v>
      </c>
      <c r="C1780" s="2133">
        <f>0.1*0.12</f>
        <v>1.2E-2</v>
      </c>
      <c r="D1780" s="2133">
        <f>B1780*C1780</f>
        <v>0</v>
      </c>
    </row>
    <row r="1781" spans="1:15" s="2402" customFormat="1" ht="15" customHeight="1">
      <c r="A1781" s="2133" t="str">
        <f t="shared" si="387"/>
        <v>B2</v>
      </c>
      <c r="B1781" s="2133">
        <f t="shared" si="387"/>
        <v>0</v>
      </c>
      <c r="C1781" s="2133">
        <f>0.1*0.3</f>
        <v>0.03</v>
      </c>
      <c r="D1781" s="2133">
        <f>B1781*C1781</f>
        <v>0</v>
      </c>
    </row>
    <row r="1782" spans="1:15" s="2402" customFormat="1" ht="15" customHeight="1">
      <c r="A1782" s="2133" t="str">
        <f t="shared" si="387"/>
        <v>B3</v>
      </c>
      <c r="B1782" s="2133">
        <f t="shared" si="387"/>
        <v>0</v>
      </c>
      <c r="C1782" s="2133">
        <f>0.34*0.1</f>
        <v>3.4000000000000002E-2</v>
      </c>
      <c r="D1782" s="2133">
        <f>B1782*C1782</f>
        <v>0</v>
      </c>
    </row>
    <row r="1783" spans="1:15" s="2402" customFormat="1" ht="30">
      <c r="C1783" s="2156" t="s">
        <v>2078</v>
      </c>
      <c r="D1783" s="2401">
        <f>SUM(D1780:D1782)</f>
        <v>0</v>
      </c>
    </row>
    <row r="1784" spans="1:15" s="2402" customFormat="1"/>
    <row r="1785" spans="1:15" s="2402" customFormat="1">
      <c r="A1785" s="2807" t="s">
        <v>2095</v>
      </c>
      <c r="B1785" s="2808"/>
      <c r="C1785" s="2808"/>
      <c r="D1785" s="2808"/>
    </row>
    <row r="1786" spans="1:15" s="2402" customFormat="1">
      <c r="A1786" s="2133" t="s">
        <v>2130</v>
      </c>
      <c r="B1786" s="2133" t="s">
        <v>1614</v>
      </c>
      <c r="C1786" s="2133" t="s">
        <v>1615</v>
      </c>
      <c r="D1786" s="2133"/>
    </row>
    <row r="1787" spans="1:15" s="2402" customFormat="1">
      <c r="A1787" s="2133" t="str">
        <f t="shared" ref="A1787:B1789" si="388">A1780</f>
        <v>B1</v>
      </c>
      <c r="B1787" s="2133">
        <f t="shared" si="388"/>
        <v>0</v>
      </c>
      <c r="C1787" s="2133">
        <f>0.1+0.12*2</f>
        <v>0.33999999999999997</v>
      </c>
      <c r="D1787" s="2133">
        <f>B1787*C1787</f>
        <v>0</v>
      </c>
    </row>
    <row r="1788" spans="1:15" s="2402" customFormat="1">
      <c r="A1788" s="2133" t="str">
        <f t="shared" si="388"/>
        <v>B2</v>
      </c>
      <c r="B1788" s="2133">
        <f t="shared" si="388"/>
        <v>0</v>
      </c>
      <c r="C1788" s="2133">
        <v>0.3</v>
      </c>
      <c r="D1788" s="2133">
        <f>B1788*C1788</f>
        <v>0</v>
      </c>
    </row>
    <row r="1789" spans="1:15" s="2402" customFormat="1">
      <c r="A1789" s="2133" t="str">
        <f t="shared" si="388"/>
        <v>B3</v>
      </c>
      <c r="B1789" s="2133">
        <f t="shared" si="388"/>
        <v>0</v>
      </c>
      <c r="C1789" s="2133">
        <v>0.34</v>
      </c>
      <c r="D1789" s="2133">
        <f>B1789*C1789</f>
        <v>0</v>
      </c>
    </row>
    <row r="1790" spans="1:15" s="2402" customFormat="1" ht="30">
      <c r="C1790" s="2156" t="s">
        <v>2076</v>
      </c>
      <c r="D1790" s="2401">
        <f>SUM(D1787:D1789)</f>
        <v>0</v>
      </c>
    </row>
    <row r="1791" spans="1:15" s="2402" customFormat="1" ht="14.25" customHeight="1"/>
    <row r="1792" spans="1:15" ht="14.25" customHeight="1">
      <c r="A1792" s="2882" t="s">
        <v>1616</v>
      </c>
      <c r="B1792" s="2883"/>
      <c r="C1792" s="2883"/>
      <c r="D1792" s="2883"/>
      <c r="E1792" s="2883"/>
      <c r="F1792" s="2883"/>
      <c r="G1792" s="2883"/>
      <c r="H1792" s="2883"/>
      <c r="I1792" s="2883"/>
      <c r="J1792" s="2883"/>
      <c r="K1792" s="2883"/>
      <c r="L1792" s="2883"/>
      <c r="M1792" s="2883"/>
      <c r="N1792" s="2883"/>
      <c r="O1792" s="2884"/>
    </row>
    <row r="1793" spans="1:16">
      <c r="A1793" s="2885"/>
      <c r="B1793" s="2886"/>
      <c r="C1793" s="2886"/>
      <c r="D1793" s="2886"/>
      <c r="E1793" s="2886"/>
      <c r="F1793" s="2886"/>
      <c r="G1793" s="2886"/>
      <c r="H1793" s="2886"/>
      <c r="I1793" s="2886"/>
      <c r="J1793" s="2886"/>
      <c r="K1793" s="2886"/>
      <c r="L1793" s="2886"/>
      <c r="M1793" s="2886"/>
      <c r="N1793" s="2886"/>
      <c r="O1793" s="2887"/>
    </row>
    <row r="1794" spans="1:16">
      <c r="A1794" s="2888"/>
      <c r="B1794" s="2889"/>
      <c r="C1794" s="2889"/>
      <c r="D1794" s="2889"/>
      <c r="E1794" s="2889"/>
      <c r="F1794" s="2889"/>
      <c r="G1794" s="2889"/>
      <c r="H1794" s="2889"/>
      <c r="I1794" s="2889"/>
      <c r="J1794" s="2889"/>
      <c r="K1794" s="2889"/>
      <c r="L1794" s="2889"/>
      <c r="M1794" s="2889"/>
      <c r="N1794" s="2889"/>
      <c r="O1794" s="2890"/>
    </row>
    <row r="1795" spans="1:16" ht="15.75">
      <c r="A1795" s="2210"/>
      <c r="B1795" s="2210"/>
      <c r="C1795" s="2210"/>
      <c r="D1795" s="2210"/>
      <c r="E1795" s="2210"/>
      <c r="F1795" s="2210"/>
      <c r="G1795" s="2210"/>
      <c r="H1795" s="2210"/>
      <c r="I1795" s="2210"/>
      <c r="J1795" s="2210"/>
      <c r="K1795" s="2210"/>
      <c r="L1795" s="2210"/>
      <c r="M1795" s="2210"/>
    </row>
    <row r="1796" spans="1:16" s="2212" customFormat="1" ht="15.75">
      <c r="A1796" s="2210"/>
      <c r="B1796" s="2210"/>
      <c r="C1796" s="2210"/>
      <c r="D1796" s="2211" t="s">
        <v>2040</v>
      </c>
      <c r="E1796" s="2211" t="s">
        <v>1791</v>
      </c>
      <c r="F1796" s="2211" t="s">
        <v>2041</v>
      </c>
      <c r="G1796" s="2210"/>
      <c r="H1796" s="2210"/>
      <c r="I1796" s="2210"/>
      <c r="J1796" s="2210"/>
      <c r="K1796" s="2210"/>
      <c r="L1796" s="2210"/>
      <c r="M1796" s="2210"/>
      <c r="N1796" s="2210"/>
      <c r="O1796" s="2210"/>
    </row>
    <row r="1797" spans="1:16">
      <c r="E1797" s="2093"/>
    </row>
    <row r="1798" spans="1:16" ht="15.75">
      <c r="A1798" s="2210"/>
      <c r="B1798" s="2210"/>
      <c r="C1798" s="2213"/>
      <c r="D1798" s="2210"/>
      <c r="E1798" s="2213"/>
      <c r="F1798" s="2210"/>
      <c r="G1798" s="2214"/>
      <c r="H1798" s="2210"/>
      <c r="I1798" s="2210"/>
      <c r="J1798" s="2210"/>
      <c r="K1798" s="2210"/>
      <c r="L1798" s="2210"/>
      <c r="M1798" s="2210"/>
      <c r="N1798" s="2210"/>
      <c r="O1798" s="2210"/>
      <c r="P1798" s="2212"/>
    </row>
    <row r="1799" spans="1:16" ht="15.75">
      <c r="A1799" s="2210" t="s">
        <v>2394</v>
      </c>
      <c r="B1799" s="2213">
        <f>D1799*E1799</f>
        <v>0</v>
      </c>
      <c r="C1799" s="2215">
        <f>B1799/0.12</f>
        <v>0</v>
      </c>
      <c r="D1799" s="2133">
        <v>0.1</v>
      </c>
      <c r="E1799" s="2216">
        <f>$M$55</f>
        <v>0</v>
      </c>
      <c r="F1799" s="2211">
        <f>D1799*E1799</f>
        <v>0</v>
      </c>
      <c r="G1799" s="2217"/>
      <c r="H1799" s="2210"/>
      <c r="I1799" s="2210"/>
      <c r="J1799" s="2210"/>
      <c r="K1799" s="2210"/>
      <c r="L1799" s="2210"/>
      <c r="M1799" s="2210"/>
      <c r="N1799" s="2210"/>
      <c r="O1799" s="2210"/>
      <c r="P1799" s="2212"/>
    </row>
    <row r="1800" spans="1:16" ht="15.75">
      <c r="A1800" s="2408">
        <v>2</v>
      </c>
      <c r="B1800" s="2213">
        <f>D1800*E1800</f>
        <v>0</v>
      </c>
      <c r="C1800" s="2210">
        <f>B1800/0.1</f>
        <v>0</v>
      </c>
      <c r="D1800" s="2133">
        <v>0.12</v>
      </c>
      <c r="E1800" s="2216">
        <f>$N$54</f>
        <v>0</v>
      </c>
      <c r="F1800" s="2211">
        <f>D1800*E1800</f>
        <v>0</v>
      </c>
      <c r="G1800" s="2216">
        <f>0-$E$543</f>
        <v>0</v>
      </c>
      <c r="H1800" s="2210"/>
      <c r="I1800" s="2210"/>
      <c r="J1800" s="2210"/>
      <c r="K1800" s="2210"/>
      <c r="L1800" s="2210"/>
      <c r="M1800" s="2210"/>
      <c r="N1800" s="2210"/>
      <c r="O1800" s="2210"/>
      <c r="P1800" s="2212"/>
    </row>
    <row r="1801" spans="1:16">
      <c r="E1801" s="2218"/>
      <c r="F1801" s="2218"/>
      <c r="G1801" s="2107"/>
    </row>
    <row r="1802" spans="1:16" ht="14.25" customHeight="1">
      <c r="A1802" s="2408">
        <v>3</v>
      </c>
      <c r="B1802" s="2210"/>
      <c r="C1802" s="2213"/>
      <c r="E1802" s="2093"/>
      <c r="G1802" s="2107"/>
    </row>
    <row r="1803" spans="1:16" ht="14.25" customHeight="1">
      <c r="A1803" s="2210" t="s">
        <v>1617</v>
      </c>
      <c r="B1803" s="2213">
        <f>D1803*E1803</f>
        <v>0</v>
      </c>
      <c r="C1803" s="2215">
        <f>B1803/0.12</f>
        <v>0</v>
      </c>
      <c r="D1803" s="2133">
        <v>0.12</v>
      </c>
      <c r="E1803" s="2216">
        <f>$O$54-$E$808</f>
        <v>0</v>
      </c>
      <c r="F1803" s="2211">
        <f>D1803*E1803</f>
        <v>0</v>
      </c>
      <c r="G1803" s="2217">
        <f>0-$E$808</f>
        <v>0</v>
      </c>
    </row>
    <row r="1804" spans="1:16" ht="14.25" customHeight="1">
      <c r="A1804" s="2210" t="s">
        <v>1618</v>
      </c>
      <c r="B1804" s="2213">
        <f>D1804*E1804</f>
        <v>0</v>
      </c>
      <c r="C1804" s="2210">
        <f>B1804/0.1</f>
        <v>0</v>
      </c>
      <c r="D1804" s="2133">
        <v>0.1</v>
      </c>
      <c r="E1804" s="2182">
        <f>$O$55</f>
        <v>0</v>
      </c>
      <c r="F1804" s="2211">
        <f>D1804*E1804</f>
        <v>0</v>
      </c>
      <c r="G1804" s="2107"/>
    </row>
    <row r="1805" spans="1:16">
      <c r="E1805" s="2218">
        <f>SUM(E1803:E1804)</f>
        <v>0</v>
      </c>
      <c r="F1805" s="2218">
        <f>SUM(F1803:F1804)</f>
        <v>0</v>
      </c>
      <c r="G1805" s="2107"/>
    </row>
    <row r="1806" spans="1:16" s="2359" customFormat="1" ht="14.25" customHeight="1">
      <c r="A1806" s="2408">
        <v>4</v>
      </c>
      <c r="B1806" s="2210"/>
      <c r="C1806" s="2213"/>
      <c r="E1806" s="2093"/>
      <c r="G1806" s="2358"/>
    </row>
    <row r="1807" spans="1:16" s="2359" customFormat="1" ht="14.25" customHeight="1">
      <c r="A1807" s="2210" t="s">
        <v>1617</v>
      </c>
      <c r="B1807" s="2213">
        <f>D1807*E1807</f>
        <v>0</v>
      </c>
      <c r="C1807" s="2215">
        <f>B1807/0.12</f>
        <v>0</v>
      </c>
      <c r="D1807" s="2133">
        <v>0.12</v>
      </c>
      <c r="E1807" s="2216">
        <f>$P$54</f>
        <v>0</v>
      </c>
      <c r="F1807" s="2211">
        <f>D1807*E1807</f>
        <v>0</v>
      </c>
      <c r="G1807" s="2217">
        <f>0-$E$1073</f>
        <v>0</v>
      </c>
      <c r="H1807" s="2216">
        <f>126.92</f>
        <v>126.92</v>
      </c>
    </row>
    <row r="1808" spans="1:16" s="2359" customFormat="1" ht="14.25" customHeight="1">
      <c r="A1808" s="2210" t="s">
        <v>1618</v>
      </c>
      <c r="B1808" s="2213">
        <f>D1808*E1808</f>
        <v>0</v>
      </c>
      <c r="C1808" s="2210">
        <f>B1808/0.1</f>
        <v>0</v>
      </c>
      <c r="D1808" s="2133">
        <v>0.1</v>
      </c>
      <c r="E1808" s="2182">
        <f>$P$55</f>
        <v>0</v>
      </c>
      <c r="F1808" s="2211">
        <f>D1808*E1808</f>
        <v>0</v>
      </c>
      <c r="G1808" s="2358"/>
    </row>
    <row r="1809" spans="1:15" s="2359" customFormat="1">
      <c r="E1809" s="2218">
        <f>SUM(E1807:E1808)</f>
        <v>0</v>
      </c>
      <c r="F1809" s="2218">
        <f>SUM(F1807:F1808)</f>
        <v>0</v>
      </c>
      <c r="G1809" s="2358"/>
    </row>
    <row r="1810" spans="1:15" ht="14.25" customHeight="1">
      <c r="A1810" s="2408">
        <v>5</v>
      </c>
      <c r="B1810" s="2210"/>
      <c r="C1810" s="2213"/>
      <c r="E1810" s="2093"/>
      <c r="G1810" s="2107"/>
    </row>
    <row r="1811" spans="1:15" ht="14.25" customHeight="1">
      <c r="A1811" s="2210" t="s">
        <v>2448</v>
      </c>
      <c r="B1811" s="2213">
        <f>D1811*E1811</f>
        <v>0</v>
      </c>
      <c r="C1811" s="2215">
        <f>B1811/0.12</f>
        <v>0</v>
      </c>
      <c r="D1811" s="2133">
        <v>0.12</v>
      </c>
      <c r="E1811" s="2217">
        <f>$Q$54-$E$1338</f>
        <v>0</v>
      </c>
      <c r="F1811" s="2211">
        <f>D1811*E1811</f>
        <v>0</v>
      </c>
      <c r="G1811" s="2217">
        <f>0-$E$1338</f>
        <v>0</v>
      </c>
    </row>
    <row r="1812" spans="1:15" ht="14.25" customHeight="1">
      <c r="A1812" s="2210" t="s">
        <v>2448</v>
      </c>
      <c r="B1812" s="2213">
        <f>D1812*E1812</f>
        <v>0</v>
      </c>
      <c r="C1812" s="2210">
        <f>B1812/0.1</f>
        <v>0</v>
      </c>
      <c r="D1812" s="2133">
        <v>0.1</v>
      </c>
      <c r="E1812" s="2182"/>
      <c r="F1812" s="2211">
        <f>D1812*E1812</f>
        <v>0</v>
      </c>
      <c r="G1812" s="2107"/>
    </row>
    <row r="1813" spans="1:15" ht="14.25" customHeight="1">
      <c r="A1813" s="2210" t="s">
        <v>2449</v>
      </c>
      <c r="B1813" s="2213">
        <f>D1813*E1813</f>
        <v>0</v>
      </c>
      <c r="C1813" s="2210">
        <f>B1813/0.1</f>
        <v>0</v>
      </c>
      <c r="D1813" s="2133">
        <v>0.2</v>
      </c>
      <c r="E1813" s="2182"/>
      <c r="F1813" s="2211">
        <f>D1813*E1813</f>
        <v>0</v>
      </c>
      <c r="G1813" s="2107"/>
    </row>
    <row r="1814" spans="1:15">
      <c r="E1814" s="2218">
        <f>SUM(E1811:E1813)</f>
        <v>0</v>
      </c>
      <c r="F1814" s="2140">
        <f>SUM(F1811:F1813)</f>
        <v>0</v>
      </c>
    </row>
    <row r="1816" spans="1:15" s="2402" customFormat="1" ht="14.25" customHeight="1">
      <c r="A1816" s="2408" t="s">
        <v>2796</v>
      </c>
      <c r="B1816" s="2210"/>
      <c r="C1816" s="2213"/>
      <c r="E1816" s="2093"/>
      <c r="G1816" s="2400"/>
    </row>
    <row r="1817" spans="1:15" s="2402" customFormat="1" ht="14.25" customHeight="1">
      <c r="A1817" s="2210" t="s">
        <v>2448</v>
      </c>
      <c r="B1817" s="2213">
        <f>D1817*E1817</f>
        <v>0</v>
      </c>
      <c r="C1817" s="2215">
        <f>B1817/0.12</f>
        <v>0</v>
      </c>
      <c r="D1817" s="2133">
        <v>0.12</v>
      </c>
      <c r="E1817" s="2217">
        <f>$Q$54</f>
        <v>0</v>
      </c>
      <c r="F1817" s="2211">
        <f>D1817*E1817</f>
        <v>0</v>
      </c>
      <c r="G1817" s="2217">
        <f>0-E1671</f>
        <v>0</v>
      </c>
    </row>
    <row r="1818" spans="1:15" s="2402" customFormat="1" ht="14.25" customHeight="1">
      <c r="A1818" s="2210" t="s">
        <v>2448</v>
      </c>
      <c r="B1818" s="2213">
        <f>D1818*E1818</f>
        <v>0</v>
      </c>
      <c r="C1818" s="2210">
        <f>B1818/0.1</f>
        <v>0</v>
      </c>
      <c r="D1818" s="2133">
        <v>0.1</v>
      </c>
      <c r="E1818" s="2182"/>
      <c r="F1818" s="2211">
        <f>D1818*E1818</f>
        <v>0</v>
      </c>
      <c r="G1818" s="2400"/>
    </row>
    <row r="1819" spans="1:15" s="2402" customFormat="1" ht="14.25" customHeight="1">
      <c r="A1819" s="2210" t="s">
        <v>2449</v>
      </c>
      <c r="B1819" s="2213">
        <f>D1819*E1819</f>
        <v>0</v>
      </c>
      <c r="C1819" s="2210">
        <f>B1819/0.1</f>
        <v>0</v>
      </c>
      <c r="D1819" s="2133">
        <v>0.2</v>
      </c>
      <c r="E1819" s="2182"/>
      <c r="F1819" s="2211">
        <f>D1819*E1819</f>
        <v>0</v>
      </c>
      <c r="G1819" s="2400"/>
    </row>
    <row r="1820" spans="1:15" s="2402" customFormat="1">
      <c r="E1820" s="2218">
        <f>SUM(E1817:E1819)</f>
        <v>0</v>
      </c>
      <c r="F1820" s="2140">
        <f>SUM(F1817:F1819)</f>
        <v>0</v>
      </c>
    </row>
    <row r="1821" spans="1:15" ht="14.25" customHeight="1">
      <c r="A1821" s="2891" t="s">
        <v>2042</v>
      </c>
      <c r="B1821" s="2892"/>
      <c r="C1821" s="2892"/>
      <c r="D1821" s="2892"/>
      <c r="E1821" s="2892"/>
      <c r="F1821" s="2892"/>
      <c r="G1821" s="2892"/>
      <c r="H1821" s="2892"/>
      <c r="I1821" s="2892"/>
      <c r="J1821" s="2892"/>
      <c r="K1821" s="2892"/>
      <c r="L1821" s="2892"/>
      <c r="M1821" s="2892"/>
      <c r="N1821" s="2892"/>
      <c r="O1821" s="2893"/>
    </row>
    <row r="1822" spans="1:15">
      <c r="A1822" s="2894"/>
      <c r="B1822" s="2895"/>
      <c r="C1822" s="2895"/>
      <c r="D1822" s="2895"/>
      <c r="E1822" s="2895"/>
      <c r="F1822" s="2895"/>
      <c r="G1822" s="2895"/>
      <c r="H1822" s="2895"/>
      <c r="I1822" s="2895"/>
      <c r="J1822" s="2895"/>
      <c r="K1822" s="2895"/>
      <c r="L1822" s="2895"/>
      <c r="M1822" s="2895"/>
      <c r="N1822" s="2895"/>
      <c r="O1822" s="2896"/>
    </row>
    <row r="1823" spans="1:15">
      <c r="A1823" s="2897"/>
      <c r="B1823" s="2898"/>
      <c r="C1823" s="2898"/>
      <c r="D1823" s="2898"/>
      <c r="E1823" s="2898"/>
      <c r="F1823" s="2898"/>
      <c r="G1823" s="2898"/>
      <c r="H1823" s="2898"/>
      <c r="I1823" s="2898"/>
      <c r="J1823" s="2898"/>
      <c r="K1823" s="2898"/>
      <c r="L1823" s="2898"/>
      <c r="M1823" s="2898"/>
      <c r="N1823" s="2898"/>
      <c r="O1823" s="2899"/>
    </row>
    <row r="1824" spans="1:15" ht="15.75">
      <c r="A1824" s="2210"/>
      <c r="B1824" s="2210"/>
      <c r="C1824" s="2210"/>
      <c r="D1824" s="2210"/>
      <c r="E1824" s="2210"/>
      <c r="F1824" s="2210"/>
      <c r="G1824" s="2210"/>
      <c r="H1824" s="2210"/>
      <c r="I1824" s="2210"/>
      <c r="J1824" s="2210"/>
      <c r="K1824" s="2210"/>
      <c r="L1824" s="2210"/>
      <c r="M1824" s="2210"/>
    </row>
    <row r="1825" spans="1:11">
      <c r="B1825" s="2086" t="s">
        <v>1597</v>
      </c>
      <c r="D1825" s="2086" t="s">
        <v>1598</v>
      </c>
      <c r="E1825" s="2086" t="s">
        <v>1599</v>
      </c>
      <c r="F1825" s="2086" t="s">
        <v>1168</v>
      </c>
      <c r="G1825" s="2086" t="s">
        <v>1568</v>
      </c>
      <c r="H1825" s="2086" t="s">
        <v>1609</v>
      </c>
    </row>
    <row r="1826" spans="1:11">
      <c r="A1826" s="2086" t="s">
        <v>1413</v>
      </c>
      <c r="B1826" s="2527">
        <v>7.4</v>
      </c>
      <c r="C1826" s="2094">
        <f>B1826/15</f>
        <v>0.49333333333333335</v>
      </c>
      <c r="D1826" s="2086">
        <f>ROUNDUP(C1826,0)</f>
        <v>1</v>
      </c>
      <c r="E1826" s="2086">
        <f>(B1828/100)+0.15+0.15</f>
        <v>0.31499999999999995</v>
      </c>
      <c r="F1826" s="2086">
        <f>D1826*E1826</f>
        <v>0.31499999999999995</v>
      </c>
      <c r="G1826" s="2093">
        <f>F1826*H1826</f>
        <v>0.62999999999999989</v>
      </c>
      <c r="H1826" s="2086">
        <v>2</v>
      </c>
    </row>
    <row r="1827" spans="1:11">
      <c r="B1827" s="2086" t="s">
        <v>1600</v>
      </c>
      <c r="D1827" s="2086" t="s">
        <v>1601</v>
      </c>
      <c r="E1827" s="2086" t="s">
        <v>1602</v>
      </c>
      <c r="F1827" s="2086" t="s">
        <v>1168</v>
      </c>
      <c r="K1827" s="2093"/>
    </row>
    <row r="1828" spans="1:11">
      <c r="B1828" s="2527">
        <v>1.5</v>
      </c>
      <c r="C1828" s="2094">
        <f>B1828/15</f>
        <v>0.1</v>
      </c>
      <c r="D1828" s="2086">
        <f>ROUNDUP(C1828,0)</f>
        <v>1</v>
      </c>
      <c r="E1828" s="2086">
        <f>(B1826/100)+0.15+0.15</f>
        <v>0.374</v>
      </c>
      <c r="F1828" s="2086">
        <f>D1828*E1828</f>
        <v>0.374</v>
      </c>
      <c r="G1828" s="2093">
        <f>F1828*H1826</f>
        <v>0.748</v>
      </c>
    </row>
    <row r="1829" spans="1:11">
      <c r="G1829" s="2086">
        <f>SUM(G1826:G1828)</f>
        <v>1.3779999999999999</v>
      </c>
      <c r="H1829" s="2093">
        <f>G1829*1.58</f>
        <v>2.1772399999999998</v>
      </c>
    </row>
    <row r="1830" spans="1:11">
      <c r="B1830" s="2086" t="str">
        <f>B1825</f>
        <v>PANJANG X</v>
      </c>
      <c r="D1830" s="2086" t="s">
        <v>1598</v>
      </c>
      <c r="E1830" s="2086" t="s">
        <v>1599</v>
      </c>
      <c r="F1830" s="2086" t="s">
        <v>1168</v>
      </c>
      <c r="K1830" s="2094"/>
    </row>
    <row r="1831" spans="1:11">
      <c r="A1831" s="2086" t="s">
        <v>1413</v>
      </c>
      <c r="C1831" s="2094">
        <f>B1831/15</f>
        <v>0</v>
      </c>
      <c r="D1831" s="2086">
        <f>ROUNDUP(C1831,0)</f>
        <v>0</v>
      </c>
      <c r="E1831" s="2086">
        <f>(B1833/100)+0.15+0.15</f>
        <v>0.3</v>
      </c>
      <c r="F1831" s="2086">
        <f>D1831*E1831</f>
        <v>0</v>
      </c>
      <c r="G1831" s="2093">
        <f>F1831*H1831</f>
        <v>0</v>
      </c>
      <c r="H1831" s="2086">
        <v>2</v>
      </c>
    </row>
    <row r="1832" spans="1:11">
      <c r="B1832" s="2086" t="str">
        <f>B1827</f>
        <v>PANJANG Y</v>
      </c>
      <c r="D1832" s="2086" t="s">
        <v>1601</v>
      </c>
      <c r="E1832" s="2086" t="s">
        <v>1602</v>
      </c>
      <c r="F1832" s="2086" t="s">
        <v>1168</v>
      </c>
    </row>
    <row r="1833" spans="1:11">
      <c r="C1833" s="2094">
        <f>B1833/15</f>
        <v>0</v>
      </c>
      <c r="D1833" s="2086">
        <f>ROUNDUP(C1833,0)</f>
        <v>0</v>
      </c>
      <c r="E1833" s="2086">
        <f>(B1831/100)+0.15+0.15</f>
        <v>0.3</v>
      </c>
      <c r="F1833" s="2086">
        <f>D1833*E1833</f>
        <v>0</v>
      </c>
      <c r="G1833" s="2093">
        <f>F1833*H1831</f>
        <v>0</v>
      </c>
      <c r="K1833" s="2094"/>
    </row>
    <row r="1834" spans="1:11">
      <c r="G1834" s="2086">
        <f>SUM(G1831:G1833)</f>
        <v>0</v>
      </c>
      <c r="H1834" s="2093">
        <f>G1834*1.58</f>
        <v>0</v>
      </c>
    </row>
    <row r="1835" spans="1:11">
      <c r="B1835" s="2086" t="str">
        <f>B1830</f>
        <v>PANJANG X</v>
      </c>
      <c r="D1835" s="2086" t="s">
        <v>1598</v>
      </c>
      <c r="E1835" s="2086" t="s">
        <v>1599</v>
      </c>
      <c r="F1835" s="2086" t="s">
        <v>1168</v>
      </c>
      <c r="K1835" s="2094"/>
    </row>
    <row r="1836" spans="1:11">
      <c r="A1836" s="2086" t="s">
        <v>1413</v>
      </c>
      <c r="B1836" s="2086">
        <v>0</v>
      </c>
      <c r="C1836" s="2094">
        <f>B1836/15</f>
        <v>0</v>
      </c>
      <c r="D1836" s="2086">
        <f>ROUNDUP(C1836,0)</f>
        <v>0</v>
      </c>
      <c r="E1836" s="2086">
        <f>(B1838/100)+0.15+0.15</f>
        <v>0.3</v>
      </c>
      <c r="F1836" s="2086">
        <f>D1836*E1836</f>
        <v>0</v>
      </c>
      <c r="G1836" s="2093">
        <f>F1836*H1836</f>
        <v>0</v>
      </c>
      <c r="H1836" s="2086">
        <v>2</v>
      </c>
    </row>
    <row r="1837" spans="1:11">
      <c r="B1837" s="2086" t="str">
        <f>B1832</f>
        <v>PANJANG Y</v>
      </c>
      <c r="D1837" s="2086" t="s">
        <v>1601</v>
      </c>
      <c r="E1837" s="2086" t="s">
        <v>1602</v>
      </c>
      <c r="F1837" s="2086" t="s">
        <v>1168</v>
      </c>
    </row>
    <row r="1838" spans="1:11">
      <c r="B1838" s="2086">
        <v>0</v>
      </c>
      <c r="C1838" s="2094">
        <f>B1838/15</f>
        <v>0</v>
      </c>
      <c r="D1838" s="2086">
        <f>ROUNDUP(C1838,0)</f>
        <v>0</v>
      </c>
      <c r="E1838" s="2086">
        <f>(B1836/100)+0.15+0.15</f>
        <v>0.3</v>
      </c>
      <c r="F1838" s="2086">
        <f>D1838*E1838</f>
        <v>0</v>
      </c>
      <c r="G1838" s="2093">
        <f>F1838*H1836</f>
        <v>0</v>
      </c>
      <c r="K1838" s="2094"/>
    </row>
    <row r="1839" spans="1:11">
      <c r="G1839" s="2086">
        <f>SUM(G1836:G1838)</f>
        <v>0</v>
      </c>
      <c r="H1839" s="2093">
        <f>G1839*1.58</f>
        <v>0</v>
      </c>
    </row>
    <row r="1840" spans="1:11">
      <c r="H1840" s="2093">
        <f>H1829+H1834+H1839</f>
        <v>2.1772399999999998</v>
      </c>
      <c r="I1840" s="2086" t="s">
        <v>47</v>
      </c>
    </row>
    <row r="1841" spans="1:11">
      <c r="H1841" s="2093"/>
    </row>
    <row r="1842" spans="1:11">
      <c r="B1842" s="2086" t="str">
        <f>B1830</f>
        <v>PANJANG X</v>
      </c>
      <c r="D1842" s="2086" t="s">
        <v>1598</v>
      </c>
      <c r="E1842" s="2086" t="s">
        <v>1599</v>
      </c>
      <c r="F1842" s="2086" t="s">
        <v>1168</v>
      </c>
      <c r="K1842" s="2094"/>
    </row>
    <row r="1843" spans="1:11">
      <c r="A1843" s="2086" t="s">
        <v>2043</v>
      </c>
      <c r="B1843" s="2527">
        <v>3.2</v>
      </c>
      <c r="C1843" s="2094">
        <f>B1843/15</f>
        <v>0.21333333333333335</v>
      </c>
      <c r="D1843" s="2086">
        <f>ROUNDUP(C1843,0)</f>
        <v>1</v>
      </c>
      <c r="E1843" s="2086">
        <f>(B1845/100)+0.15+0.15</f>
        <v>0.374</v>
      </c>
      <c r="F1843" s="2086">
        <f>D1843*E1843</f>
        <v>0.374</v>
      </c>
      <c r="G1843" s="2093">
        <f>F1843*H1843</f>
        <v>0.374</v>
      </c>
      <c r="H1843" s="2086">
        <v>1</v>
      </c>
    </row>
    <row r="1844" spans="1:11">
      <c r="B1844" s="2086" t="str">
        <f>B1832</f>
        <v>PANJANG Y</v>
      </c>
      <c r="D1844" s="2086" t="s">
        <v>1601</v>
      </c>
      <c r="E1844" s="2086" t="s">
        <v>1602</v>
      </c>
      <c r="F1844" s="2086" t="s">
        <v>1168</v>
      </c>
    </row>
    <row r="1845" spans="1:11">
      <c r="B1845" s="2527">
        <v>7.4</v>
      </c>
      <c r="C1845" s="2094">
        <f>B1845/15</f>
        <v>0.49333333333333335</v>
      </c>
      <c r="D1845" s="2086">
        <f>ROUNDUP(C1845,0)</f>
        <v>1</v>
      </c>
      <c r="E1845" s="2086">
        <f>(B1843/100)+0.15+0.15</f>
        <v>0.33199999999999996</v>
      </c>
      <c r="F1845" s="2086">
        <f>D1845*E1845</f>
        <v>0.33199999999999996</v>
      </c>
      <c r="G1845" s="2093">
        <f>F1845*H1843</f>
        <v>0.33199999999999996</v>
      </c>
      <c r="K1845" s="2094"/>
    </row>
    <row r="1846" spans="1:11">
      <c r="G1846" s="2086">
        <f>SUM(G1843:G1845)</f>
        <v>0.70599999999999996</v>
      </c>
      <c r="H1846" s="2093">
        <f>G1846*1.58</f>
        <v>1.11548</v>
      </c>
    </row>
    <row r="1847" spans="1:11">
      <c r="B1847" s="2086" t="str">
        <f>B1835</f>
        <v>PANJANG X</v>
      </c>
      <c r="D1847" s="2086" t="s">
        <v>1598</v>
      </c>
      <c r="E1847" s="2086" t="s">
        <v>1599</v>
      </c>
      <c r="F1847" s="2086" t="s">
        <v>1168</v>
      </c>
      <c r="K1847" s="2094"/>
    </row>
    <row r="1848" spans="1:11">
      <c r="A1848" s="2086" t="s">
        <v>2043</v>
      </c>
      <c r="C1848" s="2094">
        <f>B1848/15</f>
        <v>0</v>
      </c>
      <c r="D1848" s="2086">
        <f>ROUNDUP(C1848,0)</f>
        <v>0</v>
      </c>
      <c r="E1848" s="2086">
        <f>(B1850/100)+0.15+0.15</f>
        <v>0.3</v>
      </c>
      <c r="F1848" s="2086">
        <f>D1848*E1848</f>
        <v>0</v>
      </c>
      <c r="G1848" s="2093">
        <f>F1848*H1848</f>
        <v>0</v>
      </c>
      <c r="H1848" s="2086">
        <v>1</v>
      </c>
    </row>
    <row r="1849" spans="1:11">
      <c r="B1849" s="2086" t="str">
        <f>B1837</f>
        <v>PANJANG Y</v>
      </c>
      <c r="D1849" s="2086" t="s">
        <v>1601</v>
      </c>
      <c r="E1849" s="2086" t="s">
        <v>1602</v>
      </c>
      <c r="F1849" s="2086" t="s">
        <v>1168</v>
      </c>
    </row>
    <row r="1850" spans="1:11">
      <c r="C1850" s="2094">
        <f>B1850/15</f>
        <v>0</v>
      </c>
      <c r="D1850" s="2086">
        <f>ROUNDUP(C1850,0)</f>
        <v>0</v>
      </c>
      <c r="E1850" s="2086">
        <f>(B1848/100)+0.15+0.15</f>
        <v>0.3</v>
      </c>
      <c r="F1850" s="2086">
        <f>D1850*E1850</f>
        <v>0</v>
      </c>
      <c r="G1850" s="2093">
        <f>F1850*H1848</f>
        <v>0</v>
      </c>
      <c r="K1850" s="2094"/>
    </row>
    <row r="1851" spans="1:11">
      <c r="G1851" s="2086">
        <f>SUM(G1848:G1850)</f>
        <v>0</v>
      </c>
      <c r="H1851" s="2093">
        <f>G1851*1.58</f>
        <v>0</v>
      </c>
    </row>
    <row r="1852" spans="1:11">
      <c r="H1852" s="2093">
        <f>H1846+H1851</f>
        <v>1.11548</v>
      </c>
      <c r="I1852" s="2086" t="s">
        <v>47</v>
      </c>
    </row>
    <row r="1853" spans="1:11">
      <c r="B1853" s="2086">
        <v>0</v>
      </c>
      <c r="C1853" s="2086">
        <v>0.2</v>
      </c>
      <c r="D1853" s="2086">
        <f>B1853*C1853</f>
        <v>0</v>
      </c>
    </row>
    <row r="1855" spans="1:11">
      <c r="D1855" s="2086">
        <f>13.752*100</f>
        <v>1375.2</v>
      </c>
    </row>
    <row r="1856" spans="1:11">
      <c r="F1856" s="2086" t="s">
        <v>2306</v>
      </c>
    </row>
    <row r="1857" spans="1:6">
      <c r="A1857" s="2880" t="s">
        <v>2046</v>
      </c>
      <c r="B1857" s="2833"/>
      <c r="C1857" s="2833"/>
      <c r="D1857" s="2833"/>
      <c r="E1857" s="2219"/>
      <c r="F1857" s="2219"/>
    </row>
    <row r="1858" spans="1:6">
      <c r="A1858" s="2145" t="s">
        <v>2040</v>
      </c>
      <c r="B1858" s="2145" t="s">
        <v>2804</v>
      </c>
      <c r="C1858" s="2145" t="s">
        <v>1608</v>
      </c>
      <c r="D1858" s="2086" t="s">
        <v>213</v>
      </c>
    </row>
    <row r="1859" spans="1:6">
      <c r="A1859" s="2133">
        <v>0.2</v>
      </c>
      <c r="B1859" s="2133">
        <f>B1826</f>
        <v>7.4</v>
      </c>
      <c r="C1859" s="2133">
        <f>B1828</f>
        <v>1.5</v>
      </c>
      <c r="D1859" s="2133">
        <f>C1859*A1859*B1859</f>
        <v>2.2200000000000006</v>
      </c>
    </row>
    <row r="1860" spans="1:6">
      <c r="A1860" s="2133">
        <v>0.2</v>
      </c>
      <c r="B1860" s="2133">
        <f>B1831</f>
        <v>0</v>
      </c>
      <c r="C1860" s="2133">
        <f>B1833</f>
        <v>0</v>
      </c>
      <c r="D1860" s="2133">
        <f>C1860*A1860*B1860</f>
        <v>0</v>
      </c>
    </row>
    <row r="1861" spans="1:6">
      <c r="A1861" s="2133">
        <v>0</v>
      </c>
      <c r="B1861" s="2133"/>
      <c r="C1861" s="2133"/>
      <c r="D1861" s="2133">
        <f>A1861*B1861</f>
        <v>0</v>
      </c>
    </row>
    <row r="1862" spans="1:6">
      <c r="A1862" s="2133"/>
      <c r="B1862" s="2133"/>
      <c r="C1862" s="2133"/>
      <c r="D1862" s="2133"/>
    </row>
    <row r="1863" spans="1:6">
      <c r="A1863" s="2133"/>
      <c r="B1863" s="2133"/>
      <c r="C1863" s="2133"/>
      <c r="D1863" s="2133"/>
    </row>
    <row r="1864" spans="1:6">
      <c r="D1864" s="2086">
        <f>SUM(D1859:D1863)</f>
        <v>2.2200000000000006</v>
      </c>
      <c r="E1864" s="2099" t="s">
        <v>100</v>
      </c>
    </row>
    <row r="1866" spans="1:6">
      <c r="A1866" s="2881" t="s">
        <v>2504</v>
      </c>
      <c r="B1866" s="2881"/>
      <c r="C1866" s="2881"/>
      <c r="D1866" s="2219"/>
    </row>
    <row r="1867" spans="1:6">
      <c r="A1867" s="2086" t="s">
        <v>2009</v>
      </c>
      <c r="B1867" s="2086" t="s">
        <v>1608</v>
      </c>
      <c r="C1867" s="2086" t="s">
        <v>213</v>
      </c>
    </row>
    <row r="1868" spans="1:6">
      <c r="A1868" s="2133">
        <f>B1826</f>
        <v>7.4</v>
      </c>
      <c r="B1868" s="2133">
        <f>B1828</f>
        <v>1.5</v>
      </c>
      <c r="C1868" s="2133">
        <f>B1868*A1868</f>
        <v>11.100000000000001</v>
      </c>
    </row>
    <row r="1869" spans="1:6">
      <c r="A1869" s="2133">
        <f>B1831</f>
        <v>0</v>
      </c>
      <c r="B1869" s="2133">
        <f>B1833</f>
        <v>0</v>
      </c>
      <c r="C1869" s="2133">
        <f>B1869*A1869</f>
        <v>0</v>
      </c>
    </row>
    <row r="1870" spans="1:6">
      <c r="A1870" s="2133"/>
      <c r="B1870" s="2133"/>
      <c r="C1870" s="2133">
        <v>0</v>
      </c>
      <c r="D1870" s="2099"/>
    </row>
    <row r="1871" spans="1:6">
      <c r="C1871" s="2086">
        <f>SUM(C1868:C1870)</f>
        <v>11.100000000000001</v>
      </c>
      <c r="D1871" s="2099" t="s">
        <v>147</v>
      </c>
    </row>
    <row r="1872" spans="1:6">
      <c r="D1872" s="2099"/>
    </row>
    <row r="1873" spans="1:11">
      <c r="A1873" s="2881" t="s">
        <v>2048</v>
      </c>
      <c r="B1873" s="2881"/>
      <c r="C1873" s="2881"/>
      <c r="D1873" s="2099"/>
    </row>
    <row r="1874" spans="1:11">
      <c r="A1874" s="2086" t="s">
        <v>1791</v>
      </c>
      <c r="B1874" s="2086" t="s">
        <v>2040</v>
      </c>
      <c r="C1874" s="2086" t="s">
        <v>213</v>
      </c>
      <c r="D1874" s="2099"/>
    </row>
    <row r="1875" spans="1:11">
      <c r="A1875" s="2133">
        <f>B1843*B1845</f>
        <v>23.680000000000003</v>
      </c>
      <c r="B1875" s="2133">
        <v>0.2</v>
      </c>
      <c r="C1875" s="2133">
        <f>A1875*B1875</f>
        <v>4.7360000000000007</v>
      </c>
      <c r="D1875" s="2099"/>
    </row>
    <row r="1876" spans="1:11">
      <c r="A1876" s="2133">
        <f>B1848*B1850</f>
        <v>0</v>
      </c>
      <c r="B1876" s="2133">
        <v>0.2</v>
      </c>
      <c r="C1876" s="2133">
        <f>A1876*B1876</f>
        <v>0</v>
      </c>
      <c r="D1876" s="2099"/>
    </row>
    <row r="1877" spans="1:11">
      <c r="A1877" s="2133"/>
      <c r="B1877" s="2133"/>
      <c r="C1877" s="2133"/>
      <c r="D1877" s="2099"/>
    </row>
    <row r="1878" spans="1:11">
      <c r="C1878" s="2086">
        <f>SUM(C1875:C1876)</f>
        <v>4.7360000000000007</v>
      </c>
      <c r="D1878" s="2099" t="s">
        <v>100</v>
      </c>
    </row>
    <row r="1879" spans="1:11" s="2266" customFormat="1" ht="15">
      <c r="A1879" s="2267" t="s">
        <v>2495</v>
      </c>
    </row>
    <row r="1880" spans="1:11" s="2258" customFormat="1">
      <c r="B1880" s="2133" t="s">
        <v>1597</v>
      </c>
      <c r="C1880" s="2133"/>
      <c r="D1880" s="2133" t="s">
        <v>1598</v>
      </c>
      <c r="E1880" s="2133" t="s">
        <v>1599</v>
      </c>
      <c r="F1880" s="2133" t="s">
        <v>1168</v>
      </c>
      <c r="G1880" s="2133" t="s">
        <v>1568</v>
      </c>
      <c r="H1880" s="2133" t="s">
        <v>1679</v>
      </c>
    </row>
    <row r="1881" spans="1:11" s="2258" customFormat="1" ht="55.5">
      <c r="A1881" s="2409" t="s">
        <v>2496</v>
      </c>
      <c r="B1881" s="2133">
        <v>0</v>
      </c>
      <c r="C1881" s="2269">
        <f>B1881/15</f>
        <v>0</v>
      </c>
      <c r="D1881" s="2133">
        <f>ROUNDUP(C1881,0)</f>
        <v>0</v>
      </c>
      <c r="E1881" s="2133">
        <f>(B1883/100)+0.15+0.15</f>
        <v>0.3</v>
      </c>
      <c r="F1881" s="2133">
        <f>D1881*E1881</f>
        <v>0</v>
      </c>
      <c r="G1881" s="2182">
        <f>F1881*H1881</f>
        <v>0</v>
      </c>
      <c r="H1881" s="2133">
        <v>2</v>
      </c>
    </row>
    <row r="1882" spans="1:11" s="2258" customFormat="1">
      <c r="A1882" s="2410"/>
      <c r="B1882" s="2133" t="s">
        <v>1600</v>
      </c>
      <c r="C1882" s="2133"/>
      <c r="D1882" s="2133" t="s">
        <v>1601</v>
      </c>
      <c r="E1882" s="2133" t="s">
        <v>1602</v>
      </c>
      <c r="F1882" s="2133" t="s">
        <v>1168</v>
      </c>
      <c r="G1882" s="2133"/>
      <c r="H1882" s="2133"/>
      <c r="K1882" s="2093"/>
    </row>
    <row r="1883" spans="1:11" s="2258" customFormat="1">
      <c r="A1883" s="2410"/>
      <c r="B1883" s="2133">
        <v>0</v>
      </c>
      <c r="C1883" s="2269">
        <f>B1883/15</f>
        <v>0</v>
      </c>
      <c r="D1883" s="2133">
        <f>ROUNDUP(C1883,0)</f>
        <v>0</v>
      </c>
      <c r="E1883" s="2133">
        <f>(B1881/100)+0.15+0.15</f>
        <v>0.3</v>
      </c>
      <c r="F1883" s="2133">
        <f>D1883*E1883</f>
        <v>0</v>
      </c>
      <c r="G1883" s="2182">
        <f>F1883*H1881</f>
        <v>0</v>
      </c>
      <c r="H1883" s="2133"/>
    </row>
    <row r="1884" spans="1:11" s="2258" customFormat="1">
      <c r="A1884" s="2410"/>
      <c r="G1884" s="2258">
        <f>SUM(G1881:G1883)</f>
        <v>0</v>
      </c>
      <c r="H1884" s="2268">
        <f>G1884*1.04</f>
        <v>0</v>
      </c>
      <c r="I1884" s="2258" t="s">
        <v>2316</v>
      </c>
    </row>
    <row r="1885" spans="1:11" s="2258" customFormat="1">
      <c r="A1885" s="2410"/>
      <c r="B1885" s="2133" t="str">
        <f>B1880</f>
        <v>PANJANG X</v>
      </c>
      <c r="C1885" s="2133"/>
      <c r="D1885" s="2133" t="s">
        <v>1598</v>
      </c>
      <c r="E1885" s="2133" t="s">
        <v>1599</v>
      </c>
      <c r="F1885" s="2133" t="s">
        <v>1168</v>
      </c>
      <c r="G1885" s="2133"/>
      <c r="H1885" s="2133"/>
      <c r="K1885" s="2094"/>
    </row>
    <row r="1886" spans="1:11" s="2258" customFormat="1" ht="55.5">
      <c r="A1886" s="2409" t="s">
        <v>2497</v>
      </c>
      <c r="B1886" s="2133">
        <v>0</v>
      </c>
      <c r="C1886" s="2269">
        <f>B1886/15</f>
        <v>0</v>
      </c>
      <c r="D1886" s="2133">
        <f>ROUNDUP(C1886,0)</f>
        <v>0</v>
      </c>
      <c r="E1886" s="2133">
        <f>(B1888/100)+0.15+0.15</f>
        <v>0.3</v>
      </c>
      <c r="F1886" s="2133">
        <f>D1886*E1886</f>
        <v>0</v>
      </c>
      <c r="G1886" s="2182">
        <f>F1886*H1886</f>
        <v>0</v>
      </c>
      <c r="H1886" s="2133">
        <v>2</v>
      </c>
    </row>
    <row r="1887" spans="1:11" s="2258" customFormat="1">
      <c r="A1887" s="2410"/>
      <c r="B1887" s="2133" t="s">
        <v>1600</v>
      </c>
      <c r="C1887" s="2133"/>
      <c r="D1887" s="2133" t="s">
        <v>1601</v>
      </c>
      <c r="E1887" s="2133" t="s">
        <v>1602</v>
      </c>
      <c r="F1887" s="2133" t="s">
        <v>1168</v>
      </c>
      <c r="G1887" s="2133"/>
      <c r="H1887" s="2133"/>
    </row>
    <row r="1888" spans="1:11" s="2258" customFormat="1">
      <c r="A1888" s="2410"/>
      <c r="B1888" s="2133">
        <v>0</v>
      </c>
      <c r="C1888" s="2269">
        <f>B1888/15</f>
        <v>0</v>
      </c>
      <c r="D1888" s="2133">
        <f>ROUNDUP(C1888,0)</f>
        <v>0</v>
      </c>
      <c r="E1888" s="2133">
        <f>(B1886/100)+0.15+0.15</f>
        <v>0.3</v>
      </c>
      <c r="F1888" s="2133">
        <f>D1888*E1888</f>
        <v>0</v>
      </c>
      <c r="G1888" s="2182">
        <f>F1888*H1886</f>
        <v>0</v>
      </c>
      <c r="H1888" s="2133"/>
      <c r="K1888" s="2094"/>
    </row>
    <row r="1889" spans="1:11" s="2258" customFormat="1">
      <c r="A1889" s="2410"/>
      <c r="G1889" s="2258">
        <f>SUM(G1886:G1888)</f>
        <v>0</v>
      </c>
      <c r="H1889" s="2268">
        <f>G1889*1.04</f>
        <v>0</v>
      </c>
      <c r="I1889" s="2258" t="s">
        <v>2316</v>
      </c>
    </row>
    <row r="1890" spans="1:11" s="2258" customFormat="1">
      <c r="A1890" s="2410"/>
      <c r="B1890" s="2133" t="str">
        <f>B1885</f>
        <v>PANJANG X</v>
      </c>
      <c r="C1890" s="2133"/>
      <c r="D1890" s="2133" t="s">
        <v>1598</v>
      </c>
      <c r="E1890" s="2133" t="s">
        <v>1599</v>
      </c>
      <c r="F1890" s="2133" t="s">
        <v>1168</v>
      </c>
      <c r="G1890" s="2133"/>
      <c r="H1890" s="2133"/>
      <c r="K1890" s="2094"/>
    </row>
    <row r="1891" spans="1:11" s="2258" customFormat="1" ht="55.5">
      <c r="A1891" s="2409" t="s">
        <v>2498</v>
      </c>
      <c r="B1891" s="2133">
        <v>0</v>
      </c>
      <c r="C1891" s="2269">
        <f>B1891/15</f>
        <v>0</v>
      </c>
      <c r="D1891" s="2133">
        <f>ROUNDUP(C1891,0)</f>
        <v>0</v>
      </c>
      <c r="E1891" s="2133">
        <f>(B1893/100)+0.15+0.15</f>
        <v>0.3</v>
      </c>
      <c r="F1891" s="2133">
        <f>D1891*E1891</f>
        <v>0</v>
      </c>
      <c r="G1891" s="2182">
        <f>F1891*H1891</f>
        <v>0</v>
      </c>
      <c r="H1891" s="2133">
        <v>2</v>
      </c>
    </row>
    <row r="1892" spans="1:11" s="2258" customFormat="1">
      <c r="A1892" s="2410"/>
      <c r="B1892" s="2133" t="s">
        <v>1600</v>
      </c>
      <c r="C1892" s="2133"/>
      <c r="D1892" s="2133" t="s">
        <v>1601</v>
      </c>
      <c r="E1892" s="2133" t="s">
        <v>1602</v>
      </c>
      <c r="F1892" s="2133" t="s">
        <v>1168</v>
      </c>
      <c r="G1892" s="2133"/>
      <c r="H1892" s="2133"/>
    </row>
    <row r="1893" spans="1:11" s="2258" customFormat="1">
      <c r="A1893" s="2410"/>
      <c r="B1893" s="2133">
        <v>0</v>
      </c>
      <c r="C1893" s="2269">
        <f>B1893/15</f>
        <v>0</v>
      </c>
      <c r="D1893" s="2133">
        <f>ROUNDUP(C1893,0)</f>
        <v>0</v>
      </c>
      <c r="E1893" s="2133">
        <f>(B1891/100)+0.15+0.15</f>
        <v>0.3</v>
      </c>
      <c r="F1893" s="2133">
        <f>D1893*E1893</f>
        <v>0</v>
      </c>
      <c r="G1893" s="2182">
        <f>F1893*H1891</f>
        <v>0</v>
      </c>
      <c r="H1893" s="2133"/>
      <c r="K1893" s="2094"/>
    </row>
    <row r="1894" spans="1:11" s="2258" customFormat="1">
      <c r="A1894" s="2410"/>
      <c r="G1894" s="2258">
        <f>SUM(G1891:G1893)</f>
        <v>0</v>
      </c>
      <c r="H1894" s="2268">
        <f>G1894*1.04</f>
        <v>0</v>
      </c>
      <c r="I1894" s="2258" t="s">
        <v>2316</v>
      </c>
    </row>
    <row r="1895" spans="1:11" s="2258" customFormat="1">
      <c r="A1895" s="2410"/>
      <c r="B1895" s="2133" t="str">
        <f>B1890</f>
        <v>PANJANG X</v>
      </c>
      <c r="C1895" s="2133"/>
      <c r="D1895" s="2133" t="s">
        <v>1598</v>
      </c>
      <c r="E1895" s="2133" t="s">
        <v>1599</v>
      </c>
      <c r="F1895" s="2133" t="s">
        <v>1168</v>
      </c>
      <c r="G1895" s="2133"/>
      <c r="H1895" s="2133"/>
      <c r="K1895" s="2094"/>
    </row>
    <row r="1896" spans="1:11" s="2258" customFormat="1" ht="88.5" customHeight="1">
      <c r="A1896" s="2409" t="s">
        <v>2670</v>
      </c>
      <c r="B1896" s="2133"/>
      <c r="C1896" s="2269">
        <f>B1896/15</f>
        <v>0</v>
      </c>
      <c r="D1896" s="2133">
        <f>ROUNDUP(C1896,0)</f>
        <v>0</v>
      </c>
      <c r="E1896" s="2133">
        <f>(B1898/100)+0.15+0.15</f>
        <v>0.3</v>
      </c>
      <c r="F1896" s="2133">
        <f>D1896*E1896</f>
        <v>0</v>
      </c>
      <c r="G1896" s="2182">
        <f>F1896*H1896</f>
        <v>0</v>
      </c>
      <c r="H1896" s="2133">
        <v>2</v>
      </c>
    </row>
    <row r="1897" spans="1:11" s="2258" customFormat="1">
      <c r="A1897" s="2410"/>
      <c r="B1897" s="2133" t="s">
        <v>1600</v>
      </c>
      <c r="C1897" s="2133"/>
      <c r="D1897" s="2133" t="s">
        <v>1601</v>
      </c>
      <c r="E1897" s="2133" t="s">
        <v>1602</v>
      </c>
      <c r="F1897" s="2133" t="s">
        <v>1168</v>
      </c>
      <c r="G1897" s="2133"/>
      <c r="H1897" s="2133"/>
    </row>
    <row r="1898" spans="1:11" s="2258" customFormat="1">
      <c r="A1898" s="2410"/>
      <c r="B1898" s="2133">
        <f>L8*0</f>
        <v>0</v>
      </c>
      <c r="C1898" s="2269">
        <f>B1898/15</f>
        <v>0</v>
      </c>
      <c r="D1898" s="2133">
        <f>ROUNDUP(C1898,0)</f>
        <v>0</v>
      </c>
      <c r="E1898" s="2133">
        <f>(B1896/100)+0.15+0.15</f>
        <v>0.3</v>
      </c>
      <c r="F1898" s="2133">
        <f>D1898*E1898</f>
        <v>0</v>
      </c>
      <c r="G1898" s="2182">
        <f>F1898*H1896</f>
        <v>0</v>
      </c>
      <c r="H1898" s="2133"/>
      <c r="K1898" s="2094"/>
    </row>
    <row r="1899" spans="1:11" s="2258" customFormat="1">
      <c r="G1899" s="2258">
        <f>SUM(G1896:G1898)</f>
        <v>0</v>
      </c>
      <c r="H1899" s="2268">
        <f>G1899*1.04</f>
        <v>0</v>
      </c>
      <c r="I1899" s="2258" t="s">
        <v>2316</v>
      </c>
    </row>
    <row r="1900" spans="1:11" s="2402" customFormat="1">
      <c r="A1900" s="2410"/>
      <c r="B1900" s="2133" t="str">
        <f>B1895</f>
        <v>PANJANG X</v>
      </c>
      <c r="C1900" s="2133"/>
      <c r="D1900" s="2133" t="s">
        <v>1598</v>
      </c>
      <c r="E1900" s="2133" t="s">
        <v>1599</v>
      </c>
      <c r="F1900" s="2133" t="s">
        <v>1168</v>
      </c>
      <c r="G1900" s="2133"/>
      <c r="H1900" s="2133"/>
      <c r="K1900" s="2094"/>
    </row>
    <row r="1901" spans="1:11" s="2402" customFormat="1" ht="88.5" customHeight="1">
      <c r="A1901" s="2409" t="s">
        <v>2671</v>
      </c>
      <c r="B1901" s="2133"/>
      <c r="C1901" s="2269">
        <f>B1901/15</f>
        <v>0</v>
      </c>
      <c r="D1901" s="2133">
        <f>ROUNDUP(C1901,0)</f>
        <v>0</v>
      </c>
      <c r="E1901" s="2133">
        <f>(B1903/100)+0.15+0.15</f>
        <v>0.3</v>
      </c>
      <c r="F1901" s="2133">
        <f>D1901*E1901</f>
        <v>0</v>
      </c>
      <c r="G1901" s="2182">
        <f>F1901*H1901</f>
        <v>0</v>
      </c>
      <c r="H1901" s="2133">
        <v>2</v>
      </c>
    </row>
    <row r="1902" spans="1:11" s="2402" customFormat="1">
      <c r="A1902" s="2410"/>
      <c r="B1902" s="2133" t="s">
        <v>1600</v>
      </c>
      <c r="C1902" s="2133"/>
      <c r="D1902" s="2133" t="s">
        <v>1601</v>
      </c>
      <c r="E1902" s="2133" t="s">
        <v>1602</v>
      </c>
      <c r="F1902" s="2133" t="s">
        <v>1168</v>
      </c>
      <c r="G1902" s="2133"/>
      <c r="H1902" s="2133"/>
    </row>
    <row r="1903" spans="1:11" s="2402" customFormat="1">
      <c r="A1903" s="2410"/>
      <c r="B1903" s="2133">
        <f>M8</f>
        <v>0</v>
      </c>
      <c r="C1903" s="2269">
        <f>B1903/15</f>
        <v>0</v>
      </c>
      <c r="D1903" s="2133">
        <f>ROUNDUP(C1903,0)</f>
        <v>0</v>
      </c>
      <c r="E1903" s="2133">
        <f>(B1901/100)+0.15+0.15</f>
        <v>0.3</v>
      </c>
      <c r="F1903" s="2133">
        <f>D1903*E1903</f>
        <v>0</v>
      </c>
      <c r="G1903" s="2182">
        <f>F1903*H1901</f>
        <v>0</v>
      </c>
      <c r="H1903" s="2133"/>
      <c r="K1903" s="2094"/>
    </row>
    <row r="1904" spans="1:11" s="2402" customFormat="1">
      <c r="G1904" s="2402">
        <f>SUM(G1901:G1903)</f>
        <v>0</v>
      </c>
      <c r="H1904" s="2268">
        <f>G1904*1.04</f>
        <v>0</v>
      </c>
      <c r="I1904" s="2402" t="s">
        <v>2316</v>
      </c>
    </row>
    <row r="1905" spans="1:8" s="2258" customFormat="1">
      <c r="H1905" s="2093"/>
    </row>
    <row r="1906" spans="1:8" s="2258" customFormat="1">
      <c r="H1906" s="2093"/>
    </row>
    <row r="1907" spans="1:8" s="2258" customFormat="1">
      <c r="F1907" s="2258" t="s">
        <v>2306</v>
      </c>
    </row>
    <row r="1908" spans="1:8" s="2258" customFormat="1">
      <c r="B1908" s="2270" t="s">
        <v>2503</v>
      </c>
      <c r="C1908" s="2271"/>
      <c r="D1908" s="2271"/>
      <c r="E1908" s="2271"/>
      <c r="F1908" s="2219"/>
    </row>
    <row r="1909" spans="1:8" s="2258" customFormat="1">
      <c r="B1909" s="2257" t="s">
        <v>2040</v>
      </c>
      <c r="C1909" s="2257" t="s">
        <v>2045</v>
      </c>
      <c r="D1909" s="2257" t="s">
        <v>1608</v>
      </c>
      <c r="E1909" s="2258" t="s">
        <v>2041</v>
      </c>
    </row>
    <row r="1910" spans="1:8" s="2258" customFormat="1">
      <c r="A1910" s="2258" t="s">
        <v>2499</v>
      </c>
      <c r="B1910" s="2133">
        <v>0.2</v>
      </c>
      <c r="C1910" s="2411">
        <f>B1881</f>
        <v>0</v>
      </c>
      <c r="D1910" s="2300">
        <f>B1883</f>
        <v>0</v>
      </c>
      <c r="E1910" s="2272">
        <f>B1910*C1910*D1910</f>
        <v>0</v>
      </c>
    </row>
    <row r="1911" spans="1:8" s="2258" customFormat="1">
      <c r="A1911" s="2258" t="s">
        <v>2500</v>
      </c>
      <c r="B1911" s="2133">
        <v>0.2</v>
      </c>
      <c r="C1911" s="2411">
        <f>B1886</f>
        <v>0</v>
      </c>
      <c r="D1911" s="2300">
        <f>B1888</f>
        <v>0</v>
      </c>
      <c r="E1911" s="2272">
        <f>B1911*C1911*D1911</f>
        <v>0</v>
      </c>
    </row>
    <row r="1912" spans="1:8" s="2258" customFormat="1">
      <c r="A1912" s="2258" t="s">
        <v>2501</v>
      </c>
      <c r="B1912" s="2133">
        <v>0.2</v>
      </c>
      <c r="C1912" s="2411">
        <f>B1891</f>
        <v>0</v>
      </c>
      <c r="D1912" s="2300">
        <f>B1893</f>
        <v>0</v>
      </c>
      <c r="E1912" s="2272">
        <f>B1912*C1912*D1912</f>
        <v>0</v>
      </c>
    </row>
    <row r="1913" spans="1:8" s="2258" customFormat="1">
      <c r="A1913" s="2258" t="s">
        <v>2672</v>
      </c>
      <c r="B1913" s="2133">
        <v>0.2</v>
      </c>
      <c r="C1913" s="2411">
        <f>B1896</f>
        <v>0</v>
      </c>
      <c r="D1913" s="2300">
        <f>B1898</f>
        <v>0</v>
      </c>
      <c r="E1913" s="2272">
        <f>B1913*C1913*D1913</f>
        <v>0</v>
      </c>
    </row>
    <row r="1914" spans="1:8" s="2402" customFormat="1">
      <c r="A1914" s="2402" t="s">
        <v>2673</v>
      </c>
      <c r="B1914" s="2133">
        <v>0.2</v>
      </c>
      <c r="C1914" s="2244">
        <f>B1901</f>
        <v>0</v>
      </c>
      <c r="D1914" s="2244">
        <f>B1903</f>
        <v>0</v>
      </c>
      <c r="E1914" s="2272">
        <f>B1914*C1914*D1914</f>
        <v>0</v>
      </c>
    </row>
    <row r="1915" spans="1:8" s="2258" customFormat="1"/>
    <row r="1916" spans="1:8" s="2258" customFormat="1"/>
    <row r="1917" spans="1:8" s="2258" customFormat="1"/>
    <row r="1918" spans="1:8" s="2258" customFormat="1">
      <c r="B1918" s="2219" t="s">
        <v>2504</v>
      </c>
      <c r="C1918" s="2219"/>
      <c r="D1918" s="2219"/>
      <c r="E1918" s="2219"/>
    </row>
    <row r="1919" spans="1:8" s="2258" customFormat="1">
      <c r="B1919" s="2258" t="s">
        <v>2045</v>
      </c>
      <c r="C1919" s="2258" t="s">
        <v>1608</v>
      </c>
      <c r="D1919" s="2258" t="s">
        <v>2502</v>
      </c>
    </row>
    <row r="1920" spans="1:8" s="2258" customFormat="1">
      <c r="A1920" s="2258" t="s">
        <v>2499</v>
      </c>
      <c r="B1920" s="2413">
        <f t="shared" ref="B1920:C1924" si="389">C1910</f>
        <v>0</v>
      </c>
      <c r="C1920" s="2412">
        <f t="shared" si="389"/>
        <v>0</v>
      </c>
      <c r="D1920" s="2272">
        <f>C1920*B1920</f>
        <v>0</v>
      </c>
    </row>
    <row r="1921" spans="1:5" s="2258" customFormat="1">
      <c r="A1921" s="2258" t="s">
        <v>2500</v>
      </c>
      <c r="B1921" s="2413">
        <f t="shared" si="389"/>
        <v>0</v>
      </c>
      <c r="C1921" s="2412">
        <f t="shared" si="389"/>
        <v>0</v>
      </c>
      <c r="D1921" s="2272">
        <f>C1921*B1921</f>
        <v>0</v>
      </c>
    </row>
    <row r="1922" spans="1:5" s="2258" customFormat="1">
      <c r="A1922" s="2258" t="s">
        <v>2501</v>
      </c>
      <c r="B1922" s="2413">
        <f t="shared" si="389"/>
        <v>0</v>
      </c>
      <c r="C1922" s="2412">
        <f t="shared" si="389"/>
        <v>0</v>
      </c>
      <c r="D1922" s="2272">
        <f>C1922*B1922</f>
        <v>0</v>
      </c>
      <c r="E1922" s="2099"/>
    </row>
    <row r="1923" spans="1:5" s="2258" customFormat="1">
      <c r="A1923" s="2258" t="s">
        <v>2672</v>
      </c>
      <c r="B1923" s="2413">
        <f t="shared" si="389"/>
        <v>0</v>
      </c>
      <c r="C1923" s="2412">
        <f t="shared" si="389"/>
        <v>0</v>
      </c>
      <c r="D1923" s="2272">
        <f>C1923*B1923</f>
        <v>0</v>
      </c>
      <c r="E1923" s="2099"/>
    </row>
    <row r="1924" spans="1:5" s="2402" customFormat="1">
      <c r="A1924" s="2402" t="s">
        <v>2673</v>
      </c>
      <c r="B1924" s="2413">
        <f t="shared" si="389"/>
        <v>0</v>
      </c>
      <c r="C1924" s="2412">
        <f t="shared" si="389"/>
        <v>0</v>
      </c>
      <c r="D1924" s="2272">
        <f>C1924*B1924</f>
        <v>0</v>
      </c>
      <c r="E1924" s="2099"/>
    </row>
    <row r="1925" spans="1:5" s="2258" customFormat="1">
      <c r="E1925" s="2099"/>
    </row>
    <row r="1926" spans="1:5" s="2258" customFormat="1"/>
    <row r="1927" spans="1:5" s="2258" customFormat="1"/>
    <row r="1928" spans="1:5" s="2258" customFormat="1"/>
    <row r="1929" spans="1:5" s="2258" customFormat="1"/>
    <row r="1930" spans="1:5" s="2258" customFormat="1"/>
    <row r="1931" spans="1:5" s="2258" customFormat="1"/>
    <row r="1932" spans="1:5">
      <c r="A1932" s="2258"/>
      <c r="B1932" s="2258"/>
      <c r="C1932" s="2258"/>
      <c r="D1932" s="2258"/>
      <c r="E1932" s="2258"/>
    </row>
    <row r="1933" spans="1:5">
      <c r="B1933" s="2258"/>
      <c r="C1933" s="2258"/>
      <c r="D1933" s="2258"/>
      <c r="E1933" s="2258"/>
    </row>
  </sheetData>
  <mergeCells count="437">
    <mergeCell ref="A1191:D1191"/>
    <mergeCell ref="A1160:D1160"/>
    <mergeCell ref="A1166:D1166"/>
    <mergeCell ref="A1172:F1172"/>
    <mergeCell ref="L1172:P1172"/>
    <mergeCell ref="E1179:F1179"/>
    <mergeCell ref="M1179:O1179"/>
    <mergeCell ref="E1180:F1180"/>
    <mergeCell ref="M1180:O1180"/>
    <mergeCell ref="A1182:D1182"/>
    <mergeCell ref="A1142:A1144"/>
    <mergeCell ref="D1145:E1145"/>
    <mergeCell ref="D1146:E1146"/>
    <mergeCell ref="A1148:A1150"/>
    <mergeCell ref="A1153:F1153"/>
    <mergeCell ref="L1153:P1153"/>
    <mergeCell ref="E1157:F1157"/>
    <mergeCell ref="M1157:O1157"/>
    <mergeCell ref="E1158:F1158"/>
    <mergeCell ref="M1158:O1158"/>
    <mergeCell ref="A1125:A1126"/>
    <mergeCell ref="E1127:F1127"/>
    <mergeCell ref="E1128:F1128"/>
    <mergeCell ref="A1131:A1132"/>
    <mergeCell ref="A1133:A1134"/>
    <mergeCell ref="A1137:A1138"/>
    <mergeCell ref="A1139:A1140"/>
    <mergeCell ref="B1139:C1139"/>
    <mergeCell ref="B1140:C1140"/>
    <mergeCell ref="A1075:D1075"/>
    <mergeCell ref="A1100:E1100"/>
    <mergeCell ref="A1108:G1108"/>
    <mergeCell ref="A1110:A1112"/>
    <mergeCell ref="A1114:G1114"/>
    <mergeCell ref="A1115:A1116"/>
    <mergeCell ref="A1118:G1118"/>
    <mergeCell ref="A1120:A1122"/>
    <mergeCell ref="A1124:G1124"/>
    <mergeCell ref="U1045:X1045"/>
    <mergeCell ref="F1046:G1046"/>
    <mergeCell ref="N1046:P1046"/>
    <mergeCell ref="F1047:G1047"/>
    <mergeCell ref="N1047:P1047"/>
    <mergeCell ref="N1048:P1048"/>
    <mergeCell ref="A1050:D1050"/>
    <mergeCell ref="W1061:Z1061"/>
    <mergeCell ref="W1064:Z1064"/>
    <mergeCell ref="D992:E992"/>
    <mergeCell ref="M992:P992"/>
    <mergeCell ref="D993:E993"/>
    <mergeCell ref="M993:P993"/>
    <mergeCell ref="D1014:D1015"/>
    <mergeCell ref="E1014:E1015"/>
    <mergeCell ref="W1021:AD1021"/>
    <mergeCell ref="A1023:G1023"/>
    <mergeCell ref="H1023:L1023"/>
    <mergeCell ref="N1023:R1023"/>
    <mergeCell ref="A1857:D1857"/>
    <mergeCell ref="A1866:C1866"/>
    <mergeCell ref="A1873:C1873"/>
    <mergeCell ref="E1519:F1519"/>
    <mergeCell ref="M1519:O1519"/>
    <mergeCell ref="A1521:D1521"/>
    <mergeCell ref="A1527:D1527"/>
    <mergeCell ref="A1792:O1794"/>
    <mergeCell ref="A1821:O1823"/>
    <mergeCell ref="A1537:E1537"/>
    <mergeCell ref="A1564:C1564"/>
    <mergeCell ref="D1564:G1564"/>
    <mergeCell ref="H1564:K1564"/>
    <mergeCell ref="M1564:Q1564"/>
    <mergeCell ref="F1584:G1584"/>
    <mergeCell ref="M1584:P1584"/>
    <mergeCell ref="F1585:G1585"/>
    <mergeCell ref="M1585:P1585"/>
    <mergeCell ref="D1590:E1590"/>
    <mergeCell ref="M1590:P1590"/>
    <mergeCell ref="D1591:E1591"/>
    <mergeCell ref="M1591:P1591"/>
    <mergeCell ref="D1612:D1613"/>
    <mergeCell ref="E1612:E1613"/>
    <mergeCell ref="A1502:D1502"/>
    <mergeCell ref="A1508:D1508"/>
    <mergeCell ref="A1514:F1514"/>
    <mergeCell ref="L1514:P1514"/>
    <mergeCell ref="E1518:F1518"/>
    <mergeCell ref="M1518:O1518"/>
    <mergeCell ref="A1490:A1492"/>
    <mergeCell ref="A1495:F1495"/>
    <mergeCell ref="L1495:P1495"/>
    <mergeCell ref="E1499:F1499"/>
    <mergeCell ref="M1499:O1499"/>
    <mergeCell ref="E1500:F1500"/>
    <mergeCell ref="M1500:O1500"/>
    <mergeCell ref="A1481:A1482"/>
    <mergeCell ref="B1481:C1481"/>
    <mergeCell ref="B1482:C1482"/>
    <mergeCell ref="A1484:A1486"/>
    <mergeCell ref="D1487:E1487"/>
    <mergeCell ref="D1488:E1488"/>
    <mergeCell ref="A1467:A1468"/>
    <mergeCell ref="E1469:F1469"/>
    <mergeCell ref="E1470:F1470"/>
    <mergeCell ref="A1473:A1474"/>
    <mergeCell ref="A1475:A1476"/>
    <mergeCell ref="A1479:A1480"/>
    <mergeCell ref="A1452:A1454"/>
    <mergeCell ref="A1456:G1456"/>
    <mergeCell ref="A1457:A1458"/>
    <mergeCell ref="A1460:G1460"/>
    <mergeCell ref="A1462:A1464"/>
    <mergeCell ref="A1466:G1466"/>
    <mergeCell ref="A1392:D1392"/>
    <mergeCell ref="W1403:Z1403"/>
    <mergeCell ref="W1406:Z1406"/>
    <mergeCell ref="A1417:D1417"/>
    <mergeCell ref="A1442:E1442"/>
    <mergeCell ref="A1450:G1450"/>
    <mergeCell ref="U1387:X1387"/>
    <mergeCell ref="F1388:G1388"/>
    <mergeCell ref="N1388:P1388"/>
    <mergeCell ref="F1389:G1389"/>
    <mergeCell ref="N1389:P1389"/>
    <mergeCell ref="N1390:P1390"/>
    <mergeCell ref="A1315:D1315"/>
    <mergeCell ref="W1326:Z1326"/>
    <mergeCell ref="W1329:Z1329"/>
    <mergeCell ref="A1340:D1340"/>
    <mergeCell ref="A1365:G1365"/>
    <mergeCell ref="H1365:L1365"/>
    <mergeCell ref="N1365:R1365"/>
    <mergeCell ref="U1310:X1310"/>
    <mergeCell ref="F1311:G1311"/>
    <mergeCell ref="N1311:P1311"/>
    <mergeCell ref="F1312:G1312"/>
    <mergeCell ref="N1312:P1312"/>
    <mergeCell ref="N1313:P1313"/>
    <mergeCell ref="D1258:E1258"/>
    <mergeCell ref="M1258:P1258"/>
    <mergeCell ref="W1286:AD1286"/>
    <mergeCell ref="A1288:G1288"/>
    <mergeCell ref="H1288:L1288"/>
    <mergeCell ref="N1288:R1288"/>
    <mergeCell ref="F1251:G1251"/>
    <mergeCell ref="M1251:P1251"/>
    <mergeCell ref="F1252:G1252"/>
    <mergeCell ref="M1252:P1252"/>
    <mergeCell ref="D1257:E1257"/>
    <mergeCell ref="M1257:P1257"/>
    <mergeCell ref="E915:F915"/>
    <mergeCell ref="M915:O915"/>
    <mergeCell ref="A917:D917"/>
    <mergeCell ref="A926:D926"/>
    <mergeCell ref="A1204:E1204"/>
    <mergeCell ref="A1231:C1231"/>
    <mergeCell ref="D1231:G1231"/>
    <mergeCell ref="H1231:K1231"/>
    <mergeCell ref="M1231:Q1231"/>
    <mergeCell ref="A939:E939"/>
    <mergeCell ref="A966:C966"/>
    <mergeCell ref="D966:G966"/>
    <mergeCell ref="H966:K966"/>
    <mergeCell ref="M966:Q966"/>
    <mergeCell ref="F986:G986"/>
    <mergeCell ref="M986:P986"/>
    <mergeCell ref="F987:G987"/>
    <mergeCell ref="M987:P987"/>
    <mergeCell ref="A895:D895"/>
    <mergeCell ref="A901:D901"/>
    <mergeCell ref="A907:F907"/>
    <mergeCell ref="L907:P907"/>
    <mergeCell ref="E914:F914"/>
    <mergeCell ref="M914:O914"/>
    <mergeCell ref="A883:A885"/>
    <mergeCell ref="A888:F888"/>
    <mergeCell ref="L888:P888"/>
    <mergeCell ref="E892:F892"/>
    <mergeCell ref="M892:O892"/>
    <mergeCell ref="E893:F893"/>
    <mergeCell ref="M893:O893"/>
    <mergeCell ref="A874:A875"/>
    <mergeCell ref="B874:C874"/>
    <mergeCell ref="B875:C875"/>
    <mergeCell ref="A877:A879"/>
    <mergeCell ref="D880:E880"/>
    <mergeCell ref="D881:E881"/>
    <mergeCell ref="A860:A861"/>
    <mergeCell ref="E862:F862"/>
    <mergeCell ref="E863:F863"/>
    <mergeCell ref="A866:A867"/>
    <mergeCell ref="A868:A869"/>
    <mergeCell ref="A872:A873"/>
    <mergeCell ref="A845:A847"/>
    <mergeCell ref="A849:G849"/>
    <mergeCell ref="A850:A851"/>
    <mergeCell ref="A853:G853"/>
    <mergeCell ref="A855:A857"/>
    <mergeCell ref="A859:G859"/>
    <mergeCell ref="A785:D785"/>
    <mergeCell ref="W796:Z796"/>
    <mergeCell ref="W799:Z799"/>
    <mergeCell ref="A810:D810"/>
    <mergeCell ref="A835:E835"/>
    <mergeCell ref="A843:G843"/>
    <mergeCell ref="U780:X780"/>
    <mergeCell ref="F781:G781"/>
    <mergeCell ref="N781:P781"/>
    <mergeCell ref="F782:G782"/>
    <mergeCell ref="N782:P782"/>
    <mergeCell ref="N783:P783"/>
    <mergeCell ref="D728:E728"/>
    <mergeCell ref="M728:P728"/>
    <mergeCell ref="D749:D750"/>
    <mergeCell ref="E749:E750"/>
    <mergeCell ref="W756:AD756"/>
    <mergeCell ref="A758:G758"/>
    <mergeCell ref="H758:L758"/>
    <mergeCell ref="N758:R758"/>
    <mergeCell ref="F721:G721"/>
    <mergeCell ref="M721:P721"/>
    <mergeCell ref="F722:G722"/>
    <mergeCell ref="M722:P722"/>
    <mergeCell ref="D727:E727"/>
    <mergeCell ref="M727:P727"/>
    <mergeCell ref="E650:F650"/>
    <mergeCell ref="M650:O650"/>
    <mergeCell ref="A652:D652"/>
    <mergeCell ref="A661:D661"/>
    <mergeCell ref="A674:E674"/>
    <mergeCell ref="A701:C701"/>
    <mergeCell ref="D701:G701"/>
    <mergeCell ref="H701:K701"/>
    <mergeCell ref="M701:Q701"/>
    <mergeCell ref="A630:D630"/>
    <mergeCell ref="A636:D636"/>
    <mergeCell ref="A642:F642"/>
    <mergeCell ref="L642:P642"/>
    <mergeCell ref="E649:F649"/>
    <mergeCell ref="M649:O649"/>
    <mergeCell ref="A618:A620"/>
    <mergeCell ref="A623:F623"/>
    <mergeCell ref="L623:P623"/>
    <mergeCell ref="E627:F627"/>
    <mergeCell ref="M627:O627"/>
    <mergeCell ref="E628:F628"/>
    <mergeCell ref="M628:O628"/>
    <mergeCell ref="A609:A610"/>
    <mergeCell ref="B609:C609"/>
    <mergeCell ref="B610:C610"/>
    <mergeCell ref="A612:A614"/>
    <mergeCell ref="D615:E615"/>
    <mergeCell ref="D616:E616"/>
    <mergeCell ref="A595:A596"/>
    <mergeCell ref="E597:F597"/>
    <mergeCell ref="E598:F598"/>
    <mergeCell ref="A601:A602"/>
    <mergeCell ref="A603:A604"/>
    <mergeCell ref="A607:A608"/>
    <mergeCell ref="A580:A582"/>
    <mergeCell ref="A584:G584"/>
    <mergeCell ref="A585:A586"/>
    <mergeCell ref="A588:G588"/>
    <mergeCell ref="A590:A592"/>
    <mergeCell ref="A594:G594"/>
    <mergeCell ref="A520:D520"/>
    <mergeCell ref="W531:Z531"/>
    <mergeCell ref="W534:Z534"/>
    <mergeCell ref="A545:D545"/>
    <mergeCell ref="A570:E570"/>
    <mergeCell ref="A578:G578"/>
    <mergeCell ref="U515:X515"/>
    <mergeCell ref="F516:G516"/>
    <mergeCell ref="N516:P516"/>
    <mergeCell ref="F517:G517"/>
    <mergeCell ref="N517:P517"/>
    <mergeCell ref="N518:P518"/>
    <mergeCell ref="A443:D443"/>
    <mergeCell ref="F443:G443"/>
    <mergeCell ref="W454:Z454"/>
    <mergeCell ref="W457:Z457"/>
    <mergeCell ref="A468:D468"/>
    <mergeCell ref="A493:G493"/>
    <mergeCell ref="H493:L493"/>
    <mergeCell ref="N493:R493"/>
    <mergeCell ref="U438:X438"/>
    <mergeCell ref="F439:G439"/>
    <mergeCell ref="N439:P439"/>
    <mergeCell ref="F440:G440"/>
    <mergeCell ref="N440:P440"/>
    <mergeCell ref="N441:P441"/>
    <mergeCell ref="D385:E385"/>
    <mergeCell ref="M385:P385"/>
    <mergeCell ref="D386:E386"/>
    <mergeCell ref="M386:P386"/>
    <mergeCell ref="W414:AD414"/>
    <mergeCell ref="A416:G416"/>
    <mergeCell ref="H416:L416"/>
    <mergeCell ref="N416:R416"/>
    <mergeCell ref="H359:K359"/>
    <mergeCell ref="M359:Q359"/>
    <mergeCell ref="F379:G379"/>
    <mergeCell ref="M379:P379"/>
    <mergeCell ref="F380:G380"/>
    <mergeCell ref="M380:P380"/>
    <mergeCell ref="A312:D312"/>
    <mergeCell ref="A321:D321"/>
    <mergeCell ref="A332:E332"/>
    <mergeCell ref="C352:D352"/>
    <mergeCell ref="A359:C359"/>
    <mergeCell ref="D359:G359"/>
    <mergeCell ref="A302:F302"/>
    <mergeCell ref="L302:P302"/>
    <mergeCell ref="E309:F309"/>
    <mergeCell ref="M309:O309"/>
    <mergeCell ref="E310:F310"/>
    <mergeCell ref="M310:O310"/>
    <mergeCell ref="E287:F287"/>
    <mergeCell ref="M287:O287"/>
    <mergeCell ref="E288:F288"/>
    <mergeCell ref="M288:O288"/>
    <mergeCell ref="A290:D290"/>
    <mergeCell ref="A296:D296"/>
    <mergeCell ref="A272:A274"/>
    <mergeCell ref="D275:E275"/>
    <mergeCell ref="D276:E276"/>
    <mergeCell ref="A278:A280"/>
    <mergeCell ref="A283:F283"/>
    <mergeCell ref="L283:P283"/>
    <mergeCell ref="A261:A262"/>
    <mergeCell ref="A263:A264"/>
    <mergeCell ref="A267:A268"/>
    <mergeCell ref="A269:A270"/>
    <mergeCell ref="B269:C269"/>
    <mergeCell ref="B270:C270"/>
    <mergeCell ref="A248:A250"/>
    <mergeCell ref="A252:G252"/>
    <mergeCell ref="A253:A254"/>
    <mergeCell ref="E255:F255"/>
    <mergeCell ref="E256:F256"/>
    <mergeCell ref="A259:A260"/>
    <mergeCell ref="A233:A234"/>
    <mergeCell ref="A236:G236"/>
    <mergeCell ref="A238:A240"/>
    <mergeCell ref="A242:G242"/>
    <mergeCell ref="A243:A244"/>
    <mergeCell ref="A246:G246"/>
    <mergeCell ref="D186:E186"/>
    <mergeCell ref="M186:P186"/>
    <mergeCell ref="A216:E216"/>
    <mergeCell ref="A226:G226"/>
    <mergeCell ref="A228:A230"/>
    <mergeCell ref="A232:G232"/>
    <mergeCell ref="M159:Q159"/>
    <mergeCell ref="F179:G179"/>
    <mergeCell ref="M179:P179"/>
    <mergeCell ref="F180:G180"/>
    <mergeCell ref="M180:P180"/>
    <mergeCell ref="D185:E185"/>
    <mergeCell ref="M185:P185"/>
    <mergeCell ref="A125:D125"/>
    <mergeCell ref="A130:C130"/>
    <mergeCell ref="A132:E132"/>
    <mergeCell ref="G132:H132"/>
    <mergeCell ref="A159:C159"/>
    <mergeCell ref="D159:G159"/>
    <mergeCell ref="H159:K159"/>
    <mergeCell ref="Q118:Q121"/>
    <mergeCell ref="R118:R121"/>
    <mergeCell ref="A122:C122"/>
    <mergeCell ref="F122:H122"/>
    <mergeCell ref="A123:C123"/>
    <mergeCell ref="F123:H123"/>
    <mergeCell ref="K101:K104"/>
    <mergeCell ref="A105:I105"/>
    <mergeCell ref="A109:D109"/>
    <mergeCell ref="A114:C114"/>
    <mergeCell ref="A117:D117"/>
    <mergeCell ref="F117:I117"/>
    <mergeCell ref="A66:J66"/>
    <mergeCell ref="A97:G97"/>
    <mergeCell ref="A99:J99"/>
    <mergeCell ref="C101:C104"/>
    <mergeCell ref="E101:E104"/>
    <mergeCell ref="G101:G104"/>
    <mergeCell ref="I101:I104"/>
    <mergeCell ref="W1619:AD1619"/>
    <mergeCell ref="A1621:G1621"/>
    <mergeCell ref="H1621:L1621"/>
    <mergeCell ref="N1621:R1621"/>
    <mergeCell ref="U1643:X1643"/>
    <mergeCell ref="F1644:G1644"/>
    <mergeCell ref="N1644:P1644"/>
    <mergeCell ref="F1645:G1645"/>
    <mergeCell ref="N1645:P1645"/>
    <mergeCell ref="N1646:P1646"/>
    <mergeCell ref="A1648:D1648"/>
    <mergeCell ref="W1659:Z1659"/>
    <mergeCell ref="W1662:Z1662"/>
    <mergeCell ref="A1673:D1673"/>
    <mergeCell ref="A1698:E1698"/>
    <mergeCell ref="A1706:G1706"/>
    <mergeCell ref="A1708:A1710"/>
    <mergeCell ref="A1712:G1712"/>
    <mergeCell ref="A1751:F1751"/>
    <mergeCell ref="A1713:A1714"/>
    <mergeCell ref="A1716:G1716"/>
    <mergeCell ref="A1718:A1720"/>
    <mergeCell ref="A1722:G1722"/>
    <mergeCell ref="A1723:A1724"/>
    <mergeCell ref="E1725:F1725"/>
    <mergeCell ref="E1726:F1726"/>
    <mergeCell ref="A1729:A1730"/>
    <mergeCell ref="A1731:A1732"/>
    <mergeCell ref="M101:M104"/>
    <mergeCell ref="E1775:F1775"/>
    <mergeCell ref="M1775:O1775"/>
    <mergeCell ref="E1776:F1776"/>
    <mergeCell ref="M1776:O1776"/>
    <mergeCell ref="A1778:D1778"/>
    <mergeCell ref="A1785:D1785"/>
    <mergeCell ref="L1751:P1751"/>
    <mergeCell ref="E1755:F1755"/>
    <mergeCell ref="M1755:O1755"/>
    <mergeCell ref="E1756:F1756"/>
    <mergeCell ref="M1756:O1756"/>
    <mergeCell ref="A1758:D1758"/>
    <mergeCell ref="A1764:D1764"/>
    <mergeCell ref="A1770:F1770"/>
    <mergeCell ref="L1770:P1770"/>
    <mergeCell ref="A1735:A1736"/>
    <mergeCell ref="A1737:A1738"/>
    <mergeCell ref="B1737:C1737"/>
    <mergeCell ref="B1738:C1738"/>
    <mergeCell ref="A1740:A1742"/>
    <mergeCell ref="D1743:E1743"/>
    <mergeCell ref="D1744:E1744"/>
    <mergeCell ref="A1746:A1748"/>
  </mergeCells>
  <hyperlinks>
    <hyperlink ref="B111" location="'PEK. GALIAN TANAH + URURGAN'!C18" display="'PEK. GALIAN TANAH + URURGAN'!C18" xr:uid="{00000000-0004-0000-0B00-000000000000}"/>
    <hyperlink ref="B112" location="'PEK. GALIAN TANAH + URURGAN'!F18" display="'PEK. GALIAN TANAH + URURGAN'!F18" xr:uid="{00000000-0004-0000-0B00-000001000000}"/>
    <hyperlink ref="B113" location="'PEK. GALIAN TANAH + URURGAN'!I18" display="'PEK. GALIAN TANAH + URURGAN'!I18" xr:uid="{00000000-0004-0000-0B00-000002000000}"/>
    <hyperlink ref="C111" location="'PEK. GALIAN TANAH + URURGAN'!C20" display="'PEK. GALIAN TANAH + URURGAN'!C20" xr:uid="{00000000-0004-0000-0B00-000003000000}"/>
    <hyperlink ref="C112" location="'PEK. GALIAN TANAH + URURGAN'!F21" display="'PEK. GALIAN TANAH + URURGAN'!F21" xr:uid="{00000000-0004-0000-0B00-000004000000}"/>
    <hyperlink ref="C113" location="'PEK. GALIAN TANAH + URURGAN'!I18" display="'PEK. GALIAN TANAH + URURGAN'!I18" xr:uid="{00000000-0004-0000-0B00-000005000000}"/>
    <hyperlink ref="G68" location="'PEK. GALIAN TANAH + URURGAN'!C8" display="'PEK. GALIAN TANAH + URURGAN'!C8" xr:uid="{00000000-0004-0000-0B00-000006000000}"/>
    <hyperlink ref="G70" location="'PEK. GALIAN TANAH + URURGAN'!C8" display="'PEK. GALIAN TANAH + URURGAN'!C8" xr:uid="{00000000-0004-0000-0B00-000007000000}"/>
    <hyperlink ref="G73" location="'PEK. GALIAN TANAH + URURGAN'!F8" display="'PEK. GALIAN TANAH + URURGAN'!F8" xr:uid="{00000000-0004-0000-0B00-000008000000}"/>
    <hyperlink ref="G75" location="'PEK. GALIAN TANAH + URURGAN'!F8" display="'PEK. GALIAN TANAH + URURGAN'!F8" xr:uid="{00000000-0004-0000-0B00-000009000000}"/>
    <hyperlink ref="G78" location="'PEK. GALIAN TANAH + URURGAN'!I8" display="'PEK. GALIAN TANAH + URURGAN'!I8" xr:uid="{00000000-0004-0000-0B00-00000A000000}"/>
    <hyperlink ref="G80" location="'PEK. GALIAN TANAH + URURGAN'!I8" display="'PEK. GALIAN TANAH + URURGAN'!I8" xr:uid="{00000000-0004-0000-0B00-00000B000000}"/>
    <hyperlink ref="G83" location="'HITUNGAN BESI DAN BETON'!L8" display="'HITUNGAN BESI DAN BETON'!L8" xr:uid="{00000000-0004-0000-0B00-00000C000000}"/>
    <hyperlink ref="G85" location="'PEK. GALIAN TANAH + URURGAN'!L8" display="'PEK. GALIAN TANAH + URURGAN'!L8" xr:uid="{00000000-0004-0000-0B00-00000D000000}"/>
    <hyperlink ref="G93" location="'PEK. GALIAN TANAH + URURGAN'!O8" display="'PEK. GALIAN TANAH + URURGAN'!O8" xr:uid="{00000000-0004-0000-0B00-00000E000000}"/>
    <hyperlink ref="G95" location="'PEK. GALIAN TANAH + URURGAN'!O8" display="'PEK. GALIAN TANAH + URURGAN'!O8" xr:uid="{00000000-0004-0000-0B00-00000F000000}"/>
    <hyperlink ref="B119" location="'PEK. GALIAN TANAH + URURGAN'!C18" display="'PEK. GALIAN TANAH + URURGAN'!C18" xr:uid="{00000000-0004-0000-0B00-000010000000}"/>
    <hyperlink ref="B120" location="'PEK. GALIAN TANAH + URURGAN'!F18" display="'PEK. GALIAN TANAH + URURGAN'!F18" xr:uid="{00000000-0004-0000-0B00-000011000000}"/>
    <hyperlink ref="B121" location="'PEK. GALIAN TANAH + URURGAN'!I18" display="'PEK. GALIAN TANAH + URURGAN'!I18" xr:uid="{00000000-0004-0000-0B00-000012000000}"/>
    <hyperlink ref="N119" location="'PEK. GALIAN TANAH + URURGAN'!C19" display="'PEK. GALIAN TANAH + URURGAN'!C19" xr:uid="{00000000-0004-0000-0B00-000013000000}"/>
    <hyperlink ref="N120" location="'PEK. GALIAN TANAH + URURGAN'!F19" display="'PEK. GALIAN TANAH + URURGAN'!F19" xr:uid="{00000000-0004-0000-0B00-000014000000}"/>
    <hyperlink ref="N121" location="'PEK. GALIAN TANAH + URURGAN'!I19" display="'PEK. GALIAN TANAH + URURGAN'!I19" xr:uid="{00000000-0004-0000-0B00-000015000000}"/>
    <hyperlink ref="B127" location="'PEK. GALIAN TANAH + URURGAN'!C18" display="'PEK. GALIAN TANAH + URURGAN'!C18" xr:uid="{00000000-0004-0000-0B00-000016000000}"/>
    <hyperlink ref="B128" location="'PEK. GALIAN TANAH + URURGAN'!F18" display="'PEK. GALIAN TANAH + URURGAN'!F18" xr:uid="{00000000-0004-0000-0B00-000017000000}"/>
    <hyperlink ref="B129" location="'PEK. GALIAN TANAH + URURGAN'!I18" display="'PEK. GALIAN TANAH + URURGAN'!I18" xr:uid="{00000000-0004-0000-0B00-000018000000}"/>
    <hyperlink ref="C127" location="'PEK. GALIAN TANAH + URURGAN'!C21" display="'PEK. GALIAN TANAH + URURGAN'!C21" xr:uid="{00000000-0004-0000-0B00-000019000000}"/>
    <hyperlink ref="C128" location="'PEK. GALIAN TANAH + URURGAN'!F21" display="'PEK. GALIAN TANAH + URURGAN'!F21" xr:uid="{00000000-0004-0000-0B00-00001A000000}"/>
    <hyperlink ref="C129" location="'PEK. GALIAN TANAH + URURGAN'!I20" display="'PEK. GALIAN TANAH + URURGAN'!I20" xr:uid="{00000000-0004-0000-0B00-00001B000000}"/>
    <hyperlink ref="J105" location="BOQ!H47" display="BOQ!H47" xr:uid="{00000000-0004-0000-0B00-00001C000000}"/>
    <hyperlink ref="H97" location="BOQ!H49" display="BOQ!H49" xr:uid="{00000000-0004-0000-0B00-00001D000000}"/>
    <hyperlink ref="I97" location="BOQ!H49" display="BOQ!H49" xr:uid="{00000000-0004-0000-0B00-00001E000000}"/>
    <hyperlink ref="J97" location="BOQ!H49" display="BOQ!H49" xr:uid="{00000000-0004-0000-0B00-00001F000000}"/>
    <hyperlink ref="D114" location="BOQ!H53" display="BOQ!H53" xr:uid="{00000000-0004-0000-0B00-000020000000}"/>
    <hyperlink ref="D123" location="BOQ!H55" display="BOQ!H55" xr:uid="{00000000-0004-0000-0B00-000021000000}"/>
    <hyperlink ref="R122" location="BOQ!H56" display="BOQ!H56" xr:uid="{00000000-0004-0000-0B00-000022000000}"/>
    <hyperlink ref="D130" location="BOQ!H57" display="BOQ!H57" xr:uid="{00000000-0004-0000-0B00-000023000000}"/>
    <hyperlink ref="R179" location="BOQ!H62" display="BOQ!H62" xr:uid="{00000000-0004-0000-0B00-000024000000}"/>
    <hyperlink ref="J180" location="BOQ!H62" display="BOQ!H62" xr:uid="{00000000-0004-0000-0B00-000025000000}"/>
    <hyperlink ref="E207:E208" location="BOQ!H63" display="BOQ!H63" xr:uid="{00000000-0004-0000-0B00-000026000000}"/>
    <hyperlink ref="E157" location="BOQ!H65" display="BOQ!H65" xr:uid="{00000000-0004-0000-0B00-000027000000}"/>
    <hyperlink ref="F186" location="BOQ!H67" display="BOQ!H67" xr:uid="{00000000-0004-0000-0B00-000028000000}"/>
    <hyperlink ref="Q186" location="BOQ!H68" display="BOQ!H68" xr:uid="{00000000-0004-0000-0B00-000029000000}"/>
    <hyperlink ref="E214" location="BOQ!H69" display="BOQ!H69" xr:uid="{00000000-0004-0000-0B00-00002A000000}"/>
    <hyperlink ref="E224" location="BOQ!H71" display="BOQ!H71" xr:uid="{00000000-0004-0000-0B00-00002B000000}"/>
    <hyperlink ref="G256" location="BOQ!H74" display="BOQ!H74" xr:uid="{00000000-0004-0000-0B00-00002C000000}"/>
    <hyperlink ref="G255" location="BOQ!H73" display="BOQ!H73" xr:uid="{00000000-0004-0000-0B00-00002D000000}"/>
    <hyperlink ref="D265" location="BOQ!H75" display="BOQ!H75" xr:uid="{00000000-0004-0000-0B00-00002E000000}"/>
    <hyperlink ref="D270" location="BOQ!H77" display="BOQ!H77" xr:uid="{00000000-0004-0000-0B00-00002F000000}"/>
    <hyperlink ref="F275" location="BOQ!H79" display="BOQ!H79" xr:uid="{00000000-0004-0000-0B00-000030000000}"/>
    <hyperlink ref="F276" location="BOQ!H80" display="BOQ!H80" xr:uid="{00000000-0004-0000-0B00-000031000000}"/>
    <hyperlink ref="D281" location="BOQ!H81" display="BOQ!H81" xr:uid="{00000000-0004-0000-0B00-000032000000}"/>
    <hyperlink ref="J288" location="BOQ!H85" display="BOQ!H85" xr:uid="{00000000-0004-0000-0B00-000033000000}"/>
    <hyperlink ref="P288" location="BOQ!H86" display="BOQ!H86" xr:uid="{00000000-0004-0000-0B00-000034000000}"/>
    <hyperlink ref="D300" location="BOQ!H87" display="BOQ!H87" xr:uid="{00000000-0004-0000-0B00-000035000000}"/>
    <hyperlink ref="J310" location="BOQ!H91" display="BOQ!H91" xr:uid="{00000000-0004-0000-0B00-000036000000}"/>
    <hyperlink ref="P310" location="BOQ!H92" display="BOQ!H92" xr:uid="{00000000-0004-0000-0B00-000037000000}"/>
    <hyperlink ref="D328" location="BOQ!H93" display="BOQ!H93" xr:uid="{00000000-0004-0000-0B00-000038000000}"/>
    <hyperlink ref="E352" location="BOQ!H97" display="BOQ!H97" xr:uid="{00000000-0004-0000-0B00-000039000000}"/>
    <hyperlink ref="J380" location="BOQ!H101" display="BOQ!H101" xr:uid="{00000000-0004-0000-0B00-00003A000000}"/>
    <hyperlink ref="E407:E408" location="BOQ!H101" display="BOQ!H101" xr:uid="{00000000-0004-0000-0B00-00003B000000}"/>
    <hyperlink ref="E357" location="BOQ!H103" display="BOQ!H103" xr:uid="{00000000-0004-0000-0B00-00003C000000}"/>
    <hyperlink ref="F386" location="BOQ!H105" display="BOQ!H105" xr:uid="{00000000-0004-0000-0B00-00003D000000}"/>
    <hyperlink ref="Q386" location="BOQ!H106" display="BOQ!H106" xr:uid="{00000000-0004-0000-0B00-00003E000000}"/>
    <hyperlink ref="E414" location="BOQ!H107" display="BOQ!H107" xr:uid="{00000000-0004-0000-0B00-00003F000000}"/>
    <hyperlink ref="E576" location="BOQ!H109" display="BOQ!H109" xr:uid="{00000000-0004-0000-0B00-000040000000}"/>
    <hyperlink ref="G597" location="BOQ!H111" display="BOQ!H111" xr:uid="{00000000-0004-0000-0B00-000041000000}"/>
    <hyperlink ref="G598" location="BOQ!H112" display="BOQ!H112" xr:uid="{00000000-0004-0000-0B00-000042000000}"/>
    <hyperlink ref="D605" location="BOQ!H113" display="BOQ!H113" xr:uid="{00000000-0004-0000-0B00-000043000000}"/>
    <hyperlink ref="D466" location="BOQ!H115" display="BOQ!H115" xr:uid="{00000000-0004-0000-0B00-000044000000}"/>
    <hyperlink ref="J440" location="BOQ!H117" display="BOQ!H117" xr:uid="{00000000-0004-0000-0B00-000045000000}"/>
    <hyperlink ref="L440" location="BOQ!H118" display="BOQ!H118" xr:uid="{00000000-0004-0000-0B00-000046000000}"/>
    <hyperlink ref="R439" location="BOQ!H119" display="BOQ!H119" xr:uid="{00000000-0004-0000-0B00-000047000000}"/>
    <hyperlink ref="R440" location="BOQ!H120" display="BOQ!H120" xr:uid="{00000000-0004-0000-0B00-000048000000}"/>
    <hyperlink ref="D491" location="BOQ!H121" display="BOQ!H121" xr:uid="{00000000-0004-0000-0B00-000049000000}"/>
    <hyperlink ref="D634" location="BOQ!H127" display="BOQ!H127" xr:uid="{00000000-0004-0000-0B00-00004A000000}"/>
    <hyperlink ref="J628" location="BOQ!H129" display="BOQ!H129" xr:uid="{00000000-0004-0000-0B00-00004B000000}"/>
    <hyperlink ref="P628" location="BOQ!H130" display="BOQ!H130" xr:uid="{00000000-0004-0000-0B00-00004C000000}"/>
    <hyperlink ref="D640" location="BOQ!H131" display="BOQ!H131" xr:uid="{00000000-0004-0000-0B00-00004D000000}"/>
    <hyperlink ref="D659" location="BOQ!H133" display="BOQ!H133" xr:uid="{00000000-0004-0000-0B00-00004E000000}"/>
    <hyperlink ref="J650" location="BOQ!H135" display="BOQ!H135" xr:uid="{00000000-0004-0000-0B00-00004F000000}"/>
    <hyperlink ref="P650" location="BOQ!H136" display="BOQ!H136" xr:uid="{00000000-0004-0000-0B00-000050000000}"/>
    <hyperlink ref="D668" location="BOQ!H137" display="BOQ!H137" xr:uid="{00000000-0004-0000-0B00-000051000000}"/>
    <hyperlink ref="H180" location="BOQ!H61" display="BOQ!H61" xr:uid="{00000000-0004-0000-0B00-000052000000}"/>
    <hyperlink ref="H380" location="BOQ!H100" display="BOQ!H100" xr:uid="{00000000-0004-0000-0B00-000053000000}"/>
    <hyperlink ref="H722" location="BOQ!H145" display="BOQ!H145" xr:uid="{00000000-0004-0000-0B00-000054000000}"/>
    <hyperlink ref="J722" location="BOQ!H146" display="BOQ!H146" xr:uid="{00000000-0004-0000-0B00-000055000000}"/>
    <hyperlink ref="E749:E750" location="BOQ!H148" display="BOQ!H148" xr:uid="{00000000-0004-0000-0B00-000056000000}"/>
    <hyperlink ref="E699" location="BOQ!H150" display="BOQ!H150" xr:uid="{00000000-0004-0000-0B00-000057000000}"/>
    <hyperlink ref="F728" location="BOQ!H152" display="BOQ!H152" xr:uid="{00000000-0004-0000-0B00-000058000000}"/>
    <hyperlink ref="Q728" location="BOQ!H153" display="BOQ!H153" xr:uid="{00000000-0004-0000-0B00-000059000000}"/>
    <hyperlink ref="E756" location="BOQ!H154" display="BOQ!H154" xr:uid="{00000000-0004-0000-0B00-00005A000000}"/>
    <hyperlink ref="D899" location="BOQ!H174" display="BOQ!H174" xr:uid="{00000000-0004-0000-0B00-00005B000000}"/>
    <hyperlink ref="J893" location="BOQ!H176" display="BOQ!H176" xr:uid="{00000000-0004-0000-0B00-00005C000000}"/>
    <hyperlink ref="P893" location="BOQ!H177" display="BOQ!H177" xr:uid="{00000000-0004-0000-0B00-00005D000000}"/>
    <hyperlink ref="D905" location="BOQ!H178" display="BOQ!H178" xr:uid="{00000000-0004-0000-0B00-00005E000000}"/>
    <hyperlink ref="G119" location="'PEK. GALIAN TANAH + URURGAN'!C18" display="'PEK. GALIAN TANAH + URURGAN'!C18" xr:uid="{00000000-0004-0000-0B00-00005F000000}"/>
    <hyperlink ref="G120" location="'PEK. GALIAN TANAH + URURGAN'!F18" display="'PEK. GALIAN TANAH + URURGAN'!F18" xr:uid="{00000000-0004-0000-0B00-000060000000}"/>
    <hyperlink ref="G121" location="'PEK. GALIAN TANAH + URURGAN'!I18" display="'PEK. GALIAN TANAH + URURGAN'!I18" xr:uid="{00000000-0004-0000-0B00-000061000000}"/>
    <hyperlink ref="I123" location="BOQ!H55" display="BOQ!H55" xr:uid="{00000000-0004-0000-0B00-000062000000}"/>
    <hyperlink ref="D543" location="BOQ!H115" display="BOQ!H115" xr:uid="{00000000-0004-0000-0B00-000063000000}"/>
    <hyperlink ref="J517" location="BOQ!H117" display="BOQ!H117" xr:uid="{00000000-0004-0000-0B00-000064000000}"/>
    <hyperlink ref="D568" location="BOQ!H121" display="BOQ!H121" xr:uid="{00000000-0004-0000-0B00-000065000000}"/>
    <hyperlink ref="H1252" location="BOQ!H145" display="BOQ!H145" xr:uid="{00000000-0004-0000-0B00-000066000000}"/>
    <hyperlink ref="J1252" location="BOQ!H146" display="BOQ!H146" xr:uid="{00000000-0004-0000-0B00-000067000000}"/>
    <hyperlink ref="E1279:E1280" location="BOQ!H148" display="BOQ!H148" xr:uid="{00000000-0004-0000-0B00-000068000000}"/>
    <hyperlink ref="E1229" location="BOQ!H150" display="BOQ!H150" xr:uid="{00000000-0004-0000-0B00-000069000000}"/>
    <hyperlink ref="F1258" location="BOQ!H152" display="BOQ!H152" xr:uid="{00000000-0004-0000-0B00-00006A000000}"/>
    <hyperlink ref="Q1258" location="BOQ!H153" display="BOQ!H153" xr:uid="{00000000-0004-0000-0B00-00006B000000}"/>
    <hyperlink ref="E1286" location="BOQ!H154" display="BOQ!H154" xr:uid="{00000000-0004-0000-0B00-00006C000000}"/>
    <hyperlink ref="D1506" location="BOQ!H174" display="BOQ!H174" xr:uid="{00000000-0004-0000-0B00-00006D000000}"/>
    <hyperlink ref="J1500" location="BOQ!H176" display="BOQ!H176" xr:uid="{00000000-0004-0000-0B00-00006E000000}"/>
    <hyperlink ref="P1500" location="BOQ!H177" display="BOQ!H177" xr:uid="{00000000-0004-0000-0B00-00006F000000}"/>
    <hyperlink ref="D1512" location="BOQ!H178" display="BOQ!H178" xr:uid="{00000000-0004-0000-0B00-000070000000}"/>
    <hyperlink ref="D924" location="BOQ!H133" display="BOQ!H133" xr:uid="{00000000-0004-0000-0B00-000071000000}"/>
    <hyperlink ref="J915" location="BOQ!H135" display="BOQ!H135" xr:uid="{00000000-0004-0000-0B00-000072000000}"/>
    <hyperlink ref="P915" location="BOQ!H136" display="BOQ!H136" xr:uid="{00000000-0004-0000-0B00-000073000000}"/>
    <hyperlink ref="D933" location="BOQ!H137" display="BOQ!H137" xr:uid="{00000000-0004-0000-0B00-000074000000}"/>
    <hyperlink ref="L517" location="BOQ!H118" display="BOQ!H118" xr:uid="{00000000-0004-0000-0B00-000075000000}"/>
    <hyperlink ref="L782" location="BOQ!H118" display="BOQ!H118" xr:uid="{00000000-0004-0000-0B00-000076000000}"/>
    <hyperlink ref="L1312" location="BOQ!H118" display="BOQ!H118" xr:uid="{00000000-0004-0000-0B00-000077000000}"/>
    <hyperlink ref="R379" location="BOQ!H62" display="BOQ!H62" xr:uid="{00000000-0004-0000-0B00-000078000000}"/>
    <hyperlink ref="R721" location="BOQ!H62" display="BOQ!H62" xr:uid="{00000000-0004-0000-0B00-000079000000}"/>
    <hyperlink ref="R1251" location="BOQ!H62" display="BOQ!H62" xr:uid="{00000000-0004-0000-0B00-00007A000000}"/>
    <hyperlink ref="R441" location="BOQ!H120" display="BOQ!H120" xr:uid="{00000000-0004-0000-0B00-00007B000000}"/>
    <hyperlink ref="R516" location="BOQ!H119" display="BOQ!H119" xr:uid="{00000000-0004-0000-0B00-00007C000000}"/>
    <hyperlink ref="R517" location="BOQ!H120" display="BOQ!H120" xr:uid="{00000000-0004-0000-0B00-00007D000000}"/>
    <hyperlink ref="R518" location="BOQ!H120" display="BOQ!H120" xr:uid="{00000000-0004-0000-0B00-00007E000000}"/>
    <hyperlink ref="R781" location="BOQ!H119" display="BOQ!H119" xr:uid="{00000000-0004-0000-0B00-00007F000000}"/>
    <hyperlink ref="R782" location="BOQ!H120" display="BOQ!H120" xr:uid="{00000000-0004-0000-0B00-000080000000}"/>
    <hyperlink ref="R783" location="BOQ!H120" display="BOQ!H120" xr:uid="{00000000-0004-0000-0B00-000081000000}"/>
    <hyperlink ref="R1311" location="BOQ!H119" display="BOQ!H119" xr:uid="{00000000-0004-0000-0B00-000082000000}"/>
    <hyperlink ref="R1312" location="BOQ!H120" display="BOQ!H120" xr:uid="{00000000-0004-0000-0B00-000083000000}"/>
    <hyperlink ref="R1313" location="BOQ!H120" display="BOQ!H120" xr:uid="{00000000-0004-0000-0B00-000084000000}"/>
    <hyperlink ref="L1389" location="BOQ!H118" display="BOQ!H118" xr:uid="{00000000-0004-0000-0B00-000085000000}"/>
    <hyperlink ref="R1388" location="BOQ!H119" display="BOQ!H119" xr:uid="{00000000-0004-0000-0B00-000086000000}"/>
    <hyperlink ref="R1389" location="BOQ!H120" display="BOQ!H120" xr:uid="{00000000-0004-0000-0B00-000087000000}"/>
    <hyperlink ref="R1390" location="BOQ!H120" display="BOQ!H120" xr:uid="{00000000-0004-0000-0B00-000088000000}"/>
    <hyperlink ref="H987" location="BOQ!H145" display="BOQ!H145" xr:uid="{00000000-0004-0000-0B00-000089000000}"/>
    <hyperlink ref="J987" location="BOQ!H146" display="BOQ!H146" xr:uid="{00000000-0004-0000-0B00-00008A000000}"/>
    <hyperlink ref="E1014:E1015" location="BOQ!H148" display="BOQ!H148" xr:uid="{00000000-0004-0000-0B00-00008B000000}"/>
    <hyperlink ref="E964" location="BOQ!H150" display="BOQ!H150" xr:uid="{00000000-0004-0000-0B00-00008C000000}"/>
    <hyperlink ref="F993" location="BOQ!H152" display="BOQ!H152" xr:uid="{00000000-0004-0000-0B00-00008D000000}"/>
    <hyperlink ref="Q993" location="BOQ!H153" display="BOQ!H153" xr:uid="{00000000-0004-0000-0B00-00008E000000}"/>
    <hyperlink ref="E1021" location="BOQ!H154" display="BOQ!H154" xr:uid="{00000000-0004-0000-0B00-00008F000000}"/>
    <hyperlink ref="D1164" location="BOQ!H174" display="BOQ!H174" xr:uid="{00000000-0004-0000-0B00-000090000000}"/>
    <hyperlink ref="J1158" location="BOQ!H176" display="BOQ!H176" xr:uid="{00000000-0004-0000-0B00-000091000000}"/>
    <hyperlink ref="P1158" location="BOQ!H177" display="BOQ!H177" xr:uid="{00000000-0004-0000-0B00-000092000000}"/>
    <hyperlink ref="D1170" location="BOQ!H178" display="BOQ!H178" xr:uid="{00000000-0004-0000-0B00-000093000000}"/>
    <hyperlink ref="D1189" location="BOQ!H133" display="BOQ!H133" xr:uid="{00000000-0004-0000-0B00-000094000000}"/>
    <hyperlink ref="J1180" location="BOQ!H135" display="BOQ!H135" xr:uid="{00000000-0004-0000-0B00-000095000000}"/>
    <hyperlink ref="P1180" location="BOQ!H136" display="BOQ!H136" xr:uid="{00000000-0004-0000-0B00-000096000000}"/>
    <hyperlink ref="D1198" location="BOQ!H137" display="BOQ!H137" xr:uid="{00000000-0004-0000-0B00-000097000000}"/>
    <hyperlink ref="R986" location="BOQ!H62" display="BOQ!H62" xr:uid="{00000000-0004-0000-0B00-000098000000}"/>
    <hyperlink ref="H1585" location="BOQ!H145" display="BOQ!H145" xr:uid="{00000000-0004-0000-0B00-000099000000}"/>
    <hyperlink ref="J1585" location="BOQ!H146" display="BOQ!H146" xr:uid="{00000000-0004-0000-0B00-00009A000000}"/>
    <hyperlink ref="E1612:E1613" location="BOQ!H148" display="BOQ!H148" xr:uid="{00000000-0004-0000-0B00-00009B000000}"/>
    <hyperlink ref="E1562" location="BOQ!H150" display="BOQ!H150" xr:uid="{00000000-0004-0000-0B00-00009C000000}"/>
    <hyperlink ref="F1591" location="BOQ!H152" display="BOQ!H152" xr:uid="{00000000-0004-0000-0B00-00009D000000}"/>
    <hyperlink ref="Q1591" location="BOQ!H153" display="BOQ!H153" xr:uid="{00000000-0004-0000-0B00-00009E000000}"/>
    <hyperlink ref="E1619" location="BOQ!H154" display="BOQ!H154" xr:uid="{00000000-0004-0000-0B00-00009F000000}"/>
    <hyperlink ref="D1762" location="BOQ!H174" display="BOQ!H174" xr:uid="{00000000-0004-0000-0B00-0000A0000000}"/>
    <hyperlink ref="J1756" location="BOQ!H176" display="BOQ!H176" xr:uid="{00000000-0004-0000-0B00-0000A1000000}"/>
    <hyperlink ref="P1756" location="BOQ!H177" display="BOQ!H177" xr:uid="{00000000-0004-0000-0B00-0000A2000000}"/>
    <hyperlink ref="D1768" location="BOQ!H178" display="BOQ!H178" xr:uid="{00000000-0004-0000-0B00-0000A3000000}"/>
    <hyperlink ref="D1783" location="BOQ!H133" display="BOQ!H133" xr:uid="{00000000-0004-0000-0B00-0000A4000000}"/>
    <hyperlink ref="J1776" location="BOQ!H135" display="BOQ!H135" xr:uid="{00000000-0004-0000-0B00-0000A5000000}"/>
    <hyperlink ref="P1776" location="BOQ!H136" display="BOQ!H136" xr:uid="{00000000-0004-0000-0B00-0000A6000000}"/>
    <hyperlink ref="D1790" location="BOQ!H137" display="BOQ!H137" xr:uid="{00000000-0004-0000-0B00-0000A7000000}"/>
    <hyperlink ref="L1645" location="BOQ!H118" display="BOQ!H118" xr:uid="{00000000-0004-0000-0B00-0000A8000000}"/>
    <hyperlink ref="R1584" location="BOQ!H62" display="BOQ!H62" xr:uid="{00000000-0004-0000-0B00-0000A9000000}"/>
    <hyperlink ref="R1644" location="BOQ!H119" display="BOQ!H119" xr:uid="{00000000-0004-0000-0B00-0000AA000000}"/>
    <hyperlink ref="R1645" location="BOQ!H120" display="BOQ!H120" xr:uid="{00000000-0004-0000-0B00-0000AB000000}"/>
    <hyperlink ref="R1646" location="BOQ!H120" display="BOQ!H120" xr:uid="{00000000-0004-0000-0B00-0000AC000000}"/>
    <hyperlink ref="E3" location="BTN!B227" display="TANGGA LT1" xr:uid="{00000000-0004-0000-0B00-0000AD000000}"/>
    <hyperlink ref="F3" location="BTN!B577" display="TANGGA LT2" xr:uid="{00000000-0004-0000-0B00-0000AE000000}"/>
    <hyperlink ref="G3" location="BTN!B842" display="TANGGA LT3" xr:uid="{00000000-0004-0000-0B00-0000AF000000}"/>
    <hyperlink ref="H3" location="BTN!B1013" display="TANGGA LT4" xr:uid="{00000000-0004-0000-0B00-0000B0000000}"/>
    <hyperlink ref="I3" location="BTN!B1319" display="TANGGA LT5" xr:uid="{00000000-0004-0000-0B00-0000B1000000}"/>
    <hyperlink ref="J3" location="BTN!B1560" display="TANGGA ATAP" xr:uid="{00000000-0004-0000-0B00-0000B2000000}"/>
    <hyperlink ref="R1048" location="BOQ!H120" display="BOQ!H120" xr:uid="{00000000-0004-0000-0B00-0000B3000000}"/>
    <hyperlink ref="R1047" location="BOQ!H120" display="BOQ!H120" xr:uid="{00000000-0004-0000-0B00-0000B4000000}"/>
    <hyperlink ref="R1046" location="BOQ!H119" display="BOQ!H119" xr:uid="{00000000-0004-0000-0B00-0000B5000000}"/>
    <hyperlink ref="L1047" location="BOQ!H118" display="BOQ!H118" xr:uid="{00000000-0004-0000-0B00-0000B6000000}"/>
    <hyperlink ref="G88" location="'PEK. GALIAN TANAH + URURGAN'!O8" display="'PEK. GALIAN TANAH + URURGAN'!O8" xr:uid="{00000000-0004-0000-0B00-0000B7000000}"/>
    <hyperlink ref="G90" location="'PEK. GALIAN TANAH + URURGAN'!O8" display="'PEK. GALIAN TANAH + URURGAN'!O8" xr:uid="{00000000-0004-0000-0B00-0000B8000000}"/>
  </hyperlinks>
  <pageMargins left="0.7" right="0.7" top="0.75" bottom="0.75" header="0.3" footer="0.3"/>
  <pageSetup orientation="portrait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7"/>
  <dimension ref="A1:AR68"/>
  <sheetViews>
    <sheetView zoomScale="115" zoomScaleNormal="115" workbookViewId="0">
      <selection activeCell="Y34" sqref="Y34"/>
    </sheetView>
  </sheetViews>
  <sheetFormatPr defaultColWidth="9.140625" defaultRowHeight="15"/>
  <cols>
    <col min="1" max="1" width="5.85546875" style="1406" customWidth="1"/>
    <col min="2" max="2" width="30.7109375" style="1406" bestFit="1" customWidth="1"/>
    <col min="3" max="36" width="5.7109375" style="1406" customWidth="1"/>
    <col min="37" max="37" width="9.140625" style="1406"/>
    <col min="38" max="38" width="26.85546875" style="1406" bestFit="1" customWidth="1"/>
    <col min="39" max="39" width="9.140625" style="1406"/>
    <col min="40" max="40" width="15.28515625" style="1406" bestFit="1" customWidth="1"/>
    <col min="41" max="42" width="9.140625" style="1406"/>
    <col min="43" max="43" width="14.28515625" style="1406" bestFit="1" customWidth="1"/>
    <col min="44" max="16384" width="9.140625" style="1406"/>
  </cols>
  <sheetData>
    <row r="1" spans="1:43"/>
    <row r="2" spans="1:43" s="1405" customFormat="1" ht="12.75">
      <c r="A2" s="1404" t="s">
        <v>2240</v>
      </c>
      <c r="I2" s="1524"/>
      <c r="J2" s="1914"/>
      <c r="K2" s="1914"/>
      <c r="L2" s="1914"/>
      <c r="R2" s="2905" t="s">
        <v>1795</v>
      </c>
      <c r="S2" s="2906"/>
      <c r="T2" s="2907"/>
      <c r="U2" s="2902" t="s">
        <v>2057</v>
      </c>
      <c r="V2" s="2903"/>
      <c r="W2" s="2903"/>
      <c r="X2" s="2904"/>
      <c r="Y2" s="2902" t="s">
        <v>2060</v>
      </c>
      <c r="Z2" s="2903"/>
      <c r="AA2" s="2903"/>
      <c r="AB2" s="2904"/>
      <c r="AC2" s="2905" t="s">
        <v>2058</v>
      </c>
      <c r="AD2" s="2906"/>
      <c r="AE2" s="2906"/>
      <c r="AF2" s="2907"/>
      <c r="AG2" s="2908" t="s">
        <v>2059</v>
      </c>
      <c r="AH2" s="2909"/>
      <c r="AI2" s="2909"/>
      <c r="AJ2" s="2910"/>
      <c r="AO2" s="1300" t="s">
        <v>1589</v>
      </c>
      <c r="AP2" s="1300" t="s">
        <v>161</v>
      </c>
      <c r="AQ2" s="1554">
        <f>BOQ!$J$1290</f>
        <v>0</v>
      </c>
    </row>
    <row r="3" spans="1:43" s="2228" customFormat="1" ht="51">
      <c r="A3" s="2223" t="s">
        <v>908</v>
      </c>
      <c r="B3" s="2223" t="s">
        <v>2062</v>
      </c>
      <c r="C3" s="2223" t="s">
        <v>1796</v>
      </c>
      <c r="D3" s="2223" t="s">
        <v>1795</v>
      </c>
      <c r="E3" s="2223" t="s">
        <v>1794</v>
      </c>
      <c r="F3" s="2223" t="s">
        <v>1793</v>
      </c>
      <c r="G3" s="2223" t="s">
        <v>1792</v>
      </c>
      <c r="H3" s="2223" t="s">
        <v>1834</v>
      </c>
      <c r="I3" s="2223" t="s">
        <v>1835</v>
      </c>
      <c r="J3" s="2223" t="s">
        <v>2270</v>
      </c>
      <c r="K3" s="2223" t="s">
        <v>2332</v>
      </c>
      <c r="L3" s="2223" t="s">
        <v>2333</v>
      </c>
      <c r="M3" s="2224" t="s">
        <v>2309</v>
      </c>
      <c r="N3" s="2224" t="s">
        <v>1790</v>
      </c>
      <c r="O3" s="2224" t="s">
        <v>1789</v>
      </c>
      <c r="P3" s="2224"/>
      <c r="Q3" s="2225"/>
      <c r="R3" s="2226" t="s">
        <v>1608</v>
      </c>
      <c r="S3" s="2231" t="s">
        <v>2045</v>
      </c>
      <c r="T3" s="2231" t="s">
        <v>909</v>
      </c>
      <c r="U3" s="2227" t="s">
        <v>1608</v>
      </c>
      <c r="V3" s="2232" t="s">
        <v>2045</v>
      </c>
      <c r="W3" s="2232" t="s">
        <v>2061</v>
      </c>
      <c r="X3" s="2232" t="s">
        <v>909</v>
      </c>
      <c r="Y3" s="2227" t="s">
        <v>1608</v>
      </c>
      <c r="Z3" s="2232" t="s">
        <v>2045</v>
      </c>
      <c r="AA3" s="2232" t="s">
        <v>2062</v>
      </c>
      <c r="AB3" s="2232" t="s">
        <v>909</v>
      </c>
      <c r="AC3" s="2226" t="s">
        <v>1608</v>
      </c>
      <c r="AD3" s="2231" t="s">
        <v>2045</v>
      </c>
      <c r="AE3" s="2231" t="s">
        <v>2062</v>
      </c>
      <c r="AF3" s="2231" t="s">
        <v>909</v>
      </c>
      <c r="AG3" s="2227" t="s">
        <v>1608</v>
      </c>
      <c r="AH3" s="2232" t="s">
        <v>2045</v>
      </c>
      <c r="AI3" s="2232"/>
      <c r="AJ3" s="2232" t="s">
        <v>909</v>
      </c>
      <c r="AO3" s="2229" t="s">
        <v>1853</v>
      </c>
      <c r="AP3" s="2229" t="s">
        <v>161</v>
      </c>
      <c r="AQ3" s="2230">
        <f>BOQ!$K$1290</f>
        <v>0</v>
      </c>
    </row>
    <row r="4" spans="1:43" s="1405" customFormat="1">
      <c r="A4" s="1626">
        <v>1</v>
      </c>
      <c r="B4" s="1626"/>
      <c r="C4" s="1626"/>
      <c r="D4" s="1626"/>
      <c r="E4" s="1626"/>
      <c r="F4" s="1626"/>
      <c r="G4" s="1626"/>
      <c r="H4" s="1626"/>
      <c r="I4" s="1626"/>
      <c r="J4" s="1626"/>
      <c r="K4" s="1626"/>
      <c r="L4" s="1626"/>
      <c r="M4" s="1626"/>
      <c r="N4" s="1904">
        <f t="shared" ref="N4:N13" si="0">B4*M4</f>
        <v>0</v>
      </c>
      <c r="O4" s="1904"/>
      <c r="P4" s="1904">
        <f t="shared" ref="P4:P9" si="1">B4*O4</f>
        <v>0</v>
      </c>
      <c r="Q4" s="1641"/>
      <c r="R4" s="1625"/>
      <c r="S4" s="1627"/>
      <c r="T4" s="1627"/>
      <c r="U4" s="1625"/>
      <c r="V4" s="1627"/>
      <c r="W4" s="1627"/>
      <c r="X4" s="1627"/>
      <c r="Y4" s="1625"/>
      <c r="Z4" s="1627"/>
      <c r="AA4" s="1627"/>
      <c r="AB4" s="1627"/>
      <c r="AC4" s="1625"/>
      <c r="AD4" s="1627"/>
      <c r="AE4" s="1627"/>
      <c r="AF4" s="1627"/>
      <c r="AG4" s="1625"/>
      <c r="AH4" s="1627"/>
      <c r="AI4" s="1627"/>
      <c r="AJ4" s="1627"/>
      <c r="AO4" s="1300" t="s">
        <v>1854</v>
      </c>
      <c r="AP4" s="1300" t="s">
        <v>161</v>
      </c>
      <c r="AQ4" s="1554">
        <f>SUM(AQ2:AQ3)</f>
        <v>0</v>
      </c>
    </row>
    <row r="5" spans="1:43" s="1405" customFormat="1">
      <c r="A5" s="1904">
        <f>A4+1</f>
        <v>2</v>
      </c>
      <c r="B5" s="1904"/>
      <c r="C5" s="1904"/>
      <c r="D5" s="1904"/>
      <c r="E5" s="1904"/>
      <c r="F5" s="1904"/>
      <c r="G5" s="1904"/>
      <c r="H5" s="1904"/>
      <c r="I5" s="1904"/>
      <c r="J5" s="1904"/>
      <c r="K5" s="1904"/>
      <c r="L5" s="1904"/>
      <c r="M5" s="1904"/>
      <c r="N5" s="1904">
        <f t="shared" si="0"/>
        <v>0</v>
      </c>
      <c r="O5" s="1904"/>
      <c r="P5" s="1904">
        <f t="shared" si="1"/>
        <v>0</v>
      </c>
      <c r="Q5" s="1641"/>
      <c r="R5" s="1625"/>
      <c r="S5" s="1627"/>
      <c r="T5" s="1627"/>
      <c r="U5" s="1625"/>
      <c r="V5" s="1627"/>
      <c r="W5" s="1627"/>
      <c r="X5" s="1627"/>
      <c r="Y5" s="1625"/>
      <c r="Z5" s="1627"/>
      <c r="AA5" s="1627"/>
      <c r="AB5" s="1627"/>
      <c r="AC5" s="1625"/>
      <c r="AD5" s="1627"/>
      <c r="AE5" s="1627"/>
      <c r="AF5" s="1627"/>
      <c r="AG5" s="1625"/>
      <c r="AH5" s="1627"/>
      <c r="AI5" s="1627"/>
      <c r="AJ5" s="1627"/>
    </row>
    <row r="6" spans="1:43" s="1405" customFormat="1">
      <c r="A6" s="1626">
        <f t="shared" ref="A6:A32" si="2">A5+1</f>
        <v>3</v>
      </c>
      <c r="B6" s="1626"/>
      <c r="C6" s="1626"/>
      <c r="D6" s="1626"/>
      <c r="E6" s="1626"/>
      <c r="F6" s="1626"/>
      <c r="G6" s="1626"/>
      <c r="H6" s="1626"/>
      <c r="I6" s="1626"/>
      <c r="J6" s="1626"/>
      <c r="K6" s="1626"/>
      <c r="L6" s="1626"/>
      <c r="M6" s="1626"/>
      <c r="N6" s="1904">
        <f t="shared" si="0"/>
        <v>0</v>
      </c>
      <c r="O6" s="1904"/>
      <c r="P6" s="1904">
        <f t="shared" si="1"/>
        <v>0</v>
      </c>
      <c r="Q6" s="1641"/>
      <c r="R6" s="1625"/>
      <c r="S6" s="1627"/>
      <c r="T6" s="1627"/>
      <c r="U6" s="1625"/>
      <c r="V6" s="1627"/>
      <c r="W6" s="1627"/>
      <c r="X6" s="1627"/>
      <c r="Y6" s="1625"/>
      <c r="Z6" s="1627"/>
      <c r="AA6" s="1627"/>
      <c r="AB6" s="1627"/>
      <c r="AC6" s="1625"/>
      <c r="AD6" s="1627"/>
      <c r="AE6" s="1627"/>
      <c r="AF6" s="1627"/>
      <c r="AG6" s="1625"/>
      <c r="AH6" s="1627"/>
      <c r="AI6" s="1627"/>
      <c r="AJ6" s="1627"/>
    </row>
    <row r="7" spans="1:43" s="1405" customFormat="1">
      <c r="A7" s="1904">
        <f t="shared" si="2"/>
        <v>4</v>
      </c>
      <c r="B7" s="1904"/>
      <c r="C7" s="1904"/>
      <c r="D7" s="1904"/>
      <c r="E7" s="1904"/>
      <c r="F7" s="1904"/>
      <c r="G7" s="1904"/>
      <c r="H7" s="1904"/>
      <c r="I7" s="1904"/>
      <c r="J7" s="1904"/>
      <c r="K7" s="1904"/>
      <c r="L7" s="1904"/>
      <c r="M7" s="1904"/>
      <c r="N7" s="1904">
        <f t="shared" si="0"/>
        <v>0</v>
      </c>
      <c r="O7" s="1904"/>
      <c r="P7" s="1904">
        <f t="shared" si="1"/>
        <v>0</v>
      </c>
      <c r="Q7" s="1641"/>
      <c r="R7" s="1625"/>
      <c r="S7" s="1627"/>
      <c r="T7" s="1627"/>
      <c r="U7" s="1625"/>
      <c r="V7" s="1627"/>
      <c r="W7" s="1627"/>
      <c r="X7" s="1627"/>
      <c r="Y7" s="1625"/>
      <c r="Z7" s="1627"/>
      <c r="AA7" s="1627"/>
      <c r="AB7" s="1627"/>
      <c r="AC7" s="1625"/>
      <c r="AD7" s="1627"/>
      <c r="AE7" s="1627"/>
      <c r="AF7" s="1627"/>
      <c r="AG7" s="1625"/>
      <c r="AH7" s="1627"/>
      <c r="AI7" s="1627"/>
      <c r="AJ7" s="1627"/>
    </row>
    <row r="8" spans="1:43" s="1405" customFormat="1">
      <c r="A8" s="1626">
        <f t="shared" si="2"/>
        <v>5</v>
      </c>
      <c r="B8" s="1626"/>
      <c r="C8" s="1626"/>
      <c r="D8" s="1626"/>
      <c r="E8" s="1626"/>
      <c r="F8" s="1626"/>
      <c r="G8" s="1626"/>
      <c r="H8" s="1626"/>
      <c r="I8" s="1626"/>
      <c r="J8" s="1626"/>
      <c r="K8" s="1626"/>
      <c r="L8" s="1626"/>
      <c r="M8" s="1626"/>
      <c r="N8" s="1904">
        <f t="shared" si="0"/>
        <v>0</v>
      </c>
      <c r="O8" s="1904"/>
      <c r="P8" s="1904">
        <f t="shared" si="1"/>
        <v>0</v>
      </c>
      <c r="Q8" s="1641"/>
      <c r="R8" s="1625"/>
      <c r="S8" s="1627"/>
      <c r="T8" s="1627"/>
      <c r="U8" s="1625"/>
      <c r="V8" s="1627"/>
      <c r="W8" s="1627"/>
      <c r="X8" s="1627"/>
      <c r="Y8" s="1625"/>
      <c r="Z8" s="1627"/>
      <c r="AA8" s="1627"/>
      <c r="AB8" s="1627"/>
      <c r="AC8" s="1625"/>
      <c r="AD8" s="1627"/>
      <c r="AE8" s="1627"/>
      <c r="AF8" s="1627"/>
      <c r="AG8" s="1625"/>
      <c r="AH8" s="1627"/>
      <c r="AI8" s="1627"/>
      <c r="AJ8" s="1627"/>
    </row>
    <row r="9" spans="1:43" s="1565" customFormat="1">
      <c r="A9" s="1904">
        <f t="shared" si="2"/>
        <v>6</v>
      </c>
      <c r="B9" s="1904"/>
      <c r="C9" s="1904"/>
      <c r="D9" s="1904"/>
      <c r="E9" s="1904"/>
      <c r="F9" s="1904"/>
      <c r="G9" s="1904"/>
      <c r="H9" s="1904"/>
      <c r="I9" s="1904"/>
      <c r="J9" s="1904"/>
      <c r="K9" s="1904"/>
      <c r="L9" s="1904"/>
      <c r="M9" s="1904"/>
      <c r="N9" s="1904">
        <f t="shared" si="0"/>
        <v>0</v>
      </c>
      <c r="O9" s="1904"/>
      <c r="P9" s="1904">
        <f t="shared" si="1"/>
        <v>0</v>
      </c>
      <c r="Q9" s="1641"/>
      <c r="R9" s="1625"/>
      <c r="S9" s="1627"/>
      <c r="T9" s="1627"/>
      <c r="U9" s="1625"/>
      <c r="V9" s="1627"/>
      <c r="W9" s="1627"/>
      <c r="X9" s="1627"/>
      <c r="Y9" s="1625"/>
      <c r="Z9" s="1627"/>
      <c r="AA9" s="1627"/>
      <c r="AB9" s="1627"/>
      <c r="AC9" s="1625"/>
      <c r="AD9" s="1627"/>
      <c r="AE9" s="1627"/>
      <c r="AF9" s="1627"/>
      <c r="AG9" s="1625"/>
      <c r="AH9" s="1627"/>
      <c r="AI9" s="1627"/>
      <c r="AJ9" s="1627"/>
    </row>
    <row r="10" spans="1:43" s="1405" customFormat="1">
      <c r="A10" s="1626">
        <f t="shared" si="2"/>
        <v>7</v>
      </c>
      <c r="B10" s="1626"/>
      <c r="C10" s="1626"/>
      <c r="D10" s="1626"/>
      <c r="E10" s="1626"/>
      <c r="F10" s="1626"/>
      <c r="G10" s="1626"/>
      <c r="H10" s="1626"/>
      <c r="I10" s="1626"/>
      <c r="J10" s="1626"/>
      <c r="K10" s="1626"/>
      <c r="L10" s="1626"/>
      <c r="M10" s="1626"/>
      <c r="N10" s="1904">
        <f t="shared" si="0"/>
        <v>0</v>
      </c>
      <c r="O10" s="1904"/>
      <c r="P10" s="1904">
        <f t="shared" ref="P10:P15" si="3">B10*O10</f>
        <v>0</v>
      </c>
      <c r="Q10" s="1641"/>
      <c r="R10" s="1625"/>
      <c r="S10" s="1627"/>
      <c r="T10" s="1627"/>
      <c r="U10" s="1625"/>
      <c r="V10" s="1627"/>
      <c r="W10" s="1627"/>
      <c r="X10" s="1627"/>
      <c r="Y10" s="1625"/>
      <c r="Z10" s="1627"/>
      <c r="AA10" s="1627"/>
      <c r="AB10" s="1627"/>
      <c r="AC10" s="1625"/>
      <c r="AD10" s="1627"/>
      <c r="AE10" s="1627"/>
      <c r="AF10" s="1627"/>
      <c r="AG10" s="1625"/>
      <c r="AH10" s="1627"/>
      <c r="AI10" s="1627"/>
      <c r="AJ10" s="1627"/>
    </row>
    <row r="11" spans="1:43" s="1405" customFormat="1">
      <c r="A11" s="1904">
        <f t="shared" si="2"/>
        <v>8</v>
      </c>
      <c r="B11" s="1904"/>
      <c r="C11" s="1904"/>
      <c r="D11" s="1904"/>
      <c r="E11" s="1904"/>
      <c r="F11" s="1904"/>
      <c r="G11" s="1904"/>
      <c r="H11" s="1904"/>
      <c r="I11" s="1904"/>
      <c r="J11" s="1904"/>
      <c r="K11" s="1904"/>
      <c r="L11" s="1904"/>
      <c r="M11" s="1904"/>
      <c r="N11" s="1904">
        <f t="shared" si="0"/>
        <v>0</v>
      </c>
      <c r="O11" s="1904"/>
      <c r="P11" s="1904">
        <f t="shared" si="3"/>
        <v>0</v>
      </c>
      <c r="Q11" s="1641"/>
      <c r="R11" s="1625"/>
      <c r="S11" s="1627"/>
      <c r="T11" s="1627"/>
      <c r="U11" s="1625"/>
      <c r="V11" s="1627"/>
      <c r="W11" s="1627"/>
      <c r="X11" s="1627"/>
      <c r="Y11" s="1625"/>
      <c r="Z11" s="1627"/>
      <c r="AA11" s="1627"/>
      <c r="AB11" s="1627"/>
      <c r="AC11" s="1625"/>
      <c r="AD11" s="1627"/>
      <c r="AE11" s="1627"/>
      <c r="AF11" s="1627"/>
      <c r="AG11" s="1625"/>
      <c r="AH11" s="1627"/>
      <c r="AI11" s="1627"/>
      <c r="AJ11" s="1627"/>
    </row>
    <row r="12" spans="1:43" s="1539" customFormat="1">
      <c r="A12" s="1626">
        <f t="shared" si="2"/>
        <v>9</v>
      </c>
      <c r="B12" s="1626"/>
      <c r="C12" s="1626"/>
      <c r="D12" s="1626"/>
      <c r="E12" s="1626"/>
      <c r="F12" s="1626"/>
      <c r="G12" s="1626"/>
      <c r="H12" s="1626"/>
      <c r="I12" s="1626"/>
      <c r="J12" s="1626"/>
      <c r="K12" s="1626"/>
      <c r="L12" s="1626"/>
      <c r="M12" s="1626"/>
      <c r="N12" s="1904">
        <f t="shared" si="0"/>
        <v>0</v>
      </c>
      <c r="O12" s="1904"/>
      <c r="P12" s="1904">
        <f t="shared" si="3"/>
        <v>0</v>
      </c>
      <c r="Q12" s="1641"/>
      <c r="R12" s="1625"/>
      <c r="S12" s="1627"/>
      <c r="T12" s="1627"/>
      <c r="U12" s="1625"/>
      <c r="V12" s="1627"/>
      <c r="W12" s="1627"/>
      <c r="X12" s="1627"/>
      <c r="Y12" s="1625"/>
      <c r="Z12" s="1627"/>
      <c r="AA12" s="1627"/>
      <c r="AB12" s="1627"/>
      <c r="AC12" s="1625"/>
      <c r="AD12" s="1627"/>
      <c r="AE12" s="1627"/>
      <c r="AF12" s="1627"/>
      <c r="AG12" s="1625"/>
      <c r="AH12" s="1627"/>
      <c r="AI12" s="1627"/>
      <c r="AJ12" s="1627"/>
    </row>
    <row r="13" spans="1:43" s="1621" customFormat="1">
      <c r="A13" s="1904">
        <f t="shared" si="2"/>
        <v>10</v>
      </c>
      <c r="B13" s="1904"/>
      <c r="C13" s="1904"/>
      <c r="D13" s="1904"/>
      <c r="E13" s="1904"/>
      <c r="F13" s="1904"/>
      <c r="G13" s="1904"/>
      <c r="H13" s="1904"/>
      <c r="I13" s="1904"/>
      <c r="J13" s="1904"/>
      <c r="K13" s="1904"/>
      <c r="L13" s="1904"/>
      <c r="M13" s="1904"/>
      <c r="N13" s="1904">
        <f t="shared" si="0"/>
        <v>0</v>
      </c>
      <c r="O13" s="1904"/>
      <c r="P13" s="1904">
        <f t="shared" si="3"/>
        <v>0</v>
      </c>
      <c r="Q13" s="1641"/>
      <c r="R13" s="1625"/>
      <c r="S13" s="1627"/>
      <c r="T13" s="1627"/>
      <c r="U13" s="1625"/>
      <c r="V13" s="1627"/>
      <c r="W13" s="1627"/>
      <c r="X13" s="1627"/>
      <c r="Y13" s="1625"/>
      <c r="Z13" s="1627"/>
      <c r="AA13" s="1627"/>
      <c r="AB13" s="1627"/>
      <c r="AC13" s="1625"/>
      <c r="AD13" s="1627"/>
      <c r="AE13" s="1627"/>
      <c r="AF13" s="1627"/>
      <c r="AG13" s="1625"/>
      <c r="AH13" s="1627"/>
      <c r="AI13" s="1627"/>
      <c r="AJ13" s="1627"/>
    </row>
    <row r="14" spans="1:43" s="1621" customFormat="1">
      <c r="A14" s="1626">
        <f t="shared" si="2"/>
        <v>11</v>
      </c>
      <c r="B14" s="1626"/>
      <c r="C14" s="1626"/>
      <c r="D14" s="1626"/>
      <c r="E14" s="1626"/>
      <c r="F14" s="1626"/>
      <c r="G14" s="1626"/>
      <c r="H14" s="1626"/>
      <c r="I14" s="1626"/>
      <c r="J14" s="1626"/>
      <c r="K14" s="1626"/>
      <c r="L14" s="1626"/>
      <c r="M14" s="1626"/>
      <c r="N14" s="1904">
        <f>M14*B14</f>
        <v>0</v>
      </c>
      <c r="O14" s="1904"/>
      <c r="P14" s="1904">
        <f t="shared" si="3"/>
        <v>0</v>
      </c>
      <c r="Q14" s="1641"/>
      <c r="R14" s="1625"/>
      <c r="S14" s="1627"/>
      <c r="T14" s="1627"/>
      <c r="U14" s="1625"/>
      <c r="V14" s="1627"/>
      <c r="W14" s="1627"/>
      <c r="X14" s="1627"/>
      <c r="Y14" s="1625"/>
      <c r="Z14" s="1627"/>
      <c r="AA14" s="1627"/>
      <c r="AB14" s="1627"/>
      <c r="AC14" s="1625"/>
      <c r="AD14" s="1627"/>
      <c r="AE14" s="1627"/>
      <c r="AF14" s="1627"/>
      <c r="AG14" s="1625"/>
      <c r="AH14" s="1627"/>
      <c r="AI14" s="1627"/>
      <c r="AJ14" s="1627"/>
    </row>
    <row r="15" spans="1:43" s="1914" customFormat="1">
      <c r="A15" s="1904">
        <f t="shared" si="2"/>
        <v>12</v>
      </c>
      <c r="B15" s="1904"/>
      <c r="C15" s="1904"/>
      <c r="D15" s="1904"/>
      <c r="E15" s="1904"/>
      <c r="F15" s="1904"/>
      <c r="G15" s="1904"/>
      <c r="H15" s="1904"/>
      <c r="I15" s="1904"/>
      <c r="J15" s="1904"/>
      <c r="K15" s="1904"/>
      <c r="L15" s="1904"/>
      <c r="M15" s="1904"/>
      <c r="N15" s="1904">
        <f t="shared" ref="N15:N23" si="4">B15*M15</f>
        <v>0</v>
      </c>
      <c r="O15" s="1904"/>
      <c r="P15" s="1904">
        <f t="shared" si="3"/>
        <v>0</v>
      </c>
      <c r="Q15" s="1641"/>
      <c r="R15" s="1625"/>
      <c r="S15" s="1627"/>
      <c r="T15" s="1627"/>
      <c r="U15" s="1625"/>
      <c r="V15" s="1627"/>
      <c r="W15" s="1627"/>
      <c r="X15" s="1627"/>
      <c r="Y15" s="1625"/>
      <c r="Z15" s="1627"/>
      <c r="AA15" s="1627"/>
      <c r="AB15" s="1627"/>
      <c r="AC15" s="1625"/>
      <c r="AD15" s="1627"/>
      <c r="AE15" s="1627"/>
      <c r="AF15" s="1627"/>
      <c r="AG15" s="1625"/>
      <c r="AH15" s="1627"/>
      <c r="AI15" s="1627"/>
      <c r="AJ15" s="1627"/>
    </row>
    <row r="16" spans="1:43" s="1914" customFormat="1">
      <c r="A16" s="1626">
        <f t="shared" si="2"/>
        <v>13</v>
      </c>
      <c r="B16" s="1626"/>
      <c r="C16" s="1626"/>
      <c r="D16" s="1626"/>
      <c r="E16" s="1626"/>
      <c r="F16" s="1626"/>
      <c r="G16" s="1626"/>
      <c r="H16" s="1626"/>
      <c r="I16" s="1626"/>
      <c r="J16" s="1626"/>
      <c r="K16" s="1626"/>
      <c r="L16" s="1626"/>
      <c r="M16" s="1626"/>
      <c r="N16" s="1904">
        <f t="shared" si="4"/>
        <v>0</v>
      </c>
      <c r="O16" s="1904"/>
      <c r="P16" s="1904">
        <f t="shared" ref="P16:P23" si="5">O16*B16</f>
        <v>0</v>
      </c>
      <c r="Q16" s="1641"/>
      <c r="R16" s="1625"/>
      <c r="S16" s="1627"/>
      <c r="T16" s="1627"/>
      <c r="U16" s="1625"/>
      <c r="V16" s="1627"/>
      <c r="W16" s="1627"/>
      <c r="X16" s="1627"/>
      <c r="Y16" s="1625"/>
      <c r="Z16" s="1627"/>
      <c r="AA16" s="1627"/>
      <c r="AB16" s="1627"/>
      <c r="AC16" s="1625"/>
      <c r="AD16" s="1627"/>
      <c r="AE16" s="1627"/>
      <c r="AF16" s="1627"/>
      <c r="AG16" s="1625"/>
      <c r="AH16" s="1627"/>
      <c r="AI16" s="1627"/>
      <c r="AJ16" s="1627"/>
    </row>
    <row r="17" spans="1:36" s="1914" customFormat="1">
      <c r="A17" s="1904">
        <f t="shared" si="2"/>
        <v>14</v>
      </c>
      <c r="B17" s="1904"/>
      <c r="C17" s="1904"/>
      <c r="D17" s="1904"/>
      <c r="E17" s="1904"/>
      <c r="F17" s="1904"/>
      <c r="G17" s="1904"/>
      <c r="H17" s="1904"/>
      <c r="I17" s="1904"/>
      <c r="J17" s="1904"/>
      <c r="K17" s="1904"/>
      <c r="L17" s="1904"/>
      <c r="M17" s="1904"/>
      <c r="N17" s="1904">
        <f t="shared" si="4"/>
        <v>0</v>
      </c>
      <c r="O17" s="1904"/>
      <c r="P17" s="1904">
        <f t="shared" si="5"/>
        <v>0</v>
      </c>
      <c r="Q17" s="1641"/>
      <c r="R17" s="1625"/>
      <c r="S17" s="1627"/>
      <c r="T17" s="1627"/>
      <c r="U17" s="1625"/>
      <c r="V17" s="1627"/>
      <c r="W17" s="1627"/>
      <c r="X17" s="1627"/>
      <c r="Y17" s="1625"/>
      <c r="Z17" s="1627"/>
      <c r="AA17" s="1627"/>
      <c r="AB17" s="1627"/>
      <c r="AC17" s="1625"/>
      <c r="AD17" s="1627"/>
      <c r="AE17" s="1627"/>
      <c r="AF17" s="1627"/>
      <c r="AG17" s="1625"/>
      <c r="AH17" s="1627"/>
      <c r="AI17" s="1627"/>
      <c r="AJ17" s="1627"/>
    </row>
    <row r="18" spans="1:36" s="1914" customFormat="1">
      <c r="A18" s="1626">
        <f t="shared" si="2"/>
        <v>15</v>
      </c>
      <c r="B18" s="1626"/>
      <c r="C18" s="1626"/>
      <c r="D18" s="1626"/>
      <c r="E18" s="1626"/>
      <c r="F18" s="1626"/>
      <c r="G18" s="1626"/>
      <c r="H18" s="1626"/>
      <c r="I18" s="1626"/>
      <c r="J18" s="1626"/>
      <c r="K18" s="1626"/>
      <c r="L18" s="1626"/>
      <c r="M18" s="1626"/>
      <c r="N18" s="1904">
        <f t="shared" si="4"/>
        <v>0</v>
      </c>
      <c r="O18" s="1904"/>
      <c r="P18" s="1904">
        <f t="shared" si="5"/>
        <v>0</v>
      </c>
      <c r="Q18" s="1641"/>
      <c r="R18" s="1625"/>
      <c r="S18" s="1627"/>
      <c r="T18" s="1627"/>
      <c r="U18" s="1625"/>
      <c r="V18" s="1627"/>
      <c r="W18" s="1627"/>
      <c r="X18" s="1627"/>
      <c r="Y18" s="1625"/>
      <c r="Z18" s="1627"/>
      <c r="AA18" s="1627"/>
      <c r="AB18" s="1627"/>
      <c r="AC18" s="1625"/>
      <c r="AD18" s="1627"/>
      <c r="AE18" s="1627"/>
      <c r="AF18" s="1627"/>
      <c r="AG18" s="1625"/>
      <c r="AH18" s="1627"/>
      <c r="AI18" s="1627"/>
      <c r="AJ18" s="1627"/>
    </row>
    <row r="19" spans="1:36" s="1914" customFormat="1">
      <c r="A19" s="1904">
        <f t="shared" si="2"/>
        <v>16</v>
      </c>
      <c r="B19" s="1904"/>
      <c r="C19" s="1904"/>
      <c r="D19" s="1904"/>
      <c r="E19" s="1904"/>
      <c r="F19" s="1904"/>
      <c r="G19" s="1904"/>
      <c r="H19" s="1904"/>
      <c r="I19" s="1904"/>
      <c r="J19" s="1904"/>
      <c r="K19" s="1904"/>
      <c r="L19" s="1904"/>
      <c r="M19" s="1904"/>
      <c r="N19" s="1904">
        <f t="shared" si="4"/>
        <v>0</v>
      </c>
      <c r="O19" s="1904"/>
      <c r="P19" s="1904">
        <f t="shared" si="5"/>
        <v>0</v>
      </c>
      <c r="Q19" s="1641"/>
      <c r="R19" s="1625"/>
      <c r="S19" s="1627"/>
      <c r="T19" s="1627"/>
      <c r="U19" s="1625"/>
      <c r="V19" s="1627"/>
      <c r="W19" s="1627"/>
      <c r="X19" s="1627"/>
      <c r="Y19" s="1625"/>
      <c r="Z19" s="1627"/>
      <c r="AA19" s="1627"/>
      <c r="AB19" s="1627"/>
      <c r="AC19" s="1625"/>
      <c r="AD19" s="1627"/>
      <c r="AE19" s="1627"/>
      <c r="AF19" s="1627"/>
      <c r="AG19" s="1625"/>
      <c r="AH19" s="1627"/>
      <c r="AI19" s="1627"/>
      <c r="AJ19" s="1627"/>
    </row>
    <row r="20" spans="1:36" s="1914" customFormat="1">
      <c r="A20" s="1626">
        <f t="shared" si="2"/>
        <v>17</v>
      </c>
      <c r="B20" s="1626"/>
      <c r="C20" s="1626"/>
      <c r="D20" s="1626"/>
      <c r="E20" s="1626"/>
      <c r="F20" s="1626"/>
      <c r="G20" s="1626"/>
      <c r="H20" s="1626"/>
      <c r="I20" s="1626"/>
      <c r="J20" s="1626"/>
      <c r="K20" s="1626"/>
      <c r="L20" s="1626"/>
      <c r="M20" s="1626"/>
      <c r="N20" s="1904">
        <f t="shared" si="4"/>
        <v>0</v>
      </c>
      <c r="O20" s="1904"/>
      <c r="P20" s="1904">
        <f t="shared" si="5"/>
        <v>0</v>
      </c>
      <c r="Q20" s="1641"/>
      <c r="R20" s="1625"/>
      <c r="S20" s="1627"/>
      <c r="T20" s="1627"/>
      <c r="U20" s="1625"/>
      <c r="V20" s="1627"/>
      <c r="W20" s="1627"/>
      <c r="X20" s="1627"/>
      <c r="Y20" s="1625"/>
      <c r="Z20" s="1627"/>
      <c r="AA20" s="1627"/>
      <c r="AB20" s="1627"/>
      <c r="AC20" s="1625"/>
      <c r="AD20" s="1627"/>
      <c r="AE20" s="1627"/>
      <c r="AF20" s="1627"/>
      <c r="AG20" s="1625"/>
      <c r="AH20" s="1627"/>
      <c r="AI20" s="1627"/>
      <c r="AJ20" s="1627"/>
    </row>
    <row r="21" spans="1:36" s="1914" customFormat="1">
      <c r="A21" s="1904">
        <f t="shared" si="2"/>
        <v>18</v>
      </c>
      <c r="B21" s="1904"/>
      <c r="C21" s="1904"/>
      <c r="D21" s="1904"/>
      <c r="E21" s="1904"/>
      <c r="F21" s="1904"/>
      <c r="G21" s="1904"/>
      <c r="H21" s="1904"/>
      <c r="I21" s="1904"/>
      <c r="J21" s="1904"/>
      <c r="K21" s="1904"/>
      <c r="L21" s="1904"/>
      <c r="M21" s="1904"/>
      <c r="N21" s="1904">
        <f t="shared" si="4"/>
        <v>0</v>
      </c>
      <c r="O21" s="1904"/>
      <c r="P21" s="1904">
        <f t="shared" si="5"/>
        <v>0</v>
      </c>
      <c r="Q21" s="1641"/>
      <c r="R21" s="1625"/>
      <c r="S21" s="1627"/>
      <c r="T21" s="1627"/>
      <c r="U21" s="1625"/>
      <c r="V21" s="1627"/>
      <c r="W21" s="1627"/>
      <c r="X21" s="1627"/>
      <c r="Y21" s="1625"/>
      <c r="Z21" s="1627"/>
      <c r="AA21" s="1627"/>
      <c r="AB21" s="1627"/>
      <c r="AC21" s="1625"/>
      <c r="AD21" s="1627"/>
      <c r="AE21" s="1627"/>
      <c r="AF21" s="1627"/>
      <c r="AG21" s="1625"/>
      <c r="AH21" s="1627"/>
      <c r="AI21" s="1627"/>
      <c r="AJ21" s="1627"/>
    </row>
    <row r="22" spans="1:36" s="1914" customFormat="1">
      <c r="A22" s="1626">
        <f t="shared" si="2"/>
        <v>19</v>
      </c>
      <c r="B22" s="1626"/>
      <c r="C22" s="1626"/>
      <c r="D22" s="1626"/>
      <c r="E22" s="1626"/>
      <c r="F22" s="1626"/>
      <c r="G22" s="1626"/>
      <c r="H22" s="1626"/>
      <c r="I22" s="1626"/>
      <c r="J22" s="1626"/>
      <c r="K22" s="1626"/>
      <c r="L22" s="1626"/>
      <c r="M22" s="1626"/>
      <c r="N22" s="1904">
        <f t="shared" si="4"/>
        <v>0</v>
      </c>
      <c r="O22" s="1904"/>
      <c r="P22" s="1904">
        <f t="shared" si="5"/>
        <v>0</v>
      </c>
      <c r="Q22" s="1641"/>
      <c r="R22" s="1625"/>
      <c r="S22" s="1627"/>
      <c r="T22" s="1627"/>
      <c r="U22" s="1625"/>
      <c r="V22" s="1627"/>
      <c r="W22" s="1627"/>
      <c r="X22" s="1627"/>
      <c r="Y22" s="1625"/>
      <c r="Z22" s="1627"/>
      <c r="AA22" s="1627"/>
      <c r="AB22" s="1627"/>
      <c r="AC22" s="1625"/>
      <c r="AD22" s="1627"/>
      <c r="AE22" s="1627"/>
      <c r="AF22" s="1627"/>
      <c r="AG22" s="1625"/>
      <c r="AH22" s="1627"/>
      <c r="AI22" s="1627"/>
      <c r="AJ22" s="1627"/>
    </row>
    <row r="23" spans="1:36" s="1914" customFormat="1">
      <c r="A23" s="1904">
        <f t="shared" si="2"/>
        <v>20</v>
      </c>
      <c r="B23" s="1904"/>
      <c r="C23" s="1904"/>
      <c r="D23" s="1904"/>
      <c r="E23" s="1904"/>
      <c r="F23" s="1904"/>
      <c r="G23" s="1904"/>
      <c r="H23" s="1904"/>
      <c r="I23" s="1904"/>
      <c r="J23" s="1904"/>
      <c r="K23" s="1904"/>
      <c r="L23" s="1904"/>
      <c r="M23" s="1904"/>
      <c r="N23" s="1904">
        <f t="shared" si="4"/>
        <v>0</v>
      </c>
      <c r="O23" s="1904"/>
      <c r="P23" s="1904">
        <f t="shared" si="5"/>
        <v>0</v>
      </c>
      <c r="Q23" s="1641"/>
      <c r="R23" s="1625"/>
      <c r="S23" s="1627"/>
      <c r="T23" s="1627"/>
      <c r="U23" s="1625"/>
      <c r="V23" s="1627"/>
      <c r="W23" s="1627"/>
      <c r="X23" s="1627"/>
      <c r="Y23" s="1625"/>
      <c r="Z23" s="1627"/>
      <c r="AA23" s="1627"/>
      <c r="AB23" s="1627"/>
      <c r="AC23" s="1625"/>
      <c r="AD23" s="1627"/>
      <c r="AE23" s="1627"/>
      <c r="AF23" s="1627"/>
      <c r="AG23" s="1625"/>
      <c r="AH23" s="1627"/>
      <c r="AI23" s="1627"/>
      <c r="AJ23" s="1627"/>
    </row>
    <row r="24" spans="1:36" s="1914" customFormat="1">
      <c r="A24" s="1626">
        <f t="shared" si="2"/>
        <v>21</v>
      </c>
      <c r="B24" s="1626"/>
      <c r="C24" s="1626"/>
      <c r="D24" s="1626"/>
      <c r="E24" s="1626"/>
      <c r="F24" s="1626"/>
      <c r="G24" s="1626"/>
      <c r="H24" s="1626"/>
      <c r="I24" s="1626"/>
      <c r="J24" s="1626"/>
      <c r="K24" s="1626"/>
      <c r="L24" s="1626"/>
      <c r="M24" s="1626"/>
      <c r="N24" s="1904">
        <f t="shared" ref="N24:N31" si="6">B24*M24</f>
        <v>0</v>
      </c>
      <c r="O24" s="1904"/>
      <c r="P24" s="1904">
        <f t="shared" ref="P24:P31" si="7">O24*B24</f>
        <v>0</v>
      </c>
      <c r="Q24" s="1641"/>
      <c r="R24" s="1625"/>
      <c r="S24" s="1627"/>
      <c r="T24" s="1627"/>
      <c r="U24" s="1625"/>
      <c r="V24" s="1627"/>
      <c r="W24" s="1627"/>
      <c r="X24" s="1627"/>
      <c r="Y24" s="1625"/>
      <c r="Z24" s="1627"/>
      <c r="AA24" s="1627"/>
      <c r="AB24" s="1627"/>
      <c r="AC24" s="1625"/>
      <c r="AD24" s="1627"/>
      <c r="AE24" s="1627"/>
      <c r="AF24" s="1627"/>
      <c r="AG24" s="1625"/>
      <c r="AH24" s="1627"/>
      <c r="AI24" s="1627"/>
      <c r="AJ24" s="1627"/>
    </row>
    <row r="25" spans="1:36" s="1914" customFormat="1">
      <c r="A25" s="1904">
        <f t="shared" si="2"/>
        <v>22</v>
      </c>
      <c r="B25" s="1904"/>
      <c r="C25" s="1904"/>
      <c r="D25" s="1904"/>
      <c r="E25" s="1904"/>
      <c r="F25" s="1904"/>
      <c r="G25" s="1904"/>
      <c r="H25" s="1904"/>
      <c r="I25" s="1904"/>
      <c r="J25" s="1904"/>
      <c r="K25" s="1904"/>
      <c r="L25" s="1904"/>
      <c r="M25" s="1904"/>
      <c r="N25" s="1904">
        <f t="shared" si="6"/>
        <v>0</v>
      </c>
      <c r="O25" s="1904"/>
      <c r="P25" s="1904">
        <f t="shared" si="7"/>
        <v>0</v>
      </c>
      <c r="Q25" s="1641"/>
      <c r="R25" s="1625"/>
      <c r="S25" s="1627"/>
      <c r="T25" s="1627"/>
      <c r="U25" s="1625"/>
      <c r="V25" s="1627"/>
      <c r="W25" s="1627"/>
      <c r="X25" s="1627"/>
      <c r="Y25" s="1625"/>
      <c r="Z25" s="1627"/>
      <c r="AA25" s="1627"/>
      <c r="AB25" s="1627"/>
      <c r="AC25" s="1625"/>
      <c r="AD25" s="1627"/>
      <c r="AE25" s="1627"/>
      <c r="AF25" s="1627"/>
      <c r="AG25" s="1625"/>
      <c r="AH25" s="1627"/>
      <c r="AI25" s="1627"/>
      <c r="AJ25" s="1627"/>
    </row>
    <row r="26" spans="1:36" s="1914" customFormat="1">
      <c r="A26" s="1626">
        <f t="shared" si="2"/>
        <v>23</v>
      </c>
      <c r="B26" s="1626"/>
      <c r="C26" s="1626"/>
      <c r="D26" s="1626"/>
      <c r="E26" s="1626"/>
      <c r="F26" s="1626"/>
      <c r="G26" s="1626"/>
      <c r="H26" s="1626"/>
      <c r="I26" s="1626"/>
      <c r="J26" s="1626"/>
      <c r="K26" s="1626"/>
      <c r="L26" s="1626"/>
      <c r="M26" s="1626"/>
      <c r="N26" s="1904">
        <f t="shared" si="6"/>
        <v>0</v>
      </c>
      <c r="O26" s="1904"/>
      <c r="P26" s="1904">
        <f t="shared" si="7"/>
        <v>0</v>
      </c>
      <c r="Q26" s="1641"/>
      <c r="R26" s="1625"/>
      <c r="S26" s="1627"/>
      <c r="T26" s="1627"/>
      <c r="U26" s="1625"/>
      <c r="V26" s="1627"/>
      <c r="W26" s="1627"/>
      <c r="X26" s="1627"/>
      <c r="Y26" s="1625"/>
      <c r="Z26" s="1627"/>
      <c r="AA26" s="1627"/>
      <c r="AB26" s="1627"/>
      <c r="AC26" s="1625"/>
      <c r="AD26" s="1627"/>
      <c r="AE26" s="1627"/>
      <c r="AF26" s="1627"/>
      <c r="AG26" s="1625"/>
      <c r="AH26" s="1627"/>
      <c r="AI26" s="1627"/>
      <c r="AJ26" s="1627"/>
    </row>
    <row r="27" spans="1:36" s="1914" customFormat="1">
      <c r="A27" s="1904">
        <f t="shared" si="2"/>
        <v>24</v>
      </c>
      <c r="B27" s="1904"/>
      <c r="C27" s="1904"/>
      <c r="D27" s="1904"/>
      <c r="E27" s="1904"/>
      <c r="F27" s="1904"/>
      <c r="G27" s="1904"/>
      <c r="H27" s="1904"/>
      <c r="I27" s="1904"/>
      <c r="J27" s="1904"/>
      <c r="K27" s="1904"/>
      <c r="L27" s="1904"/>
      <c r="M27" s="1904"/>
      <c r="N27" s="1904">
        <f t="shared" si="6"/>
        <v>0</v>
      </c>
      <c r="O27" s="1904"/>
      <c r="P27" s="1904">
        <f t="shared" si="7"/>
        <v>0</v>
      </c>
      <c r="Q27" s="1641"/>
      <c r="R27" s="1625"/>
      <c r="S27" s="1627"/>
      <c r="T27" s="1627"/>
      <c r="U27" s="1625"/>
      <c r="V27" s="1627"/>
      <c r="W27" s="1627"/>
      <c r="X27" s="1627"/>
      <c r="Y27" s="1625"/>
      <c r="Z27" s="1627"/>
      <c r="AA27" s="1627"/>
      <c r="AB27" s="1627"/>
      <c r="AC27" s="1625"/>
      <c r="AD27" s="1627"/>
      <c r="AE27" s="1627"/>
      <c r="AF27" s="1627"/>
      <c r="AG27" s="1625"/>
      <c r="AH27" s="1627"/>
      <c r="AI27" s="1627"/>
      <c r="AJ27" s="1627"/>
    </row>
    <row r="28" spans="1:36" s="1914" customFormat="1">
      <c r="A28" s="1626">
        <f t="shared" si="2"/>
        <v>25</v>
      </c>
      <c r="B28" s="1626"/>
      <c r="C28" s="1626"/>
      <c r="D28" s="1626"/>
      <c r="E28" s="1626"/>
      <c r="F28" s="1626"/>
      <c r="G28" s="1626"/>
      <c r="H28" s="1626"/>
      <c r="I28" s="1626"/>
      <c r="J28" s="1626"/>
      <c r="K28" s="1626"/>
      <c r="L28" s="1626"/>
      <c r="M28" s="1626"/>
      <c r="N28" s="1904">
        <f t="shared" si="6"/>
        <v>0</v>
      </c>
      <c r="O28" s="1904"/>
      <c r="P28" s="1904">
        <f t="shared" si="7"/>
        <v>0</v>
      </c>
      <c r="Q28" s="1641"/>
      <c r="R28" s="1625"/>
      <c r="S28" s="1627"/>
      <c r="T28" s="1627"/>
      <c r="U28" s="1625"/>
      <c r="V28" s="1627"/>
      <c r="W28" s="1627"/>
      <c r="X28" s="1627"/>
      <c r="Y28" s="1625"/>
      <c r="Z28" s="1627"/>
      <c r="AA28" s="1627"/>
      <c r="AB28" s="1627"/>
      <c r="AC28" s="1625"/>
      <c r="AD28" s="1627"/>
      <c r="AE28" s="1627"/>
      <c r="AF28" s="1627"/>
      <c r="AG28" s="1625"/>
      <c r="AH28" s="1627"/>
      <c r="AI28" s="1627"/>
      <c r="AJ28" s="1627"/>
    </row>
    <row r="29" spans="1:36" s="1914" customFormat="1">
      <c r="A29" s="1904">
        <f t="shared" si="2"/>
        <v>26</v>
      </c>
      <c r="B29" s="1904"/>
      <c r="C29" s="1904"/>
      <c r="D29" s="1904"/>
      <c r="E29" s="1904"/>
      <c r="F29" s="1904"/>
      <c r="G29" s="1904"/>
      <c r="H29" s="1904"/>
      <c r="I29" s="1904"/>
      <c r="J29" s="1904"/>
      <c r="K29" s="1904"/>
      <c r="L29" s="1904"/>
      <c r="M29" s="1904"/>
      <c r="N29" s="1904">
        <f t="shared" si="6"/>
        <v>0</v>
      </c>
      <c r="O29" s="1904"/>
      <c r="P29" s="1904">
        <f t="shared" si="7"/>
        <v>0</v>
      </c>
      <c r="Q29" s="1641"/>
      <c r="R29" s="1625"/>
      <c r="S29" s="1627"/>
      <c r="T29" s="1627"/>
      <c r="U29" s="1625"/>
      <c r="V29" s="1627"/>
      <c r="W29" s="1627"/>
      <c r="X29" s="1627"/>
      <c r="Y29" s="1625"/>
      <c r="Z29" s="1627"/>
      <c r="AA29" s="1627"/>
      <c r="AB29" s="1627"/>
      <c r="AC29" s="1625"/>
      <c r="AD29" s="1627"/>
      <c r="AE29" s="1627"/>
      <c r="AF29" s="1627"/>
      <c r="AG29" s="1625"/>
      <c r="AH29" s="1627"/>
      <c r="AI29" s="1627"/>
      <c r="AJ29" s="1627"/>
    </row>
    <row r="30" spans="1:36" s="1914" customFormat="1">
      <c r="A30" s="1626">
        <f t="shared" si="2"/>
        <v>27</v>
      </c>
      <c r="B30" s="1626"/>
      <c r="C30" s="1626"/>
      <c r="D30" s="1626"/>
      <c r="E30" s="1626"/>
      <c r="F30" s="1626"/>
      <c r="G30" s="1626"/>
      <c r="H30" s="1626"/>
      <c r="I30" s="1626"/>
      <c r="J30" s="1626"/>
      <c r="K30" s="1626"/>
      <c r="L30" s="1626"/>
      <c r="M30" s="1626"/>
      <c r="N30" s="1904">
        <f t="shared" si="6"/>
        <v>0</v>
      </c>
      <c r="O30" s="1904"/>
      <c r="P30" s="1904">
        <f t="shared" si="7"/>
        <v>0</v>
      </c>
      <c r="Q30" s="1641"/>
      <c r="R30" s="1625"/>
      <c r="S30" s="1627"/>
      <c r="T30" s="1627"/>
      <c r="U30" s="1625"/>
      <c r="V30" s="1627"/>
      <c r="W30" s="1627"/>
      <c r="X30" s="1627"/>
      <c r="Y30" s="1625"/>
      <c r="Z30" s="1627"/>
      <c r="AA30" s="1627"/>
      <c r="AB30" s="1627"/>
      <c r="AC30" s="1625"/>
      <c r="AD30" s="1627"/>
      <c r="AE30" s="1627"/>
      <c r="AF30" s="1627"/>
      <c r="AG30" s="1625"/>
      <c r="AH30" s="1627"/>
      <c r="AI30" s="1627"/>
      <c r="AJ30" s="1627"/>
    </row>
    <row r="31" spans="1:36" s="1914" customFormat="1">
      <c r="A31" s="1904">
        <f t="shared" si="2"/>
        <v>28</v>
      </c>
      <c r="B31" s="1904"/>
      <c r="C31" s="1904"/>
      <c r="D31" s="1904"/>
      <c r="E31" s="1904"/>
      <c r="F31" s="1904"/>
      <c r="G31" s="1904"/>
      <c r="H31" s="1904"/>
      <c r="I31" s="1904"/>
      <c r="J31" s="1904"/>
      <c r="K31" s="1904"/>
      <c r="L31" s="1904"/>
      <c r="M31" s="1904"/>
      <c r="N31" s="1904">
        <f t="shared" si="6"/>
        <v>0</v>
      </c>
      <c r="O31" s="1904"/>
      <c r="P31" s="1904">
        <f t="shared" si="7"/>
        <v>0</v>
      </c>
      <c r="Q31" s="1641"/>
      <c r="R31" s="1625"/>
      <c r="S31" s="1627"/>
      <c r="T31" s="1627"/>
      <c r="U31" s="1625"/>
      <c r="V31" s="1627"/>
      <c r="W31" s="1627"/>
      <c r="X31" s="1627"/>
      <c r="Y31" s="1625"/>
      <c r="Z31" s="1627"/>
      <c r="AA31" s="1627"/>
      <c r="AB31" s="1627"/>
      <c r="AC31" s="1625"/>
      <c r="AD31" s="1627"/>
      <c r="AE31" s="1627"/>
      <c r="AF31" s="1627"/>
      <c r="AG31" s="1625"/>
      <c r="AH31" s="1627"/>
      <c r="AI31" s="1627"/>
      <c r="AJ31" s="1627"/>
    </row>
    <row r="32" spans="1:36" s="1914" customFormat="1">
      <c r="A32" s="1626">
        <f t="shared" si="2"/>
        <v>29</v>
      </c>
      <c r="B32" s="1626"/>
      <c r="C32" s="1626"/>
      <c r="D32" s="1626"/>
      <c r="E32" s="1626"/>
      <c r="F32" s="1626"/>
      <c r="G32" s="1626"/>
      <c r="H32" s="1626"/>
      <c r="I32" s="1626"/>
      <c r="J32" s="1626"/>
      <c r="K32" s="1626"/>
      <c r="L32" s="1626"/>
      <c r="M32" s="1626"/>
      <c r="N32" s="1904">
        <f>B32*M32</f>
        <v>0</v>
      </c>
      <c r="O32" s="1904"/>
      <c r="P32" s="1904">
        <f>O32*B32</f>
        <v>0</v>
      </c>
      <c r="Q32" s="1641"/>
      <c r="R32" s="1625"/>
      <c r="S32" s="1627"/>
      <c r="T32" s="1627"/>
      <c r="U32" s="1625"/>
      <c r="V32" s="1627"/>
      <c r="W32" s="1627"/>
      <c r="X32" s="1627"/>
      <c r="Y32" s="1625"/>
      <c r="Z32" s="1627"/>
      <c r="AA32" s="1627"/>
      <c r="AB32" s="1627"/>
      <c r="AC32" s="1625"/>
      <c r="AD32" s="1627"/>
      <c r="AE32" s="1627"/>
      <c r="AF32" s="1627"/>
      <c r="AG32" s="1625"/>
      <c r="AH32" s="1627"/>
      <c r="AI32" s="1627"/>
      <c r="AJ32" s="1627"/>
    </row>
    <row r="33" spans="1:44" s="1665" customFormat="1" ht="12.75">
      <c r="J33" s="1914"/>
      <c r="K33" s="1914"/>
      <c r="L33" s="1914"/>
      <c r="N33" s="1676"/>
      <c r="W33" s="1698"/>
      <c r="AA33" s="1698"/>
      <c r="AE33" s="1698"/>
      <c r="AI33" s="1698"/>
    </row>
    <row r="35" spans="1:44" s="1914" customFormat="1">
      <c r="A35" s="1404" t="s">
        <v>1797</v>
      </c>
      <c r="D35" s="1406"/>
      <c r="E35" s="1946"/>
      <c r="H35" s="1406"/>
      <c r="I35" s="1406"/>
      <c r="J35" s="1406"/>
      <c r="K35" s="1406"/>
      <c r="L35" s="1406"/>
      <c r="M35" s="1406"/>
      <c r="N35" s="1406"/>
      <c r="O35" s="1406"/>
      <c r="P35" s="1406"/>
      <c r="Q35" s="1406"/>
      <c r="R35" s="1406"/>
      <c r="S35" s="1406"/>
      <c r="T35" s="1406"/>
      <c r="U35" s="1406"/>
      <c r="V35" s="1406"/>
      <c r="W35" s="1406"/>
      <c r="X35" s="1406"/>
      <c r="Y35" s="1406"/>
      <c r="Z35" s="1406"/>
      <c r="AA35" s="1406"/>
      <c r="AB35" s="1406"/>
      <c r="AC35" s="1406"/>
      <c r="AD35" s="1406"/>
      <c r="AE35" s="1406"/>
      <c r="AF35" s="1406"/>
      <c r="AG35" s="1406"/>
      <c r="AH35" s="1406"/>
      <c r="AI35" s="1406"/>
      <c r="AJ35" s="1406"/>
      <c r="AK35" s="1406"/>
      <c r="AL35" s="1406"/>
      <c r="AM35" s="1406"/>
      <c r="AN35" s="1406"/>
      <c r="AO35" s="1406"/>
      <c r="AP35" s="1406"/>
      <c r="AQ35" s="1406"/>
      <c r="AR35" s="1406"/>
    </row>
    <row r="36" spans="1:44" s="2228" customFormat="1" ht="38.25">
      <c r="A36" s="2223" t="s">
        <v>908</v>
      </c>
      <c r="B36" s="2223" t="s">
        <v>1796</v>
      </c>
      <c r="D36" s="2223" t="s">
        <v>1797</v>
      </c>
      <c r="E36" s="2223" t="s">
        <v>1613</v>
      </c>
      <c r="F36" s="2223" t="s">
        <v>2399</v>
      </c>
      <c r="G36" s="2223" t="s">
        <v>2620</v>
      </c>
      <c r="H36" s="2233" t="s">
        <v>1568</v>
      </c>
      <c r="I36" s="2228" t="s">
        <v>2334</v>
      </c>
      <c r="J36" s="2228" t="s">
        <v>2335</v>
      </c>
      <c r="K36" s="2234"/>
      <c r="L36" s="2234"/>
      <c r="M36" s="2234"/>
      <c r="N36" s="2234"/>
      <c r="O36" s="2234"/>
      <c r="P36" s="2234"/>
      <c r="Q36" s="2234"/>
      <c r="R36" s="2234"/>
      <c r="S36" s="2234"/>
      <c r="T36" s="2234"/>
      <c r="U36" s="2234"/>
      <c r="V36" s="2234"/>
      <c r="W36" s="2234"/>
      <c r="X36" s="2234"/>
      <c r="Y36" s="2234"/>
      <c r="Z36" s="2234"/>
      <c r="AA36" s="2234"/>
      <c r="AB36" s="2234"/>
      <c r="AC36" s="2234"/>
      <c r="AD36" s="2234"/>
      <c r="AE36" s="2234"/>
      <c r="AF36" s="2234"/>
      <c r="AG36" s="2234"/>
      <c r="AH36" s="2234"/>
      <c r="AI36" s="2234"/>
      <c r="AJ36" s="2234"/>
      <c r="AK36" s="2234"/>
      <c r="AL36" s="2234"/>
      <c r="AM36" s="2234"/>
      <c r="AN36" s="2234"/>
      <c r="AO36" s="2234"/>
      <c r="AP36" s="2234"/>
      <c r="AQ36" s="2234"/>
      <c r="AR36" s="2234"/>
    </row>
    <row r="37" spans="1:44" s="1914" customFormat="1">
      <c r="A37" s="1626">
        <v>1</v>
      </c>
      <c r="B37" s="1930" t="str">
        <f t="shared" ref="B37:B59" si="8">$B$68&amp;C4&amp;" "&amp;$C$68</f>
        <v>Pemasangan  (Full Aksesoris)</v>
      </c>
      <c r="D37" s="1626"/>
      <c r="E37" s="1626"/>
      <c r="F37" s="1626"/>
      <c r="G37" s="1626"/>
      <c r="H37" s="1626">
        <f>SUM(D37:G37)</f>
        <v>0</v>
      </c>
      <c r="I37" s="1914">
        <f t="shared" ref="I37:I65" si="9">H37*K4</f>
        <v>0</v>
      </c>
      <c r="J37" s="1914">
        <f t="shared" ref="J37:J65" si="10">H37*L4</f>
        <v>0</v>
      </c>
      <c r="K37" s="1578"/>
      <c r="L37" s="1578"/>
      <c r="M37" s="1946"/>
      <c r="N37" s="1406"/>
      <c r="O37" s="1406"/>
      <c r="P37" s="1406"/>
      <c r="Q37" s="1406"/>
      <c r="R37" s="1406"/>
      <c r="S37" s="1406"/>
      <c r="T37" s="1406"/>
      <c r="U37" s="1406"/>
      <c r="V37" s="1406"/>
      <c r="W37" s="1406"/>
      <c r="X37" s="1406"/>
      <c r="Y37" s="1406"/>
      <c r="Z37" s="1406"/>
      <c r="AA37" s="1406"/>
      <c r="AB37" s="1406"/>
      <c r="AC37" s="1406"/>
      <c r="AD37" s="1406"/>
      <c r="AE37" s="1406"/>
      <c r="AF37" s="1406"/>
      <c r="AG37" s="1406"/>
      <c r="AH37" s="1406"/>
      <c r="AI37" s="1406"/>
      <c r="AJ37" s="1406"/>
      <c r="AK37" s="1406"/>
      <c r="AL37" s="1406"/>
      <c r="AM37" s="1406"/>
      <c r="AN37" s="1406"/>
      <c r="AO37" s="1406"/>
      <c r="AP37" s="1406"/>
      <c r="AQ37" s="1406"/>
      <c r="AR37" s="1406"/>
    </row>
    <row r="38" spans="1:44" s="1914" customFormat="1">
      <c r="A38" s="1904">
        <f>A37+1</f>
        <v>2</v>
      </c>
      <c r="B38" s="2062" t="str">
        <f t="shared" si="8"/>
        <v>Pemasangan  (Full Aksesoris)</v>
      </c>
      <c r="D38" s="1904"/>
      <c r="E38" s="1904"/>
      <c r="F38" s="1904"/>
      <c r="G38" s="1904"/>
      <c r="H38" s="1626">
        <f t="shared" ref="H38:H65" si="11">SUM(D38:G38)</f>
        <v>0</v>
      </c>
      <c r="I38" s="1914">
        <f t="shared" si="9"/>
        <v>0</v>
      </c>
      <c r="J38" s="1914">
        <f t="shared" si="10"/>
        <v>0</v>
      </c>
      <c r="K38" s="1578"/>
      <c r="L38" s="1578"/>
      <c r="M38" s="1946"/>
      <c r="N38" s="1406"/>
      <c r="O38" s="1406"/>
      <c r="P38" s="1406"/>
      <c r="Q38" s="1406"/>
      <c r="R38" s="1406"/>
      <c r="S38" s="1406"/>
      <c r="T38" s="1406"/>
      <c r="U38" s="1406"/>
      <c r="V38" s="1406"/>
      <c r="W38" s="1406"/>
      <c r="X38" s="1406"/>
      <c r="Y38" s="1406"/>
      <c r="Z38" s="1406"/>
      <c r="AA38" s="1406"/>
      <c r="AB38" s="1406"/>
      <c r="AC38" s="1406"/>
      <c r="AD38" s="1406"/>
      <c r="AE38" s="1406"/>
      <c r="AF38" s="1406"/>
      <c r="AG38" s="1406"/>
      <c r="AH38" s="1406"/>
      <c r="AI38" s="1406"/>
      <c r="AJ38" s="1406"/>
      <c r="AK38" s="1406"/>
      <c r="AL38" s="1406"/>
      <c r="AM38" s="1406"/>
      <c r="AN38" s="1406"/>
      <c r="AO38" s="1406"/>
      <c r="AP38" s="1406"/>
      <c r="AQ38" s="1406"/>
      <c r="AR38" s="1406"/>
    </row>
    <row r="39" spans="1:44" s="1914" customFormat="1">
      <c r="A39" s="1626">
        <f t="shared" ref="A39:A65" si="12">A38+1</f>
        <v>3</v>
      </c>
      <c r="B39" s="1930" t="str">
        <f t="shared" si="8"/>
        <v>Pemasangan  (Full Aksesoris)</v>
      </c>
      <c r="D39" s="1626"/>
      <c r="E39" s="1626"/>
      <c r="F39" s="1626"/>
      <c r="G39" s="1626"/>
      <c r="H39" s="1626">
        <f t="shared" si="11"/>
        <v>0</v>
      </c>
      <c r="I39" s="1914">
        <f t="shared" si="9"/>
        <v>0</v>
      </c>
      <c r="J39" s="1914">
        <f t="shared" si="10"/>
        <v>0</v>
      </c>
      <c r="K39" s="1578"/>
      <c r="L39" s="1578"/>
      <c r="M39" s="1946"/>
      <c r="N39" s="1406"/>
      <c r="O39" s="1406"/>
      <c r="P39" s="1406"/>
      <c r="Q39" s="1406"/>
      <c r="R39" s="1406"/>
      <c r="S39" s="1406"/>
      <c r="T39" s="1406"/>
      <c r="U39" s="1406"/>
      <c r="V39" s="1406"/>
      <c r="W39" s="1406"/>
      <c r="X39" s="1406"/>
      <c r="Y39" s="1406"/>
      <c r="Z39" s="1406"/>
      <c r="AA39" s="1406"/>
      <c r="AB39" s="1406"/>
      <c r="AC39" s="1406"/>
      <c r="AD39" s="1406"/>
      <c r="AE39" s="1406"/>
      <c r="AF39" s="1406"/>
      <c r="AG39" s="1406"/>
      <c r="AH39" s="1406"/>
      <c r="AI39" s="1406"/>
      <c r="AJ39" s="1406"/>
      <c r="AK39" s="1406"/>
      <c r="AL39" s="1406"/>
      <c r="AM39" s="1406"/>
      <c r="AN39" s="1406"/>
      <c r="AO39" s="1406"/>
      <c r="AP39" s="1406"/>
      <c r="AQ39" s="1406"/>
      <c r="AR39" s="1406"/>
    </row>
    <row r="40" spans="1:44" s="1914" customFormat="1">
      <c r="A40" s="1904">
        <f t="shared" si="12"/>
        <v>4</v>
      </c>
      <c r="B40" s="2062" t="str">
        <f t="shared" si="8"/>
        <v>Pemasangan  (Full Aksesoris)</v>
      </c>
      <c r="D40" s="1904"/>
      <c r="E40" s="1904"/>
      <c r="F40" s="1904"/>
      <c r="G40" s="1904"/>
      <c r="H40" s="1626">
        <f t="shared" si="11"/>
        <v>0</v>
      </c>
      <c r="I40" s="1914">
        <f t="shared" si="9"/>
        <v>0</v>
      </c>
      <c r="J40" s="1914">
        <f t="shared" si="10"/>
        <v>0</v>
      </c>
      <c r="K40" s="1578"/>
      <c r="L40" s="1578"/>
      <c r="M40" s="1946"/>
      <c r="N40" s="1406"/>
      <c r="O40" s="1406"/>
      <c r="P40" s="1406"/>
      <c r="Q40" s="1406"/>
      <c r="R40" s="1406"/>
      <c r="S40" s="1406"/>
      <c r="T40" s="1406"/>
      <c r="U40" s="1406"/>
      <c r="V40" s="1406"/>
      <c r="W40" s="1406"/>
      <c r="X40" s="1406"/>
      <c r="Y40" s="1406"/>
      <c r="Z40" s="1406"/>
      <c r="AA40" s="1406"/>
      <c r="AB40" s="1406"/>
      <c r="AC40" s="1406"/>
      <c r="AD40" s="1406"/>
      <c r="AE40" s="1406"/>
      <c r="AF40" s="1406"/>
      <c r="AG40" s="1406"/>
      <c r="AH40" s="1406"/>
      <c r="AI40" s="1406"/>
      <c r="AJ40" s="1406"/>
      <c r="AK40" s="1406"/>
      <c r="AL40" s="1406"/>
      <c r="AM40" s="1406"/>
      <c r="AN40" s="1406"/>
      <c r="AO40" s="1406"/>
      <c r="AP40" s="1406"/>
      <c r="AQ40" s="1406"/>
      <c r="AR40" s="1406"/>
    </row>
    <row r="41" spans="1:44" s="1914" customFormat="1">
      <c r="A41" s="1626">
        <f t="shared" si="12"/>
        <v>5</v>
      </c>
      <c r="B41" s="1930" t="str">
        <f t="shared" si="8"/>
        <v>Pemasangan  (Full Aksesoris)</v>
      </c>
      <c r="D41" s="1626"/>
      <c r="E41" s="1626"/>
      <c r="F41" s="1626"/>
      <c r="G41" s="1626"/>
      <c r="H41" s="1626">
        <f t="shared" si="11"/>
        <v>0</v>
      </c>
      <c r="I41" s="1914">
        <f t="shared" si="9"/>
        <v>0</v>
      </c>
      <c r="J41" s="1914">
        <f t="shared" si="10"/>
        <v>0</v>
      </c>
      <c r="K41" s="1578"/>
      <c r="L41" s="1578"/>
      <c r="M41" s="1946"/>
      <c r="N41" s="1406"/>
      <c r="O41" s="1406"/>
      <c r="P41" s="1406"/>
      <c r="Q41" s="1406"/>
      <c r="R41" s="1406"/>
      <c r="S41" s="1406"/>
      <c r="T41" s="1406"/>
      <c r="U41" s="1406"/>
      <c r="V41" s="1406"/>
      <c r="W41" s="1406"/>
      <c r="X41" s="1406"/>
      <c r="Y41" s="1406"/>
      <c r="Z41" s="1406"/>
      <c r="AA41" s="1406"/>
      <c r="AB41" s="1406"/>
      <c r="AC41" s="1406"/>
      <c r="AD41" s="1406"/>
      <c r="AE41" s="1406"/>
      <c r="AF41" s="1406"/>
      <c r="AG41" s="1406"/>
      <c r="AH41" s="1406"/>
      <c r="AI41" s="1406"/>
      <c r="AJ41" s="1406"/>
      <c r="AK41" s="1406"/>
      <c r="AL41" s="1406"/>
      <c r="AM41" s="1406"/>
      <c r="AN41" s="1406"/>
      <c r="AO41" s="1406"/>
      <c r="AP41" s="1406"/>
      <c r="AQ41" s="1406"/>
      <c r="AR41" s="1406"/>
    </row>
    <row r="42" spans="1:44" s="1914" customFormat="1">
      <c r="A42" s="1904">
        <f t="shared" si="12"/>
        <v>6</v>
      </c>
      <c r="B42" s="2062" t="str">
        <f t="shared" si="8"/>
        <v>Pemasangan  (Full Aksesoris)</v>
      </c>
      <c r="D42" s="1904"/>
      <c r="E42" s="1904"/>
      <c r="F42" s="1904"/>
      <c r="G42" s="1904"/>
      <c r="H42" s="1626">
        <f t="shared" si="11"/>
        <v>0</v>
      </c>
      <c r="I42" s="1914">
        <f t="shared" si="9"/>
        <v>0</v>
      </c>
      <c r="J42" s="1914">
        <f t="shared" si="10"/>
        <v>0</v>
      </c>
      <c r="K42" s="1578"/>
      <c r="L42" s="1578"/>
      <c r="M42" s="1946"/>
      <c r="N42" s="1406"/>
      <c r="O42" s="1406"/>
      <c r="P42" s="1406"/>
      <c r="Q42" s="1406"/>
      <c r="R42" s="1406"/>
      <c r="S42" s="1406"/>
      <c r="T42" s="1406"/>
      <c r="U42" s="1406"/>
      <c r="V42" s="1406"/>
      <c r="W42" s="1406"/>
      <c r="X42" s="1406"/>
      <c r="Y42" s="1406"/>
      <c r="Z42" s="1406"/>
      <c r="AA42" s="1406"/>
      <c r="AB42" s="1406"/>
      <c r="AC42" s="1406"/>
      <c r="AD42" s="1406"/>
      <c r="AE42" s="1406"/>
      <c r="AF42" s="1406"/>
      <c r="AG42" s="1406"/>
      <c r="AH42" s="1406"/>
      <c r="AI42" s="1406"/>
      <c r="AJ42" s="1406"/>
      <c r="AK42" s="1406"/>
      <c r="AL42" s="1406"/>
      <c r="AM42" s="1406"/>
      <c r="AN42" s="1406"/>
      <c r="AO42" s="1406"/>
      <c r="AP42" s="1406"/>
      <c r="AQ42" s="1406"/>
      <c r="AR42" s="1406"/>
    </row>
    <row r="43" spans="1:44" s="1914" customFormat="1">
      <c r="A43" s="1626">
        <f t="shared" si="12"/>
        <v>7</v>
      </c>
      <c r="B43" s="1930" t="str">
        <f t="shared" si="8"/>
        <v>Pemasangan  (Full Aksesoris)</v>
      </c>
      <c r="D43" s="1626"/>
      <c r="E43" s="1626"/>
      <c r="F43" s="1626"/>
      <c r="G43" s="1626"/>
      <c r="H43" s="1626">
        <f t="shared" si="11"/>
        <v>0</v>
      </c>
      <c r="I43" s="1914">
        <f t="shared" si="9"/>
        <v>0</v>
      </c>
      <c r="J43" s="1914">
        <f t="shared" si="10"/>
        <v>0</v>
      </c>
      <c r="K43" s="1578"/>
      <c r="L43" s="1578"/>
      <c r="M43" s="1946"/>
      <c r="N43" s="1406"/>
      <c r="O43" s="1406"/>
      <c r="P43" s="1406"/>
      <c r="Q43" s="1406"/>
      <c r="R43" s="1406"/>
      <c r="S43" s="1406"/>
      <c r="T43" s="1406"/>
      <c r="U43" s="1406"/>
      <c r="V43" s="1406"/>
      <c r="W43" s="1406"/>
      <c r="X43" s="1406"/>
      <c r="Y43" s="1406"/>
      <c r="Z43" s="1406"/>
      <c r="AA43" s="1406"/>
      <c r="AB43" s="1406"/>
      <c r="AC43" s="1406"/>
      <c r="AD43" s="1406"/>
      <c r="AE43" s="1406"/>
      <c r="AF43" s="1406"/>
      <c r="AG43" s="1406"/>
      <c r="AH43" s="1406"/>
      <c r="AI43" s="1406"/>
      <c r="AJ43" s="1406"/>
      <c r="AK43" s="1406"/>
      <c r="AL43" s="1406"/>
      <c r="AM43" s="1406"/>
      <c r="AN43" s="1406"/>
      <c r="AO43" s="1406"/>
      <c r="AP43" s="1406"/>
      <c r="AQ43" s="1406"/>
      <c r="AR43" s="1406"/>
    </row>
    <row r="44" spans="1:44" s="1914" customFormat="1">
      <c r="A44" s="1904">
        <f t="shared" si="12"/>
        <v>8</v>
      </c>
      <c r="B44" s="2062" t="str">
        <f t="shared" si="8"/>
        <v>Pemasangan  (Full Aksesoris)</v>
      </c>
      <c r="D44" s="1904"/>
      <c r="E44" s="1904"/>
      <c r="F44" s="1904"/>
      <c r="G44" s="1904"/>
      <c r="H44" s="1626">
        <f t="shared" si="11"/>
        <v>0</v>
      </c>
      <c r="I44" s="1914">
        <f t="shared" si="9"/>
        <v>0</v>
      </c>
      <c r="J44" s="1914">
        <f t="shared" si="10"/>
        <v>0</v>
      </c>
      <c r="K44" s="1578"/>
      <c r="L44" s="1578"/>
      <c r="M44" s="1946"/>
      <c r="N44" s="1406"/>
      <c r="O44" s="1406"/>
      <c r="P44" s="1406"/>
      <c r="Q44" s="1406"/>
      <c r="R44" s="1406"/>
      <c r="S44" s="1406"/>
      <c r="T44" s="1406"/>
      <c r="U44" s="1406"/>
      <c r="V44" s="1406"/>
      <c r="W44" s="1406"/>
      <c r="X44" s="1406"/>
      <c r="Y44" s="1406"/>
      <c r="Z44" s="1406"/>
      <c r="AA44" s="1406"/>
      <c r="AB44" s="1406"/>
      <c r="AC44" s="1406"/>
      <c r="AD44" s="1406"/>
      <c r="AE44" s="1406"/>
      <c r="AF44" s="1406"/>
      <c r="AG44" s="1406"/>
      <c r="AH44" s="1406"/>
      <c r="AI44" s="1406"/>
      <c r="AJ44" s="1406"/>
      <c r="AK44" s="1406"/>
      <c r="AL44" s="1406"/>
      <c r="AM44" s="1406"/>
      <c r="AN44" s="1406"/>
      <c r="AO44" s="1406"/>
      <c r="AP44" s="1406"/>
      <c r="AQ44" s="1406"/>
      <c r="AR44" s="1406"/>
    </row>
    <row r="45" spans="1:44" s="1914" customFormat="1">
      <c r="A45" s="1626">
        <f t="shared" si="12"/>
        <v>9</v>
      </c>
      <c r="B45" s="1930" t="str">
        <f t="shared" si="8"/>
        <v>Pemasangan  (Full Aksesoris)</v>
      </c>
      <c r="D45" s="1626"/>
      <c r="E45" s="1626"/>
      <c r="F45" s="1626"/>
      <c r="G45" s="1626"/>
      <c r="H45" s="1626">
        <f t="shared" si="11"/>
        <v>0</v>
      </c>
      <c r="I45" s="1914">
        <f t="shared" si="9"/>
        <v>0</v>
      </c>
      <c r="J45" s="1914">
        <f t="shared" si="10"/>
        <v>0</v>
      </c>
      <c r="K45" s="1578"/>
      <c r="L45" s="1578"/>
      <c r="M45" s="1946"/>
      <c r="N45" s="1406"/>
      <c r="O45" s="1406"/>
      <c r="P45" s="1406"/>
      <c r="Q45" s="1406"/>
      <c r="R45" s="1406"/>
      <c r="S45" s="1406"/>
      <c r="T45" s="1406"/>
      <c r="U45" s="1406"/>
      <c r="V45" s="1406"/>
      <c r="W45" s="1406"/>
      <c r="X45" s="1406"/>
      <c r="Y45" s="1406"/>
      <c r="Z45" s="1406"/>
      <c r="AA45" s="1406"/>
      <c r="AB45" s="1406"/>
      <c r="AC45" s="1406"/>
      <c r="AD45" s="1406"/>
      <c r="AE45" s="1406"/>
      <c r="AF45" s="1406"/>
      <c r="AG45" s="1406"/>
      <c r="AH45" s="1406"/>
      <c r="AI45" s="1406"/>
      <c r="AJ45" s="1406"/>
      <c r="AK45" s="1406"/>
      <c r="AL45" s="1406"/>
      <c r="AM45" s="1406"/>
      <c r="AN45" s="1406"/>
      <c r="AO45" s="1406"/>
      <c r="AP45" s="1406"/>
      <c r="AQ45" s="1406"/>
      <c r="AR45" s="1406"/>
    </row>
    <row r="46" spans="1:44" s="1914" customFormat="1">
      <c r="A46" s="1904">
        <f t="shared" si="12"/>
        <v>10</v>
      </c>
      <c r="B46" s="2062" t="str">
        <f t="shared" si="8"/>
        <v>Pemasangan  (Full Aksesoris)</v>
      </c>
      <c r="D46" s="1904"/>
      <c r="E46" s="1904"/>
      <c r="F46" s="1904"/>
      <c r="G46" s="1904"/>
      <c r="H46" s="1626">
        <f t="shared" si="11"/>
        <v>0</v>
      </c>
      <c r="I46" s="1914">
        <f t="shared" si="9"/>
        <v>0</v>
      </c>
      <c r="J46" s="1914">
        <f t="shared" si="10"/>
        <v>0</v>
      </c>
      <c r="K46" s="1578"/>
      <c r="L46" s="1578"/>
      <c r="M46" s="1946"/>
      <c r="N46" s="1406"/>
      <c r="O46" s="1406"/>
      <c r="P46" s="1406"/>
      <c r="Q46" s="1406"/>
      <c r="R46" s="1406"/>
      <c r="S46" s="1406"/>
      <c r="T46" s="1406"/>
      <c r="U46" s="1406"/>
      <c r="V46" s="1406"/>
      <c r="W46" s="1406"/>
      <c r="X46" s="1406"/>
      <c r="Y46" s="1406"/>
      <c r="Z46" s="1406"/>
      <c r="AA46" s="1406"/>
      <c r="AB46" s="1406"/>
      <c r="AC46" s="1406"/>
      <c r="AD46" s="1406"/>
      <c r="AE46" s="1406"/>
      <c r="AF46" s="1406"/>
      <c r="AG46" s="1406"/>
      <c r="AH46" s="1406"/>
      <c r="AI46" s="1406"/>
      <c r="AJ46" s="1406"/>
      <c r="AK46" s="1406"/>
      <c r="AL46" s="1406"/>
      <c r="AM46" s="1406"/>
      <c r="AN46" s="1406"/>
      <c r="AO46" s="1406"/>
      <c r="AP46" s="1406"/>
      <c r="AQ46" s="1406"/>
      <c r="AR46" s="1406"/>
    </row>
    <row r="47" spans="1:44" s="1914" customFormat="1">
      <c r="A47" s="1626">
        <f t="shared" si="12"/>
        <v>11</v>
      </c>
      <c r="B47" s="1930" t="str">
        <f t="shared" si="8"/>
        <v>Pemasangan  (Full Aksesoris)</v>
      </c>
      <c r="D47" s="1626"/>
      <c r="E47" s="1626"/>
      <c r="F47" s="1626"/>
      <c r="G47" s="1626"/>
      <c r="H47" s="1626">
        <f t="shared" si="11"/>
        <v>0</v>
      </c>
      <c r="I47" s="1914">
        <f t="shared" si="9"/>
        <v>0</v>
      </c>
      <c r="J47" s="1914">
        <f t="shared" si="10"/>
        <v>0</v>
      </c>
      <c r="K47" s="1578"/>
      <c r="L47" s="1578"/>
      <c r="M47" s="1946"/>
      <c r="N47" s="1406"/>
      <c r="O47" s="1406"/>
      <c r="P47" s="1406"/>
      <c r="Q47" s="1406"/>
      <c r="R47" s="1406"/>
      <c r="S47" s="1406"/>
      <c r="T47" s="1406"/>
      <c r="U47" s="1406"/>
      <c r="V47" s="1406"/>
      <c r="W47" s="1406"/>
      <c r="X47" s="1406"/>
      <c r="Y47" s="1406"/>
      <c r="Z47" s="1406"/>
      <c r="AA47" s="1406"/>
      <c r="AB47" s="1406"/>
      <c r="AC47" s="1406"/>
      <c r="AD47" s="1406"/>
      <c r="AE47" s="1406"/>
      <c r="AF47" s="1406"/>
      <c r="AG47" s="1406"/>
      <c r="AH47" s="1406"/>
      <c r="AI47" s="1406"/>
      <c r="AJ47" s="1406"/>
      <c r="AK47" s="1406"/>
      <c r="AL47" s="1406"/>
      <c r="AM47" s="1406"/>
      <c r="AN47" s="1406"/>
      <c r="AO47" s="1406"/>
      <c r="AP47" s="1406"/>
      <c r="AQ47" s="1406"/>
      <c r="AR47" s="1406"/>
    </row>
    <row r="48" spans="1:44" s="1914" customFormat="1">
      <c r="A48" s="1904">
        <f t="shared" si="12"/>
        <v>12</v>
      </c>
      <c r="B48" s="2062" t="str">
        <f t="shared" si="8"/>
        <v>Pemasangan  (Full Aksesoris)</v>
      </c>
      <c r="D48" s="1904"/>
      <c r="E48" s="1904"/>
      <c r="F48" s="1904"/>
      <c r="G48" s="1904"/>
      <c r="H48" s="1626">
        <f t="shared" si="11"/>
        <v>0</v>
      </c>
      <c r="I48" s="1914">
        <f t="shared" si="9"/>
        <v>0</v>
      </c>
      <c r="J48" s="1914">
        <f t="shared" si="10"/>
        <v>0</v>
      </c>
      <c r="K48" s="1578"/>
      <c r="L48" s="1578"/>
      <c r="M48" s="1946"/>
      <c r="N48" s="1406"/>
      <c r="O48" s="1406"/>
      <c r="P48" s="1406"/>
      <c r="Q48" s="1406"/>
      <c r="R48" s="1406"/>
      <c r="S48" s="1406"/>
      <c r="T48" s="1406"/>
      <c r="U48" s="1406"/>
      <c r="V48" s="1406"/>
      <c r="W48" s="1406"/>
      <c r="X48" s="1406"/>
      <c r="Y48" s="1406"/>
      <c r="Z48" s="1406"/>
      <c r="AA48" s="1406"/>
      <c r="AB48" s="1406"/>
      <c r="AC48" s="1406"/>
      <c r="AD48" s="1406"/>
      <c r="AE48" s="1406"/>
      <c r="AF48" s="1406"/>
      <c r="AG48" s="1406"/>
      <c r="AH48" s="1406"/>
      <c r="AI48" s="1406"/>
      <c r="AJ48" s="1406"/>
      <c r="AK48" s="1406"/>
      <c r="AL48" s="1406"/>
      <c r="AM48" s="1406"/>
      <c r="AN48" s="1406"/>
      <c r="AO48" s="1406"/>
      <c r="AP48" s="1406"/>
      <c r="AQ48" s="1406"/>
      <c r="AR48" s="1406"/>
    </row>
    <row r="49" spans="1:44" s="1914" customFormat="1">
      <c r="A49" s="1626">
        <f t="shared" si="12"/>
        <v>13</v>
      </c>
      <c r="B49" s="1930" t="str">
        <f t="shared" si="8"/>
        <v>Pemasangan  (Full Aksesoris)</v>
      </c>
      <c r="D49" s="1626"/>
      <c r="E49" s="1626"/>
      <c r="F49" s="1626"/>
      <c r="G49" s="1626"/>
      <c r="H49" s="1626">
        <f t="shared" si="11"/>
        <v>0</v>
      </c>
      <c r="I49" s="1914">
        <f t="shared" si="9"/>
        <v>0</v>
      </c>
      <c r="J49" s="1914">
        <f t="shared" si="10"/>
        <v>0</v>
      </c>
      <c r="K49" s="1578"/>
      <c r="L49" s="1578"/>
      <c r="M49" s="1946"/>
      <c r="N49" s="1406"/>
      <c r="O49" s="1406"/>
      <c r="P49" s="1406"/>
      <c r="Q49" s="1406"/>
      <c r="R49" s="1406"/>
      <c r="S49" s="1406"/>
      <c r="T49" s="1406"/>
      <c r="U49" s="1406"/>
      <c r="V49" s="1406"/>
      <c r="W49" s="1406"/>
      <c r="X49" s="1406"/>
      <c r="Y49" s="1406"/>
      <c r="Z49" s="1406"/>
      <c r="AA49" s="1406"/>
      <c r="AB49" s="1406"/>
      <c r="AC49" s="1406"/>
      <c r="AD49" s="1406"/>
      <c r="AE49" s="1406"/>
      <c r="AF49" s="1406"/>
      <c r="AG49" s="1406"/>
      <c r="AH49" s="1406"/>
      <c r="AI49" s="1406"/>
      <c r="AJ49" s="1406"/>
      <c r="AK49" s="1406"/>
      <c r="AL49" s="1406"/>
      <c r="AM49" s="1406"/>
      <c r="AN49" s="1406"/>
      <c r="AO49" s="1406"/>
      <c r="AP49" s="1406"/>
      <c r="AQ49" s="1406"/>
      <c r="AR49" s="1406"/>
    </row>
    <row r="50" spans="1:44" s="1914" customFormat="1">
      <c r="A50" s="1904">
        <f t="shared" si="12"/>
        <v>14</v>
      </c>
      <c r="B50" s="2062" t="str">
        <f t="shared" si="8"/>
        <v>Pemasangan  (Full Aksesoris)</v>
      </c>
      <c r="D50" s="1904"/>
      <c r="E50" s="1904"/>
      <c r="F50" s="1904"/>
      <c r="G50" s="1904"/>
      <c r="H50" s="1626">
        <f t="shared" si="11"/>
        <v>0</v>
      </c>
      <c r="I50" s="1914">
        <f t="shared" si="9"/>
        <v>0</v>
      </c>
      <c r="J50" s="1914">
        <f t="shared" si="10"/>
        <v>0</v>
      </c>
      <c r="K50" s="1578"/>
      <c r="L50" s="1578"/>
      <c r="M50" s="1946"/>
      <c r="N50" s="1406"/>
      <c r="O50" s="1406"/>
      <c r="P50" s="1406"/>
      <c r="Q50" s="1406"/>
      <c r="R50" s="1406"/>
      <c r="S50" s="1406"/>
      <c r="T50" s="1406"/>
      <c r="U50" s="1406"/>
      <c r="V50" s="1406"/>
      <c r="W50" s="1406"/>
      <c r="X50" s="1406"/>
      <c r="Y50" s="1406"/>
      <c r="Z50" s="1406"/>
      <c r="AA50" s="1406"/>
      <c r="AB50" s="1406"/>
      <c r="AC50" s="1406"/>
      <c r="AD50" s="1406"/>
      <c r="AE50" s="1406"/>
      <c r="AF50" s="1406"/>
      <c r="AG50" s="1406"/>
      <c r="AH50" s="1406"/>
      <c r="AI50" s="1406"/>
      <c r="AJ50" s="1406"/>
      <c r="AK50" s="1406"/>
      <c r="AL50" s="1406"/>
      <c r="AM50" s="1406"/>
      <c r="AN50" s="1406"/>
      <c r="AO50" s="1406"/>
      <c r="AP50" s="1406"/>
      <c r="AQ50" s="1406"/>
      <c r="AR50" s="1406"/>
    </row>
    <row r="51" spans="1:44" s="1914" customFormat="1">
      <c r="A51" s="1626">
        <f t="shared" si="12"/>
        <v>15</v>
      </c>
      <c r="B51" s="1930" t="str">
        <f t="shared" si="8"/>
        <v>Pemasangan  (Full Aksesoris)</v>
      </c>
      <c r="D51" s="1626"/>
      <c r="E51" s="1626"/>
      <c r="F51" s="1626"/>
      <c r="G51" s="1626"/>
      <c r="H51" s="1626">
        <f t="shared" si="11"/>
        <v>0</v>
      </c>
      <c r="I51" s="1914">
        <f t="shared" si="9"/>
        <v>0</v>
      </c>
      <c r="J51" s="1914">
        <f t="shared" si="10"/>
        <v>0</v>
      </c>
      <c r="K51" s="1578"/>
      <c r="L51" s="1578"/>
      <c r="M51" s="1946"/>
      <c r="N51" s="1406"/>
      <c r="O51" s="1406"/>
      <c r="P51" s="1406"/>
      <c r="Q51" s="1406"/>
      <c r="R51" s="1406"/>
      <c r="S51" s="1406"/>
      <c r="T51" s="1406"/>
      <c r="U51" s="1406"/>
      <c r="V51" s="1406"/>
      <c r="W51" s="1406"/>
      <c r="X51" s="1406"/>
      <c r="Y51" s="1406"/>
      <c r="Z51" s="1406"/>
      <c r="AA51" s="1406"/>
      <c r="AB51" s="1406"/>
      <c r="AC51" s="1406"/>
      <c r="AD51" s="1406"/>
      <c r="AE51" s="1406"/>
      <c r="AF51" s="1406"/>
      <c r="AG51" s="1406"/>
      <c r="AH51" s="1406"/>
      <c r="AI51" s="1406"/>
      <c r="AJ51" s="1406"/>
      <c r="AK51" s="1406"/>
      <c r="AL51" s="1406"/>
      <c r="AM51" s="1406"/>
      <c r="AN51" s="1406"/>
      <c r="AO51" s="1406"/>
      <c r="AP51" s="1406"/>
      <c r="AQ51" s="1406"/>
      <c r="AR51" s="1406"/>
    </row>
    <row r="52" spans="1:44" s="1914" customFormat="1">
      <c r="A52" s="1904">
        <f t="shared" si="12"/>
        <v>16</v>
      </c>
      <c r="B52" s="2062" t="str">
        <f t="shared" si="8"/>
        <v>Pemasangan  (Full Aksesoris)</v>
      </c>
      <c r="D52" s="1904"/>
      <c r="E52" s="1904"/>
      <c r="F52" s="1904"/>
      <c r="G52" s="1904"/>
      <c r="H52" s="1626">
        <f t="shared" si="11"/>
        <v>0</v>
      </c>
      <c r="I52" s="1914">
        <f t="shared" si="9"/>
        <v>0</v>
      </c>
      <c r="J52" s="1914">
        <f t="shared" si="10"/>
        <v>0</v>
      </c>
      <c r="K52" s="1578"/>
      <c r="L52" s="1578"/>
      <c r="M52" s="1946"/>
      <c r="N52" s="1406"/>
      <c r="O52" s="1406"/>
      <c r="P52" s="1406"/>
      <c r="Q52" s="1406"/>
      <c r="R52" s="1406"/>
      <c r="S52" s="1406"/>
      <c r="T52" s="1406"/>
      <c r="U52" s="1406"/>
      <c r="V52" s="1406"/>
      <c r="W52" s="1406"/>
      <c r="X52" s="1406"/>
      <c r="Y52" s="1406"/>
      <c r="Z52" s="1406"/>
      <c r="AA52" s="1406"/>
      <c r="AB52" s="1406"/>
      <c r="AC52" s="1406"/>
      <c r="AD52" s="1406"/>
      <c r="AE52" s="1406"/>
      <c r="AF52" s="1406"/>
      <c r="AG52" s="1406"/>
      <c r="AH52" s="1406"/>
      <c r="AI52" s="1406"/>
      <c r="AJ52" s="1406"/>
      <c r="AK52" s="1406"/>
      <c r="AL52" s="1406"/>
      <c r="AM52" s="1406"/>
      <c r="AN52" s="1406"/>
      <c r="AO52" s="1406"/>
      <c r="AP52" s="1406"/>
      <c r="AQ52" s="1406"/>
      <c r="AR52" s="1406"/>
    </row>
    <row r="53" spans="1:44" s="1914" customFormat="1">
      <c r="A53" s="1626">
        <f t="shared" si="12"/>
        <v>17</v>
      </c>
      <c r="B53" s="1930" t="str">
        <f t="shared" si="8"/>
        <v>Pemasangan  (Full Aksesoris)</v>
      </c>
      <c r="D53" s="1626"/>
      <c r="E53" s="1626"/>
      <c r="F53" s="1626"/>
      <c r="G53" s="1626"/>
      <c r="H53" s="1626">
        <f t="shared" si="11"/>
        <v>0</v>
      </c>
      <c r="I53" s="1914">
        <f t="shared" si="9"/>
        <v>0</v>
      </c>
      <c r="J53" s="1914">
        <f t="shared" si="10"/>
        <v>0</v>
      </c>
      <c r="K53" s="1578"/>
      <c r="L53" s="1578"/>
      <c r="M53" s="1946"/>
      <c r="N53" s="1406"/>
      <c r="O53" s="1406"/>
      <c r="P53" s="1406"/>
      <c r="Q53" s="1406"/>
      <c r="R53" s="1406"/>
      <c r="S53" s="1406"/>
      <c r="T53" s="1406"/>
      <c r="U53" s="1406"/>
      <c r="V53" s="1406"/>
      <c r="W53" s="1406"/>
      <c r="X53" s="1406"/>
      <c r="Y53" s="1406"/>
      <c r="Z53" s="1406"/>
      <c r="AA53" s="1406"/>
      <c r="AB53" s="1406"/>
      <c r="AC53" s="1406"/>
      <c r="AD53" s="1406"/>
      <c r="AE53" s="1406"/>
      <c r="AF53" s="1406"/>
      <c r="AG53" s="1406"/>
      <c r="AH53" s="1406"/>
      <c r="AI53" s="1406"/>
      <c r="AJ53" s="1406"/>
      <c r="AK53" s="1406"/>
      <c r="AL53" s="1406"/>
      <c r="AM53" s="1406"/>
      <c r="AN53" s="1406"/>
      <c r="AO53" s="1406"/>
      <c r="AP53" s="1406"/>
      <c r="AQ53" s="1406"/>
      <c r="AR53" s="1406"/>
    </row>
    <row r="54" spans="1:44" s="1914" customFormat="1">
      <c r="A54" s="1904">
        <f t="shared" si="12"/>
        <v>18</v>
      </c>
      <c r="B54" s="2062" t="str">
        <f t="shared" si="8"/>
        <v>Pemasangan  (Full Aksesoris)</v>
      </c>
      <c r="D54" s="1904"/>
      <c r="E54" s="1904"/>
      <c r="F54" s="1904"/>
      <c r="G54" s="1904"/>
      <c r="H54" s="1626">
        <f t="shared" si="11"/>
        <v>0</v>
      </c>
      <c r="I54" s="1914">
        <f t="shared" si="9"/>
        <v>0</v>
      </c>
      <c r="J54" s="1914">
        <f t="shared" si="10"/>
        <v>0</v>
      </c>
      <c r="K54" s="1578"/>
      <c r="L54" s="1578"/>
      <c r="M54" s="1946"/>
      <c r="N54" s="1406"/>
      <c r="O54" s="1406"/>
      <c r="P54" s="1406"/>
      <c r="Q54" s="1406"/>
      <c r="R54" s="1406"/>
      <c r="S54" s="1406"/>
      <c r="T54" s="1406"/>
      <c r="U54" s="1406"/>
      <c r="V54" s="1406"/>
      <c r="W54" s="1406"/>
      <c r="X54" s="1406"/>
      <c r="Y54" s="1406"/>
      <c r="Z54" s="1406"/>
      <c r="AA54" s="1406"/>
      <c r="AB54" s="1406"/>
      <c r="AC54" s="1406"/>
      <c r="AD54" s="1406"/>
      <c r="AE54" s="1406"/>
      <c r="AF54" s="1406"/>
      <c r="AG54" s="1406"/>
      <c r="AH54" s="1406"/>
      <c r="AI54" s="1406"/>
      <c r="AJ54" s="1406"/>
      <c r="AK54" s="1406"/>
      <c r="AL54" s="1406"/>
      <c r="AM54" s="1406"/>
      <c r="AN54" s="1406"/>
      <c r="AO54" s="1406"/>
      <c r="AP54" s="1406"/>
      <c r="AQ54" s="1406"/>
      <c r="AR54" s="1406"/>
    </row>
    <row r="55" spans="1:44" s="1914" customFormat="1">
      <c r="A55" s="1626">
        <f t="shared" si="12"/>
        <v>19</v>
      </c>
      <c r="B55" s="1930" t="str">
        <f t="shared" si="8"/>
        <v>Pemasangan  (Full Aksesoris)</v>
      </c>
      <c r="D55" s="1626"/>
      <c r="E55" s="1626"/>
      <c r="F55" s="1626"/>
      <c r="G55" s="1626"/>
      <c r="H55" s="1626">
        <f t="shared" si="11"/>
        <v>0</v>
      </c>
      <c r="I55" s="1914">
        <f t="shared" si="9"/>
        <v>0</v>
      </c>
      <c r="J55" s="1914">
        <f t="shared" si="10"/>
        <v>0</v>
      </c>
      <c r="K55" s="1578"/>
      <c r="L55" s="1578"/>
      <c r="M55" s="1946"/>
      <c r="N55" s="1406"/>
      <c r="O55" s="1406"/>
      <c r="P55" s="1406"/>
      <c r="Q55" s="1406"/>
      <c r="R55" s="1406"/>
      <c r="S55" s="1406"/>
      <c r="T55" s="1406"/>
      <c r="U55" s="1406"/>
      <c r="V55" s="1406"/>
      <c r="W55" s="1406"/>
      <c r="X55" s="1406"/>
      <c r="Y55" s="1406"/>
      <c r="Z55" s="1406"/>
      <c r="AA55" s="1406"/>
      <c r="AB55" s="1406"/>
      <c r="AC55" s="1406"/>
      <c r="AD55" s="1406"/>
      <c r="AE55" s="1406"/>
      <c r="AF55" s="1406"/>
      <c r="AG55" s="1406"/>
      <c r="AH55" s="1406"/>
      <c r="AI55" s="1406"/>
      <c r="AJ55" s="1406"/>
      <c r="AK55" s="1406"/>
      <c r="AL55" s="1406"/>
      <c r="AM55" s="1406"/>
      <c r="AN55" s="1406"/>
      <c r="AO55" s="1406"/>
      <c r="AP55" s="1406"/>
      <c r="AQ55" s="1406"/>
      <c r="AR55" s="1406"/>
    </row>
    <row r="56" spans="1:44" s="1914" customFormat="1">
      <c r="A56" s="1904">
        <f t="shared" si="12"/>
        <v>20</v>
      </c>
      <c r="B56" s="2062" t="str">
        <f t="shared" si="8"/>
        <v>Pemasangan  (Full Aksesoris)</v>
      </c>
      <c r="D56" s="1904"/>
      <c r="E56" s="1904"/>
      <c r="F56" s="1904"/>
      <c r="G56" s="1904"/>
      <c r="H56" s="1626">
        <f t="shared" si="11"/>
        <v>0</v>
      </c>
      <c r="I56" s="1914">
        <f t="shared" si="9"/>
        <v>0</v>
      </c>
      <c r="J56" s="1914">
        <f t="shared" si="10"/>
        <v>0</v>
      </c>
      <c r="K56" s="1578"/>
      <c r="L56" s="1578"/>
      <c r="M56" s="1946"/>
      <c r="N56" s="1406"/>
      <c r="O56" s="1406"/>
      <c r="P56" s="1406"/>
      <c r="Q56" s="1406"/>
      <c r="R56" s="1406"/>
      <c r="S56" s="1406"/>
      <c r="T56" s="1406"/>
      <c r="U56" s="1406"/>
      <c r="V56" s="1406"/>
      <c r="W56" s="1406"/>
      <c r="X56" s="1406"/>
      <c r="Y56" s="1406"/>
      <c r="Z56" s="1406"/>
      <c r="AA56" s="1406"/>
      <c r="AB56" s="1406"/>
      <c r="AC56" s="1406"/>
      <c r="AD56" s="1406"/>
      <c r="AE56" s="1406"/>
      <c r="AF56" s="1406"/>
      <c r="AG56" s="1406"/>
      <c r="AH56" s="1406"/>
      <c r="AI56" s="1406"/>
      <c r="AJ56" s="1406"/>
      <c r="AK56" s="1406"/>
      <c r="AL56" s="1406"/>
      <c r="AM56" s="1406"/>
      <c r="AN56" s="1406"/>
      <c r="AO56" s="1406"/>
      <c r="AP56" s="1406"/>
      <c r="AQ56" s="1406"/>
      <c r="AR56" s="1406"/>
    </row>
    <row r="57" spans="1:44" s="1914" customFormat="1">
      <c r="A57" s="1626">
        <f t="shared" si="12"/>
        <v>21</v>
      </c>
      <c r="B57" s="1930" t="str">
        <f t="shared" si="8"/>
        <v>Pemasangan  (Full Aksesoris)</v>
      </c>
      <c r="D57" s="1626"/>
      <c r="E57" s="1626"/>
      <c r="F57" s="1626"/>
      <c r="G57" s="1626"/>
      <c r="H57" s="1626">
        <f t="shared" si="11"/>
        <v>0</v>
      </c>
      <c r="I57" s="1914">
        <f t="shared" si="9"/>
        <v>0</v>
      </c>
      <c r="J57" s="1914">
        <f t="shared" si="10"/>
        <v>0</v>
      </c>
      <c r="K57" s="1578"/>
      <c r="L57" s="1578"/>
      <c r="M57" s="1946"/>
      <c r="N57" s="1406"/>
      <c r="O57" s="1406"/>
      <c r="P57" s="1406"/>
      <c r="Q57" s="1406"/>
      <c r="R57" s="1406"/>
      <c r="S57" s="1406"/>
      <c r="T57" s="1406"/>
      <c r="U57" s="1406"/>
      <c r="V57" s="1406"/>
      <c r="W57" s="1406"/>
      <c r="X57" s="1406"/>
      <c r="Y57" s="1406"/>
      <c r="Z57" s="1406"/>
      <c r="AA57" s="1406"/>
      <c r="AB57" s="1406"/>
      <c r="AC57" s="1406"/>
      <c r="AD57" s="1406"/>
      <c r="AE57" s="1406"/>
      <c r="AF57" s="1406"/>
      <c r="AG57" s="1406"/>
      <c r="AH57" s="1406"/>
      <c r="AI57" s="1406"/>
      <c r="AJ57" s="1406"/>
      <c r="AK57" s="1406"/>
      <c r="AL57" s="1406"/>
      <c r="AM57" s="1406"/>
      <c r="AN57" s="1406"/>
      <c r="AO57" s="1406"/>
      <c r="AP57" s="1406"/>
      <c r="AQ57" s="1406"/>
      <c r="AR57" s="1406"/>
    </row>
    <row r="58" spans="1:44" s="1914" customFormat="1">
      <c r="A58" s="1904">
        <f t="shared" si="12"/>
        <v>22</v>
      </c>
      <c r="B58" s="2062" t="str">
        <f t="shared" si="8"/>
        <v>Pemasangan  (Full Aksesoris)</v>
      </c>
      <c r="D58" s="1904"/>
      <c r="E58" s="1904"/>
      <c r="F58" s="1904"/>
      <c r="G58" s="1904"/>
      <c r="H58" s="1626">
        <f t="shared" si="11"/>
        <v>0</v>
      </c>
      <c r="I58" s="1914">
        <f t="shared" si="9"/>
        <v>0</v>
      </c>
      <c r="J58" s="1914">
        <f t="shared" si="10"/>
        <v>0</v>
      </c>
      <c r="K58" s="1578"/>
      <c r="L58" s="1578"/>
      <c r="M58" s="1946"/>
      <c r="N58" s="1406"/>
      <c r="O58" s="1406"/>
      <c r="P58" s="1406"/>
      <c r="Q58" s="1406"/>
      <c r="R58" s="1406"/>
      <c r="S58" s="1406"/>
      <c r="T58" s="1406"/>
      <c r="U58" s="1406"/>
      <c r="V58" s="1406"/>
      <c r="W58" s="1406"/>
      <c r="X58" s="1406"/>
      <c r="Y58" s="1406"/>
      <c r="Z58" s="1406"/>
      <c r="AA58" s="1406"/>
      <c r="AB58" s="1406"/>
      <c r="AC58" s="1406"/>
      <c r="AD58" s="1406"/>
      <c r="AE58" s="1406"/>
      <c r="AF58" s="1406"/>
      <c r="AG58" s="1406"/>
      <c r="AH58" s="1406"/>
      <c r="AI58" s="1406"/>
      <c r="AJ58" s="1406"/>
      <c r="AK58" s="1406"/>
      <c r="AL58" s="1406"/>
      <c r="AM58" s="1406"/>
      <c r="AN58" s="1406"/>
      <c r="AO58" s="1406"/>
      <c r="AP58" s="1406"/>
      <c r="AQ58" s="1406"/>
      <c r="AR58" s="1406"/>
    </row>
    <row r="59" spans="1:44" s="1914" customFormat="1">
      <c r="A59" s="1626">
        <f t="shared" si="12"/>
        <v>23</v>
      </c>
      <c r="B59" s="1930" t="str">
        <f t="shared" si="8"/>
        <v>Pemasangan  (Full Aksesoris)</v>
      </c>
      <c r="D59" s="1626"/>
      <c r="E59" s="1626"/>
      <c r="F59" s="1626"/>
      <c r="G59" s="1626"/>
      <c r="H59" s="1626">
        <f t="shared" si="11"/>
        <v>0</v>
      </c>
      <c r="I59" s="1914">
        <f t="shared" si="9"/>
        <v>0</v>
      </c>
      <c r="J59" s="1914">
        <f t="shared" si="10"/>
        <v>0</v>
      </c>
      <c r="K59" s="1578"/>
      <c r="L59" s="1578"/>
      <c r="M59" s="1946"/>
      <c r="N59" s="1406"/>
      <c r="O59" s="1406"/>
      <c r="P59" s="1406"/>
      <c r="Q59" s="1406"/>
      <c r="R59" s="1406"/>
      <c r="S59" s="1406"/>
      <c r="T59" s="1406"/>
      <c r="U59" s="1406"/>
      <c r="V59" s="1406"/>
      <c r="W59" s="1406"/>
      <c r="X59" s="1406"/>
      <c r="Y59" s="1406"/>
      <c r="Z59" s="1406"/>
      <c r="AA59" s="1406"/>
      <c r="AB59" s="1406"/>
      <c r="AC59" s="1406"/>
      <c r="AD59" s="1406"/>
      <c r="AE59" s="1406"/>
      <c r="AF59" s="1406"/>
      <c r="AG59" s="1406"/>
      <c r="AH59" s="1406"/>
      <c r="AI59" s="1406"/>
      <c r="AJ59" s="1406"/>
      <c r="AK59" s="1406"/>
      <c r="AL59" s="1406"/>
      <c r="AM59" s="1406"/>
      <c r="AN59" s="1406"/>
      <c r="AO59" s="1406"/>
      <c r="AP59" s="1406"/>
      <c r="AQ59" s="1406"/>
      <c r="AR59" s="1406"/>
    </row>
    <row r="60" spans="1:44" s="1914" customFormat="1">
      <c r="A60" s="1904">
        <f t="shared" si="12"/>
        <v>24</v>
      </c>
      <c r="B60" s="2062" t="str">
        <f t="shared" ref="B60:B65" si="13">$B$68&amp;C27&amp;" "&amp;$C$68</f>
        <v>Pemasangan  (Full Aksesoris)</v>
      </c>
      <c r="D60" s="1904"/>
      <c r="E60" s="1904"/>
      <c r="F60" s="1904"/>
      <c r="G60" s="1904"/>
      <c r="H60" s="1626">
        <f t="shared" si="11"/>
        <v>0</v>
      </c>
      <c r="I60" s="1914">
        <f t="shared" si="9"/>
        <v>0</v>
      </c>
      <c r="J60" s="1914">
        <f t="shared" si="10"/>
        <v>0</v>
      </c>
      <c r="K60" s="1578"/>
      <c r="L60" s="1578"/>
      <c r="M60" s="1946"/>
      <c r="N60" s="1406"/>
      <c r="O60" s="1406"/>
      <c r="P60" s="1406"/>
      <c r="Q60" s="1406"/>
      <c r="R60" s="1406"/>
      <c r="S60" s="1406"/>
      <c r="T60" s="1406"/>
      <c r="U60" s="1406"/>
      <c r="V60" s="1406"/>
      <c r="W60" s="1406"/>
      <c r="X60" s="1406"/>
      <c r="Y60" s="1406"/>
      <c r="Z60" s="1406"/>
      <c r="AA60" s="1406"/>
      <c r="AB60" s="1406"/>
      <c r="AC60" s="1406"/>
      <c r="AD60" s="1406"/>
      <c r="AE60" s="1406"/>
      <c r="AF60" s="1406"/>
      <c r="AG60" s="1406"/>
      <c r="AH60" s="1406"/>
      <c r="AI60" s="1406"/>
      <c r="AJ60" s="1406"/>
      <c r="AK60" s="1406"/>
      <c r="AL60" s="1406"/>
      <c r="AM60" s="1406"/>
      <c r="AN60" s="1406"/>
      <c r="AO60" s="1406"/>
      <c r="AP60" s="1406"/>
      <c r="AQ60" s="1406"/>
      <c r="AR60" s="1406"/>
    </row>
    <row r="61" spans="1:44" s="1914" customFormat="1">
      <c r="A61" s="1626">
        <f t="shared" si="12"/>
        <v>25</v>
      </c>
      <c r="B61" s="1930" t="str">
        <f t="shared" si="13"/>
        <v>Pemasangan  (Full Aksesoris)</v>
      </c>
      <c r="D61" s="1626"/>
      <c r="E61" s="1626"/>
      <c r="F61" s="1626"/>
      <c r="G61" s="1626"/>
      <c r="H61" s="1626">
        <f t="shared" si="11"/>
        <v>0</v>
      </c>
      <c r="I61" s="1914">
        <f t="shared" si="9"/>
        <v>0</v>
      </c>
      <c r="J61" s="1914">
        <f t="shared" si="10"/>
        <v>0</v>
      </c>
      <c r="K61" s="1578"/>
      <c r="L61" s="1578"/>
      <c r="M61" s="1946"/>
      <c r="N61" s="1406"/>
      <c r="O61" s="1406"/>
      <c r="P61" s="1406"/>
      <c r="Q61" s="1406"/>
      <c r="R61" s="1406"/>
      <c r="S61" s="1406"/>
      <c r="T61" s="1406"/>
      <c r="U61" s="1406"/>
      <c r="V61" s="1406"/>
      <c r="W61" s="1406"/>
      <c r="X61" s="1406"/>
      <c r="Y61" s="1406"/>
      <c r="Z61" s="1406"/>
      <c r="AA61" s="1406"/>
      <c r="AB61" s="1406"/>
      <c r="AC61" s="1406"/>
      <c r="AD61" s="1406"/>
      <c r="AE61" s="1406"/>
      <c r="AF61" s="1406"/>
      <c r="AG61" s="1406"/>
      <c r="AH61" s="1406"/>
      <c r="AI61" s="1406"/>
      <c r="AJ61" s="1406"/>
      <c r="AK61" s="1406"/>
      <c r="AL61" s="1406"/>
      <c r="AM61" s="1406"/>
      <c r="AN61" s="1406"/>
      <c r="AO61" s="1406"/>
      <c r="AP61" s="1406"/>
      <c r="AQ61" s="1406"/>
      <c r="AR61" s="1406"/>
    </row>
    <row r="62" spans="1:44" s="1914" customFormat="1">
      <c r="A62" s="1904">
        <f t="shared" si="12"/>
        <v>26</v>
      </c>
      <c r="B62" s="2062" t="str">
        <f t="shared" si="13"/>
        <v>Pemasangan  (Full Aksesoris)</v>
      </c>
      <c r="D62" s="1904"/>
      <c r="E62" s="1904"/>
      <c r="F62" s="1904"/>
      <c r="G62" s="1904"/>
      <c r="H62" s="1626">
        <f t="shared" si="11"/>
        <v>0</v>
      </c>
      <c r="I62" s="1914">
        <f t="shared" si="9"/>
        <v>0</v>
      </c>
      <c r="J62" s="1914">
        <f t="shared" si="10"/>
        <v>0</v>
      </c>
      <c r="K62" s="1578"/>
      <c r="L62" s="1578"/>
      <c r="M62" s="1946"/>
      <c r="N62" s="1406"/>
      <c r="O62" s="1406"/>
      <c r="P62" s="1406"/>
      <c r="Q62" s="1406"/>
      <c r="R62" s="1406"/>
      <c r="S62" s="1406"/>
      <c r="T62" s="1406"/>
      <c r="U62" s="1406"/>
      <c r="V62" s="1406"/>
      <c r="W62" s="1406"/>
      <c r="X62" s="1406"/>
      <c r="Y62" s="1406"/>
      <c r="Z62" s="1406"/>
      <c r="AA62" s="1406"/>
      <c r="AB62" s="1406"/>
      <c r="AC62" s="1406"/>
      <c r="AD62" s="1406"/>
      <c r="AE62" s="1406"/>
      <c r="AF62" s="1406"/>
      <c r="AG62" s="1406"/>
      <c r="AH62" s="1406"/>
      <c r="AI62" s="1406"/>
      <c r="AJ62" s="1406"/>
      <c r="AK62" s="1406"/>
      <c r="AL62" s="1406"/>
      <c r="AM62" s="1406"/>
      <c r="AN62" s="1406"/>
      <c r="AO62" s="1406"/>
      <c r="AP62" s="1406"/>
      <c r="AQ62" s="1406"/>
      <c r="AR62" s="1406"/>
    </row>
    <row r="63" spans="1:44" s="1914" customFormat="1">
      <c r="A63" s="1626">
        <f t="shared" si="12"/>
        <v>27</v>
      </c>
      <c r="B63" s="1930" t="str">
        <f t="shared" si="13"/>
        <v>Pemasangan  (Full Aksesoris)</v>
      </c>
      <c r="D63" s="1626"/>
      <c r="E63" s="1626"/>
      <c r="F63" s="1626"/>
      <c r="G63" s="1626"/>
      <c r="H63" s="1626">
        <f t="shared" si="11"/>
        <v>0</v>
      </c>
      <c r="I63" s="1914">
        <f t="shared" si="9"/>
        <v>0</v>
      </c>
      <c r="J63" s="1914">
        <f t="shared" si="10"/>
        <v>0</v>
      </c>
      <c r="K63" s="1578"/>
      <c r="L63" s="1578"/>
      <c r="M63" s="1946"/>
      <c r="N63" s="1406"/>
      <c r="O63" s="1406"/>
      <c r="P63" s="1406"/>
      <c r="Q63" s="1406"/>
      <c r="R63" s="1406"/>
      <c r="S63" s="1406"/>
      <c r="T63" s="1406"/>
      <c r="U63" s="1406"/>
      <c r="V63" s="1406"/>
      <c r="W63" s="1406"/>
      <c r="X63" s="1406"/>
      <c r="Y63" s="1406"/>
      <c r="Z63" s="1406"/>
      <c r="AA63" s="1406"/>
      <c r="AB63" s="1406"/>
      <c r="AC63" s="1406"/>
      <c r="AD63" s="1406"/>
      <c r="AE63" s="1406"/>
      <c r="AF63" s="1406"/>
      <c r="AG63" s="1406"/>
      <c r="AH63" s="1406"/>
      <c r="AI63" s="1406"/>
      <c r="AJ63" s="1406"/>
      <c r="AK63" s="1406"/>
      <c r="AL63" s="1406"/>
      <c r="AM63" s="1406"/>
      <c r="AN63" s="1406"/>
      <c r="AO63" s="1406"/>
      <c r="AP63" s="1406"/>
      <c r="AQ63" s="1406"/>
      <c r="AR63" s="1406"/>
    </row>
    <row r="64" spans="1:44" s="1914" customFormat="1">
      <c r="A64" s="1904">
        <f t="shared" si="12"/>
        <v>28</v>
      </c>
      <c r="B64" s="2062" t="str">
        <f t="shared" si="13"/>
        <v>Pemasangan  (Full Aksesoris)</v>
      </c>
      <c r="D64" s="1904"/>
      <c r="E64" s="1904"/>
      <c r="F64" s="1904"/>
      <c r="G64" s="1904"/>
      <c r="H64" s="1626">
        <f t="shared" si="11"/>
        <v>0</v>
      </c>
      <c r="I64" s="1914">
        <f t="shared" si="9"/>
        <v>0</v>
      </c>
      <c r="J64" s="1914">
        <f t="shared" si="10"/>
        <v>0</v>
      </c>
      <c r="K64" s="1578"/>
      <c r="L64" s="1578"/>
      <c r="M64" s="1946"/>
      <c r="N64" s="1406"/>
      <c r="O64" s="1406"/>
      <c r="P64" s="1406"/>
      <c r="Q64" s="1406"/>
      <c r="R64" s="1406"/>
      <c r="S64" s="1406"/>
      <c r="T64" s="1406"/>
      <c r="U64" s="1406"/>
      <c r="V64" s="1406"/>
      <c r="W64" s="1406"/>
      <c r="X64" s="1406"/>
      <c r="Y64" s="1406"/>
      <c r="Z64" s="1406"/>
      <c r="AA64" s="1406"/>
      <c r="AB64" s="1406"/>
      <c r="AC64" s="1406"/>
      <c r="AD64" s="1406"/>
      <c r="AE64" s="1406"/>
      <c r="AF64" s="1406"/>
      <c r="AG64" s="1406"/>
      <c r="AH64" s="1406"/>
      <c r="AI64" s="1406"/>
      <c r="AJ64" s="1406"/>
      <c r="AK64" s="1406"/>
      <c r="AL64" s="1406"/>
      <c r="AM64" s="1406"/>
      <c r="AN64" s="1406"/>
      <c r="AO64" s="1406"/>
      <c r="AP64" s="1406"/>
      <c r="AQ64" s="1406"/>
      <c r="AR64" s="1406"/>
    </row>
    <row r="65" spans="1:44" s="1914" customFormat="1">
      <c r="A65" s="1626">
        <f t="shared" si="12"/>
        <v>29</v>
      </c>
      <c r="B65" s="1930" t="str">
        <f t="shared" si="13"/>
        <v>Pemasangan  (Full Aksesoris)</v>
      </c>
      <c r="D65" s="1626"/>
      <c r="E65" s="1626"/>
      <c r="F65" s="1626"/>
      <c r="G65" s="1626"/>
      <c r="H65" s="1626">
        <f t="shared" si="11"/>
        <v>0</v>
      </c>
      <c r="I65" s="1914">
        <f t="shared" si="9"/>
        <v>0</v>
      </c>
      <c r="J65" s="1914">
        <f t="shared" si="10"/>
        <v>0</v>
      </c>
      <c r="K65" s="1578"/>
      <c r="L65" s="1578"/>
      <c r="M65" s="1946"/>
      <c r="N65" s="1406"/>
      <c r="O65" s="1406"/>
      <c r="P65" s="1406"/>
      <c r="Q65" s="1406"/>
      <c r="R65" s="1406"/>
      <c r="S65" s="1406"/>
      <c r="T65" s="1406"/>
      <c r="U65" s="1406"/>
      <c r="V65" s="1406"/>
      <c r="W65" s="1406"/>
      <c r="X65" s="1406"/>
      <c r="Y65" s="1406"/>
      <c r="Z65" s="1406"/>
      <c r="AA65" s="1406"/>
      <c r="AB65" s="1406"/>
      <c r="AC65" s="1406"/>
      <c r="AD65" s="1406"/>
      <c r="AE65" s="1406"/>
      <c r="AF65" s="1406"/>
      <c r="AG65" s="1406"/>
      <c r="AH65" s="1406"/>
      <c r="AI65" s="1406"/>
      <c r="AJ65" s="1406"/>
      <c r="AK65" s="1406"/>
      <c r="AL65" s="1406"/>
      <c r="AM65" s="1406"/>
      <c r="AN65" s="1406"/>
      <c r="AO65" s="1406"/>
      <c r="AP65" s="1406"/>
      <c r="AQ65" s="1406"/>
      <c r="AR65" s="1406"/>
    </row>
    <row r="66" spans="1:44">
      <c r="E66" s="1946"/>
      <c r="H66" s="1946"/>
      <c r="I66" s="2044">
        <f>SUM(I37:I65)</f>
        <v>0</v>
      </c>
      <c r="J66" s="2044">
        <f>SUM(J37:J65)</f>
        <v>0</v>
      </c>
    </row>
    <row r="68" spans="1:44">
      <c r="B68" s="1406" t="s">
        <v>2241</v>
      </c>
      <c r="C68" s="1406" t="s">
        <v>2242</v>
      </c>
    </row>
  </sheetData>
  <mergeCells count="5">
    <mergeCell ref="Y2:AB2"/>
    <mergeCell ref="R2:T2"/>
    <mergeCell ref="U2:X2"/>
    <mergeCell ref="AC2:AF2"/>
    <mergeCell ref="AG2:AJ2"/>
  </mergeCells>
  <phoneticPr fontId="66" type="noConversion"/>
  <pageMargins left="0.7" right="0.7" top="0.75" bottom="0.75" header="0.3" footer="0.3"/>
  <pageSetup orientation="portrait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8"/>
  <dimension ref="A1:P273"/>
  <sheetViews>
    <sheetView zoomScale="109" zoomScaleNormal="109" zoomScaleSheetLayoutView="70" zoomScalePageLayoutView="112" workbookViewId="0">
      <pane xSplit="3" ySplit="6" topLeftCell="G7" activePane="bottomRight" state="frozen"/>
      <selection pane="topRight" activeCell="E1" sqref="E1"/>
      <selection pane="bottomLeft" activeCell="A7" sqref="A7"/>
      <selection pane="bottomRight" activeCell="K22" sqref="K22"/>
    </sheetView>
  </sheetViews>
  <sheetFormatPr defaultRowHeight="15"/>
  <cols>
    <col min="1" max="1" width="3.7109375" style="5" customWidth="1"/>
    <col min="2" max="2" width="5.7109375" style="5" customWidth="1"/>
    <col min="3" max="3" width="27.140625" style="5" customWidth="1"/>
    <col min="4" max="4" width="3.28515625" style="5" customWidth="1"/>
    <col min="5" max="5" width="9.42578125" style="5" customWidth="1"/>
    <col min="6" max="6" width="12.140625" style="5" customWidth="1"/>
    <col min="7" max="7" width="13.5703125" style="5" customWidth="1"/>
    <col min="8" max="9" width="15.140625" style="5" hidden="1" customWidth="1"/>
    <col min="10" max="10" width="15.140625" style="2065" hidden="1" customWidth="1"/>
    <col min="11" max="11" width="52.7109375" style="2259" customWidth="1"/>
    <col min="12" max="12" width="5.7109375" customWidth="1"/>
    <col min="13" max="13" width="63.7109375" style="5" bestFit="1" customWidth="1"/>
    <col min="14" max="14" width="12.140625" style="5" customWidth="1"/>
    <col min="15" max="15" width="11.5703125" style="5" bestFit="1" customWidth="1"/>
    <col min="17" max="256" width="9.140625" style="5"/>
    <col min="257" max="257" width="2" style="5" customWidth="1"/>
    <col min="258" max="258" width="7.5703125" style="5" customWidth="1"/>
    <col min="259" max="259" width="2.42578125" style="5" customWidth="1"/>
    <col min="260" max="260" width="27.140625" style="5" customWidth="1"/>
    <col min="261" max="261" width="8" style="5" customWidth="1"/>
    <col min="262" max="262" width="8.7109375" style="5" customWidth="1"/>
    <col min="263" max="263" width="17.5703125" style="5" customWidth="1"/>
    <col min="264" max="264" width="20.85546875" style="5" customWidth="1"/>
    <col min="265" max="265" width="9.140625" style="5"/>
    <col min="266" max="266" width="19" style="5" customWidth="1"/>
    <col min="267" max="512" width="9.140625" style="5"/>
    <col min="513" max="513" width="2" style="5" customWidth="1"/>
    <col min="514" max="514" width="7.5703125" style="5" customWidth="1"/>
    <col min="515" max="515" width="2.42578125" style="5" customWidth="1"/>
    <col min="516" max="516" width="27.140625" style="5" customWidth="1"/>
    <col min="517" max="517" width="8" style="5" customWidth="1"/>
    <col min="518" max="518" width="8.7109375" style="5" customWidth="1"/>
    <col min="519" max="519" width="17.5703125" style="5" customWidth="1"/>
    <col min="520" max="520" width="20.85546875" style="5" customWidth="1"/>
    <col min="521" max="521" width="9.140625" style="5"/>
    <col min="522" max="522" width="19" style="5" customWidth="1"/>
    <col min="523" max="768" width="9.140625" style="5"/>
    <col min="769" max="769" width="2" style="5" customWidth="1"/>
    <col min="770" max="770" width="7.5703125" style="5" customWidth="1"/>
    <col min="771" max="771" width="2.42578125" style="5" customWidth="1"/>
    <col min="772" max="772" width="27.140625" style="5" customWidth="1"/>
    <col min="773" max="773" width="8" style="5" customWidth="1"/>
    <col min="774" max="774" width="8.7109375" style="5" customWidth="1"/>
    <col min="775" max="775" width="17.5703125" style="5" customWidth="1"/>
    <col min="776" max="776" width="20.85546875" style="5" customWidth="1"/>
    <col min="777" max="777" width="9.140625" style="5"/>
    <col min="778" max="778" width="19" style="5" customWidth="1"/>
    <col min="779" max="1024" width="9.140625" style="5"/>
    <col min="1025" max="1025" width="2" style="5" customWidth="1"/>
    <col min="1026" max="1026" width="7.5703125" style="5" customWidth="1"/>
    <col min="1027" max="1027" width="2.42578125" style="5" customWidth="1"/>
    <col min="1028" max="1028" width="27.140625" style="5" customWidth="1"/>
    <col min="1029" max="1029" width="8" style="5" customWidth="1"/>
    <col min="1030" max="1030" width="8.7109375" style="5" customWidth="1"/>
    <col min="1031" max="1031" width="17.5703125" style="5" customWidth="1"/>
    <col min="1032" max="1032" width="20.85546875" style="5" customWidth="1"/>
    <col min="1033" max="1033" width="9.140625" style="5"/>
    <col min="1034" max="1034" width="19" style="5" customWidth="1"/>
    <col min="1035" max="1280" width="9.140625" style="5"/>
    <col min="1281" max="1281" width="2" style="5" customWidth="1"/>
    <col min="1282" max="1282" width="7.5703125" style="5" customWidth="1"/>
    <col min="1283" max="1283" width="2.42578125" style="5" customWidth="1"/>
    <col min="1284" max="1284" width="27.140625" style="5" customWidth="1"/>
    <col min="1285" max="1285" width="8" style="5" customWidth="1"/>
    <col min="1286" max="1286" width="8.7109375" style="5" customWidth="1"/>
    <col min="1287" max="1287" width="17.5703125" style="5" customWidth="1"/>
    <col min="1288" max="1288" width="20.85546875" style="5" customWidth="1"/>
    <col min="1289" max="1289" width="9.140625" style="5"/>
    <col min="1290" max="1290" width="19" style="5" customWidth="1"/>
    <col min="1291" max="1536" width="9.140625" style="5"/>
    <col min="1537" max="1537" width="2" style="5" customWidth="1"/>
    <col min="1538" max="1538" width="7.5703125" style="5" customWidth="1"/>
    <col min="1539" max="1539" width="2.42578125" style="5" customWidth="1"/>
    <col min="1540" max="1540" width="27.140625" style="5" customWidth="1"/>
    <col min="1541" max="1541" width="8" style="5" customWidth="1"/>
    <col min="1542" max="1542" width="8.7109375" style="5" customWidth="1"/>
    <col min="1543" max="1543" width="17.5703125" style="5" customWidth="1"/>
    <col min="1544" max="1544" width="20.85546875" style="5" customWidth="1"/>
    <col min="1545" max="1545" width="9.140625" style="5"/>
    <col min="1546" max="1546" width="19" style="5" customWidth="1"/>
    <col min="1547" max="1792" width="9.140625" style="5"/>
    <col min="1793" max="1793" width="2" style="5" customWidth="1"/>
    <col min="1794" max="1794" width="7.5703125" style="5" customWidth="1"/>
    <col min="1795" max="1795" width="2.42578125" style="5" customWidth="1"/>
    <col min="1796" max="1796" width="27.140625" style="5" customWidth="1"/>
    <col min="1797" max="1797" width="8" style="5" customWidth="1"/>
    <col min="1798" max="1798" width="8.7109375" style="5" customWidth="1"/>
    <col min="1799" max="1799" width="17.5703125" style="5" customWidth="1"/>
    <col min="1800" max="1800" width="20.85546875" style="5" customWidth="1"/>
    <col min="1801" max="1801" width="9.140625" style="5"/>
    <col min="1802" max="1802" width="19" style="5" customWidth="1"/>
    <col min="1803" max="2048" width="9.140625" style="5"/>
    <col min="2049" max="2049" width="2" style="5" customWidth="1"/>
    <col min="2050" max="2050" width="7.5703125" style="5" customWidth="1"/>
    <col min="2051" max="2051" width="2.42578125" style="5" customWidth="1"/>
    <col min="2052" max="2052" width="27.140625" style="5" customWidth="1"/>
    <col min="2053" max="2053" width="8" style="5" customWidth="1"/>
    <col min="2054" max="2054" width="8.7109375" style="5" customWidth="1"/>
    <col min="2055" max="2055" width="17.5703125" style="5" customWidth="1"/>
    <col min="2056" max="2056" width="20.85546875" style="5" customWidth="1"/>
    <col min="2057" max="2057" width="9.140625" style="5"/>
    <col min="2058" max="2058" width="19" style="5" customWidth="1"/>
    <col min="2059" max="2304" width="9.140625" style="5"/>
    <col min="2305" max="2305" width="2" style="5" customWidth="1"/>
    <col min="2306" max="2306" width="7.5703125" style="5" customWidth="1"/>
    <col min="2307" max="2307" width="2.42578125" style="5" customWidth="1"/>
    <col min="2308" max="2308" width="27.140625" style="5" customWidth="1"/>
    <col min="2309" max="2309" width="8" style="5" customWidth="1"/>
    <col min="2310" max="2310" width="8.7109375" style="5" customWidth="1"/>
    <col min="2311" max="2311" width="17.5703125" style="5" customWidth="1"/>
    <col min="2312" max="2312" width="20.85546875" style="5" customWidth="1"/>
    <col min="2313" max="2313" width="9.140625" style="5"/>
    <col min="2314" max="2314" width="19" style="5" customWidth="1"/>
    <col min="2315" max="2560" width="9.140625" style="5"/>
    <col min="2561" max="2561" width="2" style="5" customWidth="1"/>
    <col min="2562" max="2562" width="7.5703125" style="5" customWidth="1"/>
    <col min="2563" max="2563" width="2.42578125" style="5" customWidth="1"/>
    <col min="2564" max="2564" width="27.140625" style="5" customWidth="1"/>
    <col min="2565" max="2565" width="8" style="5" customWidth="1"/>
    <col min="2566" max="2566" width="8.7109375" style="5" customWidth="1"/>
    <col min="2567" max="2567" width="17.5703125" style="5" customWidth="1"/>
    <col min="2568" max="2568" width="20.85546875" style="5" customWidth="1"/>
    <col min="2569" max="2569" width="9.140625" style="5"/>
    <col min="2570" max="2570" width="19" style="5" customWidth="1"/>
    <col min="2571" max="2816" width="9.140625" style="5"/>
    <col min="2817" max="2817" width="2" style="5" customWidth="1"/>
    <col min="2818" max="2818" width="7.5703125" style="5" customWidth="1"/>
    <col min="2819" max="2819" width="2.42578125" style="5" customWidth="1"/>
    <col min="2820" max="2820" width="27.140625" style="5" customWidth="1"/>
    <col min="2821" max="2821" width="8" style="5" customWidth="1"/>
    <col min="2822" max="2822" width="8.7109375" style="5" customWidth="1"/>
    <col min="2823" max="2823" width="17.5703125" style="5" customWidth="1"/>
    <col min="2824" max="2824" width="20.85546875" style="5" customWidth="1"/>
    <col min="2825" max="2825" width="9.140625" style="5"/>
    <col min="2826" max="2826" width="19" style="5" customWidth="1"/>
    <col min="2827" max="3072" width="9.140625" style="5"/>
    <col min="3073" max="3073" width="2" style="5" customWidth="1"/>
    <col min="3074" max="3074" width="7.5703125" style="5" customWidth="1"/>
    <col min="3075" max="3075" width="2.42578125" style="5" customWidth="1"/>
    <col min="3076" max="3076" width="27.140625" style="5" customWidth="1"/>
    <col min="3077" max="3077" width="8" style="5" customWidth="1"/>
    <col min="3078" max="3078" width="8.7109375" style="5" customWidth="1"/>
    <col min="3079" max="3079" width="17.5703125" style="5" customWidth="1"/>
    <col min="3080" max="3080" width="20.85546875" style="5" customWidth="1"/>
    <col min="3081" max="3081" width="9.140625" style="5"/>
    <col min="3082" max="3082" width="19" style="5" customWidth="1"/>
    <col min="3083" max="3328" width="9.140625" style="5"/>
    <col min="3329" max="3329" width="2" style="5" customWidth="1"/>
    <col min="3330" max="3330" width="7.5703125" style="5" customWidth="1"/>
    <col min="3331" max="3331" width="2.42578125" style="5" customWidth="1"/>
    <col min="3332" max="3332" width="27.140625" style="5" customWidth="1"/>
    <col min="3333" max="3333" width="8" style="5" customWidth="1"/>
    <col min="3334" max="3334" width="8.7109375" style="5" customWidth="1"/>
    <col min="3335" max="3335" width="17.5703125" style="5" customWidth="1"/>
    <col min="3336" max="3336" width="20.85546875" style="5" customWidth="1"/>
    <col min="3337" max="3337" width="9.140625" style="5"/>
    <col min="3338" max="3338" width="19" style="5" customWidth="1"/>
    <col min="3339" max="3584" width="9.140625" style="5"/>
    <col min="3585" max="3585" width="2" style="5" customWidth="1"/>
    <col min="3586" max="3586" width="7.5703125" style="5" customWidth="1"/>
    <col min="3587" max="3587" width="2.42578125" style="5" customWidth="1"/>
    <col min="3588" max="3588" width="27.140625" style="5" customWidth="1"/>
    <col min="3589" max="3589" width="8" style="5" customWidth="1"/>
    <col min="3590" max="3590" width="8.7109375" style="5" customWidth="1"/>
    <col min="3591" max="3591" width="17.5703125" style="5" customWidth="1"/>
    <col min="3592" max="3592" width="20.85546875" style="5" customWidth="1"/>
    <col min="3593" max="3593" width="9.140625" style="5"/>
    <col min="3594" max="3594" width="19" style="5" customWidth="1"/>
    <col min="3595" max="3840" width="9.140625" style="5"/>
    <col min="3841" max="3841" width="2" style="5" customWidth="1"/>
    <col min="3842" max="3842" width="7.5703125" style="5" customWidth="1"/>
    <col min="3843" max="3843" width="2.42578125" style="5" customWidth="1"/>
    <col min="3844" max="3844" width="27.140625" style="5" customWidth="1"/>
    <col min="3845" max="3845" width="8" style="5" customWidth="1"/>
    <col min="3846" max="3846" width="8.7109375" style="5" customWidth="1"/>
    <col min="3847" max="3847" width="17.5703125" style="5" customWidth="1"/>
    <col min="3848" max="3848" width="20.85546875" style="5" customWidth="1"/>
    <col min="3849" max="3849" width="9.140625" style="5"/>
    <col min="3850" max="3850" width="19" style="5" customWidth="1"/>
    <col min="3851" max="4096" width="9.140625" style="5"/>
    <col min="4097" max="4097" width="2" style="5" customWidth="1"/>
    <col min="4098" max="4098" width="7.5703125" style="5" customWidth="1"/>
    <col min="4099" max="4099" width="2.42578125" style="5" customWidth="1"/>
    <col min="4100" max="4100" width="27.140625" style="5" customWidth="1"/>
    <col min="4101" max="4101" width="8" style="5" customWidth="1"/>
    <col min="4102" max="4102" width="8.7109375" style="5" customWidth="1"/>
    <col min="4103" max="4103" width="17.5703125" style="5" customWidth="1"/>
    <col min="4104" max="4104" width="20.85546875" style="5" customWidth="1"/>
    <col min="4105" max="4105" width="9.140625" style="5"/>
    <col min="4106" max="4106" width="19" style="5" customWidth="1"/>
    <col min="4107" max="4352" width="9.140625" style="5"/>
    <col min="4353" max="4353" width="2" style="5" customWidth="1"/>
    <col min="4354" max="4354" width="7.5703125" style="5" customWidth="1"/>
    <col min="4355" max="4355" width="2.42578125" style="5" customWidth="1"/>
    <col min="4356" max="4356" width="27.140625" style="5" customWidth="1"/>
    <col min="4357" max="4357" width="8" style="5" customWidth="1"/>
    <col min="4358" max="4358" width="8.7109375" style="5" customWidth="1"/>
    <col min="4359" max="4359" width="17.5703125" style="5" customWidth="1"/>
    <col min="4360" max="4360" width="20.85546875" style="5" customWidth="1"/>
    <col min="4361" max="4361" width="9.140625" style="5"/>
    <col min="4362" max="4362" width="19" style="5" customWidth="1"/>
    <col min="4363" max="4608" width="9.140625" style="5"/>
    <col min="4609" max="4609" width="2" style="5" customWidth="1"/>
    <col min="4610" max="4610" width="7.5703125" style="5" customWidth="1"/>
    <col min="4611" max="4611" width="2.42578125" style="5" customWidth="1"/>
    <col min="4612" max="4612" width="27.140625" style="5" customWidth="1"/>
    <col min="4613" max="4613" width="8" style="5" customWidth="1"/>
    <col min="4614" max="4614" width="8.7109375" style="5" customWidth="1"/>
    <col min="4615" max="4615" width="17.5703125" style="5" customWidth="1"/>
    <col min="4616" max="4616" width="20.85546875" style="5" customWidth="1"/>
    <col min="4617" max="4617" width="9.140625" style="5"/>
    <col min="4618" max="4618" width="19" style="5" customWidth="1"/>
    <col min="4619" max="4864" width="9.140625" style="5"/>
    <col min="4865" max="4865" width="2" style="5" customWidth="1"/>
    <col min="4866" max="4866" width="7.5703125" style="5" customWidth="1"/>
    <col min="4867" max="4867" width="2.42578125" style="5" customWidth="1"/>
    <col min="4868" max="4868" width="27.140625" style="5" customWidth="1"/>
    <col min="4869" max="4869" width="8" style="5" customWidth="1"/>
    <col min="4870" max="4870" width="8.7109375" style="5" customWidth="1"/>
    <col min="4871" max="4871" width="17.5703125" style="5" customWidth="1"/>
    <col min="4872" max="4872" width="20.85546875" style="5" customWidth="1"/>
    <col min="4873" max="4873" width="9.140625" style="5"/>
    <col min="4874" max="4874" width="19" style="5" customWidth="1"/>
    <col min="4875" max="5120" width="9.140625" style="5"/>
    <col min="5121" max="5121" width="2" style="5" customWidth="1"/>
    <col min="5122" max="5122" width="7.5703125" style="5" customWidth="1"/>
    <col min="5123" max="5123" width="2.42578125" style="5" customWidth="1"/>
    <col min="5124" max="5124" width="27.140625" style="5" customWidth="1"/>
    <col min="5125" max="5125" width="8" style="5" customWidth="1"/>
    <col min="5126" max="5126" width="8.7109375" style="5" customWidth="1"/>
    <col min="5127" max="5127" width="17.5703125" style="5" customWidth="1"/>
    <col min="5128" max="5128" width="20.85546875" style="5" customWidth="1"/>
    <col min="5129" max="5129" width="9.140625" style="5"/>
    <col min="5130" max="5130" width="19" style="5" customWidth="1"/>
    <col min="5131" max="5376" width="9.140625" style="5"/>
    <col min="5377" max="5377" width="2" style="5" customWidth="1"/>
    <col min="5378" max="5378" width="7.5703125" style="5" customWidth="1"/>
    <col min="5379" max="5379" width="2.42578125" style="5" customWidth="1"/>
    <col min="5380" max="5380" width="27.140625" style="5" customWidth="1"/>
    <col min="5381" max="5381" width="8" style="5" customWidth="1"/>
    <col min="5382" max="5382" width="8.7109375" style="5" customWidth="1"/>
    <col min="5383" max="5383" width="17.5703125" style="5" customWidth="1"/>
    <col min="5384" max="5384" width="20.85546875" style="5" customWidth="1"/>
    <col min="5385" max="5385" width="9.140625" style="5"/>
    <col min="5386" max="5386" width="19" style="5" customWidth="1"/>
    <col min="5387" max="5632" width="9.140625" style="5"/>
    <col min="5633" max="5633" width="2" style="5" customWidth="1"/>
    <col min="5634" max="5634" width="7.5703125" style="5" customWidth="1"/>
    <col min="5635" max="5635" width="2.42578125" style="5" customWidth="1"/>
    <col min="5636" max="5636" width="27.140625" style="5" customWidth="1"/>
    <col min="5637" max="5637" width="8" style="5" customWidth="1"/>
    <col min="5638" max="5638" width="8.7109375" style="5" customWidth="1"/>
    <col min="5639" max="5639" width="17.5703125" style="5" customWidth="1"/>
    <col min="5640" max="5640" width="20.85546875" style="5" customWidth="1"/>
    <col min="5641" max="5641" width="9.140625" style="5"/>
    <col min="5642" max="5642" width="19" style="5" customWidth="1"/>
    <col min="5643" max="5888" width="9.140625" style="5"/>
    <col min="5889" max="5889" width="2" style="5" customWidth="1"/>
    <col min="5890" max="5890" width="7.5703125" style="5" customWidth="1"/>
    <col min="5891" max="5891" width="2.42578125" style="5" customWidth="1"/>
    <col min="5892" max="5892" width="27.140625" style="5" customWidth="1"/>
    <col min="5893" max="5893" width="8" style="5" customWidth="1"/>
    <col min="5894" max="5894" width="8.7109375" style="5" customWidth="1"/>
    <col min="5895" max="5895" width="17.5703125" style="5" customWidth="1"/>
    <col min="5896" max="5896" width="20.85546875" style="5" customWidth="1"/>
    <col min="5897" max="5897" width="9.140625" style="5"/>
    <col min="5898" max="5898" width="19" style="5" customWidth="1"/>
    <col min="5899" max="6144" width="9.140625" style="5"/>
    <col min="6145" max="6145" width="2" style="5" customWidth="1"/>
    <col min="6146" max="6146" width="7.5703125" style="5" customWidth="1"/>
    <col min="6147" max="6147" width="2.42578125" style="5" customWidth="1"/>
    <col min="6148" max="6148" width="27.140625" style="5" customWidth="1"/>
    <col min="6149" max="6149" width="8" style="5" customWidth="1"/>
    <col min="6150" max="6150" width="8.7109375" style="5" customWidth="1"/>
    <col min="6151" max="6151" width="17.5703125" style="5" customWidth="1"/>
    <col min="6152" max="6152" width="20.85546875" style="5" customWidth="1"/>
    <col min="6153" max="6153" width="9.140625" style="5"/>
    <col min="6154" max="6154" width="19" style="5" customWidth="1"/>
    <col min="6155" max="6400" width="9.140625" style="5"/>
    <col min="6401" max="6401" width="2" style="5" customWidth="1"/>
    <col min="6402" max="6402" width="7.5703125" style="5" customWidth="1"/>
    <col min="6403" max="6403" width="2.42578125" style="5" customWidth="1"/>
    <col min="6404" max="6404" width="27.140625" style="5" customWidth="1"/>
    <col min="6405" max="6405" width="8" style="5" customWidth="1"/>
    <col min="6406" max="6406" width="8.7109375" style="5" customWidth="1"/>
    <col min="6407" max="6407" width="17.5703125" style="5" customWidth="1"/>
    <col min="6408" max="6408" width="20.85546875" style="5" customWidth="1"/>
    <col min="6409" max="6409" width="9.140625" style="5"/>
    <col min="6410" max="6410" width="19" style="5" customWidth="1"/>
    <col min="6411" max="6656" width="9.140625" style="5"/>
    <col min="6657" max="6657" width="2" style="5" customWidth="1"/>
    <col min="6658" max="6658" width="7.5703125" style="5" customWidth="1"/>
    <col min="6659" max="6659" width="2.42578125" style="5" customWidth="1"/>
    <col min="6660" max="6660" width="27.140625" style="5" customWidth="1"/>
    <col min="6661" max="6661" width="8" style="5" customWidth="1"/>
    <col min="6662" max="6662" width="8.7109375" style="5" customWidth="1"/>
    <col min="6663" max="6663" width="17.5703125" style="5" customWidth="1"/>
    <col min="6664" max="6664" width="20.85546875" style="5" customWidth="1"/>
    <col min="6665" max="6665" width="9.140625" style="5"/>
    <col min="6666" max="6666" width="19" style="5" customWidth="1"/>
    <col min="6667" max="6912" width="9.140625" style="5"/>
    <col min="6913" max="6913" width="2" style="5" customWidth="1"/>
    <col min="6914" max="6914" width="7.5703125" style="5" customWidth="1"/>
    <col min="6915" max="6915" width="2.42578125" style="5" customWidth="1"/>
    <col min="6916" max="6916" width="27.140625" style="5" customWidth="1"/>
    <col min="6917" max="6917" width="8" style="5" customWidth="1"/>
    <col min="6918" max="6918" width="8.7109375" style="5" customWidth="1"/>
    <col min="6919" max="6919" width="17.5703125" style="5" customWidth="1"/>
    <col min="6920" max="6920" width="20.85546875" style="5" customWidth="1"/>
    <col min="6921" max="6921" width="9.140625" style="5"/>
    <col min="6922" max="6922" width="19" style="5" customWidth="1"/>
    <col min="6923" max="7168" width="9.140625" style="5"/>
    <col min="7169" max="7169" width="2" style="5" customWidth="1"/>
    <col min="7170" max="7170" width="7.5703125" style="5" customWidth="1"/>
    <col min="7171" max="7171" width="2.42578125" style="5" customWidth="1"/>
    <col min="7172" max="7172" width="27.140625" style="5" customWidth="1"/>
    <col min="7173" max="7173" width="8" style="5" customWidth="1"/>
    <col min="7174" max="7174" width="8.7109375" style="5" customWidth="1"/>
    <col min="7175" max="7175" width="17.5703125" style="5" customWidth="1"/>
    <col min="7176" max="7176" width="20.85546875" style="5" customWidth="1"/>
    <col min="7177" max="7177" width="9.140625" style="5"/>
    <col min="7178" max="7178" width="19" style="5" customWidth="1"/>
    <col min="7179" max="7424" width="9.140625" style="5"/>
    <col min="7425" max="7425" width="2" style="5" customWidth="1"/>
    <col min="7426" max="7426" width="7.5703125" style="5" customWidth="1"/>
    <col min="7427" max="7427" width="2.42578125" style="5" customWidth="1"/>
    <col min="7428" max="7428" width="27.140625" style="5" customWidth="1"/>
    <col min="7429" max="7429" width="8" style="5" customWidth="1"/>
    <col min="7430" max="7430" width="8.7109375" style="5" customWidth="1"/>
    <col min="7431" max="7431" width="17.5703125" style="5" customWidth="1"/>
    <col min="7432" max="7432" width="20.85546875" style="5" customWidth="1"/>
    <col min="7433" max="7433" width="9.140625" style="5"/>
    <col min="7434" max="7434" width="19" style="5" customWidth="1"/>
    <col min="7435" max="7680" width="9.140625" style="5"/>
    <col min="7681" max="7681" width="2" style="5" customWidth="1"/>
    <col min="7682" max="7682" width="7.5703125" style="5" customWidth="1"/>
    <col min="7683" max="7683" width="2.42578125" style="5" customWidth="1"/>
    <col min="7684" max="7684" width="27.140625" style="5" customWidth="1"/>
    <col min="7685" max="7685" width="8" style="5" customWidth="1"/>
    <col min="7686" max="7686" width="8.7109375" style="5" customWidth="1"/>
    <col min="7687" max="7687" width="17.5703125" style="5" customWidth="1"/>
    <col min="7688" max="7688" width="20.85546875" style="5" customWidth="1"/>
    <col min="7689" max="7689" width="9.140625" style="5"/>
    <col min="7690" max="7690" width="19" style="5" customWidth="1"/>
    <col min="7691" max="7936" width="9.140625" style="5"/>
    <col min="7937" max="7937" width="2" style="5" customWidth="1"/>
    <col min="7938" max="7938" width="7.5703125" style="5" customWidth="1"/>
    <col min="7939" max="7939" width="2.42578125" style="5" customWidth="1"/>
    <col min="7940" max="7940" width="27.140625" style="5" customWidth="1"/>
    <col min="7941" max="7941" width="8" style="5" customWidth="1"/>
    <col min="7942" max="7942" width="8.7109375" style="5" customWidth="1"/>
    <col min="7943" max="7943" width="17.5703125" style="5" customWidth="1"/>
    <col min="7944" max="7944" width="20.85546875" style="5" customWidth="1"/>
    <col min="7945" max="7945" width="9.140625" style="5"/>
    <col min="7946" max="7946" width="19" style="5" customWidth="1"/>
    <col min="7947" max="8192" width="9.140625" style="5"/>
    <col min="8193" max="8193" width="2" style="5" customWidth="1"/>
    <col min="8194" max="8194" width="7.5703125" style="5" customWidth="1"/>
    <col min="8195" max="8195" width="2.42578125" style="5" customWidth="1"/>
    <col min="8196" max="8196" width="27.140625" style="5" customWidth="1"/>
    <col min="8197" max="8197" width="8" style="5" customWidth="1"/>
    <col min="8198" max="8198" width="8.7109375" style="5" customWidth="1"/>
    <col min="8199" max="8199" width="17.5703125" style="5" customWidth="1"/>
    <col min="8200" max="8200" width="20.85546875" style="5" customWidth="1"/>
    <col min="8201" max="8201" width="9.140625" style="5"/>
    <col min="8202" max="8202" width="19" style="5" customWidth="1"/>
    <col min="8203" max="8448" width="9.140625" style="5"/>
    <col min="8449" max="8449" width="2" style="5" customWidth="1"/>
    <col min="8450" max="8450" width="7.5703125" style="5" customWidth="1"/>
    <col min="8451" max="8451" width="2.42578125" style="5" customWidth="1"/>
    <col min="8452" max="8452" width="27.140625" style="5" customWidth="1"/>
    <col min="8453" max="8453" width="8" style="5" customWidth="1"/>
    <col min="8454" max="8454" width="8.7109375" style="5" customWidth="1"/>
    <col min="8455" max="8455" width="17.5703125" style="5" customWidth="1"/>
    <col min="8456" max="8456" width="20.85546875" style="5" customWidth="1"/>
    <col min="8457" max="8457" width="9.140625" style="5"/>
    <col min="8458" max="8458" width="19" style="5" customWidth="1"/>
    <col min="8459" max="8704" width="9.140625" style="5"/>
    <col min="8705" max="8705" width="2" style="5" customWidth="1"/>
    <col min="8706" max="8706" width="7.5703125" style="5" customWidth="1"/>
    <col min="8707" max="8707" width="2.42578125" style="5" customWidth="1"/>
    <col min="8708" max="8708" width="27.140625" style="5" customWidth="1"/>
    <col min="8709" max="8709" width="8" style="5" customWidth="1"/>
    <col min="8710" max="8710" width="8.7109375" style="5" customWidth="1"/>
    <col min="8711" max="8711" width="17.5703125" style="5" customWidth="1"/>
    <col min="8712" max="8712" width="20.85546875" style="5" customWidth="1"/>
    <col min="8713" max="8713" width="9.140625" style="5"/>
    <col min="8714" max="8714" width="19" style="5" customWidth="1"/>
    <col min="8715" max="8960" width="9.140625" style="5"/>
    <col min="8961" max="8961" width="2" style="5" customWidth="1"/>
    <col min="8962" max="8962" width="7.5703125" style="5" customWidth="1"/>
    <col min="8963" max="8963" width="2.42578125" style="5" customWidth="1"/>
    <col min="8964" max="8964" width="27.140625" style="5" customWidth="1"/>
    <col min="8965" max="8965" width="8" style="5" customWidth="1"/>
    <col min="8966" max="8966" width="8.7109375" style="5" customWidth="1"/>
    <col min="8967" max="8967" width="17.5703125" style="5" customWidth="1"/>
    <col min="8968" max="8968" width="20.85546875" style="5" customWidth="1"/>
    <col min="8969" max="8969" width="9.140625" style="5"/>
    <col min="8970" max="8970" width="19" style="5" customWidth="1"/>
    <col min="8971" max="9216" width="9.140625" style="5"/>
    <col min="9217" max="9217" width="2" style="5" customWidth="1"/>
    <col min="9218" max="9218" width="7.5703125" style="5" customWidth="1"/>
    <col min="9219" max="9219" width="2.42578125" style="5" customWidth="1"/>
    <col min="9220" max="9220" width="27.140625" style="5" customWidth="1"/>
    <col min="9221" max="9221" width="8" style="5" customWidth="1"/>
    <col min="9222" max="9222" width="8.7109375" style="5" customWidth="1"/>
    <col min="9223" max="9223" width="17.5703125" style="5" customWidth="1"/>
    <col min="9224" max="9224" width="20.85546875" style="5" customWidth="1"/>
    <col min="9225" max="9225" width="9.140625" style="5"/>
    <col min="9226" max="9226" width="19" style="5" customWidth="1"/>
    <col min="9227" max="9472" width="9.140625" style="5"/>
    <col min="9473" max="9473" width="2" style="5" customWidth="1"/>
    <col min="9474" max="9474" width="7.5703125" style="5" customWidth="1"/>
    <col min="9475" max="9475" width="2.42578125" style="5" customWidth="1"/>
    <col min="9476" max="9476" width="27.140625" style="5" customWidth="1"/>
    <col min="9477" max="9477" width="8" style="5" customWidth="1"/>
    <col min="9478" max="9478" width="8.7109375" style="5" customWidth="1"/>
    <col min="9479" max="9479" width="17.5703125" style="5" customWidth="1"/>
    <col min="9480" max="9480" width="20.85546875" style="5" customWidth="1"/>
    <col min="9481" max="9481" width="9.140625" style="5"/>
    <col min="9482" max="9482" width="19" style="5" customWidth="1"/>
    <col min="9483" max="9728" width="9.140625" style="5"/>
    <col min="9729" max="9729" width="2" style="5" customWidth="1"/>
    <col min="9730" max="9730" width="7.5703125" style="5" customWidth="1"/>
    <col min="9731" max="9731" width="2.42578125" style="5" customWidth="1"/>
    <col min="9732" max="9732" width="27.140625" style="5" customWidth="1"/>
    <col min="9733" max="9733" width="8" style="5" customWidth="1"/>
    <col min="9734" max="9734" width="8.7109375" style="5" customWidth="1"/>
    <col min="9735" max="9735" width="17.5703125" style="5" customWidth="1"/>
    <col min="9736" max="9736" width="20.85546875" style="5" customWidth="1"/>
    <col min="9737" max="9737" width="9.140625" style="5"/>
    <col min="9738" max="9738" width="19" style="5" customWidth="1"/>
    <col min="9739" max="9984" width="9.140625" style="5"/>
    <col min="9985" max="9985" width="2" style="5" customWidth="1"/>
    <col min="9986" max="9986" width="7.5703125" style="5" customWidth="1"/>
    <col min="9987" max="9987" width="2.42578125" style="5" customWidth="1"/>
    <col min="9988" max="9988" width="27.140625" style="5" customWidth="1"/>
    <col min="9989" max="9989" width="8" style="5" customWidth="1"/>
    <col min="9990" max="9990" width="8.7109375" style="5" customWidth="1"/>
    <col min="9991" max="9991" width="17.5703125" style="5" customWidth="1"/>
    <col min="9992" max="9992" width="20.85546875" style="5" customWidth="1"/>
    <col min="9993" max="9993" width="9.140625" style="5"/>
    <col min="9994" max="9994" width="19" style="5" customWidth="1"/>
    <col min="9995" max="10240" width="9.140625" style="5"/>
    <col min="10241" max="10241" width="2" style="5" customWidth="1"/>
    <col min="10242" max="10242" width="7.5703125" style="5" customWidth="1"/>
    <col min="10243" max="10243" width="2.42578125" style="5" customWidth="1"/>
    <col min="10244" max="10244" width="27.140625" style="5" customWidth="1"/>
    <col min="10245" max="10245" width="8" style="5" customWidth="1"/>
    <col min="10246" max="10246" width="8.7109375" style="5" customWidth="1"/>
    <col min="10247" max="10247" width="17.5703125" style="5" customWidth="1"/>
    <col min="10248" max="10248" width="20.85546875" style="5" customWidth="1"/>
    <col min="10249" max="10249" width="9.140625" style="5"/>
    <col min="10250" max="10250" width="19" style="5" customWidth="1"/>
    <col min="10251" max="10496" width="9.140625" style="5"/>
    <col min="10497" max="10497" width="2" style="5" customWidth="1"/>
    <col min="10498" max="10498" width="7.5703125" style="5" customWidth="1"/>
    <col min="10499" max="10499" width="2.42578125" style="5" customWidth="1"/>
    <col min="10500" max="10500" width="27.140625" style="5" customWidth="1"/>
    <col min="10501" max="10501" width="8" style="5" customWidth="1"/>
    <col min="10502" max="10502" width="8.7109375" style="5" customWidth="1"/>
    <col min="10503" max="10503" width="17.5703125" style="5" customWidth="1"/>
    <col min="10504" max="10504" width="20.85546875" style="5" customWidth="1"/>
    <col min="10505" max="10505" width="9.140625" style="5"/>
    <col min="10506" max="10506" width="19" style="5" customWidth="1"/>
    <col min="10507" max="10752" width="9.140625" style="5"/>
    <col min="10753" max="10753" width="2" style="5" customWidth="1"/>
    <col min="10754" max="10754" width="7.5703125" style="5" customWidth="1"/>
    <col min="10755" max="10755" width="2.42578125" style="5" customWidth="1"/>
    <col min="10756" max="10756" width="27.140625" style="5" customWidth="1"/>
    <col min="10757" max="10757" width="8" style="5" customWidth="1"/>
    <col min="10758" max="10758" width="8.7109375" style="5" customWidth="1"/>
    <col min="10759" max="10759" width="17.5703125" style="5" customWidth="1"/>
    <col min="10760" max="10760" width="20.85546875" style="5" customWidth="1"/>
    <col min="10761" max="10761" width="9.140625" style="5"/>
    <col min="10762" max="10762" width="19" style="5" customWidth="1"/>
    <col min="10763" max="11008" width="9.140625" style="5"/>
    <col min="11009" max="11009" width="2" style="5" customWidth="1"/>
    <col min="11010" max="11010" width="7.5703125" style="5" customWidth="1"/>
    <col min="11011" max="11011" width="2.42578125" style="5" customWidth="1"/>
    <col min="11012" max="11012" width="27.140625" style="5" customWidth="1"/>
    <col min="11013" max="11013" width="8" style="5" customWidth="1"/>
    <col min="11014" max="11014" width="8.7109375" style="5" customWidth="1"/>
    <col min="11015" max="11015" width="17.5703125" style="5" customWidth="1"/>
    <col min="11016" max="11016" width="20.85546875" style="5" customWidth="1"/>
    <col min="11017" max="11017" width="9.140625" style="5"/>
    <col min="11018" max="11018" width="19" style="5" customWidth="1"/>
    <col min="11019" max="11264" width="9.140625" style="5"/>
    <col min="11265" max="11265" width="2" style="5" customWidth="1"/>
    <col min="11266" max="11266" width="7.5703125" style="5" customWidth="1"/>
    <col min="11267" max="11267" width="2.42578125" style="5" customWidth="1"/>
    <col min="11268" max="11268" width="27.140625" style="5" customWidth="1"/>
    <col min="11269" max="11269" width="8" style="5" customWidth="1"/>
    <col min="11270" max="11270" width="8.7109375" style="5" customWidth="1"/>
    <col min="11271" max="11271" width="17.5703125" style="5" customWidth="1"/>
    <col min="11272" max="11272" width="20.85546875" style="5" customWidth="1"/>
    <col min="11273" max="11273" width="9.140625" style="5"/>
    <col min="11274" max="11274" width="19" style="5" customWidth="1"/>
    <col min="11275" max="11520" width="9.140625" style="5"/>
    <col min="11521" max="11521" width="2" style="5" customWidth="1"/>
    <col min="11522" max="11522" width="7.5703125" style="5" customWidth="1"/>
    <col min="11523" max="11523" width="2.42578125" style="5" customWidth="1"/>
    <col min="11524" max="11524" width="27.140625" style="5" customWidth="1"/>
    <col min="11525" max="11525" width="8" style="5" customWidth="1"/>
    <col min="11526" max="11526" width="8.7109375" style="5" customWidth="1"/>
    <col min="11527" max="11527" width="17.5703125" style="5" customWidth="1"/>
    <col min="11528" max="11528" width="20.85546875" style="5" customWidth="1"/>
    <col min="11529" max="11529" width="9.140625" style="5"/>
    <col min="11530" max="11530" width="19" style="5" customWidth="1"/>
    <col min="11531" max="11776" width="9.140625" style="5"/>
    <col min="11777" max="11777" width="2" style="5" customWidth="1"/>
    <col min="11778" max="11778" width="7.5703125" style="5" customWidth="1"/>
    <col min="11779" max="11779" width="2.42578125" style="5" customWidth="1"/>
    <col min="11780" max="11780" width="27.140625" style="5" customWidth="1"/>
    <col min="11781" max="11781" width="8" style="5" customWidth="1"/>
    <col min="11782" max="11782" width="8.7109375" style="5" customWidth="1"/>
    <col min="11783" max="11783" width="17.5703125" style="5" customWidth="1"/>
    <col min="11784" max="11784" width="20.85546875" style="5" customWidth="1"/>
    <col min="11785" max="11785" width="9.140625" style="5"/>
    <col min="11786" max="11786" width="19" style="5" customWidth="1"/>
    <col min="11787" max="12032" width="9.140625" style="5"/>
    <col min="12033" max="12033" width="2" style="5" customWidth="1"/>
    <col min="12034" max="12034" width="7.5703125" style="5" customWidth="1"/>
    <col min="12035" max="12035" width="2.42578125" style="5" customWidth="1"/>
    <col min="12036" max="12036" width="27.140625" style="5" customWidth="1"/>
    <col min="12037" max="12037" width="8" style="5" customWidth="1"/>
    <col min="12038" max="12038" width="8.7109375" style="5" customWidth="1"/>
    <col min="12039" max="12039" width="17.5703125" style="5" customWidth="1"/>
    <col min="12040" max="12040" width="20.85546875" style="5" customWidth="1"/>
    <col min="12041" max="12041" width="9.140625" style="5"/>
    <col min="12042" max="12042" width="19" style="5" customWidth="1"/>
    <col min="12043" max="12288" width="9.140625" style="5"/>
    <col min="12289" max="12289" width="2" style="5" customWidth="1"/>
    <col min="12290" max="12290" width="7.5703125" style="5" customWidth="1"/>
    <col min="12291" max="12291" width="2.42578125" style="5" customWidth="1"/>
    <col min="12292" max="12292" width="27.140625" style="5" customWidth="1"/>
    <col min="12293" max="12293" width="8" style="5" customWidth="1"/>
    <col min="12294" max="12294" width="8.7109375" style="5" customWidth="1"/>
    <col min="12295" max="12295" width="17.5703125" style="5" customWidth="1"/>
    <col min="12296" max="12296" width="20.85546875" style="5" customWidth="1"/>
    <col min="12297" max="12297" width="9.140625" style="5"/>
    <col min="12298" max="12298" width="19" style="5" customWidth="1"/>
    <col min="12299" max="12544" width="9.140625" style="5"/>
    <col min="12545" max="12545" width="2" style="5" customWidth="1"/>
    <col min="12546" max="12546" width="7.5703125" style="5" customWidth="1"/>
    <col min="12547" max="12547" width="2.42578125" style="5" customWidth="1"/>
    <col min="12548" max="12548" width="27.140625" style="5" customWidth="1"/>
    <col min="12549" max="12549" width="8" style="5" customWidth="1"/>
    <col min="12550" max="12550" width="8.7109375" style="5" customWidth="1"/>
    <col min="12551" max="12551" width="17.5703125" style="5" customWidth="1"/>
    <col min="12552" max="12552" width="20.85546875" style="5" customWidth="1"/>
    <col min="12553" max="12553" width="9.140625" style="5"/>
    <col min="12554" max="12554" width="19" style="5" customWidth="1"/>
    <col min="12555" max="12800" width="9.140625" style="5"/>
    <col min="12801" max="12801" width="2" style="5" customWidth="1"/>
    <col min="12802" max="12802" width="7.5703125" style="5" customWidth="1"/>
    <col min="12803" max="12803" width="2.42578125" style="5" customWidth="1"/>
    <col min="12804" max="12804" width="27.140625" style="5" customWidth="1"/>
    <col min="12805" max="12805" width="8" style="5" customWidth="1"/>
    <col min="12806" max="12806" width="8.7109375" style="5" customWidth="1"/>
    <col min="12807" max="12807" width="17.5703125" style="5" customWidth="1"/>
    <col min="12808" max="12808" width="20.85546875" style="5" customWidth="1"/>
    <col min="12809" max="12809" width="9.140625" style="5"/>
    <col min="12810" max="12810" width="19" style="5" customWidth="1"/>
    <col min="12811" max="13056" width="9.140625" style="5"/>
    <col min="13057" max="13057" width="2" style="5" customWidth="1"/>
    <col min="13058" max="13058" width="7.5703125" style="5" customWidth="1"/>
    <col min="13059" max="13059" width="2.42578125" style="5" customWidth="1"/>
    <col min="13060" max="13060" width="27.140625" style="5" customWidth="1"/>
    <col min="13061" max="13061" width="8" style="5" customWidth="1"/>
    <col min="13062" max="13062" width="8.7109375" style="5" customWidth="1"/>
    <col min="13063" max="13063" width="17.5703125" style="5" customWidth="1"/>
    <col min="13064" max="13064" width="20.85546875" style="5" customWidth="1"/>
    <col min="13065" max="13065" width="9.140625" style="5"/>
    <col min="13066" max="13066" width="19" style="5" customWidth="1"/>
    <col min="13067" max="13312" width="9.140625" style="5"/>
    <col min="13313" max="13313" width="2" style="5" customWidth="1"/>
    <col min="13314" max="13314" width="7.5703125" style="5" customWidth="1"/>
    <col min="13315" max="13315" width="2.42578125" style="5" customWidth="1"/>
    <col min="13316" max="13316" width="27.140625" style="5" customWidth="1"/>
    <col min="13317" max="13317" width="8" style="5" customWidth="1"/>
    <col min="13318" max="13318" width="8.7109375" style="5" customWidth="1"/>
    <col min="13319" max="13319" width="17.5703125" style="5" customWidth="1"/>
    <col min="13320" max="13320" width="20.85546875" style="5" customWidth="1"/>
    <col min="13321" max="13321" width="9.140625" style="5"/>
    <col min="13322" max="13322" width="19" style="5" customWidth="1"/>
    <col min="13323" max="13568" width="9.140625" style="5"/>
    <col min="13569" max="13569" width="2" style="5" customWidth="1"/>
    <col min="13570" max="13570" width="7.5703125" style="5" customWidth="1"/>
    <col min="13571" max="13571" width="2.42578125" style="5" customWidth="1"/>
    <col min="13572" max="13572" width="27.140625" style="5" customWidth="1"/>
    <col min="13573" max="13573" width="8" style="5" customWidth="1"/>
    <col min="13574" max="13574" width="8.7109375" style="5" customWidth="1"/>
    <col min="13575" max="13575" width="17.5703125" style="5" customWidth="1"/>
    <col min="13576" max="13576" width="20.85546875" style="5" customWidth="1"/>
    <col min="13577" max="13577" width="9.140625" style="5"/>
    <col min="13578" max="13578" width="19" style="5" customWidth="1"/>
    <col min="13579" max="13824" width="9.140625" style="5"/>
    <col min="13825" max="13825" width="2" style="5" customWidth="1"/>
    <col min="13826" max="13826" width="7.5703125" style="5" customWidth="1"/>
    <col min="13827" max="13827" width="2.42578125" style="5" customWidth="1"/>
    <col min="13828" max="13828" width="27.140625" style="5" customWidth="1"/>
    <col min="13829" max="13829" width="8" style="5" customWidth="1"/>
    <col min="13830" max="13830" width="8.7109375" style="5" customWidth="1"/>
    <col min="13831" max="13831" width="17.5703125" style="5" customWidth="1"/>
    <col min="13832" max="13832" width="20.85546875" style="5" customWidth="1"/>
    <col min="13833" max="13833" width="9.140625" style="5"/>
    <col min="13834" max="13834" width="19" style="5" customWidth="1"/>
    <col min="13835" max="14080" width="9.140625" style="5"/>
    <col min="14081" max="14081" width="2" style="5" customWidth="1"/>
    <col min="14082" max="14082" width="7.5703125" style="5" customWidth="1"/>
    <col min="14083" max="14083" width="2.42578125" style="5" customWidth="1"/>
    <col min="14084" max="14084" width="27.140625" style="5" customWidth="1"/>
    <col min="14085" max="14085" width="8" style="5" customWidth="1"/>
    <col min="14086" max="14086" width="8.7109375" style="5" customWidth="1"/>
    <col min="14087" max="14087" width="17.5703125" style="5" customWidth="1"/>
    <col min="14088" max="14088" width="20.85546875" style="5" customWidth="1"/>
    <col min="14089" max="14089" width="9.140625" style="5"/>
    <col min="14090" max="14090" width="19" style="5" customWidth="1"/>
    <col min="14091" max="14336" width="9.140625" style="5"/>
    <col min="14337" max="14337" width="2" style="5" customWidth="1"/>
    <col min="14338" max="14338" width="7.5703125" style="5" customWidth="1"/>
    <col min="14339" max="14339" width="2.42578125" style="5" customWidth="1"/>
    <col min="14340" max="14340" width="27.140625" style="5" customWidth="1"/>
    <col min="14341" max="14341" width="8" style="5" customWidth="1"/>
    <col min="14342" max="14342" width="8.7109375" style="5" customWidth="1"/>
    <col min="14343" max="14343" width="17.5703125" style="5" customWidth="1"/>
    <col min="14344" max="14344" width="20.85546875" style="5" customWidth="1"/>
    <col min="14345" max="14345" width="9.140625" style="5"/>
    <col min="14346" max="14346" width="19" style="5" customWidth="1"/>
    <col min="14347" max="14592" width="9.140625" style="5"/>
    <col min="14593" max="14593" width="2" style="5" customWidth="1"/>
    <col min="14594" max="14594" width="7.5703125" style="5" customWidth="1"/>
    <col min="14595" max="14595" width="2.42578125" style="5" customWidth="1"/>
    <col min="14596" max="14596" width="27.140625" style="5" customWidth="1"/>
    <col min="14597" max="14597" width="8" style="5" customWidth="1"/>
    <col min="14598" max="14598" width="8.7109375" style="5" customWidth="1"/>
    <col min="14599" max="14599" width="17.5703125" style="5" customWidth="1"/>
    <col min="14600" max="14600" width="20.85546875" style="5" customWidth="1"/>
    <col min="14601" max="14601" width="9.140625" style="5"/>
    <col min="14602" max="14602" width="19" style="5" customWidth="1"/>
    <col min="14603" max="14848" width="9.140625" style="5"/>
    <col min="14849" max="14849" width="2" style="5" customWidth="1"/>
    <col min="14850" max="14850" width="7.5703125" style="5" customWidth="1"/>
    <col min="14851" max="14851" width="2.42578125" style="5" customWidth="1"/>
    <col min="14852" max="14852" width="27.140625" style="5" customWidth="1"/>
    <col min="14853" max="14853" width="8" style="5" customWidth="1"/>
    <col min="14854" max="14854" width="8.7109375" style="5" customWidth="1"/>
    <col min="14855" max="14855" width="17.5703125" style="5" customWidth="1"/>
    <col min="14856" max="14856" width="20.85546875" style="5" customWidth="1"/>
    <col min="14857" max="14857" width="9.140625" style="5"/>
    <col min="14858" max="14858" width="19" style="5" customWidth="1"/>
    <col min="14859" max="15104" width="9.140625" style="5"/>
    <col min="15105" max="15105" width="2" style="5" customWidth="1"/>
    <col min="15106" max="15106" width="7.5703125" style="5" customWidth="1"/>
    <col min="15107" max="15107" width="2.42578125" style="5" customWidth="1"/>
    <col min="15108" max="15108" width="27.140625" style="5" customWidth="1"/>
    <col min="15109" max="15109" width="8" style="5" customWidth="1"/>
    <col min="15110" max="15110" width="8.7109375" style="5" customWidth="1"/>
    <col min="15111" max="15111" width="17.5703125" style="5" customWidth="1"/>
    <col min="15112" max="15112" width="20.85546875" style="5" customWidth="1"/>
    <col min="15113" max="15113" width="9.140625" style="5"/>
    <col min="15114" max="15114" width="19" style="5" customWidth="1"/>
    <col min="15115" max="15360" width="9.140625" style="5"/>
    <col min="15361" max="15361" width="2" style="5" customWidth="1"/>
    <col min="15362" max="15362" width="7.5703125" style="5" customWidth="1"/>
    <col min="15363" max="15363" width="2.42578125" style="5" customWidth="1"/>
    <col min="15364" max="15364" width="27.140625" style="5" customWidth="1"/>
    <col min="15365" max="15365" width="8" style="5" customWidth="1"/>
    <col min="15366" max="15366" width="8.7109375" style="5" customWidth="1"/>
    <col min="15367" max="15367" width="17.5703125" style="5" customWidth="1"/>
    <col min="15368" max="15368" width="20.85546875" style="5" customWidth="1"/>
    <col min="15369" max="15369" width="9.140625" style="5"/>
    <col min="15370" max="15370" width="19" style="5" customWidth="1"/>
    <col min="15371" max="15616" width="9.140625" style="5"/>
    <col min="15617" max="15617" width="2" style="5" customWidth="1"/>
    <col min="15618" max="15618" width="7.5703125" style="5" customWidth="1"/>
    <col min="15619" max="15619" width="2.42578125" style="5" customWidth="1"/>
    <col min="15620" max="15620" width="27.140625" style="5" customWidth="1"/>
    <col min="15621" max="15621" width="8" style="5" customWidth="1"/>
    <col min="15622" max="15622" width="8.7109375" style="5" customWidth="1"/>
    <col min="15623" max="15623" width="17.5703125" style="5" customWidth="1"/>
    <col min="15624" max="15624" width="20.85546875" style="5" customWidth="1"/>
    <col min="15625" max="15625" width="9.140625" style="5"/>
    <col min="15626" max="15626" width="19" style="5" customWidth="1"/>
    <col min="15627" max="15872" width="9.140625" style="5"/>
    <col min="15873" max="15873" width="2" style="5" customWidth="1"/>
    <col min="15874" max="15874" width="7.5703125" style="5" customWidth="1"/>
    <col min="15875" max="15875" width="2.42578125" style="5" customWidth="1"/>
    <col min="15876" max="15876" width="27.140625" style="5" customWidth="1"/>
    <col min="15877" max="15877" width="8" style="5" customWidth="1"/>
    <col min="15878" max="15878" width="8.7109375" style="5" customWidth="1"/>
    <col min="15879" max="15879" width="17.5703125" style="5" customWidth="1"/>
    <col min="15880" max="15880" width="20.85546875" style="5" customWidth="1"/>
    <col min="15881" max="15881" width="9.140625" style="5"/>
    <col min="15882" max="15882" width="19" style="5" customWidth="1"/>
    <col min="15883" max="16128" width="9.140625" style="5"/>
    <col min="16129" max="16129" width="2" style="5" customWidth="1"/>
    <col min="16130" max="16130" width="7.5703125" style="5" customWidth="1"/>
    <col min="16131" max="16131" width="2.42578125" style="5" customWidth="1"/>
    <col min="16132" max="16132" width="27.140625" style="5" customWidth="1"/>
    <col min="16133" max="16133" width="8" style="5" customWidth="1"/>
    <col min="16134" max="16134" width="8.7109375" style="5" customWidth="1"/>
    <col min="16135" max="16135" width="17.5703125" style="5" customWidth="1"/>
    <col min="16136" max="16136" width="20.85546875" style="5" customWidth="1"/>
    <col min="16137" max="16137" width="9.140625" style="5"/>
    <col min="16138" max="16138" width="19" style="5" customWidth="1"/>
    <col min="16139" max="16384" width="9.140625" style="5"/>
  </cols>
  <sheetData>
    <row r="1" spans="1:14" ht="15.75" thickBot="1">
      <c r="C1" s="181"/>
      <c r="D1" s="181"/>
    </row>
    <row r="2" spans="1:14" ht="15.75" customHeight="1">
      <c r="A2" s="2911" t="s">
        <v>1456</v>
      </c>
      <c r="B2" s="2912"/>
      <c r="C2" s="2912"/>
      <c r="D2" s="2912"/>
      <c r="E2" s="2912"/>
      <c r="F2" s="2912"/>
      <c r="G2" s="2913"/>
    </row>
    <row r="3" spans="1:14" ht="13.5" customHeight="1" thickBot="1">
      <c r="A3" s="2914"/>
      <c r="B3" s="2915"/>
      <c r="C3" s="2915"/>
      <c r="D3" s="2915"/>
      <c r="E3" s="2915"/>
      <c r="F3" s="2915"/>
      <c r="G3" s="2916"/>
      <c r="L3" s="2249">
        <v>1</v>
      </c>
      <c r="M3" s="2250" t="str">
        <f>'HARGA SATUAN PEKERJAAN'!C170</f>
        <v>1 M3 Kusen Pintu &amp; jendela kayu Kamper Samarinda</v>
      </c>
      <c r="N3" s="2251">
        <f>'HARGA SATUAN PEKERJAAN'!$F$170</f>
        <v>20677333</v>
      </c>
    </row>
    <row r="4" spans="1:14" ht="15.75" thickBot="1">
      <c r="A4" s="2917" t="s">
        <v>157</v>
      </c>
      <c r="B4" s="2917" t="s">
        <v>211</v>
      </c>
      <c r="C4" s="2917"/>
      <c r="D4" s="2917" t="s">
        <v>212</v>
      </c>
      <c r="E4" s="2918" t="s">
        <v>213</v>
      </c>
      <c r="F4" s="993" t="s">
        <v>214</v>
      </c>
      <c r="G4" s="993" t="s">
        <v>215</v>
      </c>
      <c r="L4">
        <v>2</v>
      </c>
      <c r="M4" s="1678" t="str">
        <f>'HARGA SATUAN PEKERJAAN'!$C$191</f>
        <v>1 m' Pasang kusen pintu/jendela alluminium warna 4"</v>
      </c>
      <c r="N4" s="1679">
        <f>'HARGA SATUAN PEKERJAAN'!$F$191</f>
        <v>105337</v>
      </c>
    </row>
    <row r="5" spans="1:14" ht="15.75" thickBot="1">
      <c r="A5" s="2917"/>
      <c r="B5" s="2917"/>
      <c r="C5" s="2917"/>
      <c r="D5" s="2917"/>
      <c r="E5" s="2918"/>
      <c r="F5" s="993" t="s">
        <v>216</v>
      </c>
      <c r="G5" s="993" t="s">
        <v>216</v>
      </c>
      <c r="L5" s="2249">
        <v>3</v>
      </c>
      <c r="M5" s="2250" t="str">
        <f>'HARGA SATUAN PEKERJAAN'!$C$192</f>
        <v>1 m' Pasang kusen pintu/jendela alluminium warna 3"</v>
      </c>
      <c r="N5" s="2251">
        <f>'HARGA SATUAN PEKERJAAN'!$F$192</f>
        <v>83337</v>
      </c>
    </row>
    <row r="6" spans="1:14" ht="15.75" thickBot="1">
      <c r="A6" s="1218">
        <v>4</v>
      </c>
      <c r="B6" s="987" t="str">
        <f>B243</f>
        <v>1 Unit Pek. Pintu (  )</v>
      </c>
      <c r="C6" s="987"/>
      <c r="D6" s="988"/>
      <c r="E6" s="989"/>
      <c r="F6" s="990"/>
      <c r="G6" s="991"/>
      <c r="H6" s="954"/>
      <c r="I6" s="911"/>
      <c r="L6" s="1221">
        <v>4</v>
      </c>
      <c r="M6" s="1678" t="str">
        <f>'HARGA SATUAN PEKERJAAN'!$C$193</f>
        <v>1 m' Pasang kusen pintu/jendela UPVC</v>
      </c>
      <c r="N6" s="1679">
        <f>'HARGA SATUAN PEKERJAAN'!$F$193</f>
        <v>259337</v>
      </c>
    </row>
    <row r="7" spans="1:14">
      <c r="A7" s="1024"/>
      <c r="B7" s="66">
        <v>1</v>
      </c>
      <c r="C7" s="1026" t="s">
        <v>2628</v>
      </c>
      <c r="D7" s="1037" t="s">
        <v>100</v>
      </c>
      <c r="E7" s="1028">
        <f>HIT.PINTU!$D$4*0.05*0.1</f>
        <v>0</v>
      </c>
      <c r="F7" s="1679">
        <f>VLOOKUP(B7,$L$3:$N$50,3,TRUE)</f>
        <v>20677333</v>
      </c>
      <c r="G7" s="1029">
        <f>E7*F7</f>
        <v>0</v>
      </c>
      <c r="H7" s="1410">
        <f>E7*K!$I$85</f>
        <v>0</v>
      </c>
      <c r="I7" s="910">
        <f>E7*K!$I$89</f>
        <v>0</v>
      </c>
      <c r="J7" s="2065">
        <f>SUM(H7:I7)</f>
        <v>0</v>
      </c>
      <c r="K7" s="2259" t="str">
        <f>C7&amp;C8</f>
        <v>Kusen &amp; Pintu Panel Kayu Kamper Samarinda</v>
      </c>
      <c r="L7" s="2249">
        <v>5</v>
      </c>
      <c r="M7" s="2250" t="str">
        <f>'HARGA SATUAN PEKERJAAN'!$C$194</f>
        <v>1 m1 Pasang Pintu/jendela kaca rangka UPVC</v>
      </c>
      <c r="N7" s="2251">
        <f>'HARGA SATUAN PEKERJAAN'!$F$194</f>
        <v>528305</v>
      </c>
    </row>
    <row r="8" spans="1:14">
      <c r="A8" s="1024"/>
      <c r="B8" s="1039">
        <v>6</v>
      </c>
      <c r="C8" s="1041" t="s">
        <v>2601</v>
      </c>
      <c r="D8" s="1037" t="s">
        <v>147</v>
      </c>
      <c r="E8" s="1035">
        <f>HIT.PINTU!$E$4</f>
        <v>0</v>
      </c>
      <c r="F8" s="1679">
        <f>VLOOKUP(B8,$L$3:$N$50,3,TRUE)</f>
        <v>1195283</v>
      </c>
      <c r="G8" s="1030">
        <f>E8*F8</f>
        <v>0</v>
      </c>
      <c r="H8" s="1410">
        <f>J8-I8</f>
        <v>0</v>
      </c>
      <c r="I8" s="1410">
        <f>E8*K!$I$89</f>
        <v>0</v>
      </c>
      <c r="J8" s="2065">
        <f>G8</f>
        <v>0</v>
      </c>
      <c r="L8" s="1221">
        <v>6</v>
      </c>
      <c r="M8" s="1678" t="str">
        <f>'HARGA SATUAN PEKERJAAN'!$C$171</f>
        <v>1 M2 Pintu Panel Kayu Kamper Samarinda</v>
      </c>
      <c r="N8" s="1679">
        <f>'HARGA SATUAN PEKERJAAN'!$F$171</f>
        <v>1195283</v>
      </c>
    </row>
    <row r="9" spans="1:14">
      <c r="A9" s="1024"/>
      <c r="B9" s="1039">
        <v>44</v>
      </c>
      <c r="C9" s="1041" t="s">
        <v>2626</v>
      </c>
      <c r="D9" s="1037" t="s">
        <v>147</v>
      </c>
      <c r="E9" s="1035">
        <f>HIT.PINTU!$E$4</f>
        <v>0</v>
      </c>
      <c r="F9" s="1679">
        <f>VLOOKUP(B9,$L$3:$N$50,3,TRUE)</f>
        <v>75000</v>
      </c>
      <c r="G9" s="1030">
        <f>E9*F9</f>
        <v>0</v>
      </c>
      <c r="H9" s="1410">
        <f>J9-I9</f>
        <v>0</v>
      </c>
      <c r="I9" s="1410">
        <f>E9*K!$I$89</f>
        <v>0</v>
      </c>
      <c r="J9" s="2065">
        <f>G9</f>
        <v>0</v>
      </c>
      <c r="L9" s="2249">
        <v>7</v>
      </c>
      <c r="M9" s="2250" t="str">
        <f>'HARGA SATUAN PEKERJAAN'!$C$172</f>
        <v>1 M2 Pintu Triplek Rangkap, Rangka Tertutup Kayu Kamper Samarinda</v>
      </c>
      <c r="N9" s="2251">
        <f>'HARGA SATUAN PEKERJAAN'!$F$172</f>
        <v>853394</v>
      </c>
    </row>
    <row r="10" spans="1:14">
      <c r="A10" s="1024"/>
      <c r="B10" s="2064"/>
      <c r="C10" s="1774"/>
      <c r="D10" s="1037"/>
      <c r="E10" s="1028"/>
      <c r="F10" s="1679"/>
      <c r="G10" s="995"/>
      <c r="H10" s="1410">
        <f>J10-I10</f>
        <v>0</v>
      </c>
      <c r="I10" s="1410">
        <f>E10*K!$I$89</f>
        <v>0</v>
      </c>
      <c r="J10" s="2065">
        <f>G10</f>
        <v>0</v>
      </c>
      <c r="L10" s="1221">
        <v>8</v>
      </c>
      <c r="M10" s="1678" t="str">
        <f>'HARGA SATUAN PEKERJAAN'!$C$173</f>
        <v>1 M3 Kusen Pintu &amp; jendela kayu Merbau</v>
      </c>
      <c r="N10" s="1679">
        <f>'HARGA SATUAN PEKERJAAN'!$F$173</f>
        <v>39050000</v>
      </c>
    </row>
    <row r="11" spans="1:14">
      <c r="A11" s="1024"/>
      <c r="B11" s="1039"/>
      <c r="C11" s="1774"/>
      <c r="D11" s="1037"/>
      <c r="E11" s="1028"/>
      <c r="F11" s="1679"/>
      <c r="G11" s="1038">
        <f>E11*F11</f>
        <v>0</v>
      </c>
      <c r="H11" s="1410"/>
      <c r="I11" s="1410"/>
      <c r="L11" s="2249">
        <v>9</v>
      </c>
      <c r="M11" s="2250"/>
      <c r="N11" s="2251"/>
    </row>
    <row r="12" spans="1:14" ht="15.75" thickBot="1">
      <c r="A12" s="1049"/>
      <c r="B12" s="78"/>
      <c r="C12" s="1041" t="s">
        <v>156</v>
      </c>
      <c r="D12" s="1042" t="s">
        <v>154</v>
      </c>
      <c r="E12" s="1028">
        <v>1</v>
      </c>
      <c r="F12" s="1050">
        <f>(250000*1)+(200000*0)</f>
        <v>250000</v>
      </c>
      <c r="G12" s="1029">
        <f>E12*F12</f>
        <v>250000</v>
      </c>
      <c r="H12" s="1410">
        <v>0</v>
      </c>
      <c r="I12" s="910">
        <f>F12</f>
        <v>250000</v>
      </c>
      <c r="J12" s="2065">
        <f>SUM(H12:I12)</f>
        <v>250000</v>
      </c>
      <c r="L12" s="1221">
        <v>10</v>
      </c>
      <c r="M12" s="1678" t="str">
        <f>'HARGA SATUAN PEKERJAAN'!$C$174</f>
        <v>1 M2 Pintu Panel Kayu Merbau</v>
      </c>
      <c r="N12" s="1679">
        <f>'HARGA SATUAN PEKERJAAN'!$F$174</f>
        <v>1783688</v>
      </c>
    </row>
    <row r="13" spans="1:14">
      <c r="A13" s="1047"/>
      <c r="B13" s="1052"/>
      <c r="C13" s="1053" t="s">
        <v>228</v>
      </c>
      <c r="D13" s="1054"/>
      <c r="E13" s="1055"/>
      <c r="F13" s="1056"/>
      <c r="G13" s="1057">
        <f>SUM(G7:G12)</f>
        <v>250000</v>
      </c>
      <c r="H13" s="910">
        <f>J13-I13</f>
        <v>0</v>
      </c>
      <c r="I13" s="910">
        <v>250000</v>
      </c>
      <c r="J13" s="2065">
        <f>G13</f>
        <v>250000</v>
      </c>
      <c r="L13" s="2249">
        <v>11</v>
      </c>
      <c r="M13" s="2250" t="str">
        <f>'HARGA SATUAN PEKERJAAN'!$C$175</f>
        <v>1 M3 Kusen Pintu &amp; jendela kayu Bengirai</v>
      </c>
      <c r="N13" s="2251">
        <f>'HARGA SATUAN PEKERJAAN'!$F$175</f>
        <v>15750000</v>
      </c>
    </row>
    <row r="14" spans="1:14" ht="15.75" thickBot="1">
      <c r="A14" s="1025"/>
      <c r="B14" s="1058" t="s">
        <v>229</v>
      </c>
      <c r="C14" s="1059"/>
      <c r="D14" s="1059"/>
      <c r="E14" s="1059"/>
      <c r="F14" s="1060"/>
      <c r="G14" s="1061">
        <f>ROUND(G13,0)</f>
        <v>250000</v>
      </c>
      <c r="H14" s="954"/>
      <c r="I14" s="911"/>
      <c r="L14" s="1221">
        <v>12</v>
      </c>
      <c r="M14" s="1678" t="str">
        <f>'HARGA SATUAN PEKERJAAN'!$C$176</f>
        <v>1 M2 Pintu Panel Kayu Bengirai</v>
      </c>
      <c r="N14" s="1679">
        <f>'HARGA SATUAN PEKERJAAN'!$F$176</f>
        <v>1023688</v>
      </c>
    </row>
    <row r="15" spans="1:14" ht="15.75" thickBot="1">
      <c r="A15" s="1218">
        <v>5</v>
      </c>
      <c r="B15" s="987" t="str">
        <f>B244</f>
        <v>1 Unit Pek. Pintu (  )</v>
      </c>
      <c r="C15" s="987"/>
      <c r="D15" s="988"/>
      <c r="E15" s="989"/>
      <c r="F15" s="990"/>
      <c r="G15" s="991"/>
      <c r="L15" s="2249">
        <v>13</v>
      </c>
      <c r="M15" s="2250" t="str">
        <f>'HARGA SATUAN PEKERJAAN'!$C$177</f>
        <v>1 M3 Kusen Pintu &amp; jendela kayu Jati</v>
      </c>
      <c r="N15" s="2251">
        <f>'HARGA SATUAN PEKERJAAN'!$F$177</f>
        <v>57750000</v>
      </c>
    </row>
    <row r="16" spans="1:14">
      <c r="A16" s="1024"/>
      <c r="B16" s="66">
        <v>2</v>
      </c>
      <c r="C16" s="1026" t="s">
        <v>2637</v>
      </c>
      <c r="D16" s="1027" t="s">
        <v>129</v>
      </c>
      <c r="E16" s="1035">
        <f>HIT.PINTU!$D$5</f>
        <v>0</v>
      </c>
      <c r="F16" s="1679">
        <f>VLOOKUP(B16,$L$3:$N$50,3,TRUE)</f>
        <v>105337</v>
      </c>
      <c r="G16" s="1029">
        <f>E16*F16</f>
        <v>0</v>
      </c>
      <c r="H16" s="1410">
        <f>J16-I16</f>
        <v>0</v>
      </c>
      <c r="I16" s="1410">
        <f>E16*K!$I$89</f>
        <v>0</v>
      </c>
      <c r="J16" s="2065">
        <f>G16</f>
        <v>0</v>
      </c>
      <c r="K16" s="2259" t="str">
        <f>C16&amp;C17&amp;C18</f>
        <v>Kusen Allumunium 4", Pintu Panel Teakwood</v>
      </c>
      <c r="L16" s="1221">
        <v>14</v>
      </c>
      <c r="M16" s="1678" t="str">
        <f>'HARGA SATUAN PEKERJAAN'!$C$178</f>
        <v>1 M2 Pintu Panel Kayu Jati</v>
      </c>
      <c r="N16" s="1679">
        <f>'HARGA SATUAN PEKERJAAN'!$F$178</f>
        <v>2373688</v>
      </c>
    </row>
    <row r="17" spans="1:16">
      <c r="A17" s="1047"/>
      <c r="B17" s="1039">
        <v>7</v>
      </c>
      <c r="C17" s="1041" t="s">
        <v>2639</v>
      </c>
      <c r="D17" s="1037" t="s">
        <v>147</v>
      </c>
      <c r="E17" s="1035">
        <f>HIT.PINTU!$E$5</f>
        <v>0</v>
      </c>
      <c r="F17" s="1679">
        <f>VLOOKUP(B17,$L$3:$N$50,3,TRUE)</f>
        <v>853394</v>
      </c>
      <c r="G17" s="1030">
        <f>E17*F17</f>
        <v>0</v>
      </c>
      <c r="H17" s="1410">
        <f>J17-I17</f>
        <v>0</v>
      </c>
      <c r="I17" s="1410">
        <f>E17*K!$I$89</f>
        <v>0</v>
      </c>
      <c r="J17" s="2065">
        <f>G17</f>
        <v>0</v>
      </c>
      <c r="L17" s="2249">
        <v>15</v>
      </c>
      <c r="M17" s="2250" t="str">
        <f>'HARGA SATUAN PEKERJAAN'!C209</f>
        <v>PEKERJAAN KUNCI DAN KACA</v>
      </c>
      <c r="N17" s="2251"/>
    </row>
    <row r="18" spans="1:16">
      <c r="A18" s="1706"/>
      <c r="B18" s="2064"/>
      <c r="C18" s="1774"/>
      <c r="D18" s="1037"/>
      <c r="E18" s="1028"/>
      <c r="F18" s="1679"/>
      <c r="G18" s="995"/>
      <c r="H18" s="1410"/>
      <c r="I18" s="1410"/>
      <c r="L18" s="2249"/>
      <c r="M18" s="2250"/>
      <c r="N18" s="2251"/>
      <c r="P18" s="1221"/>
    </row>
    <row r="19" spans="1:16">
      <c r="A19" s="1119"/>
      <c r="B19" s="2064"/>
      <c r="C19" s="1774"/>
      <c r="D19" s="1037"/>
      <c r="E19" s="1028"/>
      <c r="F19" s="1679"/>
      <c r="G19" s="995"/>
      <c r="H19" s="1410">
        <f>J19-I19</f>
        <v>0</v>
      </c>
      <c r="I19" s="1410">
        <f>E19*K!$I$89</f>
        <v>0</v>
      </c>
      <c r="J19" s="2065">
        <f>G19</f>
        <v>0</v>
      </c>
      <c r="L19" s="1221">
        <v>16</v>
      </c>
      <c r="M19" s="1678" t="str">
        <f>'HARGA SATUAN PEKERJAAN'!C210</f>
        <v>1 Buah Pasang Kunci  setara Solid</v>
      </c>
      <c r="N19" s="1679">
        <f>'HARGA SATUAN PEKERJAAN'!$F$210</f>
        <v>293700</v>
      </c>
    </row>
    <row r="20" spans="1:16">
      <c r="A20" s="1047"/>
      <c r="B20" s="1039"/>
      <c r="C20" s="1774"/>
      <c r="D20" s="1037"/>
      <c r="E20" s="1028"/>
      <c r="F20" s="1679"/>
      <c r="G20" s="995"/>
      <c r="H20" s="1410">
        <f>E20*F20</f>
        <v>0</v>
      </c>
      <c r="I20" s="1410">
        <f>E20*K!$I$89</f>
        <v>0</v>
      </c>
      <c r="J20" s="2065">
        <f>G20</f>
        <v>0</v>
      </c>
      <c r="L20" s="2249">
        <v>17</v>
      </c>
      <c r="M20" s="2250" t="str">
        <f>'HARGA SATUAN PEKERJAAN'!C211</f>
        <v>1 Buah Pasang Kunci Tanam  setara Solid</v>
      </c>
      <c r="N20" s="2251">
        <f>'HARGA SATUAN PEKERJAAN'!$F$211</f>
        <v>176760</v>
      </c>
    </row>
    <row r="21" spans="1:16" ht="15.75" thickBot="1">
      <c r="A21" s="1047"/>
      <c r="B21" s="78" t="s">
        <v>28</v>
      </c>
      <c r="C21" s="1041" t="s">
        <v>156</v>
      </c>
      <c r="D21" s="1042" t="s">
        <v>154</v>
      </c>
      <c r="E21" s="1043">
        <v>1</v>
      </c>
      <c r="F21" s="1050">
        <f>(250000*1)+(200000*0)</f>
        <v>250000</v>
      </c>
      <c r="G21" s="1051">
        <f>E21*F21</f>
        <v>250000</v>
      </c>
      <c r="H21" s="1410">
        <v>0</v>
      </c>
      <c r="I21" s="1410">
        <f>F21</f>
        <v>250000</v>
      </c>
      <c r="J21" s="2065">
        <f>SUM(H21:I21)</f>
        <v>250000</v>
      </c>
      <c r="L21" s="1221">
        <v>18</v>
      </c>
      <c r="M21" s="1678" t="str">
        <f>'HARGA SATUAN PEKERJAAN'!C212</f>
        <v xml:space="preserve">1 Buah Pasang Kunci Grendel Jendela </v>
      </c>
      <c r="N21" s="1679">
        <f>'HARGA SATUAN PEKERJAAN'!$F$212</f>
        <v>138760</v>
      </c>
    </row>
    <row r="22" spans="1:16">
      <c r="A22" s="1049"/>
      <c r="B22" s="1052"/>
      <c r="C22" s="1053" t="s">
        <v>228</v>
      </c>
      <c r="D22" s="1054"/>
      <c r="E22" s="1055"/>
      <c r="F22" s="1056"/>
      <c r="G22" s="1057">
        <f>SUM(G16:G21)</f>
        <v>250000</v>
      </c>
      <c r="H22" s="1410">
        <f>J22-I22</f>
        <v>0</v>
      </c>
      <c r="I22" s="1410">
        <v>250000</v>
      </c>
      <c r="J22" s="2065">
        <f>G22</f>
        <v>250000</v>
      </c>
      <c r="L22" s="2249">
        <v>19</v>
      </c>
      <c r="M22" s="2250" t="str">
        <f>'HARGA SATUAN PEKERJAAN'!C213</f>
        <v>1 Buah Pasang Engsel Jendela Kupu-kupu setara Solid</v>
      </c>
      <c r="N22" s="2251">
        <f>'HARGA SATUAN PEKERJAAN'!$F$213</f>
        <v>58450</v>
      </c>
    </row>
    <row r="23" spans="1:16" ht="15.75" thickBot="1">
      <c r="A23" s="1047"/>
      <c r="B23" s="1058" t="s">
        <v>229</v>
      </c>
      <c r="C23" s="1059"/>
      <c r="D23" s="1059"/>
      <c r="E23" s="1059"/>
      <c r="F23" s="1060"/>
      <c r="G23" s="1061">
        <f>ROUND(G22,0)</f>
        <v>250000</v>
      </c>
      <c r="L23" s="1221">
        <v>20</v>
      </c>
      <c r="M23" s="1678" t="str">
        <f>'HARGA SATUAN PEKERJAAN'!C214</f>
        <v>1 Buah Pasang Engsel Jendela Casement</v>
      </c>
      <c r="N23" s="1679">
        <f>'HARGA SATUAN PEKERJAAN'!$F$214</f>
        <v>65450</v>
      </c>
    </row>
    <row r="24" spans="1:16" ht="15.75" thickBot="1">
      <c r="A24" s="1218">
        <v>6</v>
      </c>
      <c r="B24" s="987" t="str">
        <f>B245</f>
        <v>1 Unit Pek. Pintu (  )</v>
      </c>
      <c r="C24" s="987"/>
      <c r="D24" s="988"/>
      <c r="E24" s="989"/>
      <c r="F24" s="990"/>
      <c r="G24" s="991"/>
      <c r="L24" s="2249">
        <v>21</v>
      </c>
      <c r="M24" s="2250" t="str">
        <f>'HARGA SATUAN PEKERJAAN'!C215</f>
        <v>1 Buah Pasang Engsel Pintu Kupu-kupu setara Solid</v>
      </c>
      <c r="N24" s="2251">
        <f>'HARGA SATUAN PEKERJAAN'!$F$215</f>
        <v>151950</v>
      </c>
    </row>
    <row r="25" spans="1:16">
      <c r="A25" s="1024"/>
      <c r="B25" s="66">
        <v>2</v>
      </c>
      <c r="C25" s="1026" t="s">
        <v>2637</v>
      </c>
      <c r="D25" s="1027" t="s">
        <v>129</v>
      </c>
      <c r="E25" s="1035">
        <f>HIT.PINTU!$D$6</f>
        <v>0</v>
      </c>
      <c r="F25" s="1679">
        <f>VLOOKUP(B25,$L$3:$N$50,3,TRUE)</f>
        <v>105337</v>
      </c>
      <c r="G25" s="1029">
        <f>E25*F25</f>
        <v>0</v>
      </c>
      <c r="H25" s="1410">
        <f>J25-I25</f>
        <v>0</v>
      </c>
      <c r="I25" s="1410">
        <f>E25*K!$I$89</f>
        <v>0</v>
      </c>
      <c r="J25" s="2065">
        <f>G25</f>
        <v>0</v>
      </c>
      <c r="K25" s="2259" t="str">
        <f>C25&amp;C26&amp;C27&amp;C28</f>
        <v>Kusen Allumunium 4", Pintu KM/WC Allumunium, Kaca Clear 5 mm</v>
      </c>
      <c r="L25" s="1221">
        <v>22</v>
      </c>
      <c r="M25" s="1678" t="str">
        <f>'HARGA SATUAN PEKERJAAN'!C216</f>
        <v>1 Buah Pasang Kait Angin</v>
      </c>
      <c r="N25" s="1679">
        <f>'HARGA SATUAN PEKERJAAN'!$F$216</f>
        <v>48434</v>
      </c>
    </row>
    <row r="26" spans="1:16">
      <c r="A26" s="1024"/>
      <c r="B26" s="1039"/>
      <c r="C26" s="1041" t="s">
        <v>2643</v>
      </c>
      <c r="D26" s="1037" t="s">
        <v>147</v>
      </c>
      <c r="E26" s="1035">
        <f>HIT.PINTU!$E$6</f>
        <v>0</v>
      </c>
      <c r="F26" s="1679">
        <f>BAHAN!$E$191</f>
        <v>759050</v>
      </c>
      <c r="G26" s="1030">
        <f>E26*F26</f>
        <v>0</v>
      </c>
      <c r="H26" s="1410"/>
      <c r="I26" s="1410"/>
      <c r="L26" s="2249">
        <v>23</v>
      </c>
      <c r="M26" s="2250" t="str">
        <f>'HARGA SATUAN PEKERJAAN'!C217</f>
        <v>1 Buah Pasang Door Closer</v>
      </c>
      <c r="N26" s="2251">
        <f>'HARGA SATUAN PEKERJAAN'!$F$217</f>
        <v>368750</v>
      </c>
    </row>
    <row r="27" spans="1:16">
      <c r="A27" s="1997"/>
      <c r="B27" s="2064"/>
      <c r="C27" s="1774"/>
      <c r="D27" s="1037"/>
      <c r="E27" s="1028"/>
      <c r="F27" s="1679"/>
      <c r="G27" s="995"/>
      <c r="H27" s="1410"/>
      <c r="I27" s="1410"/>
      <c r="L27" s="2249"/>
      <c r="M27" s="2250"/>
      <c r="N27" s="2251"/>
      <c r="P27" s="1221"/>
    </row>
    <row r="28" spans="1:16">
      <c r="A28" s="1997"/>
      <c r="B28" s="2064">
        <v>27</v>
      </c>
      <c r="C28" s="1774" t="s">
        <v>2563</v>
      </c>
      <c r="D28" s="1037" t="s">
        <v>147</v>
      </c>
      <c r="E28" s="1028">
        <f>HIT.PINTU!$G$6</f>
        <v>0</v>
      </c>
      <c r="F28" s="1679">
        <f>VLOOKUP(B28,$L$3:$N$50,3,TRUE)</f>
        <v>149975</v>
      </c>
      <c r="G28" s="995">
        <f>E28*F28</f>
        <v>0</v>
      </c>
      <c r="H28" s="1410"/>
      <c r="I28" s="1410"/>
      <c r="L28" s="1221">
        <v>24</v>
      </c>
      <c r="M28" s="1678"/>
      <c r="N28" s="1679"/>
      <c r="P28" s="1221"/>
    </row>
    <row r="29" spans="1:16">
      <c r="A29" s="1047"/>
      <c r="B29" s="1039"/>
      <c r="C29" s="1774"/>
      <c r="D29" s="1037"/>
      <c r="E29" s="1028"/>
      <c r="F29" s="1677"/>
      <c r="G29" s="1029"/>
      <c r="H29" s="1410"/>
      <c r="I29" s="1410"/>
      <c r="L29" s="2249">
        <v>25</v>
      </c>
      <c r="M29" s="2250" t="str">
        <f>'HARGA SATUAN PEKERJAAN'!C218</f>
        <v>1 Buah Pasang Pegangan Pintu / Door Holder</v>
      </c>
      <c r="N29" s="2251">
        <f>'HARGA SATUAN PEKERJAAN'!$F$218</f>
        <v>214750</v>
      </c>
    </row>
    <row r="30" spans="1:16">
      <c r="A30" s="1119"/>
      <c r="B30" s="1039"/>
      <c r="C30" s="1041"/>
      <c r="D30" s="1042"/>
      <c r="E30" s="1043"/>
      <c r="F30" s="1050"/>
      <c r="G30" s="1029">
        <f>E30*F30</f>
        <v>0</v>
      </c>
      <c r="H30" s="1410"/>
      <c r="I30" s="1410"/>
      <c r="L30" s="1221">
        <v>26</v>
      </c>
      <c r="M30" s="1678"/>
      <c r="N30" s="1679">
        <f>'HARGA SATUAN PEKERJAAN'!$F$219</f>
        <v>149975</v>
      </c>
    </row>
    <row r="31" spans="1:16">
      <c r="A31" s="1119"/>
      <c r="B31" s="1039"/>
      <c r="C31" s="1041"/>
      <c r="D31" s="1042"/>
      <c r="E31" s="1043"/>
      <c r="F31" s="1050"/>
      <c r="G31" s="1029">
        <f>E31*F31</f>
        <v>0</v>
      </c>
      <c r="H31" s="1410"/>
      <c r="I31" s="1410"/>
      <c r="L31" s="2249">
        <v>27</v>
      </c>
      <c r="M31" s="2250" t="str">
        <f>'HARGA SATUAN PEKERJAAN'!C220</f>
        <v>1 M2 Pasang Kaca Rayban , tebal 5 mm</v>
      </c>
      <c r="N31" s="2251">
        <f>'HARGA SATUAN PEKERJAAN'!$F$219</f>
        <v>149975</v>
      </c>
    </row>
    <row r="32" spans="1:16">
      <c r="A32" s="1047"/>
      <c r="B32" s="78"/>
      <c r="C32" s="1041"/>
      <c r="D32" s="1042"/>
      <c r="E32" s="1043"/>
      <c r="F32" s="1050"/>
      <c r="G32" s="1029">
        <f>E32*F32</f>
        <v>0</v>
      </c>
      <c r="H32" s="1410"/>
      <c r="I32" s="1410"/>
      <c r="L32" s="1221">
        <v>28</v>
      </c>
      <c r="M32" s="1678" t="str">
        <f>'HARGA SATUAN PEKERJAAN'!C219</f>
        <v>1 M2 Pasang Kaca , tebal 3 mm</v>
      </c>
      <c r="N32" s="1679">
        <f>'HARGA SATUAN PEKERJAAN'!$F$220</f>
        <v>154769</v>
      </c>
    </row>
    <row r="33" spans="1:16" ht="15.75" thickBot="1">
      <c r="A33" s="1047"/>
      <c r="B33" s="78" t="s">
        <v>28</v>
      </c>
      <c r="C33" s="1041" t="s">
        <v>156</v>
      </c>
      <c r="D33" s="1042" t="s">
        <v>154</v>
      </c>
      <c r="E33" s="1043">
        <v>1</v>
      </c>
      <c r="F33" s="1050">
        <f>(250000*1)+(200000*0)</f>
        <v>250000</v>
      </c>
      <c r="G33" s="1051">
        <f>E33*F33</f>
        <v>250000</v>
      </c>
      <c r="H33" s="1410"/>
      <c r="I33" s="1410"/>
      <c r="L33" s="2249">
        <v>29</v>
      </c>
      <c r="M33" s="2250"/>
      <c r="N33" s="2251">
        <f>'HARGA SATUAN PEKERJAAN'!$F$220</f>
        <v>154769</v>
      </c>
    </row>
    <row r="34" spans="1:16">
      <c r="A34" s="1047"/>
      <c r="B34" s="1052"/>
      <c r="C34" s="1053" t="s">
        <v>228</v>
      </c>
      <c r="D34" s="1054"/>
      <c r="E34" s="1055"/>
      <c r="F34" s="1056"/>
      <c r="G34" s="1057">
        <f>SUM(G25:G33)</f>
        <v>250000</v>
      </c>
      <c r="H34" s="1410">
        <f>J34-I34</f>
        <v>0</v>
      </c>
      <c r="I34" s="1410">
        <v>250000</v>
      </c>
      <c r="J34" s="2065">
        <f>G34</f>
        <v>250000</v>
      </c>
      <c r="L34" s="1221">
        <v>30</v>
      </c>
      <c r="M34" s="1678" t="str">
        <f>'HARGA SATUAN PEKERJAAN'!C221</f>
        <v>1 M2 Pasang Kaca Tempered , tebal 8 mm</v>
      </c>
      <c r="N34" s="1679">
        <f>'HARGA SATUAN PEKERJAAN'!$F$221</f>
        <v>413434</v>
      </c>
    </row>
    <row r="35" spans="1:16" ht="15.75" thickBot="1">
      <c r="A35" s="1049"/>
      <c r="B35" s="1058" t="s">
        <v>229</v>
      </c>
      <c r="C35" s="1059"/>
      <c r="D35" s="1059"/>
      <c r="E35" s="1059"/>
      <c r="F35" s="1060"/>
      <c r="G35" s="1061">
        <f>ROUND(G34,0)</f>
        <v>250000</v>
      </c>
      <c r="L35" s="2249">
        <v>31</v>
      </c>
      <c r="M35" s="2250" t="str">
        <f>'HARGA SATUAN PEKERJAAN'!C222</f>
        <v>1 M2 Pasang Kaca Tempered , tebal 10 mm</v>
      </c>
      <c r="N35" s="2251">
        <f>'HARGA SATUAN PEKERJAAN'!$F$222</f>
        <v>438434</v>
      </c>
    </row>
    <row r="36" spans="1:16" ht="15.75" thickBot="1">
      <c r="A36" s="1218">
        <v>7</v>
      </c>
      <c r="B36" s="987" t="str">
        <f>B246</f>
        <v>1 Unit Pek. Jendela (  )</v>
      </c>
      <c r="C36" s="987"/>
      <c r="D36" s="988"/>
      <c r="E36" s="989"/>
      <c r="F36" s="990"/>
      <c r="G36" s="991"/>
      <c r="L36" s="1221">
        <v>32</v>
      </c>
      <c r="M36" s="1678" t="str">
        <f>'HARGA SATUAN PEKERJAAN'!C223</f>
        <v>1 M2 Pasang Kaca Inlay Tebal 5 mm</v>
      </c>
      <c r="N36" s="1679">
        <f>'HARGA SATUAN PEKERJAAN'!$F$223</f>
        <v>2528434</v>
      </c>
    </row>
    <row r="37" spans="1:16">
      <c r="A37" s="1024"/>
      <c r="B37" s="66">
        <v>2</v>
      </c>
      <c r="C37" s="1026" t="s">
        <v>2637</v>
      </c>
      <c r="D37" s="1027" t="s">
        <v>129</v>
      </c>
      <c r="E37" s="1028">
        <f>HIT.PINTU!D7</f>
        <v>0</v>
      </c>
      <c r="F37" s="1679">
        <f>VLOOKUP(B37,$L$3:$N$50,3,TRUE)</f>
        <v>105337</v>
      </c>
      <c r="G37" s="1029">
        <f>E37*F37</f>
        <v>0</v>
      </c>
      <c r="H37" s="1410"/>
      <c r="I37" s="1410"/>
      <c r="K37" s="2259" t="str">
        <f>C37&amp;C38&amp;C39&amp;C40</f>
        <v>Kusen Allumunium 4", Jendela Allumunium 3", Kaca Temperred 8 mm</v>
      </c>
      <c r="L37" s="2249">
        <v>33</v>
      </c>
      <c r="M37" s="2250"/>
      <c r="N37" s="2251"/>
    </row>
    <row r="38" spans="1:16">
      <c r="A38" s="1047"/>
      <c r="B38" s="1039"/>
      <c r="C38" s="1041"/>
      <c r="D38" s="1037"/>
      <c r="E38" s="1043"/>
      <c r="F38" s="1679"/>
      <c r="G38" s="1030"/>
      <c r="H38" s="1410"/>
      <c r="I38" s="1410"/>
      <c r="L38" s="1221">
        <v>34</v>
      </c>
      <c r="M38" s="1678" t="str">
        <f>'HARGA SATUAN PEKERJAAN'!C224</f>
        <v>1 Buah Pasang Handle Single setara Solid</v>
      </c>
      <c r="N38" s="1679">
        <f>'HARGA SATUAN PEKERJAAN'!$F$224</f>
        <v>293760</v>
      </c>
    </row>
    <row r="39" spans="1:16">
      <c r="A39" s="1706"/>
      <c r="B39" s="2064">
        <v>40</v>
      </c>
      <c r="C39" s="1774" t="s">
        <v>2638</v>
      </c>
      <c r="D39" s="1037" t="s">
        <v>2613</v>
      </c>
      <c r="E39" s="1043">
        <f>HIT.PINTU!$F$7</f>
        <v>0</v>
      </c>
      <c r="F39" s="1679">
        <f>VLOOKUP(B39,$L$3:$N$50,3,TRUE)</f>
        <v>137405</v>
      </c>
      <c r="G39" s="1030">
        <f>E39*F39</f>
        <v>0</v>
      </c>
      <c r="H39" s="1410"/>
      <c r="I39" s="1410"/>
      <c r="L39" s="1221"/>
      <c r="M39" s="1392"/>
      <c r="N39" s="1679"/>
      <c r="P39" s="1221"/>
    </row>
    <row r="40" spans="1:16">
      <c r="A40" s="2063"/>
      <c r="B40" s="2064">
        <v>30</v>
      </c>
      <c r="C40" s="1774" t="s">
        <v>2239</v>
      </c>
      <c r="D40" s="1037" t="s">
        <v>147</v>
      </c>
      <c r="E40" s="1043">
        <f>HIT.PINTU!$H$7</f>
        <v>0</v>
      </c>
      <c r="F40" s="1679">
        <f>VLOOKUP(B40,$L$3:$N$50,3,TRUE)</f>
        <v>413434</v>
      </c>
      <c r="G40" s="1030">
        <f>E40*F40</f>
        <v>0</v>
      </c>
      <c r="H40" s="1410"/>
      <c r="I40" s="1410"/>
      <c r="L40" s="2249">
        <v>35</v>
      </c>
      <c r="M40" s="2250"/>
      <c r="N40" s="2251"/>
      <c r="P40" s="1221"/>
    </row>
    <row r="41" spans="1:16">
      <c r="A41" s="1119"/>
      <c r="B41" s="994"/>
      <c r="C41" s="1774"/>
      <c r="D41" s="1037"/>
      <c r="E41" s="1028"/>
      <c r="F41" s="1677"/>
      <c r="G41" s="1038"/>
      <c r="H41" s="1410"/>
      <c r="I41" s="1410"/>
      <c r="L41" s="1221">
        <v>36</v>
      </c>
      <c r="M41" s="1678" t="str">
        <f>'HARGA SATUAN PEKERJAAN'!C225</f>
        <v>1 Buah Pasang Handle Double setara Solid</v>
      </c>
      <c r="N41" s="1679">
        <f>'HARGA SATUAN PEKERJAAN'!$F$225</f>
        <v>548760</v>
      </c>
    </row>
    <row r="42" spans="1:16">
      <c r="A42" s="1706"/>
      <c r="B42" s="1039"/>
      <c r="C42" s="1774"/>
      <c r="D42" s="1037"/>
      <c r="E42" s="1028"/>
      <c r="F42" s="1677"/>
      <c r="G42" s="1038"/>
      <c r="H42" s="1410"/>
      <c r="I42" s="1410"/>
      <c r="L42" s="2249">
        <v>37</v>
      </c>
      <c r="M42" s="2250" t="str">
        <f>'HARGA SATUAN PEKERJAAN'!C226</f>
        <v>1 Buah Pasang asesoris sliding</v>
      </c>
      <c r="N42" s="2251">
        <f>'HARGA SATUAN PEKERJAAN'!$F$226</f>
        <v>248760</v>
      </c>
    </row>
    <row r="43" spans="1:16">
      <c r="A43" s="1706"/>
      <c r="B43" s="1964"/>
      <c r="C43" s="1041"/>
      <c r="D43" s="1042"/>
      <c r="E43" s="1043"/>
      <c r="F43" s="1050"/>
      <c r="G43" s="1038"/>
      <c r="H43" s="1410"/>
      <c r="I43" s="1410"/>
      <c r="L43" s="1221">
        <v>38</v>
      </c>
      <c r="M43" s="1678"/>
      <c r="N43" s="1679"/>
    </row>
    <row r="44" spans="1:16" ht="15.75" thickBot="1">
      <c r="A44" s="1047"/>
      <c r="B44" s="78" t="s">
        <v>28</v>
      </c>
      <c r="C44" s="1041" t="s">
        <v>156</v>
      </c>
      <c r="D44" s="1042" t="s">
        <v>154</v>
      </c>
      <c r="E44" s="1043">
        <v>1</v>
      </c>
      <c r="F44" s="1050">
        <f>(250000*1)+(200000*0)</f>
        <v>250000</v>
      </c>
      <c r="G44" s="1051">
        <f>E44*F44</f>
        <v>250000</v>
      </c>
      <c r="H44" s="1410"/>
      <c r="I44" s="1410"/>
      <c r="L44" s="2249">
        <v>39</v>
      </c>
      <c r="M44" s="2250" t="str">
        <f>'HARGA SATUAN PEKERJAAN'!C227</f>
        <v>1 Buah Pasang Kunci Allumunium</v>
      </c>
      <c r="N44" s="2251">
        <f>'HARGA SATUAN PEKERJAAN'!$F$227</f>
        <v>97260</v>
      </c>
    </row>
    <row r="45" spans="1:16">
      <c r="A45" s="1047"/>
      <c r="B45" s="1052"/>
      <c r="C45" s="1053" t="s">
        <v>228</v>
      </c>
      <c r="D45" s="1054"/>
      <c r="E45" s="1055"/>
      <c r="F45" s="1056"/>
      <c r="G45" s="1057">
        <f>SUM(G37:G44)</f>
        <v>250000</v>
      </c>
      <c r="H45" s="1410">
        <f>J45-I45</f>
        <v>0</v>
      </c>
      <c r="I45" s="1410">
        <v>250000</v>
      </c>
      <c r="J45" s="2065">
        <f>G45</f>
        <v>250000</v>
      </c>
      <c r="L45" s="1221">
        <v>40</v>
      </c>
      <c r="M45" s="1678" t="str">
        <f>'HARGA SATUAN PEKERJAAN'!C195</f>
        <v>1 m' Pasang Pintu/jendela kaca rangka alluminium warna 3"</v>
      </c>
      <c r="N45" s="1679">
        <f>'HARGA SATUAN PEKERJAAN'!$F$195</f>
        <v>137405</v>
      </c>
    </row>
    <row r="46" spans="1:16" ht="15.75" thickBot="1">
      <c r="A46" s="1025"/>
      <c r="B46" s="1058" t="s">
        <v>229</v>
      </c>
      <c r="C46" s="1059"/>
      <c r="D46" s="1059"/>
      <c r="E46" s="1059"/>
      <c r="F46" s="1060"/>
      <c r="G46" s="1061">
        <f>ROUND(G45,0)</f>
        <v>250000</v>
      </c>
      <c r="J46" s="2065">
        <f>SUM(H46:I46)</f>
        <v>0</v>
      </c>
      <c r="L46" s="2249">
        <v>41</v>
      </c>
      <c r="M46" s="2250" t="str">
        <f>'HARGA SATUAN PEKERJAAN'!C196</f>
        <v>1 m' Pasang Pintu/jendela kaca rangka alluminium warna 4"</v>
      </c>
      <c r="N46" s="2251">
        <f>'HARGA SATUAN PEKERJAAN'!$F$196</f>
        <v>159700</v>
      </c>
    </row>
    <row r="47" spans="1:16" ht="15.75" thickBot="1">
      <c r="A47" s="1218">
        <v>8</v>
      </c>
      <c r="B47" s="987" t="str">
        <f>B247</f>
        <v>1 Unit Pek. Jendela (  )</v>
      </c>
      <c r="C47" s="987"/>
      <c r="D47" s="988"/>
      <c r="E47" s="989"/>
      <c r="F47" s="990"/>
      <c r="G47" s="991"/>
      <c r="L47" s="1221">
        <v>42</v>
      </c>
      <c r="M47" s="1678" t="str">
        <f>'HARGA SATUAN PEKERJAAN'!$C$180</f>
        <v>1 M2 Jendela Kayu Kamper Samarinda</v>
      </c>
      <c r="N47" s="1679">
        <f>'HARGA SATUAN PEKERJAAN'!$F$180</f>
        <v>196898.00666666689</v>
      </c>
    </row>
    <row r="48" spans="1:16">
      <c r="A48" s="1024"/>
      <c r="B48" s="66">
        <v>2</v>
      </c>
      <c r="C48" s="1026" t="s">
        <v>2637</v>
      </c>
      <c r="D48" s="1027" t="s">
        <v>129</v>
      </c>
      <c r="E48" s="1028">
        <f>HIT.PINTU!D8</f>
        <v>0</v>
      </c>
      <c r="F48" s="1679">
        <f>VLOOKUP(B48,$L$3:$N$50,3,TRUE)</f>
        <v>105337</v>
      </c>
      <c r="G48" s="1029">
        <f>E48*F48</f>
        <v>0</v>
      </c>
      <c r="H48" s="1410"/>
      <c r="I48" s="1410"/>
      <c r="K48" s="2259" t="str">
        <f>C48&amp;C49&amp;C50&amp;C51</f>
        <v>Kusen Allumunium 4", Jendela Allumunium 3", Kaca Temperred 8 mm</v>
      </c>
      <c r="L48" s="2249">
        <v>43</v>
      </c>
      <c r="M48" s="2250" t="s">
        <v>2318</v>
      </c>
      <c r="N48" s="2251">
        <f>BAHAN!$E$190</f>
        <v>900000</v>
      </c>
    </row>
    <row r="49" spans="1:16">
      <c r="A49" s="1024"/>
      <c r="B49" s="1039"/>
      <c r="C49" s="1041"/>
      <c r="D49" s="1037"/>
      <c r="E49" s="1043"/>
      <c r="F49" s="1679"/>
      <c r="G49" s="1030"/>
      <c r="H49" s="1410"/>
      <c r="I49" s="1410"/>
      <c r="L49" s="1221">
        <v>44</v>
      </c>
      <c r="M49" s="2252" t="s">
        <v>2463</v>
      </c>
      <c r="N49" s="1679">
        <v>75000</v>
      </c>
    </row>
    <row r="50" spans="1:16">
      <c r="A50" s="2063"/>
      <c r="B50" s="2064">
        <v>40</v>
      </c>
      <c r="C50" s="1774" t="s">
        <v>2638</v>
      </c>
      <c r="D50" s="1037" t="s">
        <v>2613</v>
      </c>
      <c r="E50" s="1043">
        <f>HIT.PINTU!$F$8</f>
        <v>0</v>
      </c>
      <c r="F50" s="1679">
        <f>VLOOKUP(B50,$L$3:$N$50,3,TRUE)</f>
        <v>137405</v>
      </c>
      <c r="G50" s="1030">
        <f>E50*F50</f>
        <v>0</v>
      </c>
      <c r="H50" s="1410"/>
      <c r="I50" s="1410"/>
      <c r="L50" s="2249">
        <v>45</v>
      </c>
      <c r="M50" s="2250"/>
      <c r="N50" s="2251"/>
      <c r="P50" s="1221"/>
    </row>
    <row r="51" spans="1:16">
      <c r="A51" s="1024"/>
      <c r="B51" s="2064">
        <v>30</v>
      </c>
      <c r="C51" s="1774" t="s">
        <v>2239</v>
      </c>
      <c r="D51" s="1037" t="s">
        <v>147</v>
      </c>
      <c r="E51" s="1043">
        <f>HIT.PINTU!$H$8</f>
        <v>0</v>
      </c>
      <c r="F51" s="1679">
        <f>VLOOKUP(B51,$L$3:$N$50,3,TRUE)</f>
        <v>413434</v>
      </c>
      <c r="G51" s="1030">
        <f>E51*F51</f>
        <v>0</v>
      </c>
      <c r="H51" s="1410"/>
      <c r="I51" s="1410"/>
    </row>
    <row r="52" spans="1:16">
      <c r="A52" s="1997"/>
      <c r="B52" s="1999"/>
      <c r="C52" s="1774"/>
      <c r="D52" s="1037"/>
      <c r="E52" s="1028"/>
      <c r="F52" s="1677"/>
      <c r="G52" s="2049"/>
      <c r="H52" s="1410"/>
      <c r="I52" s="1410"/>
    </row>
    <row r="53" spans="1:16">
      <c r="A53" s="1047"/>
      <c r="B53" s="1039"/>
      <c r="C53" s="1041"/>
      <c r="D53" s="1042"/>
      <c r="E53" s="1043"/>
      <c r="F53" s="1050"/>
      <c r="G53" s="1040"/>
      <c r="H53" s="1410"/>
      <c r="I53" s="1410"/>
    </row>
    <row r="54" spans="1:16" ht="15.75" thickBot="1">
      <c r="A54" s="1119"/>
      <c r="B54" s="78" t="s">
        <v>28</v>
      </c>
      <c r="C54" s="1041" t="s">
        <v>156</v>
      </c>
      <c r="D54" s="1042" t="s">
        <v>154</v>
      </c>
      <c r="E54" s="1043">
        <v>1</v>
      </c>
      <c r="F54" s="1050">
        <f>(250000*1)+(200000*0)</f>
        <v>250000</v>
      </c>
      <c r="G54" s="1051">
        <f>E54*F54</f>
        <v>250000</v>
      </c>
      <c r="H54" s="1410"/>
      <c r="I54" s="1410"/>
    </row>
    <row r="55" spans="1:16">
      <c r="A55" s="1049"/>
      <c r="B55" s="1052"/>
      <c r="C55" s="1053" t="s">
        <v>228</v>
      </c>
      <c r="D55" s="1054"/>
      <c r="E55" s="1055"/>
      <c r="F55" s="1056"/>
      <c r="G55" s="1057">
        <f>SUM(G48:G54)</f>
        <v>250000</v>
      </c>
      <c r="H55" s="1410">
        <f>J55-I55</f>
        <v>0</v>
      </c>
      <c r="I55" s="1410">
        <v>250000</v>
      </c>
      <c r="J55" s="2065">
        <f>G55</f>
        <v>250000</v>
      </c>
    </row>
    <row r="56" spans="1:16" ht="15.75" thickBot="1">
      <c r="A56" s="1047"/>
      <c r="B56" s="1058" t="s">
        <v>229</v>
      </c>
      <c r="C56" s="1059"/>
      <c r="D56" s="1059"/>
      <c r="E56" s="1059"/>
      <c r="F56" s="1060"/>
      <c r="G56" s="1061">
        <f>ROUND(G55,0)</f>
        <v>250000</v>
      </c>
    </row>
    <row r="57" spans="1:16" ht="15.75" thickBot="1">
      <c r="A57" s="1218">
        <v>9</v>
      </c>
      <c r="B57" s="987" t="str">
        <f>B248</f>
        <v>1 Unit Pek. Jendela (  )</v>
      </c>
      <c r="C57" s="987"/>
      <c r="D57" s="988"/>
      <c r="E57" s="989"/>
      <c r="F57" s="990"/>
      <c r="G57" s="991"/>
    </row>
    <row r="58" spans="1:16">
      <c r="A58" s="1024"/>
      <c r="B58" s="66">
        <v>2</v>
      </c>
      <c r="C58" s="1026" t="s">
        <v>2637</v>
      </c>
      <c r="D58" s="1027" t="s">
        <v>129</v>
      </c>
      <c r="E58" s="1028">
        <f>HIT.PINTU!D9</f>
        <v>0</v>
      </c>
      <c r="F58" s="1679">
        <f>VLOOKUP(B58,$L$3:$N$50,3,TRUE)</f>
        <v>105337</v>
      </c>
      <c r="G58" s="1029">
        <f>E58*F58</f>
        <v>0</v>
      </c>
      <c r="H58" s="1410"/>
      <c r="I58" s="1410"/>
      <c r="K58" s="2259" t="str">
        <f>C58&amp;C59&amp;C60&amp;C61</f>
        <v>Kusen Allumunium 4", Jendela Allumunium 3", Kaca Temperred 8 mm</v>
      </c>
    </row>
    <row r="59" spans="1:16">
      <c r="A59" s="1047"/>
      <c r="B59" s="1039"/>
      <c r="C59" s="1041"/>
      <c r="D59" s="1037"/>
      <c r="E59" s="1043"/>
      <c r="F59" s="1679"/>
      <c r="G59" s="1030"/>
      <c r="H59" s="1410"/>
      <c r="I59" s="1410"/>
    </row>
    <row r="60" spans="1:16">
      <c r="A60" s="1998"/>
      <c r="B60" s="2064">
        <v>40</v>
      </c>
      <c r="C60" s="1774" t="s">
        <v>2638</v>
      </c>
      <c r="D60" s="1037" t="s">
        <v>2613</v>
      </c>
      <c r="E60" s="1043">
        <f>HIT.PINTU!$F$9</f>
        <v>0</v>
      </c>
      <c r="F60" s="1679">
        <f>VLOOKUP(B60,$L$3:$N$50,3,TRUE)</f>
        <v>137405</v>
      </c>
      <c r="G60" s="1030">
        <f>E60*F60</f>
        <v>0</v>
      </c>
      <c r="H60" s="1410"/>
      <c r="I60" s="1410"/>
    </row>
    <row r="61" spans="1:16">
      <c r="A61" s="1998"/>
      <c r="B61" s="2064">
        <v>30</v>
      </c>
      <c r="C61" s="1774" t="s">
        <v>2239</v>
      </c>
      <c r="D61" s="1037" t="s">
        <v>147</v>
      </c>
      <c r="E61" s="1043">
        <f>HIT.PINTU!$H$9</f>
        <v>0</v>
      </c>
      <c r="F61" s="1679">
        <f>VLOOKUP(B61,$L$3:$N$50,3,TRUE)</f>
        <v>413434</v>
      </c>
      <c r="G61" s="1030">
        <f>E61*F61</f>
        <v>0</v>
      </c>
      <c r="H61" s="1410"/>
      <c r="I61" s="1410"/>
    </row>
    <row r="62" spans="1:16">
      <c r="A62" s="1048"/>
      <c r="B62" s="1039"/>
      <c r="C62" s="1041"/>
      <c r="D62" s="1042"/>
      <c r="E62" s="1043"/>
      <c r="F62" s="1050"/>
      <c r="G62" s="1040"/>
      <c r="H62" s="1410"/>
      <c r="I62" s="1410"/>
    </row>
    <row r="63" spans="1:16" ht="15.75" thickBot="1">
      <c r="A63" s="1049"/>
      <c r="B63" s="78" t="s">
        <v>28</v>
      </c>
      <c r="C63" s="1041" t="s">
        <v>156</v>
      </c>
      <c r="D63" s="1042" t="s">
        <v>154</v>
      </c>
      <c r="E63" s="1043">
        <v>1</v>
      </c>
      <c r="F63" s="1050">
        <f>(250000*1)+(200000*0)</f>
        <v>250000</v>
      </c>
      <c r="G63" s="1051">
        <f>E63*F63</f>
        <v>250000</v>
      </c>
      <c r="H63" s="910"/>
      <c r="I63" s="910"/>
    </row>
    <row r="64" spans="1:16">
      <c r="A64" s="1047"/>
      <c r="B64" s="1052"/>
      <c r="C64" s="1053" t="s">
        <v>228</v>
      </c>
      <c r="D64" s="1054"/>
      <c r="E64" s="1055"/>
      <c r="F64" s="1056"/>
      <c r="G64" s="1057">
        <f>SUM(G58:G63)</f>
        <v>250000</v>
      </c>
      <c r="H64" s="1410">
        <f>J64-I64</f>
        <v>0</v>
      </c>
      <c r="I64" s="1410">
        <v>250000</v>
      </c>
      <c r="J64" s="2065">
        <f>G64</f>
        <v>250000</v>
      </c>
    </row>
    <row r="65" spans="1:11" ht="15.75" thickBot="1">
      <c r="A65" s="1025"/>
      <c r="B65" s="1058" t="s">
        <v>229</v>
      </c>
      <c r="C65" s="1059"/>
      <c r="D65" s="1059"/>
      <c r="E65" s="1059"/>
      <c r="F65" s="1060"/>
      <c r="G65" s="1061">
        <f>ROUND(G64,0)</f>
        <v>250000</v>
      </c>
    </row>
    <row r="66" spans="1:11" ht="15.75" thickBot="1">
      <c r="A66" s="1218">
        <v>10</v>
      </c>
      <c r="B66" s="987" t="str">
        <f>B249</f>
        <v>1 Unit Pek. Jendela (  )</v>
      </c>
      <c r="C66" s="987"/>
      <c r="D66" s="988"/>
      <c r="E66" s="989"/>
      <c r="F66" s="990"/>
      <c r="G66" s="991"/>
      <c r="H66" s="910"/>
      <c r="I66" s="911"/>
    </row>
    <row r="67" spans="1:11">
      <c r="A67" s="1024"/>
      <c r="B67" s="66">
        <v>2</v>
      </c>
      <c r="C67" s="1026" t="s">
        <v>2637</v>
      </c>
      <c r="D67" s="1027" t="s">
        <v>147</v>
      </c>
      <c r="E67" s="1028">
        <f>HIT.PINTU!D10</f>
        <v>0</v>
      </c>
      <c r="F67" s="1679">
        <f>VLOOKUP(B67,$L$3:$N$50,3,TRUE)</f>
        <v>105337</v>
      </c>
      <c r="G67" s="1029">
        <f>E67*F67</f>
        <v>0</v>
      </c>
      <c r="H67" s="1410"/>
      <c r="I67" s="1410"/>
      <c r="K67" s="2259" t="str">
        <f>C67&amp;C68&amp;C69&amp;C70</f>
        <v>Kusen Allumunium 4", Jendela Allumunium 3", Kaca Temperred 8 mm</v>
      </c>
    </row>
    <row r="68" spans="1:11">
      <c r="A68" s="1024"/>
      <c r="B68" s="2064"/>
      <c r="C68" s="1774"/>
      <c r="D68" s="1037"/>
      <c r="E68" s="1043"/>
      <c r="F68" s="1679"/>
      <c r="G68" s="1030"/>
      <c r="H68" s="1410"/>
      <c r="I68" s="1410"/>
    </row>
    <row r="69" spans="1:11">
      <c r="A69" s="1024"/>
      <c r="B69" s="2064">
        <v>40</v>
      </c>
      <c r="C69" s="1774" t="s">
        <v>2638</v>
      </c>
      <c r="D69" s="1037" t="s">
        <v>2613</v>
      </c>
      <c r="E69" s="1043">
        <f>HIT.PINTU!$F$10</f>
        <v>0</v>
      </c>
      <c r="F69" s="1679">
        <f>VLOOKUP(B69,$L$3:$N$50,3,TRUE)</f>
        <v>137405</v>
      </c>
      <c r="G69" s="1030">
        <f>E69*F69</f>
        <v>0</v>
      </c>
      <c r="H69" s="1410"/>
      <c r="I69" s="1410"/>
    </row>
    <row r="70" spans="1:11">
      <c r="A70" s="1997"/>
      <c r="B70" s="2064">
        <v>30</v>
      </c>
      <c r="C70" s="1774" t="s">
        <v>2239</v>
      </c>
      <c r="D70" s="1037" t="s">
        <v>147</v>
      </c>
      <c r="E70" s="1043">
        <f>HIT.PINTU!$H$10</f>
        <v>0</v>
      </c>
      <c r="F70" s="1679">
        <f>VLOOKUP(B70,$L$3:$N$50,3,TRUE)</f>
        <v>413434</v>
      </c>
      <c r="G70" s="1030">
        <f>E70*F70</f>
        <v>0</v>
      </c>
      <c r="H70" s="1410"/>
      <c r="I70" s="1410"/>
    </row>
    <row r="71" spans="1:11" ht="15.75" thickBot="1">
      <c r="A71" s="1049"/>
      <c r="B71" s="78" t="s">
        <v>28</v>
      </c>
      <c r="C71" s="1041" t="s">
        <v>156</v>
      </c>
      <c r="D71" s="1042" t="s">
        <v>154</v>
      </c>
      <c r="E71" s="1043">
        <v>1</v>
      </c>
      <c r="F71" s="1050">
        <f>(250000*1)+(200000*0)</f>
        <v>250000</v>
      </c>
      <c r="G71" s="1051">
        <f>E71*F71</f>
        <v>250000</v>
      </c>
      <c r="H71" s="1410"/>
      <c r="I71" s="1410"/>
    </row>
    <row r="72" spans="1:11">
      <c r="A72" s="1047"/>
      <c r="B72" s="1052"/>
      <c r="C72" s="1053" t="s">
        <v>228</v>
      </c>
      <c r="D72" s="1054"/>
      <c r="E72" s="1055"/>
      <c r="F72" s="1056"/>
      <c r="G72" s="1057">
        <f>SUM(G67:G71)</f>
        <v>250000</v>
      </c>
      <c r="H72" s="1410">
        <f>J72-I72</f>
        <v>0</v>
      </c>
      <c r="I72" s="1410">
        <v>250000</v>
      </c>
      <c r="J72" s="2065">
        <f>G72</f>
        <v>250000</v>
      </c>
    </row>
    <row r="73" spans="1:11" ht="15.75" thickBot="1">
      <c r="A73" s="1025"/>
      <c r="B73" s="1058" t="s">
        <v>229</v>
      </c>
      <c r="C73" s="1059"/>
      <c r="D73" s="1059"/>
      <c r="E73" s="1059"/>
      <c r="F73" s="1060"/>
      <c r="G73" s="1061">
        <f>ROUND(G72,0)</f>
        <v>250000</v>
      </c>
    </row>
    <row r="74" spans="1:11" ht="15.75" thickBot="1">
      <c r="A74" s="1218">
        <v>11</v>
      </c>
      <c r="B74" s="987" t="str">
        <f>B250</f>
        <v>1 Unit Pek. Jendela (  )</v>
      </c>
      <c r="C74" s="987"/>
      <c r="D74" s="988"/>
      <c r="E74" s="989"/>
      <c r="F74" s="990"/>
      <c r="G74" s="991"/>
      <c r="H74" s="1410"/>
      <c r="I74" s="911"/>
    </row>
    <row r="75" spans="1:11">
      <c r="A75" s="1024"/>
      <c r="B75" s="66">
        <v>2</v>
      </c>
      <c r="C75" s="1026" t="s">
        <v>2637</v>
      </c>
      <c r="D75" s="1027" t="s">
        <v>129</v>
      </c>
      <c r="E75" s="1028">
        <f>HIT.PINTU!D11</f>
        <v>0</v>
      </c>
      <c r="F75" s="1679">
        <f>VLOOKUP(B75,$L$3:$N$50,3,TRUE)</f>
        <v>105337</v>
      </c>
      <c r="G75" s="1029">
        <f>E75*F75</f>
        <v>0</v>
      </c>
      <c r="H75" s="1410"/>
      <c r="I75" s="1410"/>
      <c r="K75" s="2259" t="str">
        <f>C75&amp;C76&amp;C77&amp;C78</f>
        <v>Kusen Allumunium 4", Kaca Temperred 8 mm</v>
      </c>
    </row>
    <row r="76" spans="1:11">
      <c r="A76" s="1024"/>
      <c r="B76" s="2064"/>
      <c r="C76" s="1774"/>
      <c r="D76" s="1037"/>
      <c r="E76" s="1043"/>
      <c r="F76" s="1679"/>
      <c r="G76" s="1030"/>
      <c r="H76" s="1410"/>
      <c r="I76" s="1410"/>
    </row>
    <row r="77" spans="1:11">
      <c r="A77" s="1997"/>
      <c r="B77" s="2064"/>
      <c r="C77" s="1774"/>
      <c r="D77" s="1037"/>
      <c r="E77" s="1043"/>
      <c r="F77" s="1679"/>
      <c r="G77" s="1030"/>
      <c r="H77" s="1410"/>
      <c r="I77" s="1410"/>
    </row>
    <row r="78" spans="1:11">
      <c r="A78" s="1997"/>
      <c r="B78" s="2064">
        <v>30</v>
      </c>
      <c r="C78" s="1774" t="s">
        <v>2239</v>
      </c>
      <c r="D78" s="1037" t="s">
        <v>147</v>
      </c>
      <c r="E78" s="1043">
        <f>HIT.PINTU!$H$11</f>
        <v>0</v>
      </c>
      <c r="F78" s="1679">
        <f>VLOOKUP(B78,$L$3:$N$50,3,TRUE)</f>
        <v>413434</v>
      </c>
      <c r="G78" s="1030">
        <f>E78*F78</f>
        <v>0</v>
      </c>
      <c r="H78" s="1410"/>
      <c r="I78" s="1410"/>
    </row>
    <row r="79" spans="1:11">
      <c r="A79" s="1024"/>
      <c r="B79" s="66"/>
      <c r="C79" s="1041"/>
      <c r="D79" s="1042"/>
      <c r="E79" s="1043"/>
      <c r="F79" s="1050"/>
      <c r="G79" s="1029"/>
      <c r="H79" s="1410"/>
      <c r="I79" s="1410"/>
    </row>
    <row r="80" spans="1:11" ht="15.75" thickBot="1">
      <c r="A80" s="1049"/>
      <c r="B80" s="78" t="s">
        <v>28</v>
      </c>
      <c r="C80" s="1041" t="s">
        <v>156</v>
      </c>
      <c r="D80" s="1042" t="s">
        <v>154</v>
      </c>
      <c r="E80" s="1043">
        <v>1</v>
      </c>
      <c r="F80" s="1050">
        <f>(250000*1)+(200000*0)</f>
        <v>250000</v>
      </c>
      <c r="G80" s="1051">
        <f>E80*F80</f>
        <v>250000</v>
      </c>
      <c r="H80" s="1410"/>
      <c r="I80" s="1410"/>
    </row>
    <row r="81" spans="1:16">
      <c r="A81" s="1047"/>
      <c r="B81" s="1052"/>
      <c r="C81" s="1053" t="s">
        <v>228</v>
      </c>
      <c r="D81" s="1054"/>
      <c r="E81" s="1055"/>
      <c r="F81" s="1056"/>
      <c r="G81" s="1057">
        <f>SUM(G75:G80)</f>
        <v>250000</v>
      </c>
      <c r="H81" s="1410">
        <f>J81-I81</f>
        <v>0</v>
      </c>
      <c r="I81" s="1410">
        <v>250000</v>
      </c>
      <c r="J81" s="2065">
        <f>G81</f>
        <v>250000</v>
      </c>
    </row>
    <row r="82" spans="1:16" ht="15.75" thickBot="1">
      <c r="A82" s="1025"/>
      <c r="B82" s="1058" t="s">
        <v>229</v>
      </c>
      <c r="C82" s="1059"/>
      <c r="D82" s="1059"/>
      <c r="E82" s="1059"/>
      <c r="F82" s="1060"/>
      <c r="G82" s="1061">
        <f>ROUND(G81,0)</f>
        <v>250000</v>
      </c>
    </row>
    <row r="83" spans="1:16" ht="15.75" thickBot="1">
      <c r="A83" s="1218">
        <v>12</v>
      </c>
      <c r="B83" s="987" t="str">
        <f>B251</f>
        <v>1 Unit Pek. Jendela (  )</v>
      </c>
      <c r="C83" s="987"/>
      <c r="D83" s="988"/>
      <c r="E83" s="989"/>
      <c r="F83" s="990"/>
      <c r="G83" s="991"/>
      <c r="H83" s="1410"/>
      <c r="I83" s="911"/>
    </row>
    <row r="84" spans="1:16">
      <c r="A84" s="1024"/>
      <c r="B84" s="66">
        <v>2</v>
      </c>
      <c r="C84" s="1026" t="s">
        <v>2637</v>
      </c>
      <c r="D84" s="1027" t="s">
        <v>129</v>
      </c>
      <c r="E84" s="1028">
        <f>HIT.PINTU!D12</f>
        <v>0</v>
      </c>
      <c r="F84" s="1679">
        <f>VLOOKUP(B84,$L$3:$N$50,3,TRUE)</f>
        <v>105337</v>
      </c>
      <c r="G84" s="1029">
        <f>E84*F84</f>
        <v>0</v>
      </c>
      <c r="H84" s="1410">
        <f>J84-I84</f>
        <v>0</v>
      </c>
      <c r="I84" s="1410">
        <f>E84*K!$I$89</f>
        <v>0</v>
      </c>
      <c r="J84" s="2065">
        <f>G84</f>
        <v>0</v>
      </c>
      <c r="K84" s="2259" t="str">
        <f>C84&amp;C85&amp;C86&amp;C87</f>
        <v>Kusen Allumunium 4", Jendela Allumunium 3", Kaca Temperred 8 mm</v>
      </c>
    </row>
    <row r="85" spans="1:16">
      <c r="A85" s="1024"/>
      <c r="B85" s="2064"/>
      <c r="C85" s="1774"/>
      <c r="D85" s="1037"/>
      <c r="E85" s="1043"/>
      <c r="F85" s="1679"/>
      <c r="G85" s="1030"/>
      <c r="H85" s="1410">
        <f>J85-I85</f>
        <v>0</v>
      </c>
      <c r="I85" s="1410">
        <f>E85*K!$I$89</f>
        <v>0</v>
      </c>
      <c r="J85" s="2065">
        <f>G85</f>
        <v>0</v>
      </c>
    </row>
    <row r="86" spans="1:16">
      <c r="A86" s="1024"/>
      <c r="B86" s="2064">
        <v>40</v>
      </c>
      <c r="C86" s="1774" t="s">
        <v>2638</v>
      </c>
      <c r="D86" s="1037" t="s">
        <v>2613</v>
      </c>
      <c r="E86" s="1043">
        <f>HIT.PINTU!$F$12</f>
        <v>0</v>
      </c>
      <c r="F86" s="1679">
        <f>VLOOKUP(B86,$L$3:$N$50,3,TRUE)</f>
        <v>137405</v>
      </c>
      <c r="G86" s="1030">
        <f>E86*F86</f>
        <v>0</v>
      </c>
      <c r="H86" s="1410"/>
      <c r="I86" s="1410"/>
    </row>
    <row r="87" spans="1:16">
      <c r="A87" s="1997"/>
      <c r="B87" s="2064">
        <v>30</v>
      </c>
      <c r="C87" s="1774" t="s">
        <v>2239</v>
      </c>
      <c r="D87" s="1037" t="s">
        <v>147</v>
      </c>
      <c r="E87" s="1043">
        <f>HIT.PINTU!$H$12</f>
        <v>0</v>
      </c>
      <c r="F87" s="1679">
        <f>VLOOKUP(B87,$L$3:$N$50,3,TRUE)</f>
        <v>413434</v>
      </c>
      <c r="G87" s="1030">
        <f>E87*F87</f>
        <v>0</v>
      </c>
      <c r="H87" s="1410"/>
      <c r="I87" s="1410"/>
    </row>
    <row r="88" spans="1:16">
      <c r="A88" s="1024"/>
      <c r="B88" s="66"/>
      <c r="C88" s="1041"/>
      <c r="D88" s="1042"/>
      <c r="E88" s="1043"/>
      <c r="F88" s="1050"/>
      <c r="G88" s="1029"/>
      <c r="H88" s="1410">
        <f>J88-I88</f>
        <v>0</v>
      </c>
      <c r="I88" s="1410">
        <f>E88*K!$I$89</f>
        <v>0</v>
      </c>
      <c r="J88" s="2065">
        <f>G88</f>
        <v>0</v>
      </c>
    </row>
    <row r="89" spans="1:16" ht="15.75" thickBot="1">
      <c r="A89" s="1049"/>
      <c r="B89" s="78" t="s">
        <v>28</v>
      </c>
      <c r="C89" s="1041" t="s">
        <v>156</v>
      </c>
      <c r="D89" s="1042" t="s">
        <v>154</v>
      </c>
      <c r="E89" s="1043">
        <v>1</v>
      </c>
      <c r="F89" s="1050">
        <f>(250000*1)+(200000*0)</f>
        <v>250000</v>
      </c>
      <c r="G89" s="1051">
        <f>E89*F89</f>
        <v>250000</v>
      </c>
      <c r="H89" s="1410">
        <f>F89*0</f>
        <v>0</v>
      </c>
      <c r="I89" s="1410">
        <f>E89*F89</f>
        <v>250000</v>
      </c>
      <c r="J89" s="2065">
        <f>H89+I89</f>
        <v>250000</v>
      </c>
    </row>
    <row r="90" spans="1:16">
      <c r="A90" s="1047"/>
      <c r="B90" s="1052"/>
      <c r="C90" s="1053" t="s">
        <v>228</v>
      </c>
      <c r="D90" s="1054"/>
      <c r="E90" s="1055"/>
      <c r="F90" s="1056"/>
      <c r="G90" s="1057">
        <f>SUM(G84:G89)</f>
        <v>250000</v>
      </c>
      <c r="H90" s="1410">
        <f>J90-I90</f>
        <v>0</v>
      </c>
      <c r="I90" s="1410">
        <v>250000</v>
      </c>
      <c r="J90" s="2065">
        <f>G90</f>
        <v>250000</v>
      </c>
    </row>
    <row r="91" spans="1:16" ht="15.75" thickBot="1">
      <c r="A91" s="1025"/>
      <c r="B91" s="1058" t="s">
        <v>229</v>
      </c>
      <c r="C91" s="1059"/>
      <c r="D91" s="1059"/>
      <c r="E91" s="1059"/>
      <c r="F91" s="1060"/>
      <c r="G91" s="1061">
        <f>ROUND(G90,0)</f>
        <v>250000</v>
      </c>
    </row>
    <row r="92" spans="1:16" ht="15.75" thickBot="1">
      <c r="A92" s="1218">
        <v>13</v>
      </c>
      <c r="B92" s="2340" t="str">
        <f>B252</f>
        <v>1 Unit Pek. Jendela (  )</v>
      </c>
      <c r="C92" s="987"/>
      <c r="D92" s="988"/>
      <c r="E92" s="989"/>
      <c r="F92" s="990"/>
      <c r="G92" s="991"/>
      <c r="H92" s="1410"/>
      <c r="I92" s="911"/>
    </row>
    <row r="93" spans="1:16">
      <c r="A93" s="1024"/>
      <c r="B93" s="66">
        <v>2</v>
      </c>
      <c r="C93" s="1026" t="s">
        <v>2637</v>
      </c>
      <c r="D93" s="1027" t="s">
        <v>129</v>
      </c>
      <c r="E93" s="1028">
        <f>HIT.PINTU!D13</f>
        <v>0</v>
      </c>
      <c r="F93" s="1679">
        <f>VLOOKUP(B93,$L$3:$N$50,3,TRUE)</f>
        <v>105337</v>
      </c>
      <c r="G93" s="1029">
        <f t="shared" ref="G93:G99" si="0">E93*F93</f>
        <v>0</v>
      </c>
      <c r="H93" s="1410">
        <f>J93-I93</f>
        <v>0</v>
      </c>
      <c r="I93" s="1410">
        <f>E93*K!$I$89</f>
        <v>0</v>
      </c>
      <c r="J93" s="2065">
        <f>G93</f>
        <v>0</v>
      </c>
      <c r="K93" s="2259" t="str">
        <f>C93&amp;C94&amp;C95&amp;C96</f>
        <v>Kusen Allumunium 4", Jendela Allumunium 3", Kaca Temperred 8 mm</v>
      </c>
    </row>
    <row r="94" spans="1:16">
      <c r="A94" s="1024"/>
      <c r="B94" s="2064"/>
      <c r="C94" s="1774"/>
      <c r="D94" s="1037"/>
      <c r="E94" s="1043"/>
      <c r="F94" s="1679"/>
      <c r="G94" s="1029"/>
      <c r="H94" s="1410">
        <f>J94-I94</f>
        <v>0</v>
      </c>
      <c r="I94" s="1410">
        <f>E94*K!$I$89</f>
        <v>0</v>
      </c>
      <c r="J94" s="2065">
        <f>G94</f>
        <v>0</v>
      </c>
    </row>
    <row r="95" spans="1:16">
      <c r="A95" s="1998"/>
      <c r="B95" s="2064">
        <v>40</v>
      </c>
      <c r="C95" s="1774" t="s">
        <v>2638</v>
      </c>
      <c r="D95" s="1037" t="s">
        <v>2613</v>
      </c>
      <c r="E95" s="1043">
        <f>HIT.PINTU!$F$13</f>
        <v>0</v>
      </c>
      <c r="F95" s="1679">
        <f>VLOOKUP(B95,$L$3:$N$50,3,TRUE)</f>
        <v>137405</v>
      </c>
      <c r="G95" s="1030">
        <f>E95*F95</f>
        <v>0</v>
      </c>
      <c r="H95" s="1410"/>
      <c r="I95" s="1410"/>
      <c r="P95" s="1221"/>
    </row>
    <row r="96" spans="1:16">
      <c r="A96" s="1048"/>
      <c r="B96" s="2064">
        <v>30</v>
      </c>
      <c r="C96" s="1774" t="s">
        <v>2239</v>
      </c>
      <c r="D96" s="1037" t="s">
        <v>147</v>
      </c>
      <c r="E96" s="1043">
        <f>HIT.PINTU!$H$13</f>
        <v>0</v>
      </c>
      <c r="F96" s="1679">
        <f>VLOOKUP(B96,$L$3:$N$50,3,TRUE)</f>
        <v>413434</v>
      </c>
      <c r="G96" s="1030">
        <f>E96*F96</f>
        <v>0</v>
      </c>
      <c r="H96" s="1410">
        <f>J96-I96</f>
        <v>0</v>
      </c>
      <c r="I96" s="1410">
        <f>E96*K!$I$89</f>
        <v>0</v>
      </c>
      <c r="J96" s="2065">
        <f>G96</f>
        <v>0</v>
      </c>
      <c r="P96" s="1221"/>
    </row>
    <row r="97" spans="1:11">
      <c r="A97" s="1997"/>
      <c r="B97" s="66"/>
      <c r="C97" s="1041"/>
      <c r="D97" s="1042"/>
      <c r="E97" s="1043"/>
      <c r="F97" s="1050"/>
      <c r="G97" s="1029"/>
      <c r="H97" s="1410"/>
      <c r="I97" s="1410"/>
    </row>
    <row r="98" spans="1:11">
      <c r="A98" s="1024"/>
      <c r="B98" s="66"/>
      <c r="C98" s="1033"/>
      <c r="D98" s="1034"/>
      <c r="E98" s="1043"/>
      <c r="F98" s="1036"/>
      <c r="G98" s="1029">
        <f t="shared" si="0"/>
        <v>0</v>
      </c>
      <c r="H98" s="1410">
        <f>J98-I98</f>
        <v>0</v>
      </c>
      <c r="I98" s="1410">
        <f>E98*K!$I$89</f>
        <v>0</v>
      </c>
      <c r="J98" s="2065">
        <f>G98</f>
        <v>0</v>
      </c>
    </row>
    <row r="99" spans="1:11" ht="15.75" thickBot="1">
      <c r="A99" s="1049"/>
      <c r="B99" s="78" t="s">
        <v>28</v>
      </c>
      <c r="C99" s="1041" t="s">
        <v>156</v>
      </c>
      <c r="D99" s="1042" t="s">
        <v>154</v>
      </c>
      <c r="E99" s="1043">
        <v>1</v>
      </c>
      <c r="F99" s="1050">
        <f>(250000*1)+(200000*0)</f>
        <v>250000</v>
      </c>
      <c r="G99" s="1051">
        <f t="shared" si="0"/>
        <v>250000</v>
      </c>
      <c r="H99" s="1410">
        <f>F99*0</f>
        <v>0</v>
      </c>
      <c r="I99" s="1410">
        <f>E99*F99</f>
        <v>250000</v>
      </c>
      <c r="J99" s="2065">
        <f>H99+I99</f>
        <v>250000</v>
      </c>
    </row>
    <row r="100" spans="1:11">
      <c r="A100" s="1047"/>
      <c r="B100" s="1052"/>
      <c r="C100" s="1053" t="s">
        <v>228</v>
      </c>
      <c r="D100" s="1054"/>
      <c r="E100" s="1055"/>
      <c r="F100" s="1056"/>
      <c r="G100" s="1057">
        <f>SUM(G93:G99)</f>
        <v>250000</v>
      </c>
      <c r="H100" s="1410">
        <f>J100-I100</f>
        <v>0</v>
      </c>
      <c r="I100" s="1410">
        <v>250000</v>
      </c>
      <c r="J100" s="2065">
        <f>G100</f>
        <v>250000</v>
      </c>
    </row>
    <row r="101" spans="1:11" ht="15.75" thickBot="1">
      <c r="A101" s="1025"/>
      <c r="B101" s="1058" t="s">
        <v>229</v>
      </c>
      <c r="C101" s="1059"/>
      <c r="D101" s="1059"/>
      <c r="E101" s="1059"/>
      <c r="F101" s="1060"/>
      <c r="G101" s="1061">
        <f>ROUND(G100,0)</f>
        <v>250000</v>
      </c>
    </row>
    <row r="102" spans="1:11" ht="15.75" thickBot="1">
      <c r="A102" s="1218">
        <v>14</v>
      </c>
      <c r="B102" s="987" t="str">
        <f>B253</f>
        <v>1 Unit Pek. Jendela (  )</v>
      </c>
      <c r="C102" s="987"/>
      <c r="D102" s="988"/>
      <c r="E102" s="989"/>
      <c r="F102" s="990"/>
      <c r="G102" s="991"/>
    </row>
    <row r="103" spans="1:11">
      <c r="A103" s="1024"/>
      <c r="B103" s="66">
        <v>2</v>
      </c>
      <c r="C103" s="1026" t="s">
        <v>2637</v>
      </c>
      <c r="D103" s="1027" t="s">
        <v>129</v>
      </c>
      <c r="E103" s="1028">
        <f>HIT.PINTU!D14</f>
        <v>0</v>
      </c>
      <c r="F103" s="1679">
        <f>VLOOKUP(B103,$L$3:$N$50,3,TRUE)</f>
        <v>105337</v>
      </c>
      <c r="G103" s="1029">
        <f>E103*F103</f>
        <v>0</v>
      </c>
      <c r="H103" s="1410">
        <f>J103-I103</f>
        <v>0</v>
      </c>
      <c r="I103" s="1410">
        <f>E103*K!$I$89</f>
        <v>0</v>
      </c>
      <c r="J103" s="2065">
        <f>G103</f>
        <v>0</v>
      </c>
      <c r="K103" s="2259" t="str">
        <f>C103&amp;C104&amp;C105&amp;C106</f>
        <v>Kusen Allumunium 4", Kaca Temperred 8 mm</v>
      </c>
    </row>
    <row r="104" spans="1:11">
      <c r="A104" s="1047"/>
      <c r="B104" s="2064"/>
      <c r="C104" s="1774"/>
      <c r="D104" s="1037"/>
      <c r="E104" s="1043"/>
      <c r="F104" s="1679"/>
      <c r="G104" s="1029"/>
      <c r="H104" s="1410">
        <f>J104-I104</f>
        <v>0</v>
      </c>
      <c r="I104" s="1410">
        <f>E104*K!$I$89</f>
        <v>0</v>
      </c>
      <c r="J104" s="2065">
        <f>G104</f>
        <v>0</v>
      </c>
    </row>
    <row r="105" spans="1:11">
      <c r="A105" s="1998"/>
      <c r="B105" s="2064"/>
      <c r="C105" s="1774"/>
      <c r="D105" s="1037"/>
      <c r="E105" s="1043"/>
      <c r="F105" s="1679"/>
      <c r="G105" s="1030"/>
      <c r="H105" s="1410"/>
      <c r="I105" s="1410"/>
    </row>
    <row r="106" spans="1:11">
      <c r="A106" s="1048"/>
      <c r="B106" s="2064">
        <v>30</v>
      </c>
      <c r="C106" s="1774" t="s">
        <v>2239</v>
      </c>
      <c r="D106" s="1037" t="s">
        <v>147</v>
      </c>
      <c r="E106" s="1043">
        <f>HIT.PINTU!$H$14</f>
        <v>0</v>
      </c>
      <c r="F106" s="1679">
        <f>VLOOKUP(B106,$L$3:$N$50,3,TRUE)</f>
        <v>413434</v>
      </c>
      <c r="G106" s="1030">
        <f>E106*F106</f>
        <v>0</v>
      </c>
      <c r="H106" s="1410"/>
      <c r="I106" s="1410"/>
    </row>
    <row r="107" spans="1:11" ht="15.75" thickBot="1">
      <c r="A107" s="1049"/>
      <c r="B107" s="78" t="s">
        <v>28</v>
      </c>
      <c r="C107" s="1041" t="s">
        <v>156</v>
      </c>
      <c r="D107" s="1042" t="s">
        <v>154</v>
      </c>
      <c r="E107" s="1043">
        <v>1</v>
      </c>
      <c r="F107" s="1050">
        <f>(250000*1)+(200000*0)</f>
        <v>250000</v>
      </c>
      <c r="G107" s="1051">
        <f>E107*F107</f>
        <v>250000</v>
      </c>
      <c r="H107" s="1410">
        <f>F107*0</f>
        <v>0</v>
      </c>
      <c r="I107" s="1410">
        <f>E107*F107</f>
        <v>250000</v>
      </c>
      <c r="J107" s="2065">
        <f>SUM(H107:I107)</f>
        <v>250000</v>
      </c>
    </row>
    <row r="108" spans="1:11">
      <c r="A108" s="1047"/>
      <c r="B108" s="1052"/>
      <c r="C108" s="1053" t="s">
        <v>228</v>
      </c>
      <c r="D108" s="1054"/>
      <c r="E108" s="1055"/>
      <c r="F108" s="1056"/>
      <c r="G108" s="1057">
        <f>SUM(G103:G107)</f>
        <v>250000</v>
      </c>
      <c r="H108" s="1410">
        <f>J108-I108</f>
        <v>0</v>
      </c>
      <c r="I108" s="1410">
        <v>250000</v>
      </c>
      <c r="J108" s="2065">
        <f>G108</f>
        <v>250000</v>
      </c>
    </row>
    <row r="109" spans="1:11" ht="15.75" thickBot="1">
      <c r="A109" s="1025"/>
      <c r="B109" s="1058" t="s">
        <v>229</v>
      </c>
      <c r="C109" s="1059"/>
      <c r="D109" s="1059"/>
      <c r="E109" s="1059"/>
      <c r="F109" s="1060"/>
      <c r="G109" s="1061">
        <f>ROUND(G108,0)</f>
        <v>250000</v>
      </c>
    </row>
    <row r="110" spans="1:11" ht="15.75" thickBot="1">
      <c r="A110" s="1218">
        <v>15</v>
      </c>
      <c r="B110" s="987" t="str">
        <f>B254</f>
        <v>1 Unit Pek. Jendela (  )</v>
      </c>
      <c r="C110" s="987"/>
      <c r="D110" s="988"/>
      <c r="E110" s="989"/>
      <c r="F110" s="990"/>
      <c r="G110" s="991"/>
      <c r="H110" s="1410"/>
      <c r="I110" s="911"/>
    </row>
    <row r="111" spans="1:11">
      <c r="A111" s="1024"/>
      <c r="B111" s="66">
        <v>2</v>
      </c>
      <c r="C111" s="1026" t="s">
        <v>2637</v>
      </c>
      <c r="D111" s="1027" t="s">
        <v>129</v>
      </c>
      <c r="E111" s="1028">
        <f>HIT.PINTU!D15</f>
        <v>0</v>
      </c>
      <c r="F111" s="1679">
        <f>VLOOKUP(B111,$L$3:$N$50,3,TRUE)</f>
        <v>105337</v>
      </c>
      <c r="G111" s="1029">
        <f>E111*F111</f>
        <v>0</v>
      </c>
      <c r="H111" s="1410">
        <f>J111-I111</f>
        <v>0</v>
      </c>
      <c r="I111" s="1410">
        <f>E111*K!$I$89</f>
        <v>0</v>
      </c>
      <c r="J111" s="2065">
        <f>G111</f>
        <v>0</v>
      </c>
      <c r="K111" s="2259" t="str">
        <f>C111&amp;C112&amp;C113&amp;C114</f>
        <v>Kusen Allumunium 4", Jendela Allumunium 3", Kaca Temperred 8 mm</v>
      </c>
    </row>
    <row r="112" spans="1:11">
      <c r="A112" s="1024"/>
      <c r="B112" s="2064"/>
      <c r="C112" s="1774"/>
      <c r="D112" s="1037"/>
      <c r="E112" s="1043"/>
      <c r="F112" s="1679"/>
      <c r="G112" s="1029"/>
      <c r="H112" s="1410">
        <f>J112-I112</f>
        <v>0</v>
      </c>
      <c r="I112" s="1410">
        <f>E112*K!$I$89</f>
        <v>0</v>
      </c>
      <c r="J112" s="2065">
        <f>G112</f>
        <v>0</v>
      </c>
    </row>
    <row r="113" spans="1:11">
      <c r="A113" s="1997"/>
      <c r="B113" s="2064">
        <v>40</v>
      </c>
      <c r="C113" s="1774" t="s">
        <v>2638</v>
      </c>
      <c r="D113" s="1037"/>
      <c r="E113" s="1043">
        <f>HIT.PINTU!$F$15</f>
        <v>0</v>
      </c>
      <c r="F113" s="1679">
        <f>VLOOKUP(B113,$L$3:$N$50,3,TRUE)</f>
        <v>137405</v>
      </c>
      <c r="G113" s="1030">
        <f>E113*F113</f>
        <v>0</v>
      </c>
      <c r="H113" s="1410"/>
      <c r="I113" s="1410"/>
    </row>
    <row r="114" spans="1:11">
      <c r="A114" s="1024"/>
      <c r="B114" s="2064">
        <v>30</v>
      </c>
      <c r="C114" s="1774" t="s">
        <v>2239</v>
      </c>
      <c r="D114" s="1037"/>
      <c r="E114" s="1043">
        <f>HIT.PINTU!$H$15</f>
        <v>0</v>
      </c>
      <c r="F114" s="1679">
        <f>VLOOKUP(B114,$L$3:$N$50,3,TRUE)</f>
        <v>413434</v>
      </c>
      <c r="G114" s="1030">
        <f>E114*F114</f>
        <v>0</v>
      </c>
      <c r="H114" s="1410">
        <f>J114-I114</f>
        <v>0</v>
      </c>
      <c r="I114" s="1410">
        <f>E114*K!$I$89</f>
        <v>0</v>
      </c>
      <c r="J114" s="2065">
        <f>G114</f>
        <v>0</v>
      </c>
    </row>
    <row r="115" spans="1:11" ht="15.75" thickBot="1">
      <c r="A115" s="1049"/>
      <c r="B115" s="78" t="s">
        <v>28</v>
      </c>
      <c r="C115" s="1041" t="s">
        <v>156</v>
      </c>
      <c r="D115" s="1042" t="s">
        <v>154</v>
      </c>
      <c r="E115" s="1043">
        <v>1</v>
      </c>
      <c r="F115" s="1050">
        <f>(250000*1)+(200000*0)</f>
        <v>250000</v>
      </c>
      <c r="G115" s="1051">
        <f>E115*F115</f>
        <v>250000</v>
      </c>
      <c r="H115" s="1410">
        <f>F115*0</f>
        <v>0</v>
      </c>
      <c r="I115" s="1410">
        <f>E115*F115</f>
        <v>250000</v>
      </c>
      <c r="J115" s="2065">
        <f>H115+I115</f>
        <v>250000</v>
      </c>
    </row>
    <row r="116" spans="1:11">
      <c r="A116" s="1047"/>
      <c r="B116" s="1052"/>
      <c r="C116" s="1053" t="s">
        <v>228</v>
      </c>
      <c r="D116" s="1054"/>
      <c r="E116" s="1055"/>
      <c r="F116" s="1056"/>
      <c r="G116" s="1057">
        <f>SUM(G111:G115)</f>
        <v>250000</v>
      </c>
      <c r="H116" s="1410">
        <f>J116-I116</f>
        <v>0</v>
      </c>
      <c r="I116" s="1410">
        <v>250000</v>
      </c>
      <c r="J116" s="2065">
        <f>G116</f>
        <v>250000</v>
      </c>
    </row>
    <row r="117" spans="1:11" ht="15.75" thickBot="1">
      <c r="A117" s="1025"/>
      <c r="B117" s="1058" t="s">
        <v>229</v>
      </c>
      <c r="C117" s="1059"/>
      <c r="D117" s="1059"/>
      <c r="E117" s="1059"/>
      <c r="F117" s="1060"/>
      <c r="G117" s="1061">
        <f>ROUND(G116,0)</f>
        <v>250000</v>
      </c>
    </row>
    <row r="118" spans="1:11" ht="15.75" thickBot="1">
      <c r="A118" s="1218">
        <v>16</v>
      </c>
      <c r="B118" s="987" t="str">
        <f>B255</f>
        <v>1 Unit Pek. Jendela (  )</v>
      </c>
      <c r="C118" s="987"/>
      <c r="D118" s="988"/>
      <c r="E118" s="989"/>
      <c r="F118" s="990"/>
      <c r="G118" s="991"/>
      <c r="H118" s="1410"/>
      <c r="I118" s="911"/>
    </row>
    <row r="119" spans="1:11">
      <c r="A119" s="1024"/>
      <c r="B119" s="66">
        <v>2</v>
      </c>
      <c r="C119" s="1026" t="s">
        <v>2637</v>
      </c>
      <c r="D119" s="1027" t="s">
        <v>129</v>
      </c>
      <c r="E119" s="1028">
        <f>HIT.PINTU!D16</f>
        <v>0</v>
      </c>
      <c r="F119" s="1679">
        <f>VLOOKUP(B119,$L$3:$N$50,3,TRUE)</f>
        <v>105337</v>
      </c>
      <c r="G119" s="1029">
        <f>E119*F119</f>
        <v>0</v>
      </c>
      <c r="H119" s="1410">
        <f>J119-I119</f>
        <v>0</v>
      </c>
      <c r="I119" s="1410">
        <f>E119*K!$I$89</f>
        <v>0</v>
      </c>
      <c r="J119" s="2065">
        <f>G119</f>
        <v>0</v>
      </c>
      <c r="K119" s="2259" t="str">
        <f>C119&amp;C120&amp;C121&amp;C122</f>
        <v>Kusen Allumunium 4", Jendela Allumunium 3", Kaca Clear 5 mm</v>
      </c>
    </row>
    <row r="120" spans="1:11">
      <c r="A120" s="1024"/>
      <c r="B120" s="2064"/>
      <c r="C120" s="1774"/>
      <c r="D120" s="1037"/>
      <c r="E120" s="1043"/>
      <c r="F120" s="1679"/>
      <c r="G120" s="1029"/>
      <c r="H120" s="1410">
        <f>J120-I120</f>
        <v>0</v>
      </c>
      <c r="I120" s="1410">
        <f>E120*K!$I$89</f>
        <v>0</v>
      </c>
      <c r="J120" s="2065">
        <f>G120</f>
        <v>0</v>
      </c>
    </row>
    <row r="121" spans="1:11">
      <c r="A121" s="1024"/>
      <c r="B121" s="2064">
        <v>40</v>
      </c>
      <c r="C121" s="1774" t="s">
        <v>2638</v>
      </c>
      <c r="D121" s="1037"/>
      <c r="E121" s="1043">
        <f>HIT.PINTU!$F$16</f>
        <v>0</v>
      </c>
      <c r="F121" s="1679">
        <f>VLOOKUP(B121,$L$3:$N$50,3,TRUE)</f>
        <v>137405</v>
      </c>
      <c r="G121" s="1030">
        <f>E121*F121</f>
        <v>0</v>
      </c>
      <c r="H121" s="1410"/>
      <c r="I121" s="1410"/>
    </row>
    <row r="122" spans="1:11">
      <c r="A122" s="1997"/>
      <c r="B122" s="2064">
        <v>27</v>
      </c>
      <c r="C122" s="1774" t="s">
        <v>2563</v>
      </c>
      <c r="D122" s="2043"/>
      <c r="E122" s="1043">
        <f>HIT.PINTU!$G$16</f>
        <v>0</v>
      </c>
      <c r="F122" s="1679">
        <f>VLOOKUP(B122,$L$3:$N$50,3,TRUE)</f>
        <v>149975</v>
      </c>
      <c r="G122" s="1030">
        <f>E122*F122</f>
        <v>0</v>
      </c>
      <c r="H122" s="1410"/>
      <c r="I122" s="1410"/>
    </row>
    <row r="123" spans="1:11" ht="15.75" thickBot="1">
      <c r="A123" s="1049"/>
      <c r="B123" s="78" t="s">
        <v>28</v>
      </c>
      <c r="C123" s="1041" t="s">
        <v>156</v>
      </c>
      <c r="D123" s="1042" t="s">
        <v>154</v>
      </c>
      <c r="E123" s="1043">
        <v>1</v>
      </c>
      <c r="F123" s="1050">
        <f>(250000*1)+(200000*0)</f>
        <v>250000</v>
      </c>
      <c r="G123" s="1051">
        <f>E123*F123</f>
        <v>250000</v>
      </c>
      <c r="H123" s="1410">
        <f>F123*0</f>
        <v>0</v>
      </c>
      <c r="I123" s="1410">
        <f>E123*F123</f>
        <v>250000</v>
      </c>
      <c r="J123" s="2065">
        <f>H123+I123</f>
        <v>250000</v>
      </c>
    </row>
    <row r="124" spans="1:11">
      <c r="A124" s="1047"/>
      <c r="B124" s="1052"/>
      <c r="C124" s="1053" t="s">
        <v>228</v>
      </c>
      <c r="D124" s="1054"/>
      <c r="E124" s="1055"/>
      <c r="F124" s="1056"/>
      <c r="G124" s="1057">
        <f>SUM(G119:G123)</f>
        <v>250000</v>
      </c>
      <c r="H124" s="1410">
        <f>J124-I124</f>
        <v>0</v>
      </c>
      <c r="I124" s="1410">
        <v>250000</v>
      </c>
      <c r="J124" s="2065">
        <f>G124</f>
        <v>250000</v>
      </c>
    </row>
    <row r="125" spans="1:11" ht="15.75" thickBot="1">
      <c r="A125" s="1025"/>
      <c r="B125" s="1058" t="s">
        <v>229</v>
      </c>
      <c r="C125" s="1059"/>
      <c r="D125" s="1059"/>
      <c r="E125" s="1059"/>
      <c r="F125" s="1060"/>
      <c r="G125" s="1061">
        <f>ROUND(G124,0)</f>
        <v>250000</v>
      </c>
    </row>
    <row r="126" spans="1:11" ht="15.75" thickBot="1">
      <c r="A126" s="1218">
        <v>17</v>
      </c>
      <c r="B126" s="987" t="str">
        <f>B256</f>
        <v>1 Unit Pek. Jendela (  )</v>
      </c>
      <c r="C126" s="987"/>
      <c r="D126" s="988"/>
      <c r="E126" s="989"/>
      <c r="F126" s="990"/>
      <c r="G126" s="991"/>
      <c r="H126" s="1410"/>
      <c r="I126" s="911"/>
    </row>
    <row r="127" spans="1:11">
      <c r="A127" s="1024"/>
      <c r="B127" s="66"/>
      <c r="C127" s="1026"/>
      <c r="D127" s="1027"/>
      <c r="E127" s="1028"/>
      <c r="F127" s="1679"/>
      <c r="G127" s="1029"/>
      <c r="H127" s="1410">
        <f>J127-I127</f>
        <v>0</v>
      </c>
      <c r="I127" s="1410">
        <f>E127*K!$I$89</f>
        <v>0</v>
      </c>
      <c r="J127" s="2065">
        <f>G127</f>
        <v>0</v>
      </c>
      <c r="K127" s="2259" t="str">
        <f>C127&amp;C128&amp;C129</f>
        <v>Pintu KM/WC UPVC</v>
      </c>
    </row>
    <row r="128" spans="1:11">
      <c r="A128" s="1997"/>
      <c r="B128" s="1039"/>
      <c r="C128" s="1041" t="s">
        <v>2627</v>
      </c>
      <c r="D128" s="1037" t="s">
        <v>147</v>
      </c>
      <c r="E128" s="1043">
        <f>HIT.PINTU!$E$17</f>
        <v>0</v>
      </c>
      <c r="F128" s="1679">
        <f>BAHAN!$E$190</f>
        <v>900000</v>
      </c>
      <c r="G128" s="1029">
        <f>E128*F128</f>
        <v>0</v>
      </c>
      <c r="H128" s="1410"/>
      <c r="I128" s="1410"/>
    </row>
    <row r="129" spans="1:11">
      <c r="A129" s="1024"/>
      <c r="B129" s="2064"/>
      <c r="C129" s="1774"/>
      <c r="D129" s="1037"/>
      <c r="E129" s="1043"/>
      <c r="F129" s="1679"/>
      <c r="G129" s="1029"/>
      <c r="H129" s="1410">
        <f>J129-I129</f>
        <v>0</v>
      </c>
      <c r="I129" s="1410">
        <f>E129*K!$I$89</f>
        <v>0</v>
      </c>
      <c r="J129" s="2065">
        <f>G129</f>
        <v>0</v>
      </c>
    </row>
    <row r="130" spans="1:11">
      <c r="A130" s="1024"/>
      <c r="B130" s="1039" t="s">
        <v>28</v>
      </c>
      <c r="C130" s="1033"/>
      <c r="D130" s="1034"/>
      <c r="E130" s="1043"/>
      <c r="F130" s="1036"/>
      <c r="G130" s="1029">
        <f>E130*F130</f>
        <v>0</v>
      </c>
      <c r="H130" s="1410">
        <f>J130-I130</f>
        <v>0</v>
      </c>
      <c r="I130" s="1410">
        <f>E130*K!$I$89</f>
        <v>0</v>
      </c>
      <c r="J130" s="2065">
        <f>G130</f>
        <v>0</v>
      </c>
    </row>
    <row r="131" spans="1:11" ht="15.75" thickBot="1">
      <c r="A131" s="1049"/>
      <c r="B131" s="78" t="s">
        <v>28</v>
      </c>
      <c r="C131" s="1041" t="s">
        <v>156</v>
      </c>
      <c r="D131" s="1042" t="s">
        <v>154</v>
      </c>
      <c r="E131" s="1043">
        <v>1</v>
      </c>
      <c r="F131" s="1050">
        <f>(250000*1)+(200000*0)</f>
        <v>250000</v>
      </c>
      <c r="G131" s="1051">
        <f>E131*F131</f>
        <v>250000</v>
      </c>
      <c r="H131" s="1410">
        <f>F131*0</f>
        <v>0</v>
      </c>
      <c r="I131" s="1410">
        <f>E131*F131</f>
        <v>250000</v>
      </c>
      <c r="J131" s="2065">
        <f>H131+I131</f>
        <v>250000</v>
      </c>
    </row>
    <row r="132" spans="1:11">
      <c r="A132" s="1047"/>
      <c r="B132" s="1052"/>
      <c r="C132" s="1053" t="s">
        <v>228</v>
      </c>
      <c r="D132" s="1054"/>
      <c r="E132" s="1055"/>
      <c r="F132" s="1056"/>
      <c r="G132" s="1057">
        <f>SUM(G127:G131)</f>
        <v>250000</v>
      </c>
      <c r="H132" s="1410">
        <f>J132-I132</f>
        <v>0</v>
      </c>
      <c r="I132" s="1410">
        <v>250000</v>
      </c>
      <c r="J132" s="2065">
        <f>G132</f>
        <v>250000</v>
      </c>
    </row>
    <row r="133" spans="1:11" ht="15.75" thickBot="1">
      <c r="A133" s="1025"/>
      <c r="B133" s="1058" t="s">
        <v>229</v>
      </c>
      <c r="C133" s="1059"/>
      <c r="D133" s="1059"/>
      <c r="E133" s="1059"/>
      <c r="F133" s="1060"/>
      <c r="G133" s="1061">
        <f>ROUND(G132,0)</f>
        <v>250000</v>
      </c>
    </row>
    <row r="134" spans="1:11" ht="15.75" thickBot="1">
      <c r="A134" s="1218">
        <v>18</v>
      </c>
      <c r="B134" s="987" t="str">
        <f>B257</f>
        <v>1 Unit Pek. Jendela (  )</v>
      </c>
      <c r="C134" s="987"/>
      <c r="D134" s="988"/>
      <c r="E134" s="989"/>
      <c r="F134" s="990"/>
      <c r="G134" s="991"/>
      <c r="H134" s="1410"/>
      <c r="I134" s="911"/>
    </row>
    <row r="135" spans="1:11">
      <c r="A135" s="1024"/>
      <c r="B135" s="66"/>
      <c r="C135" s="1026"/>
      <c r="D135" s="1027"/>
      <c r="E135" s="1028"/>
      <c r="F135" s="1679"/>
      <c r="G135" s="1029"/>
      <c r="H135" s="1410">
        <f>J135-I135</f>
        <v>0</v>
      </c>
      <c r="I135" s="1410">
        <f>E135*K!$I$89</f>
        <v>0</v>
      </c>
      <c r="J135" s="2065">
        <f>G135</f>
        <v>0</v>
      </c>
      <c r="K135" s="2259" t="str">
        <f>C135&amp;C136&amp;C137</f>
        <v>Pintu KM/WC UPVC</v>
      </c>
    </row>
    <row r="136" spans="1:11">
      <c r="A136" s="1024"/>
      <c r="B136" s="1039">
        <v>5</v>
      </c>
      <c r="C136" s="1041" t="s">
        <v>2627</v>
      </c>
      <c r="D136" s="1037" t="s">
        <v>147</v>
      </c>
      <c r="E136" s="1043">
        <f>HIT.PINTU!$E$18</f>
        <v>0</v>
      </c>
      <c r="F136" s="1679">
        <f>BAHAN!$E$190</f>
        <v>900000</v>
      </c>
      <c r="G136" s="1029">
        <f>E136*F136</f>
        <v>0</v>
      </c>
      <c r="H136" s="1410">
        <f>J136-I136</f>
        <v>0</v>
      </c>
      <c r="I136" s="1410">
        <f>E136*K!$I$89</f>
        <v>0</v>
      </c>
      <c r="J136" s="2065">
        <f>G136</f>
        <v>0</v>
      </c>
    </row>
    <row r="137" spans="1:11">
      <c r="A137" s="1024"/>
      <c r="B137" s="2064"/>
      <c r="C137" s="1774"/>
      <c r="D137" s="1037"/>
      <c r="E137" s="1043"/>
      <c r="F137" s="1679"/>
      <c r="G137" s="1029"/>
      <c r="H137" s="1410">
        <f>J137-I137</f>
        <v>0</v>
      </c>
      <c r="I137" s="1410">
        <f>E137*K!$I$89</f>
        <v>0</v>
      </c>
      <c r="J137" s="2065">
        <f>G137</f>
        <v>0</v>
      </c>
    </row>
    <row r="138" spans="1:11" ht="15.75" thickBot="1">
      <c r="A138" s="1049"/>
      <c r="B138" s="78" t="s">
        <v>28</v>
      </c>
      <c r="C138" s="1041" t="s">
        <v>156</v>
      </c>
      <c r="D138" s="1042" t="s">
        <v>154</v>
      </c>
      <c r="E138" s="1043">
        <v>1</v>
      </c>
      <c r="F138" s="1050">
        <f>(250000*1)+(200000*0)</f>
        <v>250000</v>
      </c>
      <c r="G138" s="1051">
        <f>E138*F138</f>
        <v>250000</v>
      </c>
      <c r="H138" s="1410">
        <f>F138*0</f>
        <v>0</v>
      </c>
      <c r="I138" s="1410">
        <f>E138*F138</f>
        <v>250000</v>
      </c>
      <c r="J138" s="2065">
        <f>H138+I138</f>
        <v>250000</v>
      </c>
    </row>
    <row r="139" spans="1:11">
      <c r="A139" s="1047"/>
      <c r="B139" s="1052"/>
      <c r="C139" s="1053" t="s">
        <v>228</v>
      </c>
      <c r="D139" s="1054"/>
      <c r="E139" s="1055"/>
      <c r="F139" s="1056"/>
      <c r="G139" s="1057">
        <f>SUM(G135:G138)</f>
        <v>250000</v>
      </c>
      <c r="H139" s="1410">
        <f>J139-I139</f>
        <v>0</v>
      </c>
      <c r="I139" s="1410">
        <v>250000</v>
      </c>
      <c r="J139" s="2065">
        <f>G139</f>
        <v>250000</v>
      </c>
    </row>
    <row r="140" spans="1:11" ht="15.75" thickBot="1">
      <c r="A140" s="1025"/>
      <c r="B140" s="1058" t="s">
        <v>229</v>
      </c>
      <c r="C140" s="1059"/>
      <c r="D140" s="1059"/>
      <c r="E140" s="1059"/>
      <c r="F140" s="1060"/>
      <c r="G140" s="1061">
        <f>ROUND(G139,0)</f>
        <v>250000</v>
      </c>
    </row>
    <row r="141" spans="1:11" ht="15.75" thickBot="1">
      <c r="A141" s="1218">
        <v>19</v>
      </c>
      <c r="B141" s="987" t="str">
        <f>B258</f>
        <v>1 Unit Pek. Jendela (  )</v>
      </c>
      <c r="C141" s="987"/>
      <c r="D141" s="988"/>
      <c r="E141" s="989"/>
      <c r="F141" s="990"/>
      <c r="G141" s="991"/>
      <c r="H141" s="1410"/>
      <c r="I141" s="911"/>
    </row>
    <row r="142" spans="1:11">
      <c r="A142" s="1024"/>
      <c r="B142" s="66">
        <v>4</v>
      </c>
      <c r="C142" s="1026" t="s">
        <v>2614</v>
      </c>
      <c r="D142" s="1027" t="s">
        <v>129</v>
      </c>
      <c r="E142" s="1028">
        <f>HIT.PINTU!D19</f>
        <v>0</v>
      </c>
      <c r="F142" s="1679">
        <f>VLOOKUP(B142,$L$3:$N$50,3,TRUE)</f>
        <v>259337</v>
      </c>
      <c r="G142" s="1029">
        <f>E142*F142</f>
        <v>0</v>
      </c>
      <c r="H142" s="1410">
        <f>J142-I142</f>
        <v>0</v>
      </c>
      <c r="I142" s="1410">
        <f>E142*K!$I$89</f>
        <v>0</v>
      </c>
      <c r="J142" s="2065">
        <f>G142</f>
        <v>0</v>
      </c>
      <c r="K142" s="2259" t="str">
        <f>C142&amp;C143&amp;C144</f>
        <v>Kusen UPVC, Jendela Rangka UPVC, Kaca Temperred 8 mm</v>
      </c>
    </row>
    <row r="143" spans="1:11">
      <c r="A143" s="1024"/>
      <c r="B143" s="1039">
        <v>5</v>
      </c>
      <c r="C143" s="1041" t="s">
        <v>2615</v>
      </c>
      <c r="D143" s="1037" t="s">
        <v>147</v>
      </c>
      <c r="E143" s="1043">
        <f>HIT.PINTU!$F$19</f>
        <v>0</v>
      </c>
      <c r="F143" s="1679">
        <f>VLOOKUP(B143,$L$3:$N$50,3,TRUE)</f>
        <v>528305</v>
      </c>
      <c r="G143" s="1029">
        <f>E143*F143</f>
        <v>0</v>
      </c>
      <c r="H143" s="1410">
        <f>J143-I143</f>
        <v>0</v>
      </c>
      <c r="I143" s="1410">
        <f>E143*K!$I$89</f>
        <v>0</v>
      </c>
      <c r="J143" s="2065">
        <f>G143</f>
        <v>0</v>
      </c>
    </row>
    <row r="144" spans="1:11">
      <c r="A144" s="1024"/>
      <c r="B144" s="2064">
        <v>30</v>
      </c>
      <c r="C144" s="1774" t="s">
        <v>2239</v>
      </c>
      <c r="D144" s="1037" t="s">
        <v>147</v>
      </c>
      <c r="E144" s="1043">
        <f>HIT.PINTU!$G$19</f>
        <v>0</v>
      </c>
      <c r="F144" s="1679">
        <f>VLOOKUP(B144,$L$3:$N$50,3,TRUE)</f>
        <v>413434</v>
      </c>
      <c r="G144" s="1029">
        <f>E144*F144</f>
        <v>0</v>
      </c>
      <c r="H144" s="1410">
        <f>J144-I144</f>
        <v>0</v>
      </c>
      <c r="I144" s="1410">
        <f>E144*K!$I$89</f>
        <v>0</v>
      </c>
      <c r="J144" s="2065">
        <f>G144</f>
        <v>0</v>
      </c>
    </row>
    <row r="145" spans="1:11" ht="15.75" thickBot="1">
      <c r="A145" s="1049"/>
      <c r="B145" s="78" t="s">
        <v>28</v>
      </c>
      <c r="C145" s="1041" t="s">
        <v>156</v>
      </c>
      <c r="D145" s="1042" t="s">
        <v>154</v>
      </c>
      <c r="E145" s="1043">
        <v>1</v>
      </c>
      <c r="F145" s="1050">
        <f>(250000*1)+(200000*0)</f>
        <v>250000</v>
      </c>
      <c r="G145" s="1051">
        <f>E145*F145</f>
        <v>250000</v>
      </c>
      <c r="H145" s="1410">
        <f>F145*0</f>
        <v>0</v>
      </c>
      <c r="I145" s="1410">
        <f>E145*F145</f>
        <v>250000</v>
      </c>
      <c r="J145" s="2065">
        <f>H145+I145</f>
        <v>250000</v>
      </c>
    </row>
    <row r="146" spans="1:11">
      <c r="A146" s="1047"/>
      <c r="B146" s="1052"/>
      <c r="C146" s="1053" t="s">
        <v>228</v>
      </c>
      <c r="D146" s="1054"/>
      <c r="E146" s="1055"/>
      <c r="F146" s="1056"/>
      <c r="G146" s="1057">
        <f>SUM(G142:G145)</f>
        <v>250000</v>
      </c>
      <c r="H146" s="1410">
        <f>J146-I146</f>
        <v>0</v>
      </c>
      <c r="I146" s="1410">
        <v>250000</v>
      </c>
      <c r="J146" s="2065">
        <f>G146</f>
        <v>250000</v>
      </c>
    </row>
    <row r="147" spans="1:11" ht="15.75" thickBot="1">
      <c r="A147" s="1025"/>
      <c r="B147" s="1058" t="s">
        <v>229</v>
      </c>
      <c r="C147" s="1059"/>
      <c r="D147" s="1059"/>
      <c r="E147" s="1059"/>
      <c r="F147" s="1060"/>
      <c r="G147" s="1061">
        <f>ROUND(G146,0)</f>
        <v>250000</v>
      </c>
    </row>
    <row r="148" spans="1:11" ht="15.75" thickBot="1">
      <c r="A148" s="1218">
        <v>20</v>
      </c>
      <c r="B148" s="987" t="str">
        <f>B259</f>
        <v>1 Unit Pek. Jendela (  )</v>
      </c>
      <c r="C148" s="987"/>
      <c r="D148" s="988"/>
      <c r="E148" s="989"/>
      <c r="F148" s="990"/>
      <c r="G148" s="991"/>
      <c r="H148" s="1410"/>
      <c r="I148" s="911"/>
    </row>
    <row r="149" spans="1:11">
      <c r="A149" s="1024"/>
      <c r="B149" s="66">
        <v>4</v>
      </c>
      <c r="C149" s="1026" t="s">
        <v>2614</v>
      </c>
      <c r="D149" s="1027" t="s">
        <v>129</v>
      </c>
      <c r="E149" s="1028">
        <f>HIT.PINTU!$D$20</f>
        <v>0</v>
      </c>
      <c r="F149" s="1679">
        <f>VLOOKUP(B149,$L$3:$N$50,3,TRUE)</f>
        <v>259337</v>
      </c>
      <c r="G149" s="1029">
        <f>E149*F149</f>
        <v>0</v>
      </c>
      <c r="H149" s="1410">
        <f>J149-I149</f>
        <v>0</v>
      </c>
      <c r="I149" s="1410">
        <f>E149*K!$I$89</f>
        <v>0</v>
      </c>
      <c r="J149" s="2065">
        <f>G149</f>
        <v>0</v>
      </c>
      <c r="K149" s="2259" t="str">
        <f>C149&amp;C150&amp;C151</f>
        <v>Kusen UPVC, Jendela Rangka UPVC, Kaca Temperred 8 mm</v>
      </c>
    </row>
    <row r="150" spans="1:11">
      <c r="A150" s="1024"/>
      <c r="B150" s="1039">
        <v>5</v>
      </c>
      <c r="C150" s="1041" t="s">
        <v>2615</v>
      </c>
      <c r="D150" s="1037" t="s">
        <v>147</v>
      </c>
      <c r="E150" s="1043">
        <f>HIT.PINTU!$F$20</f>
        <v>0</v>
      </c>
      <c r="F150" s="1679">
        <f>VLOOKUP(B150,$L$3:$N$50,3,TRUE)</f>
        <v>528305</v>
      </c>
      <c r="G150" s="1029">
        <f>E150*F150</f>
        <v>0</v>
      </c>
      <c r="H150" s="1410">
        <f>J150-I150</f>
        <v>0</v>
      </c>
      <c r="I150" s="1410">
        <f>E150*K!$I$89</f>
        <v>0</v>
      </c>
      <c r="J150" s="2065">
        <f>G150</f>
        <v>0</v>
      </c>
    </row>
    <row r="151" spans="1:11">
      <c r="A151" s="1024"/>
      <c r="B151" s="2064">
        <v>30</v>
      </c>
      <c r="C151" s="1774" t="s">
        <v>2239</v>
      </c>
      <c r="D151" s="1037" t="s">
        <v>147</v>
      </c>
      <c r="E151" s="1043">
        <f>HIT.PINTU!$G$20</f>
        <v>0</v>
      </c>
      <c r="F151" s="1679">
        <f>VLOOKUP(B151,$L$3:$N$50,3,TRUE)</f>
        <v>413434</v>
      </c>
      <c r="G151" s="1029">
        <f>E151*F151</f>
        <v>0</v>
      </c>
      <c r="H151" s="1410">
        <f>J151-I151</f>
        <v>0</v>
      </c>
      <c r="I151" s="1410">
        <f>E151*K!$I$89</f>
        <v>0</v>
      </c>
      <c r="J151" s="2065">
        <f>G151</f>
        <v>0</v>
      </c>
    </row>
    <row r="152" spans="1:11" ht="15.75" thickBot="1">
      <c r="A152" s="1049"/>
      <c r="B152" s="78" t="s">
        <v>28</v>
      </c>
      <c r="C152" s="1041" t="s">
        <v>156</v>
      </c>
      <c r="D152" s="1042" t="s">
        <v>154</v>
      </c>
      <c r="E152" s="1043">
        <v>1</v>
      </c>
      <c r="F152" s="1050">
        <f>(250000*1)+(200000*0)</f>
        <v>250000</v>
      </c>
      <c r="G152" s="1051">
        <f>E152*F152</f>
        <v>250000</v>
      </c>
      <c r="H152" s="1410">
        <f>F152*0</f>
        <v>0</v>
      </c>
      <c r="I152" s="1410">
        <f>E152*F152</f>
        <v>250000</v>
      </c>
      <c r="J152" s="2065">
        <f>H152+I152</f>
        <v>250000</v>
      </c>
    </row>
    <row r="153" spans="1:11">
      <c r="A153" s="1047"/>
      <c r="B153" s="1052"/>
      <c r="C153" s="1053" t="s">
        <v>228</v>
      </c>
      <c r="D153" s="1054"/>
      <c r="E153" s="1055"/>
      <c r="F153" s="1056"/>
      <c r="G153" s="1057">
        <f>SUM(G149:G152)</f>
        <v>250000</v>
      </c>
      <c r="H153" s="1410">
        <f>J153-I153</f>
        <v>0</v>
      </c>
      <c r="I153" s="1410">
        <v>250000</v>
      </c>
      <c r="J153" s="2065">
        <f>G153</f>
        <v>250000</v>
      </c>
    </row>
    <row r="154" spans="1:11" ht="15.75" thickBot="1">
      <c r="A154" s="1025"/>
      <c r="B154" s="1058" t="s">
        <v>229</v>
      </c>
      <c r="C154" s="1059"/>
      <c r="D154" s="1059"/>
      <c r="E154" s="1059"/>
      <c r="F154" s="1060"/>
      <c r="G154" s="1061">
        <f>ROUND(G153,0)</f>
        <v>250000</v>
      </c>
    </row>
    <row r="155" spans="1:11" ht="15.75" thickBot="1">
      <c r="A155" s="1218">
        <v>21</v>
      </c>
      <c r="B155" s="987" t="str">
        <f>B260</f>
        <v>1 Unit Pek. Jendela (  )</v>
      </c>
      <c r="C155" s="987"/>
      <c r="D155" s="988"/>
      <c r="E155" s="989"/>
      <c r="F155" s="990"/>
      <c r="G155" s="991"/>
      <c r="H155" s="1410"/>
      <c r="I155" s="911"/>
    </row>
    <row r="156" spans="1:11">
      <c r="A156" s="1024"/>
      <c r="B156" s="66">
        <v>4</v>
      </c>
      <c r="C156" s="1026" t="s">
        <v>2614</v>
      </c>
      <c r="D156" s="1027" t="s">
        <v>129</v>
      </c>
      <c r="E156" s="1028">
        <f>HIT.PINTU!D21</f>
        <v>0</v>
      </c>
      <c r="F156" s="1679">
        <f>VLOOKUP(B156,$L$3:$N$50,3,TRUE)</f>
        <v>259337</v>
      </c>
      <c r="G156" s="1029">
        <f>E156*F156</f>
        <v>0</v>
      </c>
      <c r="H156" s="1410">
        <f>J156-I156</f>
        <v>0</v>
      </c>
      <c r="I156" s="1410">
        <f>E156*K!$I$89</f>
        <v>0</v>
      </c>
      <c r="J156" s="2065">
        <f>G156</f>
        <v>0</v>
      </c>
      <c r="K156" s="2259" t="str">
        <f>C156&amp;C157&amp;C158</f>
        <v>Kusen UPVC, Jendela Rangka UPVC, Kaca Temperred 8 mm</v>
      </c>
    </row>
    <row r="157" spans="1:11">
      <c r="A157" s="1024"/>
      <c r="B157" s="1039">
        <v>5</v>
      </c>
      <c r="C157" s="1041" t="s">
        <v>2615</v>
      </c>
      <c r="D157" s="1037" t="s">
        <v>147</v>
      </c>
      <c r="E157" s="1043">
        <f>HIT.PINTU!$F$21</f>
        <v>0</v>
      </c>
      <c r="F157" s="1679">
        <f>VLOOKUP(B157,$L$3:$N$50,3,TRUE)</f>
        <v>528305</v>
      </c>
      <c r="G157" s="1029">
        <f>E157*F157</f>
        <v>0</v>
      </c>
      <c r="H157" s="1410">
        <f>J157-I157</f>
        <v>0</v>
      </c>
      <c r="I157" s="1410">
        <f>E157*K!$I$89</f>
        <v>0</v>
      </c>
      <c r="J157" s="2065">
        <f>G157</f>
        <v>0</v>
      </c>
    </row>
    <row r="158" spans="1:11">
      <c r="A158" s="1024"/>
      <c r="B158" s="2064">
        <v>30</v>
      </c>
      <c r="C158" s="1774" t="s">
        <v>2239</v>
      </c>
      <c r="D158" s="1037" t="s">
        <v>147</v>
      </c>
      <c r="E158" s="1043">
        <f>HIT.PINTU!$G$21</f>
        <v>0</v>
      </c>
      <c r="F158" s="1679">
        <f>VLOOKUP(B158,$L$3:$N$50,3,TRUE)</f>
        <v>413434</v>
      </c>
      <c r="G158" s="1029">
        <f>E158*F158</f>
        <v>0</v>
      </c>
      <c r="H158" s="1410">
        <f>J158-I158</f>
        <v>0</v>
      </c>
      <c r="I158" s="1410">
        <f>E158*K!$I$89</f>
        <v>0</v>
      </c>
      <c r="J158" s="2065">
        <f>G158</f>
        <v>0</v>
      </c>
    </row>
    <row r="159" spans="1:11" ht="15.75" thickBot="1">
      <c r="A159" s="1049"/>
      <c r="B159" s="78" t="s">
        <v>28</v>
      </c>
      <c r="C159" s="1041" t="s">
        <v>156</v>
      </c>
      <c r="D159" s="1042" t="s">
        <v>154</v>
      </c>
      <c r="E159" s="1043">
        <v>1</v>
      </c>
      <c r="F159" s="1050">
        <f>(250000*1)+(200000*0)</f>
        <v>250000</v>
      </c>
      <c r="G159" s="1051">
        <f>E159*F159</f>
        <v>250000</v>
      </c>
      <c r="H159" s="1410">
        <f>F159*0</f>
        <v>0</v>
      </c>
      <c r="I159" s="1410">
        <f>E159*F159</f>
        <v>250000</v>
      </c>
      <c r="J159" s="2065">
        <f>H159+I159</f>
        <v>250000</v>
      </c>
    </row>
    <row r="160" spans="1:11">
      <c r="A160" s="1047"/>
      <c r="B160" s="1052"/>
      <c r="C160" s="1053" t="s">
        <v>228</v>
      </c>
      <c r="D160" s="1054"/>
      <c r="E160" s="1055"/>
      <c r="F160" s="1056"/>
      <c r="G160" s="1057">
        <f>SUM(G156:G159)</f>
        <v>250000</v>
      </c>
      <c r="H160" s="1410">
        <f>J160-I160</f>
        <v>0</v>
      </c>
      <c r="I160" s="1410">
        <v>250000</v>
      </c>
      <c r="J160" s="2065">
        <f>G160</f>
        <v>250000</v>
      </c>
    </row>
    <row r="161" spans="1:11" ht="15.75" thickBot="1">
      <c r="A161" s="1025"/>
      <c r="B161" s="1058" t="s">
        <v>229</v>
      </c>
      <c r="C161" s="1059"/>
      <c r="D161" s="1059"/>
      <c r="E161" s="1059"/>
      <c r="F161" s="1060"/>
      <c r="G161" s="1061">
        <f>ROUND(G160,0)</f>
        <v>250000</v>
      </c>
    </row>
    <row r="162" spans="1:11" ht="15.75" thickBot="1">
      <c r="A162" s="1218">
        <v>22</v>
      </c>
      <c r="B162" s="987" t="str">
        <f>B261</f>
        <v>1 Unit Pek. Jendela (  )</v>
      </c>
      <c r="C162" s="987"/>
      <c r="D162" s="988"/>
      <c r="E162" s="989"/>
      <c r="F162" s="990"/>
      <c r="G162" s="991"/>
      <c r="H162" s="1410"/>
      <c r="I162" s="911"/>
    </row>
    <row r="163" spans="1:11">
      <c r="A163" s="1024"/>
      <c r="B163" s="66">
        <v>4</v>
      </c>
      <c r="C163" s="1026" t="s">
        <v>2614</v>
      </c>
      <c r="D163" s="1027" t="s">
        <v>129</v>
      </c>
      <c r="E163" s="1028">
        <f>HIT.PINTU!$D$22</f>
        <v>0</v>
      </c>
      <c r="F163" s="1679">
        <f>VLOOKUP(B163,$L$3:$N$50,3,TRUE)</f>
        <v>259337</v>
      </c>
      <c r="G163" s="1029">
        <f>E163*F163</f>
        <v>0</v>
      </c>
      <c r="H163" s="1410">
        <f>J163-I163</f>
        <v>0</v>
      </c>
      <c r="I163" s="1410">
        <f>E163*K!$I$89</f>
        <v>0</v>
      </c>
      <c r="J163" s="2065">
        <f>G163</f>
        <v>0</v>
      </c>
      <c r="K163" s="2259" t="str">
        <f>C163&amp;C164&amp;C165</f>
        <v>Kusen UPVC, Jendela Rangka UPVC, Kaca Temperred 8 mm</v>
      </c>
    </row>
    <row r="164" spans="1:11">
      <c r="A164" s="1024"/>
      <c r="B164" s="1039">
        <v>5</v>
      </c>
      <c r="C164" s="1041" t="s">
        <v>2615</v>
      </c>
      <c r="D164" s="1037" t="s">
        <v>147</v>
      </c>
      <c r="E164" s="1043">
        <f>HIT.PINTU!$F$22</f>
        <v>0</v>
      </c>
      <c r="F164" s="1679">
        <f>VLOOKUP(B164,$L$3:$N$50,3,TRUE)</f>
        <v>528305</v>
      </c>
      <c r="G164" s="1029">
        <f>E164*F164</f>
        <v>0</v>
      </c>
      <c r="H164" s="1410">
        <f>J164-I164</f>
        <v>0</v>
      </c>
      <c r="I164" s="1410">
        <f>E164*K!$I$89</f>
        <v>0</v>
      </c>
      <c r="J164" s="2065">
        <f>G164</f>
        <v>0</v>
      </c>
    </row>
    <row r="165" spans="1:11">
      <c r="A165" s="1024"/>
      <c r="B165" s="2064">
        <v>30</v>
      </c>
      <c r="C165" s="1774" t="s">
        <v>2239</v>
      </c>
      <c r="D165" s="1037" t="s">
        <v>147</v>
      </c>
      <c r="E165" s="1043">
        <f>HIT.PINTU!$G$22</f>
        <v>0</v>
      </c>
      <c r="F165" s="1679">
        <f>VLOOKUP(B165,$L$3:$N$50,3,TRUE)</f>
        <v>413434</v>
      </c>
      <c r="G165" s="1029">
        <f>E165*F165</f>
        <v>0</v>
      </c>
      <c r="H165" s="1410">
        <f>J165-I165</f>
        <v>0</v>
      </c>
      <c r="I165" s="1410">
        <f>E165*K!$I$89</f>
        <v>0</v>
      </c>
      <c r="J165" s="2065">
        <f>G165</f>
        <v>0</v>
      </c>
    </row>
    <row r="166" spans="1:11" ht="15.75" thickBot="1">
      <c r="A166" s="1049"/>
      <c r="B166" s="78" t="s">
        <v>28</v>
      </c>
      <c r="C166" s="1041" t="s">
        <v>156</v>
      </c>
      <c r="D166" s="1042" t="s">
        <v>154</v>
      </c>
      <c r="E166" s="1043">
        <v>1</v>
      </c>
      <c r="F166" s="1050">
        <f>(250000*1)+(200000*0)</f>
        <v>250000</v>
      </c>
      <c r="G166" s="1051">
        <f>E166*F166</f>
        <v>250000</v>
      </c>
      <c r="H166" s="1410">
        <f>F166*0</f>
        <v>0</v>
      </c>
      <c r="I166" s="1410">
        <f>E166*F166</f>
        <v>250000</v>
      </c>
      <c r="J166" s="2065">
        <f>H166+I166</f>
        <v>250000</v>
      </c>
    </row>
    <row r="167" spans="1:11">
      <c r="A167" s="1047"/>
      <c r="B167" s="1052"/>
      <c r="C167" s="1053" t="s">
        <v>228</v>
      </c>
      <c r="D167" s="1054"/>
      <c r="E167" s="1055"/>
      <c r="F167" s="1056"/>
      <c r="G167" s="1057">
        <f>SUM(G163:G166)</f>
        <v>250000</v>
      </c>
      <c r="H167" s="1410">
        <f>J167-I167</f>
        <v>0</v>
      </c>
      <c r="I167" s="1410">
        <v>250000</v>
      </c>
      <c r="J167" s="2065">
        <f>G167</f>
        <v>250000</v>
      </c>
    </row>
    <row r="168" spans="1:11" ht="15.75" thickBot="1">
      <c r="A168" s="1025"/>
      <c r="B168" s="1058" t="s">
        <v>229</v>
      </c>
      <c r="C168" s="1059"/>
      <c r="D168" s="1059"/>
      <c r="E168" s="1059"/>
      <c r="F168" s="1060"/>
      <c r="G168" s="1061">
        <f>ROUND(G167,0)</f>
        <v>250000</v>
      </c>
    </row>
    <row r="169" spans="1:11" ht="15.75" thickBot="1">
      <c r="A169" s="1218">
        <v>23</v>
      </c>
      <c r="B169" s="987" t="str">
        <f>B262</f>
        <v>1 Unit Pek. Jendela (  )</v>
      </c>
      <c r="C169" s="987"/>
      <c r="D169" s="988"/>
      <c r="E169" s="989"/>
      <c r="F169" s="990"/>
      <c r="G169" s="991"/>
      <c r="H169" s="1410"/>
      <c r="I169" s="911"/>
    </row>
    <row r="170" spans="1:11">
      <c r="A170" s="1024"/>
      <c r="B170" s="66">
        <v>2</v>
      </c>
      <c r="C170" s="1026" t="s">
        <v>2532</v>
      </c>
      <c r="D170" s="1027" t="s">
        <v>129</v>
      </c>
      <c r="E170" s="1028">
        <f>HIT.PINTU!$D$23</f>
        <v>0</v>
      </c>
      <c r="F170" s="1679">
        <f>VLOOKUP(B170,$L$3:$N$50,3,TRUE)</f>
        <v>105337</v>
      </c>
      <c r="G170" s="1029">
        <f>E170*F170</f>
        <v>0</v>
      </c>
      <c r="H170" s="1410">
        <f>J170-I170</f>
        <v>0</v>
      </c>
      <c r="I170" s="1410">
        <f>E170*K!$I$89</f>
        <v>0</v>
      </c>
      <c r="J170" s="2065">
        <f>G170</f>
        <v>0</v>
      </c>
      <c r="K170" s="2259" t="str">
        <f>C170&amp;" + "&amp;C171</f>
        <v>Kusen Allumunium 4" + Kaca Clear 5 mm</v>
      </c>
    </row>
    <row r="171" spans="1:11">
      <c r="A171" s="1024"/>
      <c r="B171" s="2064">
        <v>27</v>
      </c>
      <c r="C171" s="1774" t="s">
        <v>2563</v>
      </c>
      <c r="D171" s="1037" t="s">
        <v>147</v>
      </c>
      <c r="E171" s="1043">
        <f>HIT.PINTU!$G$23</f>
        <v>0</v>
      </c>
      <c r="F171" s="1679">
        <f>VLOOKUP(B171,$L$3:$N$50,3,TRUE)</f>
        <v>149975</v>
      </c>
      <c r="G171" s="1029">
        <f>E171*F171</f>
        <v>0</v>
      </c>
      <c r="H171" s="1410">
        <f>J171-I171</f>
        <v>0</v>
      </c>
      <c r="I171" s="1410">
        <f>E171*K!$I$89</f>
        <v>0</v>
      </c>
      <c r="J171" s="2065">
        <f>G171</f>
        <v>0</v>
      </c>
    </row>
    <row r="172" spans="1:11">
      <c r="A172" s="1024"/>
      <c r="B172" s="1039"/>
      <c r="C172" s="1774"/>
      <c r="D172" s="1037"/>
      <c r="E172" s="1043"/>
      <c r="F172" s="1679"/>
      <c r="G172" s="1029"/>
      <c r="H172" s="1410">
        <f>J172-I172</f>
        <v>0</v>
      </c>
      <c r="I172" s="1410">
        <f>E172*K!$I$89</f>
        <v>0</v>
      </c>
      <c r="J172" s="2065">
        <f>G172</f>
        <v>0</v>
      </c>
    </row>
    <row r="173" spans="1:11" ht="15.75" thickBot="1">
      <c r="A173" s="1049"/>
      <c r="B173" s="78" t="s">
        <v>28</v>
      </c>
      <c r="C173" s="1041" t="s">
        <v>156</v>
      </c>
      <c r="D173" s="1042" t="s">
        <v>154</v>
      </c>
      <c r="E173" s="1043">
        <v>1</v>
      </c>
      <c r="F173" s="1050">
        <f>(250000*1)+(200000*0)</f>
        <v>250000</v>
      </c>
      <c r="G173" s="1051">
        <f>E173*F173</f>
        <v>250000</v>
      </c>
      <c r="H173" s="1410">
        <f>F173*0</f>
        <v>0</v>
      </c>
      <c r="I173" s="1410">
        <f>E173*F173</f>
        <v>250000</v>
      </c>
      <c r="J173" s="2065">
        <f>H173+I173</f>
        <v>250000</v>
      </c>
    </row>
    <row r="174" spans="1:11">
      <c r="A174" s="1047"/>
      <c r="B174" s="1052"/>
      <c r="C174" s="1053" t="s">
        <v>228</v>
      </c>
      <c r="D174" s="1054"/>
      <c r="E174" s="1055"/>
      <c r="F174" s="1056"/>
      <c r="G174" s="1057">
        <f>SUM(G170:G173)</f>
        <v>250000</v>
      </c>
      <c r="H174" s="1410">
        <f>J174-I174</f>
        <v>0</v>
      </c>
      <c r="I174" s="1410">
        <v>250000</v>
      </c>
      <c r="J174" s="2065">
        <f>G174</f>
        <v>250000</v>
      </c>
    </row>
    <row r="175" spans="1:11" ht="15.75" thickBot="1">
      <c r="A175" s="1025"/>
      <c r="B175" s="1058" t="s">
        <v>229</v>
      </c>
      <c r="C175" s="1059"/>
      <c r="D175" s="1059"/>
      <c r="E175" s="1059"/>
      <c r="F175" s="1060"/>
      <c r="G175" s="1061">
        <f>ROUND(G174,0)</f>
        <v>250000</v>
      </c>
    </row>
    <row r="176" spans="1:11" ht="15.75" thickBot="1">
      <c r="A176" s="1218">
        <v>24</v>
      </c>
      <c r="B176" s="987" t="str">
        <f>B263</f>
        <v>1 Unit Pek. Jendela (  )</v>
      </c>
      <c r="C176" s="987"/>
      <c r="D176" s="988"/>
      <c r="E176" s="989"/>
      <c r="F176" s="990"/>
      <c r="G176" s="991"/>
      <c r="H176" s="1410"/>
      <c r="I176" s="911"/>
    </row>
    <row r="177" spans="1:16">
      <c r="A177" s="1024"/>
      <c r="B177" s="66">
        <v>4</v>
      </c>
      <c r="C177" s="1026" t="s">
        <v>2238</v>
      </c>
      <c r="D177" s="1027" t="s">
        <v>129</v>
      </c>
      <c r="E177" s="1028">
        <f>HIT.PINTU!$D$24</f>
        <v>0</v>
      </c>
      <c r="F177" s="1679">
        <f>VLOOKUP(B177,$L$3:$N$50,3,TRUE)</f>
        <v>259337</v>
      </c>
      <c r="G177" s="1029">
        <f>E177*F177</f>
        <v>0</v>
      </c>
      <c r="H177" s="1410">
        <f>J177-I177</f>
        <v>0</v>
      </c>
      <c r="I177" s="1410">
        <f>E177*K!$I$89</f>
        <v>0</v>
      </c>
      <c r="J177" s="2065">
        <f>G177</f>
        <v>0</v>
      </c>
      <c r="K177" s="2259" t="str">
        <f>C177&amp;" + "&amp;C178</f>
        <v>Kusen UPVC + Kaca Temperred 8 mm</v>
      </c>
    </row>
    <row r="178" spans="1:16">
      <c r="A178" s="1024"/>
      <c r="B178" s="1039">
        <v>30</v>
      </c>
      <c r="C178" s="1774" t="s">
        <v>2239</v>
      </c>
      <c r="D178" s="1037" t="s">
        <v>147</v>
      </c>
      <c r="E178" s="1043">
        <f>HIT.PINTU!$H$24</f>
        <v>0</v>
      </c>
      <c r="F178" s="1679">
        <f>VLOOKUP(B178,$L$3:$N$50,3,TRUE)</f>
        <v>413434</v>
      </c>
      <c r="G178" s="1029">
        <f>E178*F178</f>
        <v>0</v>
      </c>
      <c r="H178" s="1410">
        <f>J178-I178</f>
        <v>0</v>
      </c>
      <c r="I178" s="1410">
        <f>E178*K!$I$89</f>
        <v>0</v>
      </c>
      <c r="J178" s="2065">
        <f>G178</f>
        <v>0</v>
      </c>
    </row>
    <row r="179" spans="1:16">
      <c r="A179" s="1024"/>
      <c r="B179" s="1039"/>
      <c r="C179" s="1774"/>
      <c r="D179" s="1037"/>
      <c r="E179" s="1043"/>
      <c r="F179" s="1679"/>
      <c r="G179" s="1029"/>
      <c r="H179" s="1410">
        <f>J179-I179</f>
        <v>0</v>
      </c>
      <c r="I179" s="1410">
        <f>E179*K!$I$89</f>
        <v>0</v>
      </c>
      <c r="J179" s="2065">
        <f>G179</f>
        <v>0</v>
      </c>
    </row>
    <row r="180" spans="1:16" ht="15.75" thickBot="1">
      <c r="A180" s="1049"/>
      <c r="B180" s="78" t="s">
        <v>28</v>
      </c>
      <c r="C180" s="1041" t="s">
        <v>156</v>
      </c>
      <c r="D180" s="1042" t="s">
        <v>154</v>
      </c>
      <c r="E180" s="1043">
        <v>1</v>
      </c>
      <c r="F180" s="1050">
        <f>(250000*1)+(200000*0)</f>
        <v>250000</v>
      </c>
      <c r="G180" s="1051">
        <f>E180*F180</f>
        <v>250000</v>
      </c>
      <c r="H180" s="1410">
        <f>F180*0</f>
        <v>0</v>
      </c>
      <c r="I180" s="1410">
        <f>E180*F180</f>
        <v>250000</v>
      </c>
      <c r="J180" s="2065">
        <f>H180+I180</f>
        <v>250000</v>
      </c>
    </row>
    <row r="181" spans="1:16">
      <c r="A181" s="1047"/>
      <c r="B181" s="1052"/>
      <c r="C181" s="1053" t="s">
        <v>228</v>
      </c>
      <c r="D181" s="1054"/>
      <c r="E181" s="1055"/>
      <c r="F181" s="1056"/>
      <c r="G181" s="1057">
        <f>SUM(G177:G180)</f>
        <v>250000</v>
      </c>
      <c r="H181" s="1410">
        <f>J181-I181</f>
        <v>0</v>
      </c>
      <c r="I181" s="1410">
        <v>250000</v>
      </c>
      <c r="J181" s="2065">
        <f>G181</f>
        <v>250000</v>
      </c>
    </row>
    <row r="182" spans="1:16" ht="15.75" thickBot="1">
      <c r="A182" s="1025"/>
      <c r="B182" s="1058" t="s">
        <v>229</v>
      </c>
      <c r="C182" s="1059"/>
      <c r="D182" s="1059"/>
      <c r="E182" s="1059"/>
      <c r="F182" s="1060"/>
      <c r="G182" s="1061">
        <f>ROUND(G181,0)</f>
        <v>250000</v>
      </c>
    </row>
    <row r="183" spans="1:16" ht="15.75" thickBot="1">
      <c r="A183" s="1218">
        <v>25</v>
      </c>
      <c r="B183" s="987" t="str">
        <f>B264</f>
        <v>1 Unit Pek. Jendela (  )</v>
      </c>
      <c r="C183" s="987"/>
      <c r="D183" s="988"/>
      <c r="E183" s="989"/>
      <c r="F183" s="990"/>
      <c r="G183" s="991"/>
      <c r="H183" s="1410"/>
      <c r="I183" s="911"/>
      <c r="L183" s="1221"/>
      <c r="P183" s="1221"/>
    </row>
    <row r="184" spans="1:16">
      <c r="A184" s="1024"/>
      <c r="B184" s="66">
        <v>4</v>
      </c>
      <c r="C184" s="1026" t="s">
        <v>2238</v>
      </c>
      <c r="D184" s="1027" t="s">
        <v>129</v>
      </c>
      <c r="E184" s="1028">
        <f>HIT.PINTU!$D$25</f>
        <v>0</v>
      </c>
      <c r="F184" s="1679">
        <f>VLOOKUP(B184,$L$3:$N$50,3,TRUE)</f>
        <v>259337</v>
      </c>
      <c r="G184" s="1029">
        <f>E184*F184</f>
        <v>0</v>
      </c>
      <c r="H184" s="1410">
        <f>J184-I184</f>
        <v>0</v>
      </c>
      <c r="I184" s="1410">
        <f>E184*K!$I$89</f>
        <v>0</v>
      </c>
      <c r="J184" s="2065">
        <f>G184</f>
        <v>0</v>
      </c>
      <c r="K184" s="2259" t="str">
        <f>C184&amp;" + "&amp;C185&amp;" + "&amp;C186</f>
        <v>Kusen UPVC + Jendela UPVC + Kaca Temperred 8 mm</v>
      </c>
      <c r="L184" s="1221"/>
      <c r="P184" s="1221"/>
    </row>
    <row r="185" spans="1:16">
      <c r="A185" s="1024"/>
      <c r="B185" s="1039">
        <v>5</v>
      </c>
      <c r="C185" s="1041" t="s">
        <v>2350</v>
      </c>
      <c r="D185" s="1037" t="s">
        <v>147</v>
      </c>
      <c r="E185" s="1043">
        <f>HIT.PINTU!$F$25</f>
        <v>0</v>
      </c>
      <c r="F185" s="1679">
        <f>VLOOKUP(B185,$L$3:$N$50,3,TRUE)</f>
        <v>528305</v>
      </c>
      <c r="G185" s="1029">
        <f>E185*F185</f>
        <v>0</v>
      </c>
      <c r="H185" s="1410">
        <f>J185-I185</f>
        <v>0</v>
      </c>
      <c r="I185" s="1410">
        <f>E185*K!$I$89</f>
        <v>0</v>
      </c>
      <c r="J185" s="2065">
        <f>G185</f>
        <v>0</v>
      </c>
      <c r="L185" s="1221"/>
      <c r="P185" s="1221"/>
    </row>
    <row r="186" spans="1:16">
      <c r="A186" s="1024"/>
      <c r="B186" s="1039">
        <v>30</v>
      </c>
      <c r="C186" s="1774" t="s">
        <v>2239</v>
      </c>
      <c r="D186" s="1037" t="s">
        <v>147</v>
      </c>
      <c r="E186" s="1043">
        <f>HIT.PINTU!$H$25</f>
        <v>0</v>
      </c>
      <c r="F186" s="1679">
        <f>VLOOKUP(B186,$L$3:$N$50,3,TRUE)</f>
        <v>413434</v>
      </c>
      <c r="G186" s="1029">
        <f>E186*F186</f>
        <v>0</v>
      </c>
      <c r="H186" s="1410">
        <f>J186-I186</f>
        <v>0</v>
      </c>
      <c r="I186" s="1410">
        <f>E186*K!$I$89</f>
        <v>0</v>
      </c>
      <c r="J186" s="2065">
        <f>G186</f>
        <v>0</v>
      </c>
      <c r="L186" s="1221"/>
      <c r="P186" s="1221"/>
    </row>
    <row r="187" spans="1:16" ht="15.75" thickBot="1">
      <c r="A187" s="1049"/>
      <c r="B187" s="78" t="s">
        <v>28</v>
      </c>
      <c r="C187" s="1041" t="s">
        <v>156</v>
      </c>
      <c r="D187" s="1042" t="s">
        <v>154</v>
      </c>
      <c r="E187" s="1043">
        <v>1</v>
      </c>
      <c r="F187" s="1050">
        <f>(250000*1)+(200000*0)</f>
        <v>250000</v>
      </c>
      <c r="G187" s="1051">
        <f>E187*F187</f>
        <v>250000</v>
      </c>
      <c r="H187" s="1410">
        <f>F187*0</f>
        <v>0</v>
      </c>
      <c r="I187" s="1410">
        <f>E187*F187</f>
        <v>250000</v>
      </c>
      <c r="J187" s="2065">
        <f>H187+I187</f>
        <v>250000</v>
      </c>
      <c r="L187" s="1221"/>
      <c r="P187" s="1221"/>
    </row>
    <row r="188" spans="1:16">
      <c r="A188" s="1047"/>
      <c r="B188" s="1052"/>
      <c r="C188" s="1053" t="s">
        <v>228</v>
      </c>
      <c r="D188" s="1054"/>
      <c r="E188" s="1055"/>
      <c r="F188" s="1056"/>
      <c r="G188" s="1057">
        <f>SUM(G184:G187)</f>
        <v>250000</v>
      </c>
      <c r="H188" s="1410">
        <f>J188-I188</f>
        <v>0</v>
      </c>
      <c r="I188" s="1410">
        <v>250000</v>
      </c>
      <c r="J188" s="2065">
        <f>G188</f>
        <v>250000</v>
      </c>
      <c r="L188" s="1221"/>
      <c r="P188" s="1221"/>
    </row>
    <row r="189" spans="1:16" ht="15.75" thickBot="1">
      <c r="A189" s="1025"/>
      <c r="B189" s="1058" t="s">
        <v>229</v>
      </c>
      <c r="C189" s="1059"/>
      <c r="D189" s="1059"/>
      <c r="E189" s="1059"/>
      <c r="F189" s="1060"/>
      <c r="G189" s="1061">
        <f>ROUND(G188,0)</f>
        <v>250000</v>
      </c>
      <c r="L189" s="1221"/>
      <c r="P189" s="1221"/>
    </row>
    <row r="190" spans="1:16" ht="15.75" thickBot="1">
      <c r="A190" s="1218">
        <v>25</v>
      </c>
      <c r="B190" s="987" t="str">
        <f>B265</f>
        <v>1 Unit Pek. Jendela (  )</v>
      </c>
      <c r="C190" s="987"/>
      <c r="D190" s="988"/>
      <c r="E190" s="989"/>
      <c r="F190" s="990"/>
      <c r="G190" s="991"/>
      <c r="H190" s="1410"/>
      <c r="I190" s="911"/>
      <c r="L190" s="1221"/>
      <c r="P190" s="1221"/>
    </row>
    <row r="191" spans="1:16">
      <c r="A191" s="1024"/>
      <c r="B191" s="66">
        <v>4</v>
      </c>
      <c r="C191" s="1026" t="s">
        <v>2238</v>
      </c>
      <c r="D191" s="1027" t="s">
        <v>129</v>
      </c>
      <c r="E191" s="1028">
        <f>HIT.PINTU!$D$26</f>
        <v>0</v>
      </c>
      <c r="F191" s="1679">
        <f>VLOOKUP(B191,$L$3:$N$50,3,TRUE)</f>
        <v>259337</v>
      </c>
      <c r="G191" s="1029">
        <f>E191*F191</f>
        <v>0</v>
      </c>
      <c r="H191" s="1410">
        <f>J191-I191</f>
        <v>0</v>
      </c>
      <c r="I191" s="1410">
        <f>E191*K!$I$89</f>
        <v>0</v>
      </c>
      <c r="J191" s="2065">
        <f>G191</f>
        <v>0</v>
      </c>
      <c r="K191" s="2259" t="str">
        <f>C191&amp;" + "&amp;C192&amp;" + "&amp;C193</f>
        <v>Kusen UPVC + Jendela UPVC + Kaca Temperred 8 mm</v>
      </c>
      <c r="L191" s="1221"/>
      <c r="P191" s="1221"/>
    </row>
    <row r="192" spans="1:16">
      <c r="A192" s="1024"/>
      <c r="B192" s="1039">
        <v>5</v>
      </c>
      <c r="C192" s="1041" t="s">
        <v>2350</v>
      </c>
      <c r="D192" s="1037" t="s">
        <v>147</v>
      </c>
      <c r="E192" s="1043">
        <f>HIT.PINTU!$F$26</f>
        <v>0</v>
      </c>
      <c r="F192" s="1679">
        <f>VLOOKUP(B192,$L$3:$N$50,3,TRUE)</f>
        <v>528305</v>
      </c>
      <c r="G192" s="1029">
        <f>E192*F192</f>
        <v>0</v>
      </c>
      <c r="H192" s="1410">
        <f>J192-I192</f>
        <v>0</v>
      </c>
      <c r="I192" s="1410">
        <f>E192*K!$I$89</f>
        <v>0</v>
      </c>
      <c r="J192" s="2065">
        <f>G192</f>
        <v>0</v>
      </c>
      <c r="L192" s="1221"/>
      <c r="P192" s="1221"/>
    </row>
    <row r="193" spans="1:16">
      <c r="A193" s="1024"/>
      <c r="B193" s="1039">
        <v>30</v>
      </c>
      <c r="C193" s="1774" t="s">
        <v>2239</v>
      </c>
      <c r="D193" s="1037" t="s">
        <v>147</v>
      </c>
      <c r="E193" s="1043">
        <f>HIT.PINTU!$H$26</f>
        <v>0</v>
      </c>
      <c r="F193" s="1679">
        <f>VLOOKUP(B193,$L$3:$N$50,3,TRUE)</f>
        <v>413434</v>
      </c>
      <c r="G193" s="1029">
        <f>E193*F193</f>
        <v>0</v>
      </c>
      <c r="H193" s="1410">
        <f>J193-I193</f>
        <v>0</v>
      </c>
      <c r="I193" s="1410">
        <f>E193*K!$I$89</f>
        <v>0</v>
      </c>
      <c r="J193" s="2065">
        <f>G193</f>
        <v>0</v>
      </c>
      <c r="L193" s="1221"/>
      <c r="P193" s="1221"/>
    </row>
    <row r="194" spans="1:16" ht="15.75" thickBot="1">
      <c r="A194" s="1049"/>
      <c r="B194" s="78" t="s">
        <v>28</v>
      </c>
      <c r="C194" s="1041" t="s">
        <v>156</v>
      </c>
      <c r="D194" s="1042" t="s">
        <v>154</v>
      </c>
      <c r="E194" s="1043">
        <v>1</v>
      </c>
      <c r="F194" s="1050">
        <f>(250000*1)+(200000*0)</f>
        <v>250000</v>
      </c>
      <c r="G194" s="1051">
        <f>E194*F194</f>
        <v>250000</v>
      </c>
      <c r="H194" s="1410">
        <f>F194*0</f>
        <v>0</v>
      </c>
      <c r="I194" s="1410">
        <f>E194*F194</f>
        <v>250000</v>
      </c>
      <c r="J194" s="2065">
        <f>H194+I194</f>
        <v>250000</v>
      </c>
      <c r="L194" s="1221"/>
      <c r="P194" s="1221"/>
    </row>
    <row r="195" spans="1:16">
      <c r="A195" s="1047"/>
      <c r="B195" s="1052"/>
      <c r="C195" s="1053" t="s">
        <v>228</v>
      </c>
      <c r="D195" s="1054"/>
      <c r="E195" s="1055"/>
      <c r="F195" s="1056"/>
      <c r="G195" s="1057">
        <f>SUM(G191:G194)</f>
        <v>250000</v>
      </c>
      <c r="H195" s="1410">
        <f>J195-I195</f>
        <v>0</v>
      </c>
      <c r="I195" s="1410">
        <v>250000</v>
      </c>
      <c r="J195" s="2065">
        <f>G195</f>
        <v>250000</v>
      </c>
      <c r="L195" s="1221"/>
      <c r="P195" s="1221"/>
    </row>
    <row r="196" spans="1:16" ht="15.75" thickBot="1">
      <c r="A196" s="1025"/>
      <c r="B196" s="1058" t="s">
        <v>229</v>
      </c>
      <c r="C196" s="1059"/>
      <c r="D196" s="1059"/>
      <c r="E196" s="1059"/>
      <c r="F196" s="1060"/>
      <c r="G196" s="1061">
        <f>ROUND(G195,0)</f>
        <v>250000</v>
      </c>
      <c r="L196" s="1221"/>
      <c r="P196" s="1221"/>
    </row>
    <row r="197" spans="1:16" ht="15.75" thickBot="1">
      <c r="A197" s="1218">
        <v>25</v>
      </c>
      <c r="B197" s="987" t="str">
        <f>B266</f>
        <v>1 Unit Pek. Jendela (  )</v>
      </c>
      <c r="C197" s="987"/>
      <c r="D197" s="988"/>
      <c r="E197" s="989"/>
      <c r="F197" s="990"/>
      <c r="G197" s="991"/>
      <c r="H197" s="1410"/>
      <c r="I197" s="911"/>
      <c r="L197" s="1221"/>
      <c r="P197" s="1221"/>
    </row>
    <row r="198" spans="1:16">
      <c r="A198" s="1024"/>
      <c r="B198" s="66">
        <v>4</v>
      </c>
      <c r="C198" s="1026" t="s">
        <v>2238</v>
      </c>
      <c r="D198" s="1027" t="s">
        <v>129</v>
      </c>
      <c r="E198" s="1028">
        <f>HIT.PINTU!$D$27</f>
        <v>0</v>
      </c>
      <c r="F198" s="1679">
        <f>VLOOKUP(B198,$L$3:$N$50,3,TRUE)</f>
        <v>259337</v>
      </c>
      <c r="G198" s="1029">
        <f>E198*F198</f>
        <v>0</v>
      </c>
      <c r="H198" s="1410">
        <f>J198-I198</f>
        <v>0</v>
      </c>
      <c r="I198" s="1410">
        <f>E198*K!$I$89</f>
        <v>0</v>
      </c>
      <c r="J198" s="2065">
        <f>G198</f>
        <v>0</v>
      </c>
      <c r="K198" s="2259" t="str">
        <f>C198&amp;" + "&amp;C199&amp;" + "&amp;C200</f>
        <v>Kusen UPVC + Jendela UPVC + Kaca Temperred 8 mm</v>
      </c>
      <c r="L198" s="1221"/>
      <c r="P198" s="1221"/>
    </row>
    <row r="199" spans="1:16">
      <c r="A199" s="1024"/>
      <c r="B199" s="1039">
        <v>5</v>
      </c>
      <c r="C199" s="1041" t="s">
        <v>2350</v>
      </c>
      <c r="D199" s="1037" t="s">
        <v>147</v>
      </c>
      <c r="E199" s="1043">
        <f>HIT.PINTU!$F$27</f>
        <v>0</v>
      </c>
      <c r="F199" s="1679">
        <f>VLOOKUP(B199,$L$3:$N$50,3,TRUE)</f>
        <v>528305</v>
      </c>
      <c r="G199" s="1029">
        <f>E199*F199</f>
        <v>0</v>
      </c>
      <c r="H199" s="1410">
        <f>J199-I199</f>
        <v>0</v>
      </c>
      <c r="I199" s="1410">
        <f>E199*K!$I$89</f>
        <v>0</v>
      </c>
      <c r="J199" s="2065">
        <f>G199</f>
        <v>0</v>
      </c>
      <c r="L199" s="1221"/>
      <c r="P199" s="1221"/>
    </row>
    <row r="200" spans="1:16">
      <c r="A200" s="1024"/>
      <c r="B200" s="1039">
        <v>30</v>
      </c>
      <c r="C200" s="1774" t="s">
        <v>2239</v>
      </c>
      <c r="D200" s="1037" t="s">
        <v>147</v>
      </c>
      <c r="E200" s="1043">
        <f>HIT.PINTU!$H$27</f>
        <v>0</v>
      </c>
      <c r="F200" s="1679">
        <f>VLOOKUP(B200,$L$3:$N$50,3,TRUE)</f>
        <v>413434</v>
      </c>
      <c r="G200" s="1029">
        <f>E200*F200</f>
        <v>0</v>
      </c>
      <c r="H200" s="1410">
        <f>J200-I200</f>
        <v>0</v>
      </c>
      <c r="I200" s="1410">
        <f>E200*K!$I$89</f>
        <v>0</v>
      </c>
      <c r="J200" s="2065">
        <f>G200</f>
        <v>0</v>
      </c>
      <c r="L200" s="1221"/>
      <c r="P200" s="1221"/>
    </row>
    <row r="201" spans="1:16" ht="15.75" thickBot="1">
      <c r="A201" s="1049"/>
      <c r="B201" s="78" t="s">
        <v>28</v>
      </c>
      <c r="C201" s="1041" t="s">
        <v>156</v>
      </c>
      <c r="D201" s="1042" t="s">
        <v>154</v>
      </c>
      <c r="E201" s="1043">
        <v>1</v>
      </c>
      <c r="F201" s="1050">
        <f>(250000*1)+(200000*0)</f>
        <v>250000</v>
      </c>
      <c r="G201" s="1051">
        <f>E201*F201</f>
        <v>250000</v>
      </c>
      <c r="H201" s="1410">
        <f>F201*0</f>
        <v>0</v>
      </c>
      <c r="I201" s="1410">
        <f>E201*F201</f>
        <v>250000</v>
      </c>
      <c r="J201" s="2065">
        <f>H201+I201</f>
        <v>250000</v>
      </c>
      <c r="L201" s="1221"/>
      <c r="P201" s="1221"/>
    </row>
    <row r="202" spans="1:16">
      <c r="A202" s="1047"/>
      <c r="B202" s="1052"/>
      <c r="C202" s="1053" t="s">
        <v>228</v>
      </c>
      <c r="D202" s="1054"/>
      <c r="E202" s="1055"/>
      <c r="F202" s="1056"/>
      <c r="G202" s="1057">
        <f>SUM(G198:G201)</f>
        <v>250000</v>
      </c>
      <c r="H202" s="1410">
        <f>J202-I202</f>
        <v>0</v>
      </c>
      <c r="I202" s="1410">
        <v>250000</v>
      </c>
      <c r="J202" s="2065">
        <f>G202</f>
        <v>250000</v>
      </c>
      <c r="L202" s="1221"/>
      <c r="P202" s="1221"/>
    </row>
    <row r="203" spans="1:16" ht="15.75" thickBot="1">
      <c r="A203" s="1025"/>
      <c r="B203" s="1058" t="s">
        <v>229</v>
      </c>
      <c r="C203" s="1059"/>
      <c r="D203" s="1059"/>
      <c r="E203" s="1059"/>
      <c r="F203" s="1060"/>
      <c r="G203" s="1061">
        <f>ROUND(G202,0)</f>
        <v>250000</v>
      </c>
      <c r="L203" s="1221"/>
      <c r="P203" s="1221"/>
    </row>
    <row r="204" spans="1:16" ht="15.75" thickBot="1">
      <c r="A204" s="1218">
        <v>25</v>
      </c>
      <c r="B204" s="987" t="str">
        <f>B267</f>
        <v>1 Unit Pek. Jendela (  )</v>
      </c>
      <c r="C204" s="987"/>
      <c r="D204" s="988"/>
      <c r="E204" s="989"/>
      <c r="F204" s="990"/>
      <c r="G204" s="991"/>
      <c r="H204" s="1410"/>
      <c r="I204" s="911"/>
      <c r="L204" s="1221"/>
      <c r="P204" s="1221"/>
    </row>
    <row r="205" spans="1:16">
      <c r="A205" s="1024"/>
      <c r="B205" s="66">
        <v>4</v>
      </c>
      <c r="C205" s="1026" t="s">
        <v>2238</v>
      </c>
      <c r="D205" s="1027" t="s">
        <v>129</v>
      </c>
      <c r="E205" s="1028">
        <f>HIT.PINTU!$D$28</f>
        <v>0</v>
      </c>
      <c r="F205" s="1679">
        <f>VLOOKUP(B205,$L$3:$N$50,3,TRUE)</f>
        <v>259337</v>
      </c>
      <c r="G205" s="1029">
        <f>E205*F205</f>
        <v>0</v>
      </c>
      <c r="H205" s="1410">
        <f>J205-I205</f>
        <v>0</v>
      </c>
      <c r="I205" s="1410">
        <f>E205*K!$I$89</f>
        <v>0</v>
      </c>
      <c r="J205" s="2065">
        <f>G205</f>
        <v>0</v>
      </c>
      <c r="K205" s="2259" t="str">
        <f>C205&amp;" + "&amp;C206&amp;" + "&amp;C207</f>
        <v>Kusen UPVC + Jendela UPVC + Kaca Temperred 8 mm</v>
      </c>
      <c r="L205" s="1221"/>
      <c r="P205" s="1221"/>
    </row>
    <row r="206" spans="1:16">
      <c r="A206" s="1024"/>
      <c r="B206" s="1039">
        <v>5</v>
      </c>
      <c r="C206" s="1041" t="s">
        <v>2350</v>
      </c>
      <c r="D206" s="1037" t="s">
        <v>147</v>
      </c>
      <c r="E206" s="1043">
        <f>HIT.PINTU!$F$28</f>
        <v>0</v>
      </c>
      <c r="F206" s="1679">
        <f>VLOOKUP(B206,$L$3:$N$50,3,TRUE)</f>
        <v>528305</v>
      </c>
      <c r="G206" s="1029">
        <f>E206*F206</f>
        <v>0</v>
      </c>
      <c r="H206" s="1410">
        <f>J206-I206</f>
        <v>0</v>
      </c>
      <c r="I206" s="1410">
        <f>E206*K!$I$89</f>
        <v>0</v>
      </c>
      <c r="J206" s="2065">
        <f>G206</f>
        <v>0</v>
      </c>
      <c r="L206" s="1221"/>
      <c r="P206" s="1221"/>
    </row>
    <row r="207" spans="1:16">
      <c r="A207" s="1024"/>
      <c r="B207" s="1039">
        <v>30</v>
      </c>
      <c r="C207" s="1774" t="s">
        <v>2239</v>
      </c>
      <c r="D207" s="1037" t="s">
        <v>147</v>
      </c>
      <c r="E207" s="1043">
        <f>HIT.PINTU!$H$28</f>
        <v>0</v>
      </c>
      <c r="F207" s="1679">
        <f>VLOOKUP(B207,$L$3:$N$50,3,TRUE)</f>
        <v>413434</v>
      </c>
      <c r="G207" s="1029">
        <f>E207*F207</f>
        <v>0</v>
      </c>
      <c r="H207" s="1410">
        <f>J207-I207</f>
        <v>0</v>
      </c>
      <c r="I207" s="1410">
        <f>E207*K!$I$89</f>
        <v>0</v>
      </c>
      <c r="J207" s="2065">
        <f>G207</f>
        <v>0</v>
      </c>
      <c r="L207" s="1221"/>
      <c r="P207" s="1221"/>
    </row>
    <row r="208" spans="1:16" ht="15.75" thickBot="1">
      <c r="A208" s="1049"/>
      <c r="B208" s="78" t="s">
        <v>28</v>
      </c>
      <c r="C208" s="1041" t="s">
        <v>156</v>
      </c>
      <c r="D208" s="1042" t="s">
        <v>154</v>
      </c>
      <c r="E208" s="1043">
        <v>1</v>
      </c>
      <c r="F208" s="1050">
        <f>(250000*1)+(200000*0)</f>
        <v>250000</v>
      </c>
      <c r="G208" s="1051">
        <f>E208*F208</f>
        <v>250000</v>
      </c>
      <c r="H208" s="1410">
        <f>F208*0</f>
        <v>0</v>
      </c>
      <c r="I208" s="1410">
        <f>E208*F208</f>
        <v>250000</v>
      </c>
      <c r="J208" s="2065">
        <f>H208+I208</f>
        <v>250000</v>
      </c>
      <c r="L208" s="1221"/>
      <c r="P208" s="1221"/>
    </row>
    <row r="209" spans="1:16">
      <c r="A209" s="1047"/>
      <c r="B209" s="1052"/>
      <c r="C209" s="1053" t="s">
        <v>228</v>
      </c>
      <c r="D209" s="1054"/>
      <c r="E209" s="1055"/>
      <c r="F209" s="1056"/>
      <c r="G209" s="1057">
        <f>SUM(G205:G208)</f>
        <v>250000</v>
      </c>
      <c r="H209" s="1410">
        <f>J209-I209</f>
        <v>0</v>
      </c>
      <c r="I209" s="1410">
        <v>250000</v>
      </c>
      <c r="J209" s="2065">
        <f>G209</f>
        <v>250000</v>
      </c>
      <c r="L209" s="1221"/>
      <c r="P209" s="1221"/>
    </row>
    <row r="210" spans="1:16" ht="15.75" thickBot="1">
      <c r="A210" s="1025"/>
      <c r="B210" s="1058" t="s">
        <v>229</v>
      </c>
      <c r="C210" s="1059"/>
      <c r="D210" s="1059"/>
      <c r="E210" s="1059"/>
      <c r="F210" s="1060"/>
      <c r="G210" s="1061">
        <f>ROUND(G209,0)</f>
        <v>250000</v>
      </c>
      <c r="L210" s="1221"/>
      <c r="P210" s="1221"/>
    </row>
    <row r="211" spans="1:16" ht="15.75" thickBot="1">
      <c r="A211" s="1218">
        <v>25</v>
      </c>
      <c r="B211" s="987" t="str">
        <f>B268</f>
        <v>1 Unit Pek. Jendela (  )</v>
      </c>
      <c r="C211" s="987"/>
      <c r="D211" s="988"/>
      <c r="E211" s="989"/>
      <c r="F211" s="990"/>
      <c r="G211" s="991"/>
      <c r="H211" s="1410"/>
      <c r="I211" s="911"/>
      <c r="L211" s="1221"/>
      <c r="P211" s="1221"/>
    </row>
    <row r="212" spans="1:16">
      <c r="A212" s="1024"/>
      <c r="B212" s="66">
        <v>4</v>
      </c>
      <c r="C212" s="1026" t="s">
        <v>2238</v>
      </c>
      <c r="D212" s="1027" t="s">
        <v>129</v>
      </c>
      <c r="E212" s="1028">
        <f>HIT.PINTU!$D$29</f>
        <v>0</v>
      </c>
      <c r="F212" s="1679">
        <f>VLOOKUP(B212,$L$3:$N$50,3,TRUE)</f>
        <v>259337</v>
      </c>
      <c r="G212" s="1029">
        <f>E212*F212</f>
        <v>0</v>
      </c>
      <c r="H212" s="1410">
        <f>J212-I212</f>
        <v>0</v>
      </c>
      <c r="I212" s="1410">
        <f>E212*K!$I$89</f>
        <v>0</v>
      </c>
      <c r="J212" s="2065">
        <f>G212</f>
        <v>0</v>
      </c>
      <c r="K212" s="2259" t="str">
        <f>C212&amp;" + "&amp;C213</f>
        <v>Kusen UPVC + Kaca Temperred 8 mm</v>
      </c>
      <c r="L212" s="1221"/>
      <c r="P212" s="1221"/>
    </row>
    <row r="213" spans="1:16">
      <c r="A213" s="1024"/>
      <c r="B213" s="1039">
        <v>30</v>
      </c>
      <c r="C213" s="1774" t="s">
        <v>2239</v>
      </c>
      <c r="D213" s="1037" t="s">
        <v>147</v>
      </c>
      <c r="E213" s="1043">
        <f>HIT.PINTU!$H$29</f>
        <v>0</v>
      </c>
      <c r="F213" s="1679">
        <f>VLOOKUP(B213,$L$3:$N$50,3,TRUE)</f>
        <v>413434</v>
      </c>
      <c r="G213" s="1029">
        <f>E213*F213</f>
        <v>0</v>
      </c>
      <c r="H213" s="1410">
        <f>J213-I213</f>
        <v>0</v>
      </c>
      <c r="I213" s="1410">
        <f>E213*K!$I$89</f>
        <v>0</v>
      </c>
      <c r="J213" s="2065">
        <f>G213</f>
        <v>0</v>
      </c>
      <c r="L213" s="1221"/>
      <c r="P213" s="1221"/>
    </row>
    <row r="214" spans="1:16">
      <c r="A214" s="1024"/>
      <c r="B214" s="1039"/>
      <c r="C214" s="1774"/>
      <c r="D214" s="1037"/>
      <c r="E214" s="1043"/>
      <c r="F214" s="1679"/>
      <c r="G214" s="1029"/>
      <c r="H214" s="1410">
        <f>J214-I214</f>
        <v>0</v>
      </c>
      <c r="I214" s="1410">
        <f>E214*K!$I$89</f>
        <v>0</v>
      </c>
      <c r="J214" s="2065">
        <f>G214</f>
        <v>0</v>
      </c>
      <c r="L214" s="1221"/>
      <c r="P214" s="1221"/>
    </row>
    <row r="215" spans="1:16" ht="15.75" thickBot="1">
      <c r="A215" s="1049"/>
      <c r="B215" s="78" t="s">
        <v>28</v>
      </c>
      <c r="C215" s="1041" t="s">
        <v>156</v>
      </c>
      <c r="D215" s="1042" t="s">
        <v>154</v>
      </c>
      <c r="E215" s="1043">
        <v>1</v>
      </c>
      <c r="F215" s="1050">
        <f>(250000*1)+(200000*0)</f>
        <v>250000</v>
      </c>
      <c r="G215" s="1051">
        <f>E215*F215</f>
        <v>250000</v>
      </c>
      <c r="H215" s="1410">
        <f>F215*0</f>
        <v>0</v>
      </c>
      <c r="I215" s="1410">
        <f>E215*F215</f>
        <v>250000</v>
      </c>
      <c r="J215" s="2065">
        <f>H215+I215</f>
        <v>250000</v>
      </c>
      <c r="L215" s="1221"/>
      <c r="P215" s="1221"/>
    </row>
    <row r="216" spans="1:16">
      <c r="A216" s="1047"/>
      <c r="B216" s="1052"/>
      <c r="C216" s="1053" t="s">
        <v>228</v>
      </c>
      <c r="D216" s="1054"/>
      <c r="E216" s="1055"/>
      <c r="F216" s="1056"/>
      <c r="G216" s="1057">
        <f>SUM(G212:G215)</f>
        <v>250000</v>
      </c>
      <c r="H216" s="1410">
        <f>J216-I216</f>
        <v>0</v>
      </c>
      <c r="I216" s="1410">
        <v>250000</v>
      </c>
      <c r="J216" s="2065">
        <f>G216</f>
        <v>250000</v>
      </c>
      <c r="L216" s="1221"/>
      <c r="P216" s="1221"/>
    </row>
    <row r="217" spans="1:16" ht="15.75" thickBot="1">
      <c r="A217" s="1025"/>
      <c r="B217" s="1058" t="s">
        <v>229</v>
      </c>
      <c r="C217" s="1059"/>
      <c r="D217" s="1059"/>
      <c r="E217" s="1059"/>
      <c r="F217" s="1060"/>
      <c r="G217" s="1061">
        <f>ROUND(G216,0)</f>
        <v>250000</v>
      </c>
      <c r="L217" s="1221"/>
      <c r="P217" s="1221"/>
    </row>
    <row r="218" spans="1:16" ht="15.75" thickBot="1">
      <c r="A218" s="1218">
        <v>25</v>
      </c>
      <c r="B218" s="987" t="str">
        <f>B269</f>
        <v>1 Unit Pek. Jendela (  )</v>
      </c>
      <c r="C218" s="987"/>
      <c r="D218" s="988"/>
      <c r="E218" s="989"/>
      <c r="F218" s="990"/>
      <c r="G218" s="991"/>
      <c r="H218" s="1410"/>
      <c r="I218" s="911"/>
      <c r="L218" s="1221"/>
      <c r="P218" s="1221"/>
    </row>
    <row r="219" spans="1:16">
      <c r="A219" s="1024"/>
      <c r="B219" s="66">
        <v>4</v>
      </c>
      <c r="C219" s="1026" t="s">
        <v>2238</v>
      </c>
      <c r="D219" s="1027" t="s">
        <v>129</v>
      </c>
      <c r="E219" s="1028">
        <f>HIT.PINTU!$D$30</f>
        <v>0</v>
      </c>
      <c r="F219" s="1679">
        <f>VLOOKUP(B219,$L$3:$N$50,3,TRUE)</f>
        <v>259337</v>
      </c>
      <c r="G219" s="1029">
        <f>E219*F219</f>
        <v>0</v>
      </c>
      <c r="H219" s="1410">
        <f>J219-I219</f>
        <v>0</v>
      </c>
      <c r="I219" s="1410">
        <f>E219*K!$I$89</f>
        <v>0</v>
      </c>
      <c r="J219" s="2065">
        <f>G219</f>
        <v>0</v>
      </c>
      <c r="K219" s="2259" t="str">
        <f>C219&amp;" + "&amp;C220&amp;" + "&amp;C221</f>
        <v>Kusen UPVC + Jendela UPVC + Kaca Temperred 8 mm</v>
      </c>
      <c r="L219" s="1221"/>
      <c r="P219" s="1221"/>
    </row>
    <row r="220" spans="1:16">
      <c r="A220" s="1024"/>
      <c r="B220" s="1039">
        <v>5</v>
      </c>
      <c r="C220" s="1041" t="s">
        <v>2350</v>
      </c>
      <c r="D220" s="1037" t="s">
        <v>147</v>
      </c>
      <c r="E220" s="1043">
        <f>HIT.PINTU!$F$30</f>
        <v>0</v>
      </c>
      <c r="F220" s="1679">
        <f>VLOOKUP(B220,$L$3:$N$50,3,TRUE)</f>
        <v>528305</v>
      </c>
      <c r="G220" s="1029">
        <f>E220*F220</f>
        <v>0</v>
      </c>
      <c r="H220" s="1410">
        <f>J220-I220</f>
        <v>0</v>
      </c>
      <c r="I220" s="1410">
        <f>E220*K!$I$89</f>
        <v>0</v>
      </c>
      <c r="J220" s="2065">
        <f>G220</f>
        <v>0</v>
      </c>
      <c r="L220" s="1221"/>
      <c r="P220" s="1221"/>
    </row>
    <row r="221" spans="1:16">
      <c r="A221" s="1024"/>
      <c r="B221" s="1039">
        <v>30</v>
      </c>
      <c r="C221" s="1774" t="s">
        <v>2239</v>
      </c>
      <c r="D221" s="1037" t="s">
        <v>147</v>
      </c>
      <c r="E221" s="1043">
        <f>HIT.PINTU!$H$30</f>
        <v>0</v>
      </c>
      <c r="F221" s="1679">
        <f>VLOOKUP(B221,$L$3:$N$50,3,TRUE)</f>
        <v>413434</v>
      </c>
      <c r="G221" s="1029">
        <f>E221*F221</f>
        <v>0</v>
      </c>
      <c r="H221" s="1410">
        <f>J221-I221</f>
        <v>0</v>
      </c>
      <c r="I221" s="1410">
        <f>E221*K!$I$89</f>
        <v>0</v>
      </c>
      <c r="J221" s="2065">
        <f>G221</f>
        <v>0</v>
      </c>
      <c r="L221" s="1221"/>
      <c r="P221" s="1221"/>
    </row>
    <row r="222" spans="1:16" ht="15.75" thickBot="1">
      <c r="A222" s="1049"/>
      <c r="B222" s="78" t="s">
        <v>28</v>
      </c>
      <c r="C222" s="1041" t="s">
        <v>156</v>
      </c>
      <c r="D222" s="1042" t="s">
        <v>154</v>
      </c>
      <c r="E222" s="1043">
        <v>1</v>
      </c>
      <c r="F222" s="1050">
        <f>(250000*1)+(200000*0)</f>
        <v>250000</v>
      </c>
      <c r="G222" s="1051">
        <f>E222*F222</f>
        <v>250000</v>
      </c>
      <c r="H222" s="1410">
        <f>F222*0</f>
        <v>0</v>
      </c>
      <c r="I222" s="1410">
        <f>E222*F222</f>
        <v>250000</v>
      </c>
      <c r="J222" s="2065">
        <f>H222+I222</f>
        <v>250000</v>
      </c>
      <c r="L222" s="1221"/>
      <c r="P222" s="1221"/>
    </row>
    <row r="223" spans="1:16">
      <c r="A223" s="1047"/>
      <c r="B223" s="1052"/>
      <c r="C223" s="1053" t="s">
        <v>228</v>
      </c>
      <c r="D223" s="1054"/>
      <c r="E223" s="1055"/>
      <c r="F223" s="1056"/>
      <c r="G223" s="1057">
        <f>SUM(G219:G222)</f>
        <v>250000</v>
      </c>
      <c r="H223" s="1410">
        <f>J223-I223</f>
        <v>0</v>
      </c>
      <c r="I223" s="1410">
        <v>250000</v>
      </c>
      <c r="J223" s="2065">
        <f>G223</f>
        <v>250000</v>
      </c>
      <c r="L223" s="1221"/>
      <c r="P223" s="1221"/>
    </row>
    <row r="224" spans="1:16" ht="15.75" thickBot="1">
      <c r="A224" s="1025"/>
      <c r="B224" s="1058" t="s">
        <v>229</v>
      </c>
      <c r="C224" s="1059"/>
      <c r="D224" s="1059"/>
      <c r="E224" s="1059"/>
      <c r="F224" s="1060"/>
      <c r="G224" s="1061">
        <f>ROUND(G223,0)</f>
        <v>250000</v>
      </c>
      <c r="L224" s="1221"/>
      <c r="P224" s="1221"/>
    </row>
    <row r="225" spans="1:16" ht="15.75" thickBot="1">
      <c r="A225" s="1218">
        <v>25</v>
      </c>
      <c r="B225" s="987" t="str">
        <f>B270</f>
        <v>1 Unit Pek. Jendela (  )</v>
      </c>
      <c r="C225" s="987"/>
      <c r="D225" s="988"/>
      <c r="E225" s="989"/>
      <c r="F225" s="990"/>
      <c r="G225" s="991"/>
      <c r="H225" s="1410"/>
      <c r="I225" s="911"/>
      <c r="L225" s="1221"/>
      <c r="P225" s="1221"/>
    </row>
    <row r="226" spans="1:16">
      <c r="A226" s="1024"/>
      <c r="B226" s="66">
        <v>4</v>
      </c>
      <c r="C226" s="1026" t="s">
        <v>2238</v>
      </c>
      <c r="D226" s="1027" t="s">
        <v>129</v>
      </c>
      <c r="E226" s="1028">
        <f>HIT.PINTU!$D$31</f>
        <v>0</v>
      </c>
      <c r="F226" s="1679">
        <f>VLOOKUP(B226,$L$3:$N$50,3,TRUE)</f>
        <v>259337</v>
      </c>
      <c r="G226" s="1029">
        <f>E226*F226</f>
        <v>0</v>
      </c>
      <c r="H226" s="1410">
        <f>J226-I226</f>
        <v>0</v>
      </c>
      <c r="I226" s="1410">
        <f>E226*K!$I$89</f>
        <v>0</v>
      </c>
      <c r="J226" s="2065">
        <f>G226</f>
        <v>0</v>
      </c>
      <c r="K226" s="2259" t="str">
        <f>C226&amp;" + "&amp;C227&amp;" + "&amp;C228</f>
        <v>Kusen UPVC + Jendela UPVC + Kaca Temperred 8 mm</v>
      </c>
      <c r="L226" s="1221"/>
      <c r="P226" s="1221"/>
    </row>
    <row r="227" spans="1:16">
      <c r="A227" s="1024"/>
      <c r="B227" s="1039">
        <v>5</v>
      </c>
      <c r="C227" s="1041" t="s">
        <v>2350</v>
      </c>
      <c r="D227" s="1037" t="s">
        <v>147</v>
      </c>
      <c r="E227" s="1043">
        <f>HIT.PINTU!$F$31</f>
        <v>0</v>
      </c>
      <c r="F227" s="1679">
        <f>VLOOKUP(B227,$L$3:$N$50,3,TRUE)</f>
        <v>528305</v>
      </c>
      <c r="G227" s="1029">
        <f>E227*F227</f>
        <v>0</v>
      </c>
      <c r="H227" s="1410">
        <f>J227-I227</f>
        <v>0</v>
      </c>
      <c r="I227" s="1410">
        <f>E227*K!$I$89</f>
        <v>0</v>
      </c>
      <c r="J227" s="2065">
        <f>G227</f>
        <v>0</v>
      </c>
      <c r="L227" s="1221"/>
      <c r="P227" s="1221"/>
    </row>
    <row r="228" spans="1:16">
      <c r="A228" s="1024"/>
      <c r="B228" s="1039">
        <v>30</v>
      </c>
      <c r="C228" s="1774" t="s">
        <v>2239</v>
      </c>
      <c r="D228" s="1037" t="s">
        <v>147</v>
      </c>
      <c r="E228" s="1043">
        <f>HIT.PINTU!$H$31</f>
        <v>0</v>
      </c>
      <c r="F228" s="1679">
        <f>VLOOKUP(B228,$L$3:$N$50,3,TRUE)</f>
        <v>413434</v>
      </c>
      <c r="G228" s="1029">
        <f>E228*F228</f>
        <v>0</v>
      </c>
      <c r="H228" s="1410">
        <f>J228-I228</f>
        <v>0</v>
      </c>
      <c r="I228" s="1410">
        <f>E228*K!$I$89</f>
        <v>0</v>
      </c>
      <c r="J228" s="2065">
        <f>G228</f>
        <v>0</v>
      </c>
      <c r="L228" s="1221"/>
      <c r="P228" s="1221"/>
    </row>
    <row r="229" spans="1:16" ht="15.75" thickBot="1">
      <c r="A229" s="1049"/>
      <c r="B229" s="78" t="s">
        <v>28</v>
      </c>
      <c r="C229" s="1041" t="s">
        <v>156</v>
      </c>
      <c r="D229" s="1042" t="s">
        <v>154</v>
      </c>
      <c r="E229" s="1043">
        <v>1</v>
      </c>
      <c r="F229" s="1050">
        <f>(250000*1)+(200000*0)</f>
        <v>250000</v>
      </c>
      <c r="G229" s="1051">
        <f>E229*F229</f>
        <v>250000</v>
      </c>
      <c r="H229" s="1410">
        <f>F229*0</f>
        <v>0</v>
      </c>
      <c r="I229" s="1410">
        <f>E229*F229</f>
        <v>250000</v>
      </c>
      <c r="J229" s="2065">
        <f>H229+I229</f>
        <v>250000</v>
      </c>
      <c r="L229" s="1221"/>
      <c r="P229" s="1221"/>
    </row>
    <row r="230" spans="1:16">
      <c r="A230" s="1047"/>
      <c r="B230" s="1052"/>
      <c r="C230" s="1053" t="s">
        <v>228</v>
      </c>
      <c r="D230" s="1054"/>
      <c r="E230" s="1055"/>
      <c r="F230" s="1056"/>
      <c r="G230" s="1057">
        <f>SUM(G226:G229)</f>
        <v>250000</v>
      </c>
      <c r="H230" s="1410">
        <f>J230-I230</f>
        <v>0</v>
      </c>
      <c r="I230" s="1410">
        <v>250000</v>
      </c>
      <c r="J230" s="2065">
        <f>G230</f>
        <v>250000</v>
      </c>
      <c r="L230" s="1221"/>
      <c r="P230" s="1221"/>
    </row>
    <row r="231" spans="1:16" ht="15.75" thickBot="1">
      <c r="A231" s="1025"/>
      <c r="B231" s="1058" t="s">
        <v>229</v>
      </c>
      <c r="C231" s="1059"/>
      <c r="D231" s="1059"/>
      <c r="E231" s="1059"/>
      <c r="F231" s="1060"/>
      <c r="G231" s="1061">
        <f>ROUND(G230,0)</f>
        <v>250000</v>
      </c>
      <c r="L231" s="1221"/>
      <c r="P231" s="1221"/>
    </row>
    <row r="232" spans="1:16" ht="15.75" thickBot="1">
      <c r="A232" s="1218">
        <v>26</v>
      </c>
      <c r="B232" s="987" t="str">
        <f>B271</f>
        <v>1 Unit Pek. Jendela (  )</v>
      </c>
      <c r="C232" s="987"/>
      <c r="D232" s="988"/>
      <c r="E232" s="989"/>
      <c r="F232" s="990"/>
      <c r="G232" s="991"/>
      <c r="H232" s="1410"/>
      <c r="I232" s="911"/>
      <c r="L232" s="1221"/>
      <c r="P232" s="1221"/>
    </row>
    <row r="233" spans="1:16">
      <c r="A233" s="1024"/>
      <c r="B233" s="66">
        <v>4</v>
      </c>
      <c r="C233" s="1026" t="s">
        <v>2238</v>
      </c>
      <c r="D233" s="1027" t="s">
        <v>129</v>
      </c>
      <c r="E233" s="1028">
        <f>HIT.PINTU!$D$32</f>
        <v>0</v>
      </c>
      <c r="F233" s="1679">
        <f>VLOOKUP(B233,$L$3:$N$50,3,TRUE)</f>
        <v>259337</v>
      </c>
      <c r="G233" s="1029">
        <f>E233*F233</f>
        <v>0</v>
      </c>
      <c r="H233" s="1410">
        <f>J233-I233</f>
        <v>0</v>
      </c>
      <c r="I233" s="1410">
        <f>E233*K!$I$89</f>
        <v>0</v>
      </c>
      <c r="J233" s="2065">
        <f>G233</f>
        <v>0</v>
      </c>
      <c r="K233" s="2259" t="str">
        <f>C233&amp;" + "&amp;C234&amp;" + "&amp;C235</f>
        <v>Kusen UPVC + Jendela UPVC + Kaca Temperred 8 mm</v>
      </c>
      <c r="L233" s="1221"/>
      <c r="P233" s="1221"/>
    </row>
    <row r="234" spans="1:16">
      <c r="A234" s="1024"/>
      <c r="B234" s="1039">
        <v>5</v>
      </c>
      <c r="C234" s="1041" t="s">
        <v>2350</v>
      </c>
      <c r="D234" s="1037" t="s">
        <v>147</v>
      </c>
      <c r="E234" s="1043">
        <f>HIT.PINTU!$F$32</f>
        <v>0</v>
      </c>
      <c r="F234" s="1679">
        <f>VLOOKUP(B234,$L$3:$N$50,3,TRUE)</f>
        <v>528305</v>
      </c>
      <c r="G234" s="1029">
        <f>E234*F234</f>
        <v>0</v>
      </c>
      <c r="H234" s="1410">
        <f>J234-I234</f>
        <v>0</v>
      </c>
      <c r="I234" s="1410">
        <f>E234*K!$I$89</f>
        <v>0</v>
      </c>
      <c r="J234" s="2065">
        <f>G234</f>
        <v>0</v>
      </c>
      <c r="L234" s="1221"/>
      <c r="P234" s="1221"/>
    </row>
    <row r="235" spans="1:16">
      <c r="A235" s="1024"/>
      <c r="B235" s="1039">
        <v>30</v>
      </c>
      <c r="C235" s="1774" t="s">
        <v>2239</v>
      </c>
      <c r="D235" s="1037" t="s">
        <v>147</v>
      </c>
      <c r="E235" s="1043">
        <f>HIT.PINTU!$H$32</f>
        <v>0</v>
      </c>
      <c r="F235" s="1679">
        <f>VLOOKUP(B235,$L$3:$N$50,3,TRUE)</f>
        <v>413434</v>
      </c>
      <c r="G235" s="1029">
        <f>E235*F235</f>
        <v>0</v>
      </c>
      <c r="H235" s="1410">
        <f>J235-I235</f>
        <v>0</v>
      </c>
      <c r="I235" s="1410">
        <f>E235*K!$I$89</f>
        <v>0</v>
      </c>
      <c r="J235" s="2065">
        <f>G235</f>
        <v>0</v>
      </c>
      <c r="L235" s="1221"/>
      <c r="P235" s="1221"/>
    </row>
    <row r="236" spans="1:16" ht="15.75" thickBot="1">
      <c r="A236" s="1049"/>
      <c r="B236" s="78" t="s">
        <v>28</v>
      </c>
      <c r="C236" s="1041" t="s">
        <v>156</v>
      </c>
      <c r="D236" s="1042" t="s">
        <v>154</v>
      </c>
      <c r="E236" s="1043">
        <v>1</v>
      </c>
      <c r="F236" s="1050">
        <f>(250000*1)+(200000*0)</f>
        <v>250000</v>
      </c>
      <c r="G236" s="1051">
        <f>E236*F236</f>
        <v>250000</v>
      </c>
      <c r="H236" s="1410">
        <f>F236*0</f>
        <v>0</v>
      </c>
      <c r="I236" s="1410">
        <f>E236*F236</f>
        <v>250000</v>
      </c>
      <c r="J236" s="2065">
        <f>H236+I236</f>
        <v>250000</v>
      </c>
      <c r="L236" s="1221"/>
      <c r="P236" s="1221"/>
    </row>
    <row r="237" spans="1:16">
      <c r="A237" s="1047"/>
      <c r="B237" s="1052"/>
      <c r="C237" s="1053" t="s">
        <v>228</v>
      </c>
      <c r="D237" s="1054"/>
      <c r="E237" s="1055"/>
      <c r="F237" s="1056"/>
      <c r="G237" s="1057">
        <f>SUM(G233:G236)</f>
        <v>250000</v>
      </c>
      <c r="H237" s="1410">
        <f>J237-I237</f>
        <v>0</v>
      </c>
      <c r="I237" s="1410">
        <v>250000</v>
      </c>
      <c r="J237" s="2065">
        <f>G237</f>
        <v>250000</v>
      </c>
      <c r="L237" s="1221"/>
      <c r="P237" s="1221"/>
    </row>
    <row r="238" spans="1:16" ht="15.75" thickBot="1">
      <c r="A238" s="1025"/>
      <c r="B238" s="1058" t="s">
        <v>229</v>
      </c>
      <c r="C238" s="1059"/>
      <c r="D238" s="1059"/>
      <c r="E238" s="1059"/>
      <c r="F238" s="1060"/>
      <c r="G238" s="1061">
        <f>ROUND(G237,0)</f>
        <v>250000</v>
      </c>
      <c r="L238" s="1221"/>
      <c r="P238" s="1221"/>
    </row>
    <row r="242" spans="2:10" ht="15.75" thickBot="1"/>
    <row r="243" spans="2:10" ht="15.75" thickBot="1">
      <c r="B243" s="987" t="str">
        <f>"1 Unit Pek. Pintu ( "&amp;HIT.PINTU!$C$4&amp;" )"</f>
        <v>1 Unit Pek. Pintu (  )</v>
      </c>
      <c r="D243" s="5" t="str">
        <f>K7</f>
        <v>Kusen &amp; Pintu Panel Kayu Kamper Samarinda</v>
      </c>
      <c r="I243" s="1410">
        <f>G14</f>
        <v>250000</v>
      </c>
      <c r="J243" s="2065">
        <f>I243-250000</f>
        <v>0</v>
      </c>
    </row>
    <row r="244" spans="2:10" ht="15.75" thickBot="1">
      <c r="B244" s="987" t="str">
        <f>"1 Unit Pek. Pintu ( "&amp;HIT.PINTU!$C$5&amp;" )"</f>
        <v>1 Unit Pek. Pintu (  )</v>
      </c>
      <c r="D244" s="5" t="str">
        <f>K16</f>
        <v>Kusen Allumunium 4", Pintu Panel Teakwood</v>
      </c>
      <c r="I244" s="1410">
        <f>G23</f>
        <v>250000</v>
      </c>
      <c r="J244" s="2065">
        <f t="shared" ref="J244:J263" si="1">I244-250000</f>
        <v>0</v>
      </c>
    </row>
    <row r="245" spans="2:10" ht="15.75" thickBot="1">
      <c r="B245" s="987" t="str">
        <f>"1 Unit Pek. Pintu ( "&amp;HIT.PINTU!C6&amp;" )"</f>
        <v>1 Unit Pek. Pintu (  )</v>
      </c>
      <c r="D245" s="5" t="str">
        <f>K25</f>
        <v>Kusen Allumunium 4", Pintu KM/WC Allumunium, Kaca Clear 5 mm</v>
      </c>
      <c r="I245" s="1410">
        <f>G35</f>
        <v>250000</v>
      </c>
      <c r="J245" s="2065">
        <f t="shared" si="1"/>
        <v>0</v>
      </c>
    </row>
    <row r="246" spans="2:10" ht="15.75" thickBot="1">
      <c r="B246" s="987" t="str">
        <f>"1 Unit Pek. Jendela ( "&amp;HIT.PINTU!C7&amp;" )"</f>
        <v>1 Unit Pek. Jendela (  )</v>
      </c>
      <c r="D246" s="5" t="str">
        <f>K37</f>
        <v>Kusen Allumunium 4", Jendela Allumunium 3", Kaca Temperred 8 mm</v>
      </c>
      <c r="I246" s="1410">
        <f>G46</f>
        <v>250000</v>
      </c>
      <c r="J246" s="2065">
        <f t="shared" si="1"/>
        <v>0</v>
      </c>
    </row>
    <row r="247" spans="2:10" ht="15.75" thickBot="1">
      <c r="B247" s="987" t="str">
        <f>"1 Unit Pek. Jendela ( "&amp;HIT.PINTU!C8&amp;" )"</f>
        <v>1 Unit Pek. Jendela (  )</v>
      </c>
      <c r="D247" s="5" t="str">
        <f>K48</f>
        <v>Kusen Allumunium 4", Jendela Allumunium 3", Kaca Temperred 8 mm</v>
      </c>
      <c r="I247" s="1410">
        <f>G56</f>
        <v>250000</v>
      </c>
      <c r="J247" s="2065">
        <f t="shared" si="1"/>
        <v>0</v>
      </c>
    </row>
    <row r="248" spans="2:10" ht="15.75" thickBot="1">
      <c r="B248" s="987" t="str">
        <f>"1 Unit Pek. Jendela ( "&amp;HIT.PINTU!C9&amp;" )"</f>
        <v>1 Unit Pek. Jendela (  )</v>
      </c>
      <c r="D248" s="5" t="str">
        <f>K58</f>
        <v>Kusen Allumunium 4", Jendela Allumunium 3", Kaca Temperred 8 mm</v>
      </c>
      <c r="I248" s="1410">
        <f>G65</f>
        <v>250000</v>
      </c>
      <c r="J248" s="2065">
        <f t="shared" si="1"/>
        <v>0</v>
      </c>
    </row>
    <row r="249" spans="2:10" ht="15.75" thickBot="1">
      <c r="B249" s="987" t="str">
        <f>"1 Unit Pek. Jendela ( "&amp;HIT.PINTU!C10&amp;" )"</f>
        <v>1 Unit Pek. Jendela (  )</v>
      </c>
      <c r="D249" s="5" t="str">
        <f>K67</f>
        <v>Kusen Allumunium 4", Jendela Allumunium 3", Kaca Temperred 8 mm</v>
      </c>
      <c r="I249" s="1410">
        <f>G73</f>
        <v>250000</v>
      </c>
      <c r="J249" s="2065">
        <f t="shared" si="1"/>
        <v>0</v>
      </c>
    </row>
    <row r="250" spans="2:10" ht="15.75" thickBot="1">
      <c r="B250" s="987" t="str">
        <f>"1 Unit Pek. Jendela ( "&amp;HIT.PINTU!C11&amp;" )"</f>
        <v>1 Unit Pek. Jendela (  )</v>
      </c>
      <c r="D250" s="5" t="str">
        <f>K75</f>
        <v>Kusen Allumunium 4", Kaca Temperred 8 mm</v>
      </c>
      <c r="I250" s="1410">
        <f>G82</f>
        <v>250000</v>
      </c>
      <c r="J250" s="2065">
        <f t="shared" si="1"/>
        <v>0</v>
      </c>
    </row>
    <row r="251" spans="2:10" ht="15.75" thickBot="1">
      <c r="B251" s="987" t="str">
        <f>"1 Unit Pek. Jendela ( "&amp;HIT.PINTU!C12&amp;" )"</f>
        <v>1 Unit Pek. Jendela (  )</v>
      </c>
      <c r="D251" s="5" t="str">
        <f>K84</f>
        <v>Kusen Allumunium 4", Jendela Allumunium 3", Kaca Temperred 8 mm</v>
      </c>
      <c r="I251" s="1410">
        <f>G91</f>
        <v>250000</v>
      </c>
      <c r="J251" s="2065">
        <f t="shared" si="1"/>
        <v>0</v>
      </c>
    </row>
    <row r="252" spans="2:10" ht="15.75" thickBot="1">
      <c r="B252" s="987" t="str">
        <f>"1 Unit Pek. Jendela ( "&amp;HIT.PINTU!C13&amp;" )"</f>
        <v>1 Unit Pek. Jendela (  )</v>
      </c>
      <c r="D252" s="5" t="str">
        <f>K93</f>
        <v>Kusen Allumunium 4", Jendela Allumunium 3", Kaca Temperred 8 mm</v>
      </c>
      <c r="I252" s="1410">
        <f>G101</f>
        <v>250000</v>
      </c>
      <c r="J252" s="2065">
        <f t="shared" si="1"/>
        <v>0</v>
      </c>
    </row>
    <row r="253" spans="2:10" ht="15.75" thickBot="1">
      <c r="B253" s="987" t="str">
        <f>"1 Unit Pek. Jendela ( "&amp;HIT.PINTU!C14&amp;" )"</f>
        <v>1 Unit Pek. Jendela (  )</v>
      </c>
      <c r="D253" s="5" t="str">
        <f>K103</f>
        <v>Kusen Allumunium 4", Kaca Temperred 8 mm</v>
      </c>
      <c r="I253" s="1410">
        <f>G109</f>
        <v>250000</v>
      </c>
      <c r="J253" s="2065">
        <f t="shared" si="1"/>
        <v>0</v>
      </c>
    </row>
    <row r="254" spans="2:10" ht="15.75" thickBot="1">
      <c r="B254" s="987" t="str">
        <f>"1 Unit Pek. Jendela ( "&amp;HIT.PINTU!C15&amp;" )"</f>
        <v>1 Unit Pek. Jendela (  )</v>
      </c>
      <c r="D254" s="5" t="str">
        <f>K111</f>
        <v>Kusen Allumunium 4", Jendela Allumunium 3", Kaca Temperred 8 mm</v>
      </c>
      <c r="I254" s="1410">
        <f>G117</f>
        <v>250000</v>
      </c>
      <c r="J254" s="2065">
        <f t="shared" si="1"/>
        <v>0</v>
      </c>
    </row>
    <row r="255" spans="2:10" ht="15.75" thickBot="1">
      <c r="B255" s="987" t="str">
        <f>"1 Unit Pek. Jendela ( "&amp;HIT.PINTU!C16&amp;" )"</f>
        <v>1 Unit Pek. Jendela (  )</v>
      </c>
      <c r="D255" s="5" t="str">
        <f>K119</f>
        <v>Kusen Allumunium 4", Jendela Allumunium 3", Kaca Clear 5 mm</v>
      </c>
      <c r="I255" s="1410">
        <f>G125</f>
        <v>250000</v>
      </c>
      <c r="J255" s="2065">
        <f t="shared" si="1"/>
        <v>0</v>
      </c>
    </row>
    <row r="256" spans="2:10" ht="15.75" thickBot="1">
      <c r="B256" s="987" t="str">
        <f>"1 Unit Pek. Jendela ( "&amp;HIT.PINTU!C17&amp;" )"</f>
        <v>1 Unit Pek. Jendela (  )</v>
      </c>
      <c r="D256" s="5" t="str">
        <f>K127</f>
        <v>Pintu KM/WC UPVC</v>
      </c>
      <c r="I256" s="1410">
        <f>G133</f>
        <v>250000</v>
      </c>
      <c r="J256" s="2065">
        <f t="shared" si="1"/>
        <v>0</v>
      </c>
    </row>
    <row r="257" spans="2:16" ht="15.75" thickBot="1">
      <c r="B257" s="987" t="str">
        <f>"1 Unit Pek. Jendela ( "&amp;HIT.PINTU!C18&amp;" )"</f>
        <v>1 Unit Pek. Jendela (  )</v>
      </c>
      <c r="D257" s="5" t="str">
        <f>K135</f>
        <v>Pintu KM/WC UPVC</v>
      </c>
      <c r="I257" s="1410">
        <f>G140</f>
        <v>250000</v>
      </c>
      <c r="J257" s="2065">
        <f t="shared" si="1"/>
        <v>0</v>
      </c>
    </row>
    <row r="258" spans="2:16" ht="15.75" thickBot="1">
      <c r="B258" s="987" t="str">
        <f>"1 Unit Pek. Jendela ( "&amp;HIT.PINTU!C19&amp;" )"</f>
        <v>1 Unit Pek. Jendela (  )</v>
      </c>
      <c r="D258" s="5" t="str">
        <f>K142</f>
        <v>Kusen UPVC, Jendela Rangka UPVC, Kaca Temperred 8 mm</v>
      </c>
      <c r="I258" s="1410">
        <f>G147</f>
        <v>250000</v>
      </c>
      <c r="J258" s="2065">
        <f t="shared" si="1"/>
        <v>0</v>
      </c>
    </row>
    <row r="259" spans="2:16" ht="15.75" thickBot="1">
      <c r="B259" s="987" t="str">
        <f>"1 Unit Pek. Jendela ( "&amp;HIT.PINTU!C20&amp;" )"</f>
        <v>1 Unit Pek. Jendela (  )</v>
      </c>
      <c r="D259" s="5" t="str">
        <f>K149</f>
        <v>Kusen UPVC, Jendela Rangka UPVC, Kaca Temperred 8 mm</v>
      </c>
      <c r="I259" s="1410">
        <f>G154</f>
        <v>250000</v>
      </c>
      <c r="J259" s="2065">
        <f t="shared" si="1"/>
        <v>0</v>
      </c>
    </row>
    <row r="260" spans="2:16" ht="15.75" thickBot="1">
      <c r="B260" s="987" t="str">
        <f>"1 Unit Pek. Jendela ( "&amp;HIT.PINTU!C21&amp;" )"</f>
        <v>1 Unit Pek. Jendela (  )</v>
      </c>
      <c r="D260" s="5" t="str">
        <f>K156</f>
        <v>Kusen UPVC, Jendela Rangka UPVC, Kaca Temperred 8 mm</v>
      </c>
      <c r="I260" s="1410">
        <f>G161</f>
        <v>250000</v>
      </c>
      <c r="J260" s="2065">
        <f t="shared" si="1"/>
        <v>0</v>
      </c>
    </row>
    <row r="261" spans="2:16" ht="15.75" thickBot="1">
      <c r="B261" s="987" t="str">
        <f>"1 Unit Pek. Jendela ( "&amp;HIT.PINTU!C22&amp;" )"</f>
        <v>1 Unit Pek. Jendela (  )</v>
      </c>
      <c r="D261" s="5" t="str">
        <f>K163</f>
        <v>Kusen UPVC, Jendela Rangka UPVC, Kaca Temperred 8 mm</v>
      </c>
      <c r="I261" s="1410">
        <f>G168</f>
        <v>250000</v>
      </c>
      <c r="J261" s="2065">
        <f t="shared" si="1"/>
        <v>0</v>
      </c>
    </row>
    <row r="262" spans="2:16" ht="15.75" thickBot="1">
      <c r="B262" s="987" t="str">
        <f>"1 Unit Pek. Jendela ( "&amp;HIT.PINTU!C23&amp;" )"</f>
        <v>1 Unit Pek. Jendela (  )</v>
      </c>
      <c r="D262" s="5" t="str">
        <f>K170</f>
        <v>Kusen Allumunium 4" + Kaca Clear 5 mm</v>
      </c>
      <c r="I262" s="1410">
        <f>G175</f>
        <v>250000</v>
      </c>
      <c r="J262" s="2065">
        <f t="shared" si="1"/>
        <v>0</v>
      </c>
    </row>
    <row r="263" spans="2:16" ht="15.75" thickBot="1">
      <c r="B263" s="987" t="str">
        <f>"1 Unit Pek. Jendela ( "&amp;HIT.PINTU!C24&amp;" )"</f>
        <v>1 Unit Pek. Jendela (  )</v>
      </c>
      <c r="D263" s="5" t="str">
        <f>K177</f>
        <v>Kusen UPVC + Kaca Temperred 8 mm</v>
      </c>
      <c r="I263" s="1410">
        <f>G182</f>
        <v>250000</v>
      </c>
      <c r="J263" s="2065">
        <f t="shared" si="1"/>
        <v>0</v>
      </c>
    </row>
    <row r="264" spans="2:16" ht="15.75" thickBot="1">
      <c r="B264" s="987" t="str">
        <f>"1 Unit Pek. Jendela ( "&amp;HIT.PINTU!C25&amp;" )"</f>
        <v>1 Unit Pek. Jendela (  )</v>
      </c>
      <c r="D264" s="5" t="str">
        <f>K184</f>
        <v>Kusen UPVC + Jendela UPVC + Kaca Temperred 8 mm</v>
      </c>
      <c r="I264" s="2253">
        <f>J188</f>
        <v>250000</v>
      </c>
      <c r="J264" s="2254">
        <f t="shared" ref="J264:J271" si="2">I264-250000</f>
        <v>0</v>
      </c>
      <c r="L264" s="1221"/>
      <c r="P264" s="1221"/>
    </row>
    <row r="265" spans="2:16" ht="15.75" thickBot="1">
      <c r="B265" s="987" t="str">
        <f>"1 Unit Pek. Jendela ( "&amp;HIT.PINTU!C26&amp;" )"</f>
        <v>1 Unit Pek. Jendela (  )</v>
      </c>
      <c r="D265" s="5" t="str">
        <f>K191</f>
        <v>Kusen UPVC + Jendela UPVC + Kaca Temperred 8 mm</v>
      </c>
      <c r="I265" s="2253">
        <f>G196</f>
        <v>250000</v>
      </c>
      <c r="J265" s="2254">
        <f t="shared" si="2"/>
        <v>0</v>
      </c>
      <c r="L265" s="1221"/>
      <c r="P265" s="1221"/>
    </row>
    <row r="266" spans="2:16" ht="15.75" thickBot="1">
      <c r="B266" s="987" t="str">
        <f>"1 Unit Pek. Jendela ( "&amp;HIT.PINTU!C27&amp;" )"</f>
        <v>1 Unit Pek. Jendela (  )</v>
      </c>
      <c r="D266" s="5" t="str">
        <f>K198</f>
        <v>Kusen UPVC + Jendela UPVC + Kaca Temperred 8 mm</v>
      </c>
      <c r="I266" s="1410">
        <f>G203</f>
        <v>250000</v>
      </c>
      <c r="J266" s="2254">
        <f t="shared" si="2"/>
        <v>0</v>
      </c>
    </row>
    <row r="267" spans="2:16" ht="15.75" thickBot="1">
      <c r="B267" s="987" t="str">
        <f>"1 Unit Pek. Jendela ( "&amp;HIT.PINTU!C28&amp;" )"</f>
        <v>1 Unit Pek. Jendela (  )</v>
      </c>
      <c r="D267" s="5" t="str">
        <f>K205</f>
        <v>Kusen UPVC + Jendela UPVC + Kaca Temperred 8 mm</v>
      </c>
      <c r="I267" s="1410">
        <f>G210</f>
        <v>250000</v>
      </c>
      <c r="J267" s="2254">
        <f t="shared" si="2"/>
        <v>0</v>
      </c>
    </row>
    <row r="268" spans="2:16" ht="15.75" thickBot="1">
      <c r="B268" s="987" t="str">
        <f>"1 Unit Pek. Jendela ( "&amp;HIT.PINTU!C29&amp;" )"</f>
        <v>1 Unit Pek. Jendela (  )</v>
      </c>
      <c r="D268" s="5" t="str">
        <f>K212</f>
        <v>Kusen UPVC + Kaca Temperred 8 mm</v>
      </c>
      <c r="I268" s="1410">
        <f>G217</f>
        <v>250000</v>
      </c>
      <c r="J268" s="2254">
        <f t="shared" si="2"/>
        <v>0</v>
      </c>
    </row>
    <row r="269" spans="2:16" ht="15.75" thickBot="1">
      <c r="B269" s="987" t="str">
        <f>"1 Unit Pek. Jendela ( "&amp;HIT.PINTU!C30&amp;" )"</f>
        <v>1 Unit Pek. Jendela (  )</v>
      </c>
      <c r="D269" s="5" t="str">
        <f>K219</f>
        <v>Kusen UPVC + Jendela UPVC + Kaca Temperred 8 mm</v>
      </c>
      <c r="I269" s="1410">
        <f>G224</f>
        <v>250000</v>
      </c>
      <c r="J269" s="2254">
        <f t="shared" si="2"/>
        <v>0</v>
      </c>
    </row>
    <row r="270" spans="2:16" ht="15.75" thickBot="1">
      <c r="B270" s="987" t="str">
        <f>"1 Unit Pek. Jendela ( "&amp;HIT.PINTU!C31&amp;" )"</f>
        <v>1 Unit Pek. Jendela (  )</v>
      </c>
      <c r="D270" s="5" t="str">
        <f>K226</f>
        <v>Kusen UPVC + Jendela UPVC + Kaca Temperred 8 mm</v>
      </c>
      <c r="I270" s="1410">
        <f>G231</f>
        <v>250000</v>
      </c>
      <c r="J270" s="2254">
        <f t="shared" si="2"/>
        <v>0</v>
      </c>
    </row>
    <row r="271" spans="2:16" ht="15.75" thickBot="1">
      <c r="B271" s="987" t="str">
        <f>"1 Unit Pek. Jendela ( "&amp;HIT.PINTU!C32&amp;" )"</f>
        <v>1 Unit Pek. Jendela (  )</v>
      </c>
      <c r="D271" s="5" t="str">
        <f>K233</f>
        <v>Kusen UPVC + Jendela UPVC + Kaca Temperred 8 mm</v>
      </c>
      <c r="I271" s="1410">
        <f>G238</f>
        <v>250000</v>
      </c>
      <c r="J271" s="2254">
        <f t="shared" si="2"/>
        <v>0</v>
      </c>
    </row>
    <row r="272" spans="2:16" ht="15.75" thickBot="1">
      <c r="B272" s="987" t="str">
        <f>"1 Unit Pek. Jendela ( "&amp;HIT.PINTU!C33&amp;" )"</f>
        <v>1 Unit Pek. Jendela (  )</v>
      </c>
    </row>
    <row r="273" spans="2:2" ht="15.75" thickBot="1">
      <c r="B273" s="987" t="str">
        <f>"1 Unit Pek. Jendela ( "&amp;HIT.PINTU!C34&amp;" )"</f>
        <v>1 Unit Pek. Jendela (  )</v>
      </c>
    </row>
  </sheetData>
  <dataConsolidate link="1"/>
  <mergeCells count="5">
    <mergeCell ref="A2:G3"/>
    <mergeCell ref="A4:A5"/>
    <mergeCell ref="B4:C5"/>
    <mergeCell ref="D4:D5"/>
    <mergeCell ref="E4:E5"/>
  </mergeCells>
  <hyperlinks>
    <hyperlink ref="H16" location="K!I85" display="K!I85" xr:uid="{00000000-0004-0000-0D00-000000000000}"/>
    <hyperlink ref="H17" location="K!I85" display="K!I85" xr:uid="{00000000-0004-0000-0D00-000001000000}"/>
    <hyperlink ref="H20" location="K!I85" display="K!I85" xr:uid="{00000000-0004-0000-0D00-000002000000}"/>
    <hyperlink ref="H21" location="K!I85" display="K!I85" xr:uid="{00000000-0004-0000-0D00-000003000000}"/>
    <hyperlink ref="H19" location="K!I85" display="K!I85" xr:uid="{00000000-0004-0000-0D00-000004000000}"/>
    <hyperlink ref="H25" location="K!I85" display="K!I85" xr:uid="{00000000-0004-0000-0D00-000005000000}"/>
    <hyperlink ref="H84" location="K!I85" display="K!I85" xr:uid="{00000000-0004-0000-0D00-000006000000}"/>
    <hyperlink ref="H85" location="K!I85" display="K!I85" xr:uid="{00000000-0004-0000-0D00-000007000000}"/>
    <hyperlink ref="H88" location="K!I85" display="K!I85" xr:uid="{00000000-0004-0000-0D00-000008000000}"/>
    <hyperlink ref="H93" location="K!I85" display="K!I85" xr:uid="{00000000-0004-0000-0D00-000009000000}"/>
    <hyperlink ref="H94" location="K!I85" display="K!I85" xr:uid="{00000000-0004-0000-0D00-00000A000000}"/>
    <hyperlink ref="H98" location="K!I85" display="K!I85" xr:uid="{00000000-0004-0000-0D00-00000B000000}"/>
    <hyperlink ref="H103" location="K!I85" display="K!I85" xr:uid="{00000000-0004-0000-0D00-00000C000000}"/>
    <hyperlink ref="H104" location="K!I85" display="K!I85" xr:uid="{00000000-0004-0000-0D00-00000D000000}"/>
    <hyperlink ref="H111" location="K!I85" display="K!I85" xr:uid="{00000000-0004-0000-0D00-00000E000000}"/>
    <hyperlink ref="H112" location="K!I85" display="K!I85" xr:uid="{00000000-0004-0000-0D00-00000F000000}"/>
    <hyperlink ref="H114" location="K!I85" display="K!I85" xr:uid="{00000000-0004-0000-0D00-000010000000}"/>
    <hyperlink ref="H119" location="K!I85" display="K!I85" xr:uid="{00000000-0004-0000-0D00-000011000000}"/>
    <hyperlink ref="H120" location="K!I85" display="K!I85" xr:uid="{00000000-0004-0000-0D00-000012000000}"/>
    <hyperlink ref="H127" location="K!I85" display="K!I85" xr:uid="{00000000-0004-0000-0D00-000013000000}"/>
    <hyperlink ref="H129" location="K!I85" display="K!I85" xr:uid="{00000000-0004-0000-0D00-000014000000}"/>
    <hyperlink ref="H130" location="K!I85" display="K!I85" xr:uid="{00000000-0004-0000-0D00-000015000000}"/>
    <hyperlink ref="H135" location="K!I85" display="K!I85" xr:uid="{00000000-0004-0000-0D00-000016000000}"/>
    <hyperlink ref="H136" location="K!I85" display="K!I85" xr:uid="{00000000-0004-0000-0D00-000017000000}"/>
    <hyperlink ref="H137" location="K!I85" display="K!I85" xr:uid="{00000000-0004-0000-0D00-000018000000}"/>
    <hyperlink ref="H142" location="K!I85" display="K!I85" xr:uid="{00000000-0004-0000-0D00-000019000000}"/>
    <hyperlink ref="H143" location="K!I85" display="K!I85" xr:uid="{00000000-0004-0000-0D00-00001A000000}"/>
    <hyperlink ref="H144" location="K!I85" display="K!I85" xr:uid="{00000000-0004-0000-0D00-00001B000000}"/>
    <hyperlink ref="H149" location="K!I85" display="K!I85" xr:uid="{00000000-0004-0000-0D00-00001C000000}"/>
    <hyperlink ref="H150" location="K!I85" display="K!I85" xr:uid="{00000000-0004-0000-0D00-00001D000000}"/>
    <hyperlink ref="H151" location="K!I85" display="K!I85" xr:uid="{00000000-0004-0000-0D00-00001E000000}"/>
    <hyperlink ref="H156" location="K!I85" display="K!I85" xr:uid="{00000000-0004-0000-0D00-00001F000000}"/>
    <hyperlink ref="H157" location="K!I85" display="K!I85" xr:uid="{00000000-0004-0000-0D00-000020000000}"/>
    <hyperlink ref="H158" location="K!I85" display="K!I85" xr:uid="{00000000-0004-0000-0D00-000021000000}"/>
    <hyperlink ref="H163" location="K!I85" display="K!I85" xr:uid="{00000000-0004-0000-0D00-000022000000}"/>
    <hyperlink ref="H164" location="K!I85" display="K!I85" xr:uid="{00000000-0004-0000-0D00-000023000000}"/>
    <hyperlink ref="H165" location="K!I85" display="K!I85" xr:uid="{00000000-0004-0000-0D00-000024000000}"/>
    <hyperlink ref="H170" location="K!I85" display="K!I85" xr:uid="{00000000-0004-0000-0D00-000025000000}"/>
    <hyperlink ref="H171" location="K!I85" display="K!I85" xr:uid="{00000000-0004-0000-0D00-000026000000}"/>
    <hyperlink ref="H172" location="K!I85" display="K!I85" xr:uid="{00000000-0004-0000-0D00-000027000000}"/>
    <hyperlink ref="H177" location="K!I85" display="K!I85" xr:uid="{00000000-0004-0000-0D00-000028000000}"/>
    <hyperlink ref="H178" location="K!I85" display="K!I85" xr:uid="{00000000-0004-0000-0D00-000029000000}"/>
    <hyperlink ref="H179" location="K!I85" display="K!I85" xr:uid="{00000000-0004-0000-0D00-00002A000000}"/>
    <hyperlink ref="H96" location="K!I85" display="K!I85" xr:uid="{00000000-0004-0000-0D00-00002B000000}"/>
    <hyperlink ref="H184" location="K!I85" display="K!I85" xr:uid="{00000000-0004-0000-0D00-00002C000000}"/>
    <hyperlink ref="H185" location="K!I85" display="K!I85" xr:uid="{00000000-0004-0000-0D00-00002D000000}"/>
    <hyperlink ref="H186" location="K!I85" display="K!I85" xr:uid="{00000000-0004-0000-0D00-00002E000000}"/>
    <hyperlink ref="H233" location="K!I85" display="K!I85" xr:uid="{00000000-0004-0000-0D00-00002F000000}"/>
    <hyperlink ref="H234" location="K!I85" display="K!I85" xr:uid="{00000000-0004-0000-0D00-000030000000}"/>
    <hyperlink ref="H235" location="K!I85" display="K!I85" xr:uid="{00000000-0004-0000-0D00-000031000000}"/>
    <hyperlink ref="H191" location="K!I85" display="K!I85" xr:uid="{00000000-0004-0000-0D00-000032000000}"/>
    <hyperlink ref="H192" location="K!I85" display="K!I85" xr:uid="{00000000-0004-0000-0D00-000033000000}"/>
    <hyperlink ref="H193" location="K!I85" display="K!I85" xr:uid="{00000000-0004-0000-0D00-000034000000}"/>
    <hyperlink ref="H198" location="K!I85" display="K!I85" xr:uid="{00000000-0004-0000-0D00-000035000000}"/>
    <hyperlink ref="H199" location="K!I85" display="K!I85" xr:uid="{00000000-0004-0000-0D00-000036000000}"/>
    <hyperlink ref="H200" location="K!I85" display="K!I85" xr:uid="{00000000-0004-0000-0D00-000037000000}"/>
    <hyperlink ref="H205" location="K!I85" display="K!I85" xr:uid="{00000000-0004-0000-0D00-000038000000}"/>
    <hyperlink ref="H206" location="K!I85" display="K!I85" xr:uid="{00000000-0004-0000-0D00-000039000000}"/>
    <hyperlink ref="H207" location="K!I85" display="K!I85" xr:uid="{00000000-0004-0000-0D00-00003A000000}"/>
    <hyperlink ref="H212" location="K!I85" display="K!I85" xr:uid="{00000000-0004-0000-0D00-00003B000000}"/>
    <hyperlink ref="H213" location="K!I85" display="K!I85" xr:uid="{00000000-0004-0000-0D00-00003C000000}"/>
    <hyperlink ref="H214" location="K!I85" display="K!I85" xr:uid="{00000000-0004-0000-0D00-00003D000000}"/>
    <hyperlink ref="H219" location="K!I85" display="K!I85" xr:uid="{00000000-0004-0000-0D00-00003E000000}"/>
    <hyperlink ref="H220" location="K!I85" display="K!I85" xr:uid="{00000000-0004-0000-0D00-00003F000000}"/>
    <hyperlink ref="H221" location="K!I85" display="K!I85" xr:uid="{00000000-0004-0000-0D00-000040000000}"/>
    <hyperlink ref="H226" location="K!I85" display="K!I85" xr:uid="{00000000-0004-0000-0D00-000041000000}"/>
    <hyperlink ref="H227" location="K!I85" display="K!I85" xr:uid="{00000000-0004-0000-0D00-000042000000}"/>
    <hyperlink ref="H228" location="K!I85" display="K!I85" xr:uid="{00000000-0004-0000-0D00-000043000000}"/>
  </hyperlinks>
  <pageMargins left="0.5" right="0.5" top="0.5" bottom="0.5" header="0.3" footer="0.3"/>
  <pageSetup paperSize="9" orientation="portrait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9"/>
  <dimension ref="A1:J516"/>
  <sheetViews>
    <sheetView topLeftCell="A82" zoomScale="115" zoomScaleNormal="115" zoomScaleSheetLayoutView="115" workbookViewId="0">
      <selection activeCell="F109" sqref="F109"/>
    </sheetView>
  </sheetViews>
  <sheetFormatPr defaultRowHeight="15"/>
  <cols>
    <col min="1" max="1" width="2" style="5" customWidth="1"/>
    <col min="2" max="2" width="7.5703125" style="5" customWidth="1"/>
    <col min="3" max="3" width="8.5703125" style="5" customWidth="1"/>
    <col min="4" max="4" width="27.140625" style="5" customWidth="1"/>
    <col min="5" max="5" width="8.5703125" style="5" bestFit="1" customWidth="1"/>
    <col min="6" max="6" width="10.7109375" style="5" bestFit="1" customWidth="1"/>
    <col min="7" max="7" width="17.5703125" style="5" customWidth="1"/>
    <col min="8" max="8" width="20.85546875" style="5" customWidth="1"/>
    <col min="9" max="9" width="9.140625" style="5"/>
    <col min="10" max="10" width="9.140625" style="1958" customWidth="1"/>
    <col min="11" max="240" width="9.140625" style="5"/>
    <col min="241" max="241" width="2" style="5" customWidth="1"/>
    <col min="242" max="242" width="7.5703125" style="5" customWidth="1"/>
    <col min="243" max="243" width="2.42578125" style="5" customWidth="1"/>
    <col min="244" max="244" width="27.140625" style="5" customWidth="1"/>
    <col min="245" max="245" width="8" style="5" customWidth="1"/>
    <col min="246" max="246" width="8.7109375" style="5" customWidth="1"/>
    <col min="247" max="247" width="17.5703125" style="5" customWidth="1"/>
    <col min="248" max="248" width="20.85546875" style="5" customWidth="1"/>
    <col min="249" max="249" width="9.140625" style="5"/>
    <col min="250" max="250" width="19" style="5" customWidth="1"/>
    <col min="251" max="496" width="9.140625" style="5"/>
    <col min="497" max="497" width="2" style="5" customWidth="1"/>
    <col min="498" max="498" width="7.5703125" style="5" customWidth="1"/>
    <col min="499" max="499" width="2.42578125" style="5" customWidth="1"/>
    <col min="500" max="500" width="27.140625" style="5" customWidth="1"/>
    <col min="501" max="501" width="8" style="5" customWidth="1"/>
    <col min="502" max="502" width="8.7109375" style="5" customWidth="1"/>
    <col min="503" max="503" width="17.5703125" style="5" customWidth="1"/>
    <col min="504" max="504" width="20.85546875" style="5" customWidth="1"/>
    <col min="505" max="505" width="9.140625" style="5"/>
    <col min="506" max="506" width="19" style="5" customWidth="1"/>
    <col min="507" max="752" width="9.140625" style="5"/>
    <col min="753" max="753" width="2" style="5" customWidth="1"/>
    <col min="754" max="754" width="7.5703125" style="5" customWidth="1"/>
    <col min="755" max="755" width="2.42578125" style="5" customWidth="1"/>
    <col min="756" max="756" width="27.140625" style="5" customWidth="1"/>
    <col min="757" max="757" width="8" style="5" customWidth="1"/>
    <col min="758" max="758" width="8.7109375" style="5" customWidth="1"/>
    <col min="759" max="759" width="17.5703125" style="5" customWidth="1"/>
    <col min="760" max="760" width="20.85546875" style="5" customWidth="1"/>
    <col min="761" max="761" width="9.140625" style="5"/>
    <col min="762" max="762" width="19" style="5" customWidth="1"/>
    <col min="763" max="1008" width="9.140625" style="5"/>
    <col min="1009" max="1009" width="2" style="5" customWidth="1"/>
    <col min="1010" max="1010" width="7.5703125" style="5" customWidth="1"/>
    <col min="1011" max="1011" width="2.42578125" style="5" customWidth="1"/>
    <col min="1012" max="1012" width="27.140625" style="5" customWidth="1"/>
    <col min="1013" max="1013" width="8" style="5" customWidth="1"/>
    <col min="1014" max="1014" width="8.7109375" style="5" customWidth="1"/>
    <col min="1015" max="1015" width="17.5703125" style="5" customWidth="1"/>
    <col min="1016" max="1016" width="20.85546875" style="5" customWidth="1"/>
    <col min="1017" max="1017" width="9.140625" style="5"/>
    <col min="1018" max="1018" width="19" style="5" customWidth="1"/>
    <col min="1019" max="1264" width="9.140625" style="5"/>
    <col min="1265" max="1265" width="2" style="5" customWidth="1"/>
    <col min="1266" max="1266" width="7.5703125" style="5" customWidth="1"/>
    <col min="1267" max="1267" width="2.42578125" style="5" customWidth="1"/>
    <col min="1268" max="1268" width="27.140625" style="5" customWidth="1"/>
    <col min="1269" max="1269" width="8" style="5" customWidth="1"/>
    <col min="1270" max="1270" width="8.7109375" style="5" customWidth="1"/>
    <col min="1271" max="1271" width="17.5703125" style="5" customWidth="1"/>
    <col min="1272" max="1272" width="20.85546875" style="5" customWidth="1"/>
    <col min="1273" max="1273" width="9.140625" style="5"/>
    <col min="1274" max="1274" width="19" style="5" customWidth="1"/>
    <col min="1275" max="1520" width="9.140625" style="5"/>
    <col min="1521" max="1521" width="2" style="5" customWidth="1"/>
    <col min="1522" max="1522" width="7.5703125" style="5" customWidth="1"/>
    <col min="1523" max="1523" width="2.42578125" style="5" customWidth="1"/>
    <col min="1524" max="1524" width="27.140625" style="5" customWidth="1"/>
    <col min="1525" max="1525" width="8" style="5" customWidth="1"/>
    <col min="1526" max="1526" width="8.7109375" style="5" customWidth="1"/>
    <col min="1527" max="1527" width="17.5703125" style="5" customWidth="1"/>
    <col min="1528" max="1528" width="20.85546875" style="5" customWidth="1"/>
    <col min="1529" max="1529" width="9.140625" style="5"/>
    <col min="1530" max="1530" width="19" style="5" customWidth="1"/>
    <col min="1531" max="1776" width="9.140625" style="5"/>
    <col min="1777" max="1777" width="2" style="5" customWidth="1"/>
    <col min="1778" max="1778" width="7.5703125" style="5" customWidth="1"/>
    <col min="1779" max="1779" width="2.42578125" style="5" customWidth="1"/>
    <col min="1780" max="1780" width="27.140625" style="5" customWidth="1"/>
    <col min="1781" max="1781" width="8" style="5" customWidth="1"/>
    <col min="1782" max="1782" width="8.7109375" style="5" customWidth="1"/>
    <col min="1783" max="1783" width="17.5703125" style="5" customWidth="1"/>
    <col min="1784" max="1784" width="20.85546875" style="5" customWidth="1"/>
    <col min="1785" max="1785" width="9.140625" style="5"/>
    <col min="1786" max="1786" width="19" style="5" customWidth="1"/>
    <col min="1787" max="2032" width="9.140625" style="5"/>
    <col min="2033" max="2033" width="2" style="5" customWidth="1"/>
    <col min="2034" max="2034" width="7.5703125" style="5" customWidth="1"/>
    <col min="2035" max="2035" width="2.42578125" style="5" customWidth="1"/>
    <col min="2036" max="2036" width="27.140625" style="5" customWidth="1"/>
    <col min="2037" max="2037" width="8" style="5" customWidth="1"/>
    <col min="2038" max="2038" width="8.7109375" style="5" customWidth="1"/>
    <col min="2039" max="2039" width="17.5703125" style="5" customWidth="1"/>
    <col min="2040" max="2040" width="20.85546875" style="5" customWidth="1"/>
    <col min="2041" max="2041" width="9.140625" style="5"/>
    <col min="2042" max="2042" width="19" style="5" customWidth="1"/>
    <col min="2043" max="2288" width="9.140625" style="5"/>
    <col min="2289" max="2289" width="2" style="5" customWidth="1"/>
    <col min="2290" max="2290" width="7.5703125" style="5" customWidth="1"/>
    <col min="2291" max="2291" width="2.42578125" style="5" customWidth="1"/>
    <col min="2292" max="2292" width="27.140625" style="5" customWidth="1"/>
    <col min="2293" max="2293" width="8" style="5" customWidth="1"/>
    <col min="2294" max="2294" width="8.7109375" style="5" customWidth="1"/>
    <col min="2295" max="2295" width="17.5703125" style="5" customWidth="1"/>
    <col min="2296" max="2296" width="20.85546875" style="5" customWidth="1"/>
    <col min="2297" max="2297" width="9.140625" style="5"/>
    <col min="2298" max="2298" width="19" style="5" customWidth="1"/>
    <col min="2299" max="2544" width="9.140625" style="5"/>
    <col min="2545" max="2545" width="2" style="5" customWidth="1"/>
    <col min="2546" max="2546" width="7.5703125" style="5" customWidth="1"/>
    <col min="2547" max="2547" width="2.42578125" style="5" customWidth="1"/>
    <col min="2548" max="2548" width="27.140625" style="5" customWidth="1"/>
    <col min="2549" max="2549" width="8" style="5" customWidth="1"/>
    <col min="2550" max="2550" width="8.7109375" style="5" customWidth="1"/>
    <col min="2551" max="2551" width="17.5703125" style="5" customWidth="1"/>
    <col min="2552" max="2552" width="20.85546875" style="5" customWidth="1"/>
    <col min="2553" max="2553" width="9.140625" style="5"/>
    <col min="2554" max="2554" width="19" style="5" customWidth="1"/>
    <col min="2555" max="2800" width="9.140625" style="5"/>
    <col min="2801" max="2801" width="2" style="5" customWidth="1"/>
    <col min="2802" max="2802" width="7.5703125" style="5" customWidth="1"/>
    <col min="2803" max="2803" width="2.42578125" style="5" customWidth="1"/>
    <col min="2804" max="2804" width="27.140625" style="5" customWidth="1"/>
    <col min="2805" max="2805" width="8" style="5" customWidth="1"/>
    <col min="2806" max="2806" width="8.7109375" style="5" customWidth="1"/>
    <col min="2807" max="2807" width="17.5703125" style="5" customWidth="1"/>
    <col min="2808" max="2808" width="20.85546875" style="5" customWidth="1"/>
    <col min="2809" max="2809" width="9.140625" style="5"/>
    <col min="2810" max="2810" width="19" style="5" customWidth="1"/>
    <col min="2811" max="3056" width="9.140625" style="5"/>
    <col min="3057" max="3057" width="2" style="5" customWidth="1"/>
    <col min="3058" max="3058" width="7.5703125" style="5" customWidth="1"/>
    <col min="3059" max="3059" width="2.42578125" style="5" customWidth="1"/>
    <col min="3060" max="3060" width="27.140625" style="5" customWidth="1"/>
    <col min="3061" max="3061" width="8" style="5" customWidth="1"/>
    <col min="3062" max="3062" width="8.7109375" style="5" customWidth="1"/>
    <col min="3063" max="3063" width="17.5703125" style="5" customWidth="1"/>
    <col min="3064" max="3064" width="20.85546875" style="5" customWidth="1"/>
    <col min="3065" max="3065" width="9.140625" style="5"/>
    <col min="3066" max="3066" width="19" style="5" customWidth="1"/>
    <col min="3067" max="3312" width="9.140625" style="5"/>
    <col min="3313" max="3313" width="2" style="5" customWidth="1"/>
    <col min="3314" max="3314" width="7.5703125" style="5" customWidth="1"/>
    <col min="3315" max="3315" width="2.42578125" style="5" customWidth="1"/>
    <col min="3316" max="3316" width="27.140625" style="5" customWidth="1"/>
    <col min="3317" max="3317" width="8" style="5" customWidth="1"/>
    <col min="3318" max="3318" width="8.7109375" style="5" customWidth="1"/>
    <col min="3319" max="3319" width="17.5703125" style="5" customWidth="1"/>
    <col min="3320" max="3320" width="20.85546875" style="5" customWidth="1"/>
    <col min="3321" max="3321" width="9.140625" style="5"/>
    <col min="3322" max="3322" width="19" style="5" customWidth="1"/>
    <col min="3323" max="3568" width="9.140625" style="5"/>
    <col min="3569" max="3569" width="2" style="5" customWidth="1"/>
    <col min="3570" max="3570" width="7.5703125" style="5" customWidth="1"/>
    <col min="3571" max="3571" width="2.42578125" style="5" customWidth="1"/>
    <col min="3572" max="3572" width="27.140625" style="5" customWidth="1"/>
    <col min="3573" max="3573" width="8" style="5" customWidth="1"/>
    <col min="3574" max="3574" width="8.7109375" style="5" customWidth="1"/>
    <col min="3575" max="3575" width="17.5703125" style="5" customWidth="1"/>
    <col min="3576" max="3576" width="20.85546875" style="5" customWidth="1"/>
    <col min="3577" max="3577" width="9.140625" style="5"/>
    <col min="3578" max="3578" width="19" style="5" customWidth="1"/>
    <col min="3579" max="3824" width="9.140625" style="5"/>
    <col min="3825" max="3825" width="2" style="5" customWidth="1"/>
    <col min="3826" max="3826" width="7.5703125" style="5" customWidth="1"/>
    <col min="3827" max="3827" width="2.42578125" style="5" customWidth="1"/>
    <col min="3828" max="3828" width="27.140625" style="5" customWidth="1"/>
    <col min="3829" max="3829" width="8" style="5" customWidth="1"/>
    <col min="3830" max="3830" width="8.7109375" style="5" customWidth="1"/>
    <col min="3831" max="3831" width="17.5703125" style="5" customWidth="1"/>
    <col min="3832" max="3832" width="20.85546875" style="5" customWidth="1"/>
    <col min="3833" max="3833" width="9.140625" style="5"/>
    <col min="3834" max="3834" width="19" style="5" customWidth="1"/>
    <col min="3835" max="4080" width="9.140625" style="5"/>
    <col min="4081" max="4081" width="2" style="5" customWidth="1"/>
    <col min="4082" max="4082" width="7.5703125" style="5" customWidth="1"/>
    <col min="4083" max="4083" width="2.42578125" style="5" customWidth="1"/>
    <col min="4084" max="4084" width="27.140625" style="5" customWidth="1"/>
    <col min="4085" max="4085" width="8" style="5" customWidth="1"/>
    <col min="4086" max="4086" width="8.7109375" style="5" customWidth="1"/>
    <col min="4087" max="4087" width="17.5703125" style="5" customWidth="1"/>
    <col min="4088" max="4088" width="20.85546875" style="5" customWidth="1"/>
    <col min="4089" max="4089" width="9.140625" style="5"/>
    <col min="4090" max="4090" width="19" style="5" customWidth="1"/>
    <col min="4091" max="4336" width="9.140625" style="5"/>
    <col min="4337" max="4337" width="2" style="5" customWidth="1"/>
    <col min="4338" max="4338" width="7.5703125" style="5" customWidth="1"/>
    <col min="4339" max="4339" width="2.42578125" style="5" customWidth="1"/>
    <col min="4340" max="4340" width="27.140625" style="5" customWidth="1"/>
    <col min="4341" max="4341" width="8" style="5" customWidth="1"/>
    <col min="4342" max="4342" width="8.7109375" style="5" customWidth="1"/>
    <col min="4343" max="4343" width="17.5703125" style="5" customWidth="1"/>
    <col min="4344" max="4344" width="20.85546875" style="5" customWidth="1"/>
    <col min="4345" max="4345" width="9.140625" style="5"/>
    <col min="4346" max="4346" width="19" style="5" customWidth="1"/>
    <col min="4347" max="4592" width="9.140625" style="5"/>
    <col min="4593" max="4593" width="2" style="5" customWidth="1"/>
    <col min="4594" max="4594" width="7.5703125" style="5" customWidth="1"/>
    <col min="4595" max="4595" width="2.42578125" style="5" customWidth="1"/>
    <col min="4596" max="4596" width="27.140625" style="5" customWidth="1"/>
    <col min="4597" max="4597" width="8" style="5" customWidth="1"/>
    <col min="4598" max="4598" width="8.7109375" style="5" customWidth="1"/>
    <col min="4599" max="4599" width="17.5703125" style="5" customWidth="1"/>
    <col min="4600" max="4600" width="20.85546875" style="5" customWidth="1"/>
    <col min="4601" max="4601" width="9.140625" style="5"/>
    <col min="4602" max="4602" width="19" style="5" customWidth="1"/>
    <col min="4603" max="4848" width="9.140625" style="5"/>
    <col min="4849" max="4849" width="2" style="5" customWidth="1"/>
    <col min="4850" max="4850" width="7.5703125" style="5" customWidth="1"/>
    <col min="4851" max="4851" width="2.42578125" style="5" customWidth="1"/>
    <col min="4852" max="4852" width="27.140625" style="5" customWidth="1"/>
    <col min="4853" max="4853" width="8" style="5" customWidth="1"/>
    <col min="4854" max="4854" width="8.7109375" style="5" customWidth="1"/>
    <col min="4855" max="4855" width="17.5703125" style="5" customWidth="1"/>
    <col min="4856" max="4856" width="20.85546875" style="5" customWidth="1"/>
    <col min="4857" max="4857" width="9.140625" style="5"/>
    <col min="4858" max="4858" width="19" style="5" customWidth="1"/>
    <col min="4859" max="5104" width="9.140625" style="5"/>
    <col min="5105" max="5105" width="2" style="5" customWidth="1"/>
    <col min="5106" max="5106" width="7.5703125" style="5" customWidth="1"/>
    <col min="5107" max="5107" width="2.42578125" style="5" customWidth="1"/>
    <col min="5108" max="5108" width="27.140625" style="5" customWidth="1"/>
    <col min="5109" max="5109" width="8" style="5" customWidth="1"/>
    <col min="5110" max="5110" width="8.7109375" style="5" customWidth="1"/>
    <col min="5111" max="5111" width="17.5703125" style="5" customWidth="1"/>
    <col min="5112" max="5112" width="20.85546875" style="5" customWidth="1"/>
    <col min="5113" max="5113" width="9.140625" style="5"/>
    <col min="5114" max="5114" width="19" style="5" customWidth="1"/>
    <col min="5115" max="5360" width="9.140625" style="5"/>
    <col min="5361" max="5361" width="2" style="5" customWidth="1"/>
    <col min="5362" max="5362" width="7.5703125" style="5" customWidth="1"/>
    <col min="5363" max="5363" width="2.42578125" style="5" customWidth="1"/>
    <col min="5364" max="5364" width="27.140625" style="5" customWidth="1"/>
    <col min="5365" max="5365" width="8" style="5" customWidth="1"/>
    <col min="5366" max="5366" width="8.7109375" style="5" customWidth="1"/>
    <col min="5367" max="5367" width="17.5703125" style="5" customWidth="1"/>
    <col min="5368" max="5368" width="20.85546875" style="5" customWidth="1"/>
    <col min="5369" max="5369" width="9.140625" style="5"/>
    <col min="5370" max="5370" width="19" style="5" customWidth="1"/>
    <col min="5371" max="5616" width="9.140625" style="5"/>
    <col min="5617" max="5617" width="2" style="5" customWidth="1"/>
    <col min="5618" max="5618" width="7.5703125" style="5" customWidth="1"/>
    <col min="5619" max="5619" width="2.42578125" style="5" customWidth="1"/>
    <col min="5620" max="5620" width="27.140625" style="5" customWidth="1"/>
    <col min="5621" max="5621" width="8" style="5" customWidth="1"/>
    <col min="5622" max="5622" width="8.7109375" style="5" customWidth="1"/>
    <col min="5623" max="5623" width="17.5703125" style="5" customWidth="1"/>
    <col min="5624" max="5624" width="20.85546875" style="5" customWidth="1"/>
    <col min="5625" max="5625" width="9.140625" style="5"/>
    <col min="5626" max="5626" width="19" style="5" customWidth="1"/>
    <col min="5627" max="5872" width="9.140625" style="5"/>
    <col min="5873" max="5873" width="2" style="5" customWidth="1"/>
    <col min="5874" max="5874" width="7.5703125" style="5" customWidth="1"/>
    <col min="5875" max="5875" width="2.42578125" style="5" customWidth="1"/>
    <col min="5876" max="5876" width="27.140625" style="5" customWidth="1"/>
    <col min="5877" max="5877" width="8" style="5" customWidth="1"/>
    <col min="5878" max="5878" width="8.7109375" style="5" customWidth="1"/>
    <col min="5879" max="5879" width="17.5703125" style="5" customWidth="1"/>
    <col min="5880" max="5880" width="20.85546875" style="5" customWidth="1"/>
    <col min="5881" max="5881" width="9.140625" style="5"/>
    <col min="5882" max="5882" width="19" style="5" customWidth="1"/>
    <col min="5883" max="6128" width="9.140625" style="5"/>
    <col min="6129" max="6129" width="2" style="5" customWidth="1"/>
    <col min="6130" max="6130" width="7.5703125" style="5" customWidth="1"/>
    <col min="6131" max="6131" width="2.42578125" style="5" customWidth="1"/>
    <col min="6132" max="6132" width="27.140625" style="5" customWidth="1"/>
    <col min="6133" max="6133" width="8" style="5" customWidth="1"/>
    <col min="6134" max="6134" width="8.7109375" style="5" customWidth="1"/>
    <col min="6135" max="6135" width="17.5703125" style="5" customWidth="1"/>
    <col min="6136" max="6136" width="20.85546875" style="5" customWidth="1"/>
    <col min="6137" max="6137" width="9.140625" style="5"/>
    <col min="6138" max="6138" width="19" style="5" customWidth="1"/>
    <col min="6139" max="6384" width="9.140625" style="5"/>
    <col min="6385" max="6385" width="2" style="5" customWidth="1"/>
    <col min="6386" max="6386" width="7.5703125" style="5" customWidth="1"/>
    <col min="6387" max="6387" width="2.42578125" style="5" customWidth="1"/>
    <col min="6388" max="6388" width="27.140625" style="5" customWidth="1"/>
    <col min="6389" max="6389" width="8" style="5" customWidth="1"/>
    <col min="6390" max="6390" width="8.7109375" style="5" customWidth="1"/>
    <col min="6391" max="6391" width="17.5703125" style="5" customWidth="1"/>
    <col min="6392" max="6392" width="20.85546875" style="5" customWidth="1"/>
    <col min="6393" max="6393" width="9.140625" style="5"/>
    <col min="6394" max="6394" width="19" style="5" customWidth="1"/>
    <col min="6395" max="6640" width="9.140625" style="5"/>
    <col min="6641" max="6641" width="2" style="5" customWidth="1"/>
    <col min="6642" max="6642" width="7.5703125" style="5" customWidth="1"/>
    <col min="6643" max="6643" width="2.42578125" style="5" customWidth="1"/>
    <col min="6644" max="6644" width="27.140625" style="5" customWidth="1"/>
    <col min="6645" max="6645" width="8" style="5" customWidth="1"/>
    <col min="6646" max="6646" width="8.7109375" style="5" customWidth="1"/>
    <col min="6647" max="6647" width="17.5703125" style="5" customWidth="1"/>
    <col min="6648" max="6648" width="20.85546875" style="5" customWidth="1"/>
    <col min="6649" max="6649" width="9.140625" style="5"/>
    <col min="6650" max="6650" width="19" style="5" customWidth="1"/>
    <col min="6651" max="6896" width="9.140625" style="5"/>
    <col min="6897" max="6897" width="2" style="5" customWidth="1"/>
    <col min="6898" max="6898" width="7.5703125" style="5" customWidth="1"/>
    <col min="6899" max="6899" width="2.42578125" style="5" customWidth="1"/>
    <col min="6900" max="6900" width="27.140625" style="5" customWidth="1"/>
    <col min="6901" max="6901" width="8" style="5" customWidth="1"/>
    <col min="6902" max="6902" width="8.7109375" style="5" customWidth="1"/>
    <col min="6903" max="6903" width="17.5703125" style="5" customWidth="1"/>
    <col min="6904" max="6904" width="20.85546875" style="5" customWidth="1"/>
    <col min="6905" max="6905" width="9.140625" style="5"/>
    <col min="6906" max="6906" width="19" style="5" customWidth="1"/>
    <col min="6907" max="7152" width="9.140625" style="5"/>
    <col min="7153" max="7153" width="2" style="5" customWidth="1"/>
    <col min="7154" max="7154" width="7.5703125" style="5" customWidth="1"/>
    <col min="7155" max="7155" width="2.42578125" style="5" customWidth="1"/>
    <col min="7156" max="7156" width="27.140625" style="5" customWidth="1"/>
    <col min="7157" max="7157" width="8" style="5" customWidth="1"/>
    <col min="7158" max="7158" width="8.7109375" style="5" customWidth="1"/>
    <col min="7159" max="7159" width="17.5703125" style="5" customWidth="1"/>
    <col min="7160" max="7160" width="20.85546875" style="5" customWidth="1"/>
    <col min="7161" max="7161" width="9.140625" style="5"/>
    <col min="7162" max="7162" width="19" style="5" customWidth="1"/>
    <col min="7163" max="7408" width="9.140625" style="5"/>
    <col min="7409" max="7409" width="2" style="5" customWidth="1"/>
    <col min="7410" max="7410" width="7.5703125" style="5" customWidth="1"/>
    <col min="7411" max="7411" width="2.42578125" style="5" customWidth="1"/>
    <col min="7412" max="7412" width="27.140625" style="5" customWidth="1"/>
    <col min="7413" max="7413" width="8" style="5" customWidth="1"/>
    <col min="7414" max="7414" width="8.7109375" style="5" customWidth="1"/>
    <col min="7415" max="7415" width="17.5703125" style="5" customWidth="1"/>
    <col min="7416" max="7416" width="20.85546875" style="5" customWidth="1"/>
    <col min="7417" max="7417" width="9.140625" style="5"/>
    <col min="7418" max="7418" width="19" style="5" customWidth="1"/>
    <col min="7419" max="7664" width="9.140625" style="5"/>
    <col min="7665" max="7665" width="2" style="5" customWidth="1"/>
    <col min="7666" max="7666" width="7.5703125" style="5" customWidth="1"/>
    <col min="7667" max="7667" width="2.42578125" style="5" customWidth="1"/>
    <col min="7668" max="7668" width="27.140625" style="5" customWidth="1"/>
    <col min="7669" max="7669" width="8" style="5" customWidth="1"/>
    <col min="7670" max="7670" width="8.7109375" style="5" customWidth="1"/>
    <col min="7671" max="7671" width="17.5703125" style="5" customWidth="1"/>
    <col min="7672" max="7672" width="20.85546875" style="5" customWidth="1"/>
    <col min="7673" max="7673" width="9.140625" style="5"/>
    <col min="7674" max="7674" width="19" style="5" customWidth="1"/>
    <col min="7675" max="7920" width="9.140625" style="5"/>
    <col min="7921" max="7921" width="2" style="5" customWidth="1"/>
    <col min="7922" max="7922" width="7.5703125" style="5" customWidth="1"/>
    <col min="7923" max="7923" width="2.42578125" style="5" customWidth="1"/>
    <col min="7924" max="7924" width="27.140625" style="5" customWidth="1"/>
    <col min="7925" max="7925" width="8" style="5" customWidth="1"/>
    <col min="7926" max="7926" width="8.7109375" style="5" customWidth="1"/>
    <col min="7927" max="7927" width="17.5703125" style="5" customWidth="1"/>
    <col min="7928" max="7928" width="20.85546875" style="5" customWidth="1"/>
    <col min="7929" max="7929" width="9.140625" style="5"/>
    <col min="7930" max="7930" width="19" style="5" customWidth="1"/>
    <col min="7931" max="8176" width="9.140625" style="5"/>
    <col min="8177" max="8177" width="2" style="5" customWidth="1"/>
    <col min="8178" max="8178" width="7.5703125" style="5" customWidth="1"/>
    <col min="8179" max="8179" width="2.42578125" style="5" customWidth="1"/>
    <col min="8180" max="8180" width="27.140625" style="5" customWidth="1"/>
    <col min="8181" max="8181" width="8" style="5" customWidth="1"/>
    <col min="8182" max="8182" width="8.7109375" style="5" customWidth="1"/>
    <col min="8183" max="8183" width="17.5703125" style="5" customWidth="1"/>
    <col min="8184" max="8184" width="20.85546875" style="5" customWidth="1"/>
    <col min="8185" max="8185" width="9.140625" style="5"/>
    <col min="8186" max="8186" width="19" style="5" customWidth="1"/>
    <col min="8187" max="8432" width="9.140625" style="5"/>
    <col min="8433" max="8433" width="2" style="5" customWidth="1"/>
    <col min="8434" max="8434" width="7.5703125" style="5" customWidth="1"/>
    <col min="8435" max="8435" width="2.42578125" style="5" customWidth="1"/>
    <col min="8436" max="8436" width="27.140625" style="5" customWidth="1"/>
    <col min="8437" max="8437" width="8" style="5" customWidth="1"/>
    <col min="8438" max="8438" width="8.7109375" style="5" customWidth="1"/>
    <col min="8439" max="8439" width="17.5703125" style="5" customWidth="1"/>
    <col min="8440" max="8440" width="20.85546875" style="5" customWidth="1"/>
    <col min="8441" max="8441" width="9.140625" style="5"/>
    <col min="8442" max="8442" width="19" style="5" customWidth="1"/>
    <col min="8443" max="8688" width="9.140625" style="5"/>
    <col min="8689" max="8689" width="2" style="5" customWidth="1"/>
    <col min="8690" max="8690" width="7.5703125" style="5" customWidth="1"/>
    <col min="8691" max="8691" width="2.42578125" style="5" customWidth="1"/>
    <col min="8692" max="8692" width="27.140625" style="5" customWidth="1"/>
    <col min="8693" max="8693" width="8" style="5" customWidth="1"/>
    <col min="8694" max="8694" width="8.7109375" style="5" customWidth="1"/>
    <col min="8695" max="8695" width="17.5703125" style="5" customWidth="1"/>
    <col min="8696" max="8696" width="20.85546875" style="5" customWidth="1"/>
    <col min="8697" max="8697" width="9.140625" style="5"/>
    <col min="8698" max="8698" width="19" style="5" customWidth="1"/>
    <col min="8699" max="8944" width="9.140625" style="5"/>
    <col min="8945" max="8945" width="2" style="5" customWidth="1"/>
    <col min="8946" max="8946" width="7.5703125" style="5" customWidth="1"/>
    <col min="8947" max="8947" width="2.42578125" style="5" customWidth="1"/>
    <col min="8948" max="8948" width="27.140625" style="5" customWidth="1"/>
    <col min="8949" max="8949" width="8" style="5" customWidth="1"/>
    <col min="8950" max="8950" width="8.7109375" style="5" customWidth="1"/>
    <col min="8951" max="8951" width="17.5703125" style="5" customWidth="1"/>
    <col min="8952" max="8952" width="20.85546875" style="5" customWidth="1"/>
    <col min="8953" max="8953" width="9.140625" style="5"/>
    <col min="8954" max="8954" width="19" style="5" customWidth="1"/>
    <col min="8955" max="9200" width="9.140625" style="5"/>
    <col min="9201" max="9201" width="2" style="5" customWidth="1"/>
    <col min="9202" max="9202" width="7.5703125" style="5" customWidth="1"/>
    <col min="9203" max="9203" width="2.42578125" style="5" customWidth="1"/>
    <col min="9204" max="9204" width="27.140625" style="5" customWidth="1"/>
    <col min="9205" max="9205" width="8" style="5" customWidth="1"/>
    <col min="9206" max="9206" width="8.7109375" style="5" customWidth="1"/>
    <col min="9207" max="9207" width="17.5703125" style="5" customWidth="1"/>
    <col min="9208" max="9208" width="20.85546875" style="5" customWidth="1"/>
    <col min="9209" max="9209" width="9.140625" style="5"/>
    <col min="9210" max="9210" width="19" style="5" customWidth="1"/>
    <col min="9211" max="9456" width="9.140625" style="5"/>
    <col min="9457" max="9457" width="2" style="5" customWidth="1"/>
    <col min="9458" max="9458" width="7.5703125" style="5" customWidth="1"/>
    <col min="9459" max="9459" width="2.42578125" style="5" customWidth="1"/>
    <col min="9460" max="9460" width="27.140625" style="5" customWidth="1"/>
    <col min="9461" max="9461" width="8" style="5" customWidth="1"/>
    <col min="9462" max="9462" width="8.7109375" style="5" customWidth="1"/>
    <col min="9463" max="9463" width="17.5703125" style="5" customWidth="1"/>
    <col min="9464" max="9464" width="20.85546875" style="5" customWidth="1"/>
    <col min="9465" max="9465" width="9.140625" style="5"/>
    <col min="9466" max="9466" width="19" style="5" customWidth="1"/>
    <col min="9467" max="9712" width="9.140625" style="5"/>
    <col min="9713" max="9713" width="2" style="5" customWidth="1"/>
    <col min="9714" max="9714" width="7.5703125" style="5" customWidth="1"/>
    <col min="9715" max="9715" width="2.42578125" style="5" customWidth="1"/>
    <col min="9716" max="9716" width="27.140625" style="5" customWidth="1"/>
    <col min="9717" max="9717" width="8" style="5" customWidth="1"/>
    <col min="9718" max="9718" width="8.7109375" style="5" customWidth="1"/>
    <col min="9719" max="9719" width="17.5703125" style="5" customWidth="1"/>
    <col min="9720" max="9720" width="20.85546875" style="5" customWidth="1"/>
    <col min="9721" max="9721" width="9.140625" style="5"/>
    <col min="9722" max="9722" width="19" style="5" customWidth="1"/>
    <col min="9723" max="9968" width="9.140625" style="5"/>
    <col min="9969" max="9969" width="2" style="5" customWidth="1"/>
    <col min="9970" max="9970" width="7.5703125" style="5" customWidth="1"/>
    <col min="9971" max="9971" width="2.42578125" style="5" customWidth="1"/>
    <col min="9972" max="9972" width="27.140625" style="5" customWidth="1"/>
    <col min="9973" max="9973" width="8" style="5" customWidth="1"/>
    <col min="9974" max="9974" width="8.7109375" style="5" customWidth="1"/>
    <col min="9975" max="9975" width="17.5703125" style="5" customWidth="1"/>
    <col min="9976" max="9976" width="20.85546875" style="5" customWidth="1"/>
    <col min="9977" max="9977" width="9.140625" style="5"/>
    <col min="9978" max="9978" width="19" style="5" customWidth="1"/>
    <col min="9979" max="10224" width="9.140625" style="5"/>
    <col min="10225" max="10225" width="2" style="5" customWidth="1"/>
    <col min="10226" max="10226" width="7.5703125" style="5" customWidth="1"/>
    <col min="10227" max="10227" width="2.42578125" style="5" customWidth="1"/>
    <col min="10228" max="10228" width="27.140625" style="5" customWidth="1"/>
    <col min="10229" max="10229" width="8" style="5" customWidth="1"/>
    <col min="10230" max="10230" width="8.7109375" style="5" customWidth="1"/>
    <col min="10231" max="10231" width="17.5703125" style="5" customWidth="1"/>
    <col min="10232" max="10232" width="20.85546875" style="5" customWidth="1"/>
    <col min="10233" max="10233" width="9.140625" style="5"/>
    <col min="10234" max="10234" width="19" style="5" customWidth="1"/>
    <col min="10235" max="10480" width="9.140625" style="5"/>
    <col min="10481" max="10481" width="2" style="5" customWidth="1"/>
    <col min="10482" max="10482" width="7.5703125" style="5" customWidth="1"/>
    <col min="10483" max="10483" width="2.42578125" style="5" customWidth="1"/>
    <col min="10484" max="10484" width="27.140625" style="5" customWidth="1"/>
    <col min="10485" max="10485" width="8" style="5" customWidth="1"/>
    <col min="10486" max="10486" width="8.7109375" style="5" customWidth="1"/>
    <col min="10487" max="10487" width="17.5703125" style="5" customWidth="1"/>
    <col min="10488" max="10488" width="20.85546875" style="5" customWidth="1"/>
    <col min="10489" max="10489" width="9.140625" style="5"/>
    <col min="10490" max="10490" width="19" style="5" customWidth="1"/>
    <col min="10491" max="10736" width="9.140625" style="5"/>
    <col min="10737" max="10737" width="2" style="5" customWidth="1"/>
    <col min="10738" max="10738" width="7.5703125" style="5" customWidth="1"/>
    <col min="10739" max="10739" width="2.42578125" style="5" customWidth="1"/>
    <col min="10740" max="10740" width="27.140625" style="5" customWidth="1"/>
    <col min="10741" max="10741" width="8" style="5" customWidth="1"/>
    <col min="10742" max="10742" width="8.7109375" style="5" customWidth="1"/>
    <col min="10743" max="10743" width="17.5703125" style="5" customWidth="1"/>
    <col min="10744" max="10744" width="20.85546875" style="5" customWidth="1"/>
    <col min="10745" max="10745" width="9.140625" style="5"/>
    <col min="10746" max="10746" width="19" style="5" customWidth="1"/>
    <col min="10747" max="10992" width="9.140625" style="5"/>
    <col min="10993" max="10993" width="2" style="5" customWidth="1"/>
    <col min="10994" max="10994" width="7.5703125" style="5" customWidth="1"/>
    <col min="10995" max="10995" width="2.42578125" style="5" customWidth="1"/>
    <col min="10996" max="10996" width="27.140625" style="5" customWidth="1"/>
    <col min="10997" max="10997" width="8" style="5" customWidth="1"/>
    <col min="10998" max="10998" width="8.7109375" style="5" customWidth="1"/>
    <col min="10999" max="10999" width="17.5703125" style="5" customWidth="1"/>
    <col min="11000" max="11000" width="20.85546875" style="5" customWidth="1"/>
    <col min="11001" max="11001" width="9.140625" style="5"/>
    <col min="11002" max="11002" width="19" style="5" customWidth="1"/>
    <col min="11003" max="11248" width="9.140625" style="5"/>
    <col min="11249" max="11249" width="2" style="5" customWidth="1"/>
    <col min="11250" max="11250" width="7.5703125" style="5" customWidth="1"/>
    <col min="11251" max="11251" width="2.42578125" style="5" customWidth="1"/>
    <col min="11252" max="11252" width="27.140625" style="5" customWidth="1"/>
    <col min="11253" max="11253" width="8" style="5" customWidth="1"/>
    <col min="11254" max="11254" width="8.7109375" style="5" customWidth="1"/>
    <col min="11255" max="11255" width="17.5703125" style="5" customWidth="1"/>
    <col min="11256" max="11256" width="20.85546875" style="5" customWidth="1"/>
    <col min="11257" max="11257" width="9.140625" style="5"/>
    <col min="11258" max="11258" width="19" style="5" customWidth="1"/>
    <col min="11259" max="11504" width="9.140625" style="5"/>
    <col min="11505" max="11505" width="2" style="5" customWidth="1"/>
    <col min="11506" max="11506" width="7.5703125" style="5" customWidth="1"/>
    <col min="11507" max="11507" width="2.42578125" style="5" customWidth="1"/>
    <col min="11508" max="11508" width="27.140625" style="5" customWidth="1"/>
    <col min="11509" max="11509" width="8" style="5" customWidth="1"/>
    <col min="11510" max="11510" width="8.7109375" style="5" customWidth="1"/>
    <col min="11511" max="11511" width="17.5703125" style="5" customWidth="1"/>
    <col min="11512" max="11512" width="20.85546875" style="5" customWidth="1"/>
    <col min="11513" max="11513" width="9.140625" style="5"/>
    <col min="11514" max="11514" width="19" style="5" customWidth="1"/>
    <col min="11515" max="11760" width="9.140625" style="5"/>
    <col min="11761" max="11761" width="2" style="5" customWidth="1"/>
    <col min="11762" max="11762" width="7.5703125" style="5" customWidth="1"/>
    <col min="11763" max="11763" width="2.42578125" style="5" customWidth="1"/>
    <col min="11764" max="11764" width="27.140625" style="5" customWidth="1"/>
    <col min="11765" max="11765" width="8" style="5" customWidth="1"/>
    <col min="11766" max="11766" width="8.7109375" style="5" customWidth="1"/>
    <col min="11767" max="11767" width="17.5703125" style="5" customWidth="1"/>
    <col min="11768" max="11768" width="20.85546875" style="5" customWidth="1"/>
    <col min="11769" max="11769" width="9.140625" style="5"/>
    <col min="11770" max="11770" width="19" style="5" customWidth="1"/>
    <col min="11771" max="12016" width="9.140625" style="5"/>
    <col min="12017" max="12017" width="2" style="5" customWidth="1"/>
    <col min="12018" max="12018" width="7.5703125" style="5" customWidth="1"/>
    <col min="12019" max="12019" width="2.42578125" style="5" customWidth="1"/>
    <col min="12020" max="12020" width="27.140625" style="5" customWidth="1"/>
    <col min="12021" max="12021" width="8" style="5" customWidth="1"/>
    <col min="12022" max="12022" width="8.7109375" style="5" customWidth="1"/>
    <col min="12023" max="12023" width="17.5703125" style="5" customWidth="1"/>
    <col min="12024" max="12024" width="20.85546875" style="5" customWidth="1"/>
    <col min="12025" max="12025" width="9.140625" style="5"/>
    <col min="12026" max="12026" width="19" style="5" customWidth="1"/>
    <col min="12027" max="12272" width="9.140625" style="5"/>
    <col min="12273" max="12273" width="2" style="5" customWidth="1"/>
    <col min="12274" max="12274" width="7.5703125" style="5" customWidth="1"/>
    <col min="12275" max="12275" width="2.42578125" style="5" customWidth="1"/>
    <col min="12276" max="12276" width="27.140625" style="5" customWidth="1"/>
    <col min="12277" max="12277" width="8" style="5" customWidth="1"/>
    <col min="12278" max="12278" width="8.7109375" style="5" customWidth="1"/>
    <col min="12279" max="12279" width="17.5703125" style="5" customWidth="1"/>
    <col min="12280" max="12280" width="20.85546875" style="5" customWidth="1"/>
    <col min="12281" max="12281" width="9.140625" style="5"/>
    <col min="12282" max="12282" width="19" style="5" customWidth="1"/>
    <col min="12283" max="12528" width="9.140625" style="5"/>
    <col min="12529" max="12529" width="2" style="5" customWidth="1"/>
    <col min="12530" max="12530" width="7.5703125" style="5" customWidth="1"/>
    <col min="12531" max="12531" width="2.42578125" style="5" customWidth="1"/>
    <col min="12532" max="12532" width="27.140625" style="5" customWidth="1"/>
    <col min="12533" max="12533" width="8" style="5" customWidth="1"/>
    <col min="12534" max="12534" width="8.7109375" style="5" customWidth="1"/>
    <col min="12535" max="12535" width="17.5703125" style="5" customWidth="1"/>
    <col min="12536" max="12536" width="20.85546875" style="5" customWidth="1"/>
    <col min="12537" max="12537" width="9.140625" style="5"/>
    <col min="12538" max="12538" width="19" style="5" customWidth="1"/>
    <col min="12539" max="12784" width="9.140625" style="5"/>
    <col min="12785" max="12785" width="2" style="5" customWidth="1"/>
    <col min="12786" max="12786" width="7.5703125" style="5" customWidth="1"/>
    <col min="12787" max="12787" width="2.42578125" style="5" customWidth="1"/>
    <col min="12788" max="12788" width="27.140625" style="5" customWidth="1"/>
    <col min="12789" max="12789" width="8" style="5" customWidth="1"/>
    <col min="12790" max="12790" width="8.7109375" style="5" customWidth="1"/>
    <col min="12791" max="12791" width="17.5703125" style="5" customWidth="1"/>
    <col min="12792" max="12792" width="20.85546875" style="5" customWidth="1"/>
    <col min="12793" max="12793" width="9.140625" style="5"/>
    <col min="12794" max="12794" width="19" style="5" customWidth="1"/>
    <col min="12795" max="13040" width="9.140625" style="5"/>
    <col min="13041" max="13041" width="2" style="5" customWidth="1"/>
    <col min="13042" max="13042" width="7.5703125" style="5" customWidth="1"/>
    <col min="13043" max="13043" width="2.42578125" style="5" customWidth="1"/>
    <col min="13044" max="13044" width="27.140625" style="5" customWidth="1"/>
    <col min="13045" max="13045" width="8" style="5" customWidth="1"/>
    <col min="13046" max="13046" width="8.7109375" style="5" customWidth="1"/>
    <col min="13047" max="13047" width="17.5703125" style="5" customWidth="1"/>
    <col min="13048" max="13048" width="20.85546875" style="5" customWidth="1"/>
    <col min="13049" max="13049" width="9.140625" style="5"/>
    <col min="13050" max="13050" width="19" style="5" customWidth="1"/>
    <col min="13051" max="13296" width="9.140625" style="5"/>
    <col min="13297" max="13297" width="2" style="5" customWidth="1"/>
    <col min="13298" max="13298" width="7.5703125" style="5" customWidth="1"/>
    <col min="13299" max="13299" width="2.42578125" style="5" customWidth="1"/>
    <col min="13300" max="13300" width="27.140625" style="5" customWidth="1"/>
    <col min="13301" max="13301" width="8" style="5" customWidth="1"/>
    <col min="13302" max="13302" width="8.7109375" style="5" customWidth="1"/>
    <col min="13303" max="13303" width="17.5703125" style="5" customWidth="1"/>
    <col min="13304" max="13304" width="20.85546875" style="5" customWidth="1"/>
    <col min="13305" max="13305" width="9.140625" style="5"/>
    <col min="13306" max="13306" width="19" style="5" customWidth="1"/>
    <col min="13307" max="13552" width="9.140625" style="5"/>
    <col min="13553" max="13553" width="2" style="5" customWidth="1"/>
    <col min="13554" max="13554" width="7.5703125" style="5" customWidth="1"/>
    <col min="13555" max="13555" width="2.42578125" style="5" customWidth="1"/>
    <col min="13556" max="13556" width="27.140625" style="5" customWidth="1"/>
    <col min="13557" max="13557" width="8" style="5" customWidth="1"/>
    <col min="13558" max="13558" width="8.7109375" style="5" customWidth="1"/>
    <col min="13559" max="13559" width="17.5703125" style="5" customWidth="1"/>
    <col min="13560" max="13560" width="20.85546875" style="5" customWidth="1"/>
    <col min="13561" max="13561" width="9.140625" style="5"/>
    <col min="13562" max="13562" width="19" style="5" customWidth="1"/>
    <col min="13563" max="13808" width="9.140625" style="5"/>
    <col min="13809" max="13809" width="2" style="5" customWidth="1"/>
    <col min="13810" max="13810" width="7.5703125" style="5" customWidth="1"/>
    <col min="13811" max="13811" width="2.42578125" style="5" customWidth="1"/>
    <col min="13812" max="13812" width="27.140625" style="5" customWidth="1"/>
    <col min="13813" max="13813" width="8" style="5" customWidth="1"/>
    <col min="13814" max="13814" width="8.7109375" style="5" customWidth="1"/>
    <col min="13815" max="13815" width="17.5703125" style="5" customWidth="1"/>
    <col min="13816" max="13816" width="20.85546875" style="5" customWidth="1"/>
    <col min="13817" max="13817" width="9.140625" style="5"/>
    <col min="13818" max="13818" width="19" style="5" customWidth="1"/>
    <col min="13819" max="14064" width="9.140625" style="5"/>
    <col min="14065" max="14065" width="2" style="5" customWidth="1"/>
    <col min="14066" max="14066" width="7.5703125" style="5" customWidth="1"/>
    <col min="14067" max="14067" width="2.42578125" style="5" customWidth="1"/>
    <col min="14068" max="14068" width="27.140625" style="5" customWidth="1"/>
    <col min="14069" max="14069" width="8" style="5" customWidth="1"/>
    <col min="14070" max="14070" width="8.7109375" style="5" customWidth="1"/>
    <col min="14071" max="14071" width="17.5703125" style="5" customWidth="1"/>
    <col min="14072" max="14072" width="20.85546875" style="5" customWidth="1"/>
    <col min="14073" max="14073" width="9.140625" style="5"/>
    <col min="14074" max="14074" width="19" style="5" customWidth="1"/>
    <col min="14075" max="14320" width="9.140625" style="5"/>
    <col min="14321" max="14321" width="2" style="5" customWidth="1"/>
    <col min="14322" max="14322" width="7.5703125" style="5" customWidth="1"/>
    <col min="14323" max="14323" width="2.42578125" style="5" customWidth="1"/>
    <col min="14324" max="14324" width="27.140625" style="5" customWidth="1"/>
    <col min="14325" max="14325" width="8" style="5" customWidth="1"/>
    <col min="14326" max="14326" width="8.7109375" style="5" customWidth="1"/>
    <col min="14327" max="14327" width="17.5703125" style="5" customWidth="1"/>
    <col min="14328" max="14328" width="20.85546875" style="5" customWidth="1"/>
    <col min="14329" max="14329" width="9.140625" style="5"/>
    <col min="14330" max="14330" width="19" style="5" customWidth="1"/>
    <col min="14331" max="14576" width="9.140625" style="5"/>
    <col min="14577" max="14577" width="2" style="5" customWidth="1"/>
    <col min="14578" max="14578" width="7.5703125" style="5" customWidth="1"/>
    <col min="14579" max="14579" width="2.42578125" style="5" customWidth="1"/>
    <col min="14580" max="14580" width="27.140625" style="5" customWidth="1"/>
    <col min="14581" max="14581" width="8" style="5" customWidth="1"/>
    <col min="14582" max="14582" width="8.7109375" style="5" customWidth="1"/>
    <col min="14583" max="14583" width="17.5703125" style="5" customWidth="1"/>
    <col min="14584" max="14584" width="20.85546875" style="5" customWidth="1"/>
    <col min="14585" max="14585" width="9.140625" style="5"/>
    <col min="14586" max="14586" width="19" style="5" customWidth="1"/>
    <col min="14587" max="14832" width="9.140625" style="5"/>
    <col min="14833" max="14833" width="2" style="5" customWidth="1"/>
    <col min="14834" max="14834" width="7.5703125" style="5" customWidth="1"/>
    <col min="14835" max="14835" width="2.42578125" style="5" customWidth="1"/>
    <col min="14836" max="14836" width="27.140625" style="5" customWidth="1"/>
    <col min="14837" max="14837" width="8" style="5" customWidth="1"/>
    <col min="14838" max="14838" width="8.7109375" style="5" customWidth="1"/>
    <col min="14839" max="14839" width="17.5703125" style="5" customWidth="1"/>
    <col min="14840" max="14840" width="20.85546875" style="5" customWidth="1"/>
    <col min="14841" max="14841" width="9.140625" style="5"/>
    <col min="14842" max="14842" width="19" style="5" customWidth="1"/>
    <col min="14843" max="15088" width="9.140625" style="5"/>
    <col min="15089" max="15089" width="2" style="5" customWidth="1"/>
    <col min="15090" max="15090" width="7.5703125" style="5" customWidth="1"/>
    <col min="15091" max="15091" width="2.42578125" style="5" customWidth="1"/>
    <col min="15092" max="15092" width="27.140625" style="5" customWidth="1"/>
    <col min="15093" max="15093" width="8" style="5" customWidth="1"/>
    <col min="15094" max="15094" width="8.7109375" style="5" customWidth="1"/>
    <col min="15095" max="15095" width="17.5703125" style="5" customWidth="1"/>
    <col min="15096" max="15096" width="20.85546875" style="5" customWidth="1"/>
    <col min="15097" max="15097" width="9.140625" style="5"/>
    <col min="15098" max="15098" width="19" style="5" customWidth="1"/>
    <col min="15099" max="15344" width="9.140625" style="5"/>
    <col min="15345" max="15345" width="2" style="5" customWidth="1"/>
    <col min="15346" max="15346" width="7.5703125" style="5" customWidth="1"/>
    <col min="15347" max="15347" width="2.42578125" style="5" customWidth="1"/>
    <col min="15348" max="15348" width="27.140625" style="5" customWidth="1"/>
    <col min="15349" max="15349" width="8" style="5" customWidth="1"/>
    <col min="15350" max="15350" width="8.7109375" style="5" customWidth="1"/>
    <col min="15351" max="15351" width="17.5703125" style="5" customWidth="1"/>
    <col min="15352" max="15352" width="20.85546875" style="5" customWidth="1"/>
    <col min="15353" max="15353" width="9.140625" style="5"/>
    <col min="15354" max="15354" width="19" style="5" customWidth="1"/>
    <col min="15355" max="15600" width="9.140625" style="5"/>
    <col min="15601" max="15601" width="2" style="5" customWidth="1"/>
    <col min="15602" max="15602" width="7.5703125" style="5" customWidth="1"/>
    <col min="15603" max="15603" width="2.42578125" style="5" customWidth="1"/>
    <col min="15604" max="15604" width="27.140625" style="5" customWidth="1"/>
    <col min="15605" max="15605" width="8" style="5" customWidth="1"/>
    <col min="15606" max="15606" width="8.7109375" style="5" customWidth="1"/>
    <col min="15607" max="15607" width="17.5703125" style="5" customWidth="1"/>
    <col min="15608" max="15608" width="20.85546875" style="5" customWidth="1"/>
    <col min="15609" max="15609" width="9.140625" style="5"/>
    <col min="15610" max="15610" width="19" style="5" customWidth="1"/>
    <col min="15611" max="15856" width="9.140625" style="5"/>
    <col min="15857" max="15857" width="2" style="5" customWidth="1"/>
    <col min="15858" max="15858" width="7.5703125" style="5" customWidth="1"/>
    <col min="15859" max="15859" width="2.42578125" style="5" customWidth="1"/>
    <col min="15860" max="15860" width="27.140625" style="5" customWidth="1"/>
    <col min="15861" max="15861" width="8" style="5" customWidth="1"/>
    <col min="15862" max="15862" width="8.7109375" style="5" customWidth="1"/>
    <col min="15863" max="15863" width="17.5703125" style="5" customWidth="1"/>
    <col min="15864" max="15864" width="20.85546875" style="5" customWidth="1"/>
    <col min="15865" max="15865" width="9.140625" style="5"/>
    <col min="15866" max="15866" width="19" style="5" customWidth="1"/>
    <col min="15867" max="16112" width="9.140625" style="5"/>
    <col min="16113" max="16113" width="2" style="5" customWidth="1"/>
    <col min="16114" max="16114" width="7.5703125" style="5" customWidth="1"/>
    <col min="16115" max="16115" width="2.42578125" style="5" customWidth="1"/>
    <col min="16116" max="16116" width="27.140625" style="5" customWidth="1"/>
    <col min="16117" max="16117" width="8" style="5" customWidth="1"/>
    <col min="16118" max="16118" width="8.7109375" style="5" customWidth="1"/>
    <col min="16119" max="16119" width="17.5703125" style="5" customWidth="1"/>
    <col min="16120" max="16120" width="20.85546875" style="5" customWidth="1"/>
    <col min="16121" max="16121" width="9.140625" style="5"/>
    <col min="16122" max="16122" width="19" style="5" customWidth="1"/>
    <col min="16123" max="16384" width="9.140625" style="5"/>
  </cols>
  <sheetData>
    <row r="1" spans="2:10" ht="15.75" thickBot="1">
      <c r="D1" s="181"/>
      <c r="E1" s="181"/>
    </row>
    <row r="2" spans="2:10" ht="15.75" customHeight="1">
      <c r="B2" s="2911" t="s">
        <v>1456</v>
      </c>
      <c r="C2" s="2912"/>
      <c r="D2" s="2912"/>
      <c r="E2" s="2912"/>
      <c r="F2" s="2912"/>
      <c r="G2" s="2912"/>
      <c r="H2" s="2913"/>
    </row>
    <row r="3" spans="2:10" ht="13.5" customHeight="1" thickBot="1">
      <c r="B3" s="2914"/>
      <c r="C3" s="2915"/>
      <c r="D3" s="2915"/>
      <c r="E3" s="2915"/>
      <c r="F3" s="2915"/>
      <c r="G3" s="2915"/>
      <c r="H3" s="2916"/>
    </row>
    <row r="4" spans="2:10" ht="15.75" thickBot="1">
      <c r="B4" s="2917" t="s">
        <v>157</v>
      </c>
      <c r="C4" s="2917" t="s">
        <v>211</v>
      </c>
      <c r="D4" s="2917"/>
      <c r="E4" s="2917" t="s">
        <v>212</v>
      </c>
      <c r="F4" s="2918" t="s">
        <v>213</v>
      </c>
      <c r="G4" s="993" t="s">
        <v>214</v>
      </c>
      <c r="H4" s="993" t="s">
        <v>215</v>
      </c>
    </row>
    <row r="5" spans="2:10" ht="15.75" thickBot="1">
      <c r="B5" s="2917"/>
      <c r="C5" s="2917"/>
      <c r="D5" s="2917"/>
      <c r="E5" s="2917"/>
      <c r="F5" s="2918"/>
      <c r="G5" s="993" t="s">
        <v>216</v>
      </c>
      <c r="H5" s="993" t="s">
        <v>216</v>
      </c>
    </row>
    <row r="6" spans="2:10" ht="15.75" thickBot="1">
      <c r="B6" s="1218">
        <v>1</v>
      </c>
      <c r="C6" s="987" t="str">
        <f>VLOOKUP(B6,$C$488:$D$516,2,TRUE)</f>
        <v>1 Unit Pek. Pintu (  )</v>
      </c>
      <c r="D6" s="987"/>
      <c r="E6" s="988"/>
      <c r="F6" s="989"/>
      <c r="G6" s="990"/>
      <c r="H6" s="991">
        <f>H21</f>
        <v>1137000</v>
      </c>
    </row>
    <row r="7" spans="2:10">
      <c r="B7" s="1047"/>
      <c r="C7" s="1039" t="s">
        <v>28</v>
      </c>
      <c r="D7" s="1924" t="s">
        <v>1528</v>
      </c>
      <c r="E7" s="1925" t="s">
        <v>88</v>
      </c>
      <c r="F7" s="1031">
        <v>1</v>
      </c>
      <c r="G7" s="1910">
        <f>L!$I$7</f>
        <v>180000</v>
      </c>
      <c r="H7" s="1032">
        <f t="shared" ref="H7:H19" si="0">F7*G7</f>
        <v>180000</v>
      </c>
      <c r="I7" s="5">
        <f>HIT.PINTU!H37</f>
        <v>0</v>
      </c>
      <c r="J7" s="1958">
        <f>$I$7*F7</f>
        <v>0</v>
      </c>
    </row>
    <row r="8" spans="2:10" s="1824" customFormat="1">
      <c r="B8" s="1615"/>
      <c r="C8" s="1616" t="s">
        <v>28</v>
      </c>
      <c r="D8" s="1924" t="s">
        <v>1529</v>
      </c>
      <c r="E8" s="1925" t="s">
        <v>88</v>
      </c>
      <c r="F8" s="1926">
        <v>1</v>
      </c>
      <c r="G8" s="1910">
        <f>L!$I$15</f>
        <v>93000</v>
      </c>
      <c r="H8" s="1927">
        <f t="shared" si="0"/>
        <v>93000</v>
      </c>
      <c r="J8" s="1958">
        <f t="shared" ref="J8:J19" si="1">$I$7*F8</f>
        <v>0</v>
      </c>
    </row>
    <row r="9" spans="2:10">
      <c r="B9" s="1615"/>
      <c r="C9" s="1616" t="s">
        <v>28</v>
      </c>
      <c r="D9" s="1924" t="s">
        <v>611</v>
      </c>
      <c r="E9" s="1925" t="s">
        <v>88</v>
      </c>
      <c r="F9" s="1031"/>
      <c r="G9" s="1910">
        <f>L!$I$23</f>
        <v>55000</v>
      </c>
      <c r="H9" s="1032">
        <f t="shared" si="0"/>
        <v>0</v>
      </c>
      <c r="J9" s="1958">
        <f t="shared" si="1"/>
        <v>0</v>
      </c>
    </row>
    <row r="10" spans="2:10">
      <c r="B10" s="1049"/>
      <c r="C10" s="1039" t="s">
        <v>28</v>
      </c>
      <c r="D10" s="1924" t="s">
        <v>1737</v>
      </c>
      <c r="E10" s="1925" t="s">
        <v>152</v>
      </c>
      <c r="F10" s="1031"/>
      <c r="G10" s="1910">
        <f>L!$I$151</f>
        <v>13500</v>
      </c>
      <c r="H10" s="1032">
        <f t="shared" si="0"/>
        <v>0</v>
      </c>
      <c r="J10" s="1958">
        <f t="shared" si="1"/>
        <v>0</v>
      </c>
    </row>
    <row r="11" spans="2:10">
      <c r="B11" s="1188"/>
      <c r="C11" s="1039" t="s">
        <v>28</v>
      </c>
      <c r="D11" s="1924" t="s">
        <v>2066</v>
      </c>
      <c r="E11" s="1925" t="s">
        <v>152</v>
      </c>
      <c r="F11" s="1031"/>
      <c r="G11" s="1910">
        <f>L!$I$31</f>
        <v>39500</v>
      </c>
      <c r="H11" s="1032">
        <f t="shared" si="0"/>
        <v>0</v>
      </c>
      <c r="J11" s="1958">
        <f t="shared" si="1"/>
        <v>0</v>
      </c>
    </row>
    <row r="12" spans="2:10">
      <c r="B12" s="1572"/>
      <c r="C12" s="1039" t="s">
        <v>28</v>
      </c>
      <c r="D12" s="1924" t="s">
        <v>2113</v>
      </c>
      <c r="E12" s="1925" t="s">
        <v>152</v>
      </c>
      <c r="F12" s="1031"/>
      <c r="G12" s="1910">
        <f>L!$I$39</f>
        <v>46500</v>
      </c>
      <c r="H12" s="1032">
        <f t="shared" si="0"/>
        <v>0</v>
      </c>
      <c r="J12" s="1958">
        <f t="shared" si="1"/>
        <v>0</v>
      </c>
    </row>
    <row r="13" spans="2:10">
      <c r="B13" s="1572"/>
      <c r="C13" s="1039" t="s">
        <v>28</v>
      </c>
      <c r="D13" s="1924" t="s">
        <v>1457</v>
      </c>
      <c r="E13" s="1925" t="s">
        <v>152</v>
      </c>
      <c r="F13" s="1031">
        <v>3</v>
      </c>
      <c r="G13" s="1910">
        <f>L!$I$47</f>
        <v>133000</v>
      </c>
      <c r="H13" s="1032">
        <f t="shared" si="0"/>
        <v>399000</v>
      </c>
      <c r="J13" s="1958">
        <f t="shared" si="1"/>
        <v>0</v>
      </c>
    </row>
    <row r="14" spans="2:10">
      <c r="B14" s="1572"/>
      <c r="C14" s="1122" t="s">
        <v>28</v>
      </c>
      <c r="D14" s="1924" t="s">
        <v>1530</v>
      </c>
      <c r="E14" s="1925" t="s">
        <v>152</v>
      </c>
      <c r="F14" s="1031"/>
      <c r="G14" s="1910">
        <f>L!$I$55</f>
        <v>20000</v>
      </c>
      <c r="H14" s="1032">
        <f t="shared" si="0"/>
        <v>0</v>
      </c>
      <c r="J14" s="1958">
        <f t="shared" si="1"/>
        <v>0</v>
      </c>
    </row>
    <row r="15" spans="2:10">
      <c r="B15" s="1049"/>
      <c r="C15" s="1039" t="s">
        <v>28</v>
      </c>
      <c r="D15" s="1924" t="s">
        <v>2224</v>
      </c>
      <c r="E15" s="1925" t="s">
        <v>88</v>
      </c>
      <c r="F15" s="1031"/>
      <c r="G15" s="1910">
        <f>L!$I$63</f>
        <v>274000</v>
      </c>
      <c r="H15" s="1032">
        <f t="shared" si="0"/>
        <v>0</v>
      </c>
      <c r="J15" s="1958">
        <f t="shared" si="1"/>
        <v>0</v>
      </c>
    </row>
    <row r="16" spans="2:10">
      <c r="B16" s="1188"/>
      <c r="C16" s="1039" t="s">
        <v>28</v>
      </c>
      <c r="D16" s="1924" t="s">
        <v>2225</v>
      </c>
      <c r="E16" s="1925" t="s">
        <v>88</v>
      </c>
      <c r="F16" s="1031"/>
      <c r="G16" s="1912">
        <f>L!$I$71</f>
        <v>120000</v>
      </c>
      <c r="H16" s="1032">
        <f t="shared" si="0"/>
        <v>0</v>
      </c>
      <c r="J16" s="1958">
        <f t="shared" si="1"/>
        <v>0</v>
      </c>
    </row>
    <row r="17" spans="2:10">
      <c r="B17" s="1572"/>
      <c r="C17" s="1039" t="s">
        <v>28</v>
      </c>
      <c r="D17" s="1924" t="s">
        <v>1700</v>
      </c>
      <c r="E17" s="1925" t="s">
        <v>88</v>
      </c>
      <c r="F17" s="1031"/>
      <c r="G17" s="1910">
        <f>L!$I$143</f>
        <v>165000</v>
      </c>
      <c r="H17" s="1032">
        <f t="shared" si="0"/>
        <v>0</v>
      </c>
      <c r="J17" s="1958">
        <f t="shared" si="1"/>
        <v>0</v>
      </c>
    </row>
    <row r="18" spans="2:10">
      <c r="B18" s="1572"/>
      <c r="C18" s="1039" t="s">
        <v>28</v>
      </c>
      <c r="D18" s="1924" t="s">
        <v>1644</v>
      </c>
      <c r="E18" s="1925" t="s">
        <v>152</v>
      </c>
      <c r="F18" s="1031"/>
      <c r="G18" s="1910">
        <f>L!$I$127</f>
        <v>210000</v>
      </c>
      <c r="H18" s="1032">
        <f t="shared" si="0"/>
        <v>0</v>
      </c>
      <c r="J18" s="1958">
        <f t="shared" si="1"/>
        <v>0</v>
      </c>
    </row>
    <row r="19" spans="2:10" ht="15.75" thickBot="1">
      <c r="B19" s="1572"/>
      <c r="C19" s="1122" t="s">
        <v>28</v>
      </c>
      <c r="D19" s="1924" t="s">
        <v>1467</v>
      </c>
      <c r="E19" s="1925" t="s">
        <v>152</v>
      </c>
      <c r="F19" s="1573">
        <v>1</v>
      </c>
      <c r="G19" s="1910">
        <f>L!$I$135</f>
        <v>465000</v>
      </c>
      <c r="H19" s="1123">
        <f t="shared" si="0"/>
        <v>465000</v>
      </c>
      <c r="J19" s="1958">
        <f t="shared" si="1"/>
        <v>0</v>
      </c>
    </row>
    <row r="20" spans="2:10">
      <c r="B20" s="1047"/>
      <c r="C20" s="1052"/>
      <c r="D20" s="1053" t="s">
        <v>228</v>
      </c>
      <c r="E20" s="1054"/>
      <c r="F20" s="1055"/>
      <c r="G20" s="1056"/>
      <c r="H20" s="1057">
        <f>SUM(H7:H19)</f>
        <v>1137000</v>
      </c>
    </row>
    <row r="21" spans="2:10" ht="15.75" thickBot="1">
      <c r="B21" s="1025"/>
      <c r="C21" s="1058" t="s">
        <v>229</v>
      </c>
      <c r="D21" s="1059"/>
      <c r="E21" s="1059"/>
      <c r="F21" s="1059"/>
      <c r="G21" s="1060"/>
      <c r="H21" s="1061">
        <f>ROUND(H20,0)</f>
        <v>1137000</v>
      </c>
    </row>
    <row r="22" spans="2:10" ht="15.75" thickBot="1">
      <c r="B22" s="1218">
        <v>2</v>
      </c>
      <c r="C22" s="987" t="str">
        <f>VLOOKUP(B22,$C$488:$D$516,2,TRUE)</f>
        <v>1 Unit Pek. Pintu (  )</v>
      </c>
      <c r="D22" s="987"/>
      <c r="E22" s="988"/>
      <c r="F22" s="989"/>
      <c r="G22" s="990"/>
      <c r="H22" s="991">
        <f>H37</f>
        <v>656000</v>
      </c>
    </row>
    <row r="23" spans="2:10">
      <c r="B23" s="1047"/>
      <c r="C23" s="1039" t="s">
        <v>28</v>
      </c>
      <c r="D23" s="1924" t="s">
        <v>1528</v>
      </c>
      <c r="E23" s="1925" t="s">
        <v>88</v>
      </c>
      <c r="F23" s="1031">
        <v>1</v>
      </c>
      <c r="G23" s="1910">
        <f>L!$I$7</f>
        <v>180000</v>
      </c>
      <c r="H23" s="1032">
        <f t="shared" ref="H23:H83" si="2">F23*G23</f>
        <v>180000</v>
      </c>
      <c r="I23" s="5">
        <f>HIT.PINTU!H38</f>
        <v>0</v>
      </c>
      <c r="J23" s="1958">
        <f>$I$23*F23</f>
        <v>0</v>
      </c>
    </row>
    <row r="24" spans="2:10" s="1824" customFormat="1">
      <c r="B24" s="1615"/>
      <c r="C24" s="1616" t="s">
        <v>28</v>
      </c>
      <c r="D24" s="1924" t="s">
        <v>1529</v>
      </c>
      <c r="E24" s="1925" t="s">
        <v>88</v>
      </c>
      <c r="F24" s="1926"/>
      <c r="G24" s="1910">
        <f>L!$I$15</f>
        <v>93000</v>
      </c>
      <c r="H24" s="1927">
        <f t="shared" si="2"/>
        <v>0</v>
      </c>
      <c r="J24" s="1958">
        <f t="shared" ref="J24:J35" si="3">$I$23*F24</f>
        <v>0</v>
      </c>
    </row>
    <row r="25" spans="2:10">
      <c r="B25" s="1615"/>
      <c r="C25" s="1616" t="s">
        <v>28</v>
      </c>
      <c r="D25" s="1924" t="s">
        <v>611</v>
      </c>
      <c r="E25" s="1925" t="s">
        <v>88</v>
      </c>
      <c r="F25" s="1031"/>
      <c r="G25" s="1910">
        <f>L!$I$23</f>
        <v>55000</v>
      </c>
      <c r="H25" s="1032">
        <f t="shared" si="2"/>
        <v>0</v>
      </c>
      <c r="J25" s="1958">
        <f t="shared" si="3"/>
        <v>0</v>
      </c>
    </row>
    <row r="26" spans="2:10">
      <c r="B26" s="1049"/>
      <c r="C26" s="1039" t="s">
        <v>28</v>
      </c>
      <c r="D26" s="1924" t="s">
        <v>1737</v>
      </c>
      <c r="E26" s="1925" t="s">
        <v>152</v>
      </c>
      <c r="F26" s="1031"/>
      <c r="G26" s="1910">
        <f>L!$I$151</f>
        <v>13500</v>
      </c>
      <c r="H26" s="1032">
        <f t="shared" si="2"/>
        <v>0</v>
      </c>
      <c r="J26" s="1958">
        <f t="shared" si="3"/>
        <v>0</v>
      </c>
    </row>
    <row r="27" spans="2:10">
      <c r="B27" s="1188"/>
      <c r="C27" s="1039" t="s">
        <v>28</v>
      </c>
      <c r="D27" s="1924" t="s">
        <v>2066</v>
      </c>
      <c r="E27" s="1925" t="s">
        <v>152</v>
      </c>
      <c r="F27" s="1031"/>
      <c r="G27" s="1910">
        <f>L!$I$31</f>
        <v>39500</v>
      </c>
      <c r="H27" s="1032">
        <f t="shared" si="2"/>
        <v>0</v>
      </c>
      <c r="J27" s="1958">
        <f t="shared" si="3"/>
        <v>0</v>
      </c>
    </row>
    <row r="28" spans="2:10">
      <c r="B28" s="1572"/>
      <c r="C28" s="1039" t="s">
        <v>28</v>
      </c>
      <c r="D28" s="1924" t="s">
        <v>2113</v>
      </c>
      <c r="E28" s="1925" t="s">
        <v>152</v>
      </c>
      <c r="F28" s="1031"/>
      <c r="G28" s="1910">
        <f>L!$I$39</f>
        <v>46500</v>
      </c>
      <c r="H28" s="1032">
        <f t="shared" si="2"/>
        <v>0</v>
      </c>
      <c r="J28" s="1958">
        <f t="shared" si="3"/>
        <v>0</v>
      </c>
    </row>
    <row r="29" spans="2:10">
      <c r="B29" s="1572"/>
      <c r="C29" s="1039" t="s">
        <v>28</v>
      </c>
      <c r="D29" s="1924" t="s">
        <v>1457</v>
      </c>
      <c r="E29" s="1925" t="s">
        <v>152</v>
      </c>
      <c r="F29" s="1031">
        <v>2</v>
      </c>
      <c r="G29" s="1910">
        <f>L!$I$47</f>
        <v>133000</v>
      </c>
      <c r="H29" s="1032">
        <f t="shared" si="2"/>
        <v>266000</v>
      </c>
      <c r="J29" s="1958">
        <f t="shared" si="3"/>
        <v>0</v>
      </c>
    </row>
    <row r="30" spans="2:10">
      <c r="B30" s="1572"/>
      <c r="C30" s="1122" t="s">
        <v>28</v>
      </c>
      <c r="D30" s="1924" t="s">
        <v>1530</v>
      </c>
      <c r="E30" s="1925" t="s">
        <v>152</v>
      </c>
      <c r="F30" s="1031"/>
      <c r="G30" s="1910">
        <f>L!$I$55</f>
        <v>20000</v>
      </c>
      <c r="H30" s="1032">
        <f t="shared" si="2"/>
        <v>0</v>
      </c>
      <c r="J30" s="1958">
        <f t="shared" si="3"/>
        <v>0</v>
      </c>
    </row>
    <row r="31" spans="2:10">
      <c r="B31" s="1049"/>
      <c r="C31" s="1039" t="s">
        <v>28</v>
      </c>
      <c r="D31" s="1924" t="s">
        <v>2224</v>
      </c>
      <c r="E31" s="1925" t="s">
        <v>88</v>
      </c>
      <c r="F31" s="1031"/>
      <c r="G31" s="1910">
        <f>L!$I$63</f>
        <v>274000</v>
      </c>
      <c r="H31" s="1032">
        <f t="shared" si="2"/>
        <v>0</v>
      </c>
      <c r="J31" s="1958">
        <f t="shared" si="3"/>
        <v>0</v>
      </c>
    </row>
    <row r="32" spans="2:10">
      <c r="B32" s="1188"/>
      <c r="C32" s="1039" t="s">
        <v>28</v>
      </c>
      <c r="D32" s="1924" t="s">
        <v>2225</v>
      </c>
      <c r="E32" s="1925" t="s">
        <v>88</v>
      </c>
      <c r="F32" s="1031"/>
      <c r="G32" s="1912">
        <f>L!$I$71</f>
        <v>120000</v>
      </c>
      <c r="H32" s="1032">
        <f t="shared" si="2"/>
        <v>0</v>
      </c>
      <c r="J32" s="1958">
        <f t="shared" si="3"/>
        <v>0</v>
      </c>
    </row>
    <row r="33" spans="2:10">
      <c r="B33" s="1572"/>
      <c r="C33" s="1039" t="s">
        <v>28</v>
      </c>
      <c r="D33" s="1924" t="s">
        <v>1700</v>
      </c>
      <c r="E33" s="1925" t="s">
        <v>88</v>
      </c>
      <c r="F33" s="1031"/>
      <c r="G33" s="1910">
        <f>L!$I$143</f>
        <v>165000</v>
      </c>
      <c r="H33" s="1032">
        <f t="shared" si="2"/>
        <v>0</v>
      </c>
      <c r="J33" s="1958">
        <f t="shared" si="3"/>
        <v>0</v>
      </c>
    </row>
    <row r="34" spans="2:10">
      <c r="B34" s="1572"/>
      <c r="C34" s="1039" t="s">
        <v>28</v>
      </c>
      <c r="D34" s="1924" t="s">
        <v>1644</v>
      </c>
      <c r="E34" s="1925" t="s">
        <v>152</v>
      </c>
      <c r="F34" s="1031">
        <v>1</v>
      </c>
      <c r="G34" s="1910">
        <f>L!$I$127</f>
        <v>210000</v>
      </c>
      <c r="H34" s="1032">
        <f t="shared" si="2"/>
        <v>210000</v>
      </c>
      <c r="J34" s="1958">
        <f t="shared" si="3"/>
        <v>0</v>
      </c>
    </row>
    <row r="35" spans="2:10" ht="15.75" thickBot="1">
      <c r="B35" s="1572"/>
      <c r="C35" s="1122" t="s">
        <v>28</v>
      </c>
      <c r="D35" s="1924" t="s">
        <v>1467</v>
      </c>
      <c r="E35" s="1925" t="s">
        <v>152</v>
      </c>
      <c r="F35" s="1573"/>
      <c r="G35" s="1910">
        <f>L!$I$135</f>
        <v>465000</v>
      </c>
      <c r="H35" s="1123">
        <f t="shared" si="2"/>
        <v>0</v>
      </c>
      <c r="J35" s="1958">
        <f t="shared" si="3"/>
        <v>0</v>
      </c>
    </row>
    <row r="36" spans="2:10">
      <c r="B36" s="1047"/>
      <c r="C36" s="1052"/>
      <c r="D36" s="1053" t="s">
        <v>228</v>
      </c>
      <c r="E36" s="1054"/>
      <c r="F36" s="1055"/>
      <c r="G36" s="1056"/>
      <c r="H36" s="1057">
        <f>SUM(H23:H35)</f>
        <v>656000</v>
      </c>
    </row>
    <row r="37" spans="2:10" ht="15.75" thickBot="1">
      <c r="B37" s="1025"/>
      <c r="C37" s="1058" t="s">
        <v>229</v>
      </c>
      <c r="D37" s="1059"/>
      <c r="E37" s="1059"/>
      <c r="F37" s="1059"/>
      <c r="G37" s="1060"/>
      <c r="H37" s="1061">
        <f>ROUND(H36,0)</f>
        <v>656000</v>
      </c>
    </row>
    <row r="38" spans="2:10" ht="15.75" thickBot="1">
      <c r="B38" s="1218">
        <v>3</v>
      </c>
      <c r="C38" s="987" t="str">
        <f>VLOOKUP(B38,$C$488:$D$516,2,TRUE)</f>
        <v>1 Unit Pek. Pintu (  )</v>
      </c>
      <c r="D38" s="987"/>
      <c r="E38" s="988"/>
      <c r="F38" s="989"/>
      <c r="G38" s="990"/>
      <c r="H38" s="991">
        <f>H53</f>
        <v>716000</v>
      </c>
    </row>
    <row r="39" spans="2:10">
      <c r="B39" s="1047"/>
      <c r="C39" s="1039" t="s">
        <v>28</v>
      </c>
      <c r="D39" s="1924" t="s">
        <v>1528</v>
      </c>
      <c r="E39" s="1925" t="s">
        <v>88</v>
      </c>
      <c r="F39" s="1031">
        <v>1</v>
      </c>
      <c r="G39" s="1910">
        <f>L!$I$7</f>
        <v>180000</v>
      </c>
      <c r="H39" s="1032">
        <f t="shared" si="2"/>
        <v>180000</v>
      </c>
      <c r="I39" s="5">
        <f>HIT.PINTU!H39</f>
        <v>0</v>
      </c>
      <c r="J39" s="1958">
        <f>$I$39*F39</f>
        <v>0</v>
      </c>
    </row>
    <row r="40" spans="2:10" s="1824" customFormat="1">
      <c r="B40" s="1615"/>
      <c r="C40" s="1616" t="s">
        <v>28</v>
      </c>
      <c r="D40" s="1924" t="s">
        <v>1529</v>
      </c>
      <c r="E40" s="1925" t="s">
        <v>88</v>
      </c>
      <c r="F40" s="1926"/>
      <c r="G40" s="1910">
        <f>L!$I$15</f>
        <v>93000</v>
      </c>
      <c r="H40" s="1927">
        <f t="shared" si="2"/>
        <v>0</v>
      </c>
      <c r="J40" s="1958">
        <f t="shared" ref="J40:J51" si="4">$I$39*F40</f>
        <v>0</v>
      </c>
    </row>
    <row r="41" spans="2:10">
      <c r="B41" s="1615"/>
      <c r="C41" s="1616" t="s">
        <v>28</v>
      </c>
      <c r="D41" s="1924" t="s">
        <v>611</v>
      </c>
      <c r="E41" s="1925" t="s">
        <v>88</v>
      </c>
      <c r="F41" s="1031"/>
      <c r="G41" s="1910">
        <f>L!$I$23</f>
        <v>55000</v>
      </c>
      <c r="H41" s="1032">
        <f t="shared" si="2"/>
        <v>0</v>
      </c>
      <c r="J41" s="1958">
        <f t="shared" si="4"/>
        <v>0</v>
      </c>
    </row>
    <row r="42" spans="2:10">
      <c r="B42" s="1049"/>
      <c r="C42" s="1039" t="s">
        <v>28</v>
      </c>
      <c r="D42" s="1924" t="s">
        <v>1737</v>
      </c>
      <c r="E42" s="1925" t="s">
        <v>152</v>
      </c>
      <c r="F42" s="1031">
        <v>1</v>
      </c>
      <c r="G42" s="1910">
        <f>L!$I$151</f>
        <v>13500</v>
      </c>
      <c r="H42" s="1032">
        <f t="shared" si="2"/>
        <v>13500</v>
      </c>
      <c r="J42" s="1958">
        <f t="shared" si="4"/>
        <v>0</v>
      </c>
    </row>
    <row r="43" spans="2:10">
      <c r="B43" s="1188"/>
      <c r="C43" s="1039" t="s">
        <v>28</v>
      </c>
      <c r="D43" s="1924" t="s">
        <v>2066</v>
      </c>
      <c r="E43" s="1925" t="s">
        <v>152</v>
      </c>
      <c r="F43" s="1031"/>
      <c r="G43" s="1910">
        <f>L!$I$31</f>
        <v>39500</v>
      </c>
      <c r="H43" s="1032">
        <f t="shared" si="2"/>
        <v>0</v>
      </c>
      <c r="J43" s="1958">
        <f t="shared" si="4"/>
        <v>0</v>
      </c>
    </row>
    <row r="44" spans="2:10">
      <c r="B44" s="1572"/>
      <c r="C44" s="1039" t="s">
        <v>28</v>
      </c>
      <c r="D44" s="1924" t="s">
        <v>2113</v>
      </c>
      <c r="E44" s="1925" t="s">
        <v>152</v>
      </c>
      <c r="F44" s="1031">
        <v>1</v>
      </c>
      <c r="G44" s="1910">
        <f>L!$I$39</f>
        <v>46500</v>
      </c>
      <c r="H44" s="1032">
        <f t="shared" si="2"/>
        <v>46500</v>
      </c>
      <c r="J44" s="1958">
        <f t="shared" si="4"/>
        <v>0</v>
      </c>
    </row>
    <row r="45" spans="2:10">
      <c r="B45" s="1572"/>
      <c r="C45" s="1039" t="s">
        <v>28</v>
      </c>
      <c r="D45" s="1924" t="s">
        <v>1457</v>
      </c>
      <c r="E45" s="1925" t="s">
        <v>152</v>
      </c>
      <c r="F45" s="1031">
        <v>2</v>
      </c>
      <c r="G45" s="1910">
        <f>L!$I$47</f>
        <v>133000</v>
      </c>
      <c r="H45" s="1032">
        <f t="shared" si="2"/>
        <v>266000</v>
      </c>
      <c r="J45" s="1958">
        <f t="shared" si="4"/>
        <v>0</v>
      </c>
    </row>
    <row r="46" spans="2:10">
      <c r="B46" s="1572"/>
      <c r="C46" s="1122" t="s">
        <v>28</v>
      </c>
      <c r="D46" s="1924" t="s">
        <v>1530</v>
      </c>
      <c r="E46" s="1925" t="s">
        <v>152</v>
      </c>
      <c r="F46" s="1031"/>
      <c r="G46" s="1910">
        <f>L!$I$55</f>
        <v>20000</v>
      </c>
      <c r="H46" s="1032">
        <f t="shared" si="2"/>
        <v>0</v>
      </c>
      <c r="J46" s="1958">
        <f t="shared" si="4"/>
        <v>0</v>
      </c>
    </row>
    <row r="47" spans="2:10">
      <c r="B47" s="1049"/>
      <c r="C47" s="1039" t="s">
        <v>28</v>
      </c>
      <c r="D47" s="1924" t="s">
        <v>2224</v>
      </c>
      <c r="E47" s="1925" t="s">
        <v>88</v>
      </c>
      <c r="F47" s="1031"/>
      <c r="G47" s="1910">
        <f>L!$I$63</f>
        <v>274000</v>
      </c>
      <c r="H47" s="1032">
        <f t="shared" si="2"/>
        <v>0</v>
      </c>
      <c r="J47" s="1958">
        <f t="shared" si="4"/>
        <v>0</v>
      </c>
    </row>
    <row r="48" spans="2:10">
      <c r="B48" s="1188"/>
      <c r="C48" s="1039" t="s">
        <v>28</v>
      </c>
      <c r="D48" s="1924" t="s">
        <v>2225</v>
      </c>
      <c r="E48" s="1925" t="s">
        <v>88</v>
      </c>
      <c r="F48" s="1031"/>
      <c r="G48" s="1912">
        <f>L!$I$71</f>
        <v>120000</v>
      </c>
      <c r="H48" s="1032">
        <f t="shared" si="2"/>
        <v>0</v>
      </c>
      <c r="J48" s="1958">
        <f t="shared" si="4"/>
        <v>0</v>
      </c>
    </row>
    <row r="49" spans="2:10">
      <c r="B49" s="1572"/>
      <c r="C49" s="1039" t="s">
        <v>28</v>
      </c>
      <c r="D49" s="1924" t="s">
        <v>1700</v>
      </c>
      <c r="E49" s="1925" t="s">
        <v>88</v>
      </c>
      <c r="F49" s="1031"/>
      <c r="G49" s="1910">
        <f>L!$I$143</f>
        <v>165000</v>
      </c>
      <c r="H49" s="1032">
        <f t="shared" si="2"/>
        <v>0</v>
      </c>
      <c r="J49" s="1958">
        <f t="shared" si="4"/>
        <v>0</v>
      </c>
    </row>
    <row r="50" spans="2:10">
      <c r="B50" s="1572"/>
      <c r="C50" s="1039" t="s">
        <v>28</v>
      </c>
      <c r="D50" s="1924" t="s">
        <v>1644</v>
      </c>
      <c r="E50" s="1925" t="s">
        <v>152</v>
      </c>
      <c r="F50" s="1031">
        <v>1</v>
      </c>
      <c r="G50" s="1910">
        <f>L!$I$127</f>
        <v>210000</v>
      </c>
      <c r="H50" s="1032">
        <f t="shared" si="2"/>
        <v>210000</v>
      </c>
      <c r="J50" s="1958">
        <f t="shared" si="4"/>
        <v>0</v>
      </c>
    </row>
    <row r="51" spans="2:10" ht="15.75" thickBot="1">
      <c r="B51" s="1572"/>
      <c r="C51" s="1122" t="s">
        <v>28</v>
      </c>
      <c r="D51" s="1924" t="s">
        <v>1467</v>
      </c>
      <c r="E51" s="1925" t="s">
        <v>152</v>
      </c>
      <c r="F51" s="1573"/>
      <c r="G51" s="1910">
        <f>L!$I$135</f>
        <v>465000</v>
      </c>
      <c r="H51" s="1123">
        <f t="shared" si="2"/>
        <v>0</v>
      </c>
      <c r="J51" s="1958">
        <f t="shared" si="4"/>
        <v>0</v>
      </c>
    </row>
    <row r="52" spans="2:10">
      <c r="B52" s="1047"/>
      <c r="C52" s="1052"/>
      <c r="D52" s="1053" t="s">
        <v>228</v>
      </c>
      <c r="E52" s="1054"/>
      <c r="F52" s="1055"/>
      <c r="G52" s="1056"/>
      <c r="H52" s="1057">
        <f>SUM(H39:H51)</f>
        <v>716000</v>
      </c>
    </row>
    <row r="53" spans="2:10" ht="15.75" thickBot="1">
      <c r="B53" s="1025"/>
      <c r="C53" s="1058" t="s">
        <v>229</v>
      </c>
      <c r="D53" s="1059"/>
      <c r="E53" s="1059"/>
      <c r="F53" s="1059"/>
      <c r="G53" s="1060"/>
      <c r="H53" s="1061">
        <f>ROUND(H52,0)</f>
        <v>716000</v>
      </c>
    </row>
    <row r="54" spans="2:10" ht="15.75" thickBot="1">
      <c r="B54" s="1218">
        <v>4</v>
      </c>
      <c r="C54" s="987" t="str">
        <f>VLOOKUP(B54,$C$488:$D$516,2,TRUE)</f>
        <v>1 Unit Pek. Jendela (  )</v>
      </c>
      <c r="D54" s="987"/>
      <c r="E54" s="988"/>
      <c r="F54" s="989"/>
      <c r="G54" s="990"/>
      <c r="H54" s="991">
        <f>H69</f>
        <v>120000</v>
      </c>
    </row>
    <row r="55" spans="2:10">
      <c r="B55" s="1047"/>
      <c r="C55" s="1039" t="s">
        <v>28</v>
      </c>
      <c r="D55" s="1924" t="s">
        <v>1528</v>
      </c>
      <c r="E55" s="1925" t="s">
        <v>88</v>
      </c>
      <c r="F55" s="1031"/>
      <c r="G55" s="1910">
        <f>L!$I$7</f>
        <v>180000</v>
      </c>
      <c r="H55" s="1032">
        <f t="shared" si="2"/>
        <v>0</v>
      </c>
      <c r="I55" s="5">
        <f>HIT.PINTU!H40</f>
        <v>0</v>
      </c>
      <c r="J55" s="1958">
        <f>$I$55*F55</f>
        <v>0</v>
      </c>
    </row>
    <row r="56" spans="2:10" s="1824" customFormat="1">
      <c r="B56" s="1615"/>
      <c r="C56" s="1616" t="s">
        <v>28</v>
      </c>
      <c r="D56" s="1924" t="s">
        <v>1529</v>
      </c>
      <c r="E56" s="1925" t="s">
        <v>88</v>
      </c>
      <c r="F56" s="1926"/>
      <c r="G56" s="1910">
        <f>L!$I$15</f>
        <v>93000</v>
      </c>
      <c r="H56" s="1927">
        <f t="shared" si="2"/>
        <v>0</v>
      </c>
      <c r="J56" s="1958">
        <f t="shared" ref="J56:J67" si="5">$I$55*F56</f>
        <v>0</v>
      </c>
    </row>
    <row r="57" spans="2:10">
      <c r="B57" s="1615"/>
      <c r="C57" s="1616" t="s">
        <v>28</v>
      </c>
      <c r="D57" s="1924" t="s">
        <v>611</v>
      </c>
      <c r="E57" s="1925" t="s">
        <v>88</v>
      </c>
      <c r="F57" s="1031"/>
      <c r="G57" s="1910">
        <f>L!$I$23</f>
        <v>55000</v>
      </c>
      <c r="H57" s="1032">
        <f t="shared" si="2"/>
        <v>0</v>
      </c>
      <c r="J57" s="1958">
        <f t="shared" si="5"/>
        <v>0</v>
      </c>
    </row>
    <row r="58" spans="2:10">
      <c r="B58" s="1049"/>
      <c r="C58" s="1039" t="s">
        <v>28</v>
      </c>
      <c r="D58" s="1924" t="s">
        <v>1737</v>
      </c>
      <c r="E58" s="1925" t="s">
        <v>152</v>
      </c>
      <c r="F58" s="1031">
        <v>2</v>
      </c>
      <c r="G58" s="1910">
        <f>L!$I$151</f>
        <v>13500</v>
      </c>
      <c r="H58" s="1032">
        <f t="shared" si="2"/>
        <v>27000</v>
      </c>
      <c r="J58" s="1958">
        <f t="shared" si="5"/>
        <v>0</v>
      </c>
    </row>
    <row r="59" spans="2:10">
      <c r="B59" s="1188"/>
      <c r="C59" s="1039" t="s">
        <v>28</v>
      </c>
      <c r="D59" s="1924" t="s">
        <v>2066</v>
      </c>
      <c r="E59" s="1925" t="s">
        <v>152</v>
      </c>
      <c r="F59" s="1031"/>
      <c r="G59" s="1910">
        <f>L!$I$31</f>
        <v>39500</v>
      </c>
      <c r="H59" s="1032">
        <f t="shared" si="2"/>
        <v>0</v>
      </c>
      <c r="J59" s="1958">
        <f t="shared" si="5"/>
        <v>0</v>
      </c>
    </row>
    <row r="60" spans="2:10">
      <c r="B60" s="1572"/>
      <c r="C60" s="1039" t="s">
        <v>28</v>
      </c>
      <c r="D60" s="1924" t="s">
        <v>2113</v>
      </c>
      <c r="E60" s="1925" t="s">
        <v>152</v>
      </c>
      <c r="F60" s="1031">
        <v>2</v>
      </c>
      <c r="G60" s="1910">
        <f>L!$I$39</f>
        <v>46500</v>
      </c>
      <c r="H60" s="1032">
        <f t="shared" si="2"/>
        <v>93000</v>
      </c>
      <c r="J60" s="1958">
        <f t="shared" si="5"/>
        <v>0</v>
      </c>
    </row>
    <row r="61" spans="2:10">
      <c r="B61" s="1572"/>
      <c r="C61" s="1039" t="s">
        <v>28</v>
      </c>
      <c r="D61" s="1924" t="s">
        <v>1457</v>
      </c>
      <c r="E61" s="1925" t="s">
        <v>152</v>
      </c>
      <c r="F61" s="1031"/>
      <c r="G61" s="1910">
        <f>L!$I$47</f>
        <v>133000</v>
      </c>
      <c r="H61" s="1032">
        <f t="shared" si="2"/>
        <v>0</v>
      </c>
      <c r="J61" s="1958">
        <f t="shared" si="5"/>
        <v>0</v>
      </c>
    </row>
    <row r="62" spans="2:10">
      <c r="B62" s="1572"/>
      <c r="C62" s="1122" t="s">
        <v>28</v>
      </c>
      <c r="D62" s="1924" t="s">
        <v>1530</v>
      </c>
      <c r="E62" s="1925" t="s">
        <v>152</v>
      </c>
      <c r="F62" s="1031"/>
      <c r="G62" s="1910">
        <f>L!$I$55</f>
        <v>20000</v>
      </c>
      <c r="H62" s="1032">
        <f t="shared" si="2"/>
        <v>0</v>
      </c>
      <c r="J62" s="1958">
        <f t="shared" si="5"/>
        <v>0</v>
      </c>
    </row>
    <row r="63" spans="2:10">
      <c r="B63" s="1049"/>
      <c r="C63" s="1039" t="s">
        <v>28</v>
      </c>
      <c r="D63" s="1924" t="s">
        <v>2224</v>
      </c>
      <c r="E63" s="1925" t="s">
        <v>88</v>
      </c>
      <c r="F63" s="1031"/>
      <c r="G63" s="1910">
        <f>L!$I$63</f>
        <v>274000</v>
      </c>
      <c r="H63" s="1032">
        <f t="shared" si="2"/>
        <v>0</v>
      </c>
      <c r="J63" s="1958">
        <f t="shared" si="5"/>
        <v>0</v>
      </c>
    </row>
    <row r="64" spans="2:10">
      <c r="B64" s="1188"/>
      <c r="C64" s="1039" t="s">
        <v>28</v>
      </c>
      <c r="D64" s="1924" t="s">
        <v>2225</v>
      </c>
      <c r="E64" s="1925" t="s">
        <v>88</v>
      </c>
      <c r="F64" s="1031"/>
      <c r="G64" s="1912">
        <f>L!$I$71</f>
        <v>120000</v>
      </c>
      <c r="H64" s="1032">
        <f t="shared" si="2"/>
        <v>0</v>
      </c>
      <c r="J64" s="1958">
        <f t="shared" si="5"/>
        <v>0</v>
      </c>
    </row>
    <row r="65" spans="2:10">
      <c r="B65" s="1572"/>
      <c r="C65" s="1039" t="s">
        <v>28</v>
      </c>
      <c r="D65" s="1924" t="s">
        <v>1700</v>
      </c>
      <c r="E65" s="1925" t="s">
        <v>88</v>
      </c>
      <c r="F65" s="1031"/>
      <c r="G65" s="1910">
        <f>L!$I$143</f>
        <v>165000</v>
      </c>
      <c r="H65" s="1032">
        <f t="shared" si="2"/>
        <v>0</v>
      </c>
      <c r="J65" s="1958">
        <f t="shared" si="5"/>
        <v>0</v>
      </c>
    </row>
    <row r="66" spans="2:10">
      <c r="B66" s="1572"/>
      <c r="C66" s="1039" t="s">
        <v>28</v>
      </c>
      <c r="D66" s="1924" t="s">
        <v>1644</v>
      </c>
      <c r="E66" s="1925" t="s">
        <v>152</v>
      </c>
      <c r="F66" s="1031"/>
      <c r="G66" s="1910">
        <f>L!$I$127</f>
        <v>210000</v>
      </c>
      <c r="H66" s="1032">
        <f t="shared" si="2"/>
        <v>0</v>
      </c>
      <c r="J66" s="1958">
        <f t="shared" si="5"/>
        <v>0</v>
      </c>
    </row>
    <row r="67" spans="2:10" ht="15.75" thickBot="1">
      <c r="B67" s="1572"/>
      <c r="C67" s="1122" t="s">
        <v>28</v>
      </c>
      <c r="D67" s="1924" t="s">
        <v>1467</v>
      </c>
      <c r="E67" s="1925" t="s">
        <v>152</v>
      </c>
      <c r="F67" s="1573"/>
      <c r="G67" s="1910">
        <f>L!$I$135</f>
        <v>465000</v>
      </c>
      <c r="H67" s="1123">
        <f t="shared" si="2"/>
        <v>0</v>
      </c>
      <c r="J67" s="1958">
        <f t="shared" si="5"/>
        <v>0</v>
      </c>
    </row>
    <row r="68" spans="2:10">
      <c r="B68" s="1047"/>
      <c r="C68" s="1052"/>
      <c r="D68" s="1053" t="s">
        <v>228</v>
      </c>
      <c r="E68" s="1054"/>
      <c r="F68" s="1055"/>
      <c r="G68" s="1056"/>
      <c r="H68" s="1057">
        <f>SUM(H55:H67)</f>
        <v>120000</v>
      </c>
    </row>
    <row r="69" spans="2:10" ht="15.75" thickBot="1">
      <c r="B69" s="1025"/>
      <c r="C69" s="1058" t="s">
        <v>229</v>
      </c>
      <c r="D69" s="1059"/>
      <c r="E69" s="1059"/>
      <c r="F69" s="1059"/>
      <c r="G69" s="1060"/>
      <c r="H69" s="1061">
        <f>ROUND(H68,0)</f>
        <v>120000</v>
      </c>
    </row>
    <row r="70" spans="2:10" ht="15.75" thickBot="1">
      <c r="B70" s="1218">
        <v>5</v>
      </c>
      <c r="C70" s="987" t="str">
        <f>VLOOKUP(B70,$C$488:$D$516,2,TRUE)</f>
        <v>1 Unit Pek. Jendela (  )</v>
      </c>
      <c r="D70" s="987"/>
      <c r="E70" s="988"/>
      <c r="F70" s="989"/>
      <c r="G70" s="990"/>
      <c r="H70" s="991">
        <f>H85</f>
        <v>120000</v>
      </c>
    </row>
    <row r="71" spans="2:10">
      <c r="B71" s="1047"/>
      <c r="C71" s="1039" t="s">
        <v>28</v>
      </c>
      <c r="D71" s="1924" t="s">
        <v>1528</v>
      </c>
      <c r="E71" s="1925" t="s">
        <v>88</v>
      </c>
      <c r="F71" s="1031"/>
      <c r="G71" s="1910">
        <f>L!$I$7</f>
        <v>180000</v>
      </c>
      <c r="H71" s="1032">
        <f t="shared" si="2"/>
        <v>0</v>
      </c>
      <c r="I71" s="5">
        <f>HIT.PINTU!H41</f>
        <v>0</v>
      </c>
      <c r="J71" s="1958">
        <f>$I$71*F71</f>
        <v>0</v>
      </c>
    </row>
    <row r="72" spans="2:10" s="1824" customFormat="1">
      <c r="B72" s="1615"/>
      <c r="C72" s="1616" t="s">
        <v>28</v>
      </c>
      <c r="D72" s="1924" t="s">
        <v>1529</v>
      </c>
      <c r="E72" s="1925" t="s">
        <v>88</v>
      </c>
      <c r="F72" s="1926"/>
      <c r="G72" s="1910">
        <f>L!$I$15</f>
        <v>93000</v>
      </c>
      <c r="H72" s="1927">
        <f t="shared" si="2"/>
        <v>0</v>
      </c>
      <c r="J72" s="1958">
        <f t="shared" ref="J72:J83" si="6">$I$71*F72</f>
        <v>0</v>
      </c>
    </row>
    <row r="73" spans="2:10">
      <c r="B73" s="1615"/>
      <c r="C73" s="1616" t="s">
        <v>28</v>
      </c>
      <c r="D73" s="1924" t="s">
        <v>611</v>
      </c>
      <c r="E73" s="1925" t="s">
        <v>88</v>
      </c>
      <c r="F73" s="1031"/>
      <c r="G73" s="1910">
        <f>L!$I$23</f>
        <v>55000</v>
      </c>
      <c r="H73" s="1032">
        <f t="shared" si="2"/>
        <v>0</v>
      </c>
      <c r="J73" s="1958">
        <f t="shared" si="6"/>
        <v>0</v>
      </c>
    </row>
    <row r="74" spans="2:10">
      <c r="B74" s="1049"/>
      <c r="C74" s="1039" t="s">
        <v>28</v>
      </c>
      <c r="D74" s="1924" t="s">
        <v>1737</v>
      </c>
      <c r="E74" s="1925" t="s">
        <v>152</v>
      </c>
      <c r="F74" s="1031">
        <v>2</v>
      </c>
      <c r="G74" s="1910">
        <f>L!$I$151</f>
        <v>13500</v>
      </c>
      <c r="H74" s="1032">
        <f t="shared" si="2"/>
        <v>27000</v>
      </c>
      <c r="J74" s="1958">
        <f t="shared" si="6"/>
        <v>0</v>
      </c>
    </row>
    <row r="75" spans="2:10">
      <c r="B75" s="1188"/>
      <c r="C75" s="1039" t="s">
        <v>28</v>
      </c>
      <c r="D75" s="1924" t="s">
        <v>2066</v>
      </c>
      <c r="E75" s="1925" t="s">
        <v>152</v>
      </c>
      <c r="F75" s="1031"/>
      <c r="G75" s="1910">
        <f>L!$I$31</f>
        <v>39500</v>
      </c>
      <c r="H75" s="1032">
        <f t="shared" si="2"/>
        <v>0</v>
      </c>
      <c r="J75" s="1958">
        <f t="shared" si="6"/>
        <v>0</v>
      </c>
    </row>
    <row r="76" spans="2:10">
      <c r="B76" s="1572"/>
      <c r="C76" s="1039" t="s">
        <v>28</v>
      </c>
      <c r="D76" s="1924" t="s">
        <v>2113</v>
      </c>
      <c r="E76" s="1925" t="s">
        <v>152</v>
      </c>
      <c r="F76" s="1031">
        <v>2</v>
      </c>
      <c r="G76" s="1910">
        <f>L!$I$39</f>
        <v>46500</v>
      </c>
      <c r="H76" s="1032">
        <f t="shared" si="2"/>
        <v>93000</v>
      </c>
      <c r="J76" s="1958">
        <f t="shared" si="6"/>
        <v>0</v>
      </c>
    </row>
    <row r="77" spans="2:10">
      <c r="B77" s="1572"/>
      <c r="C77" s="1039" t="s">
        <v>28</v>
      </c>
      <c r="D77" s="1924" t="s">
        <v>1457</v>
      </c>
      <c r="E77" s="1925" t="s">
        <v>152</v>
      </c>
      <c r="F77" s="1031"/>
      <c r="G77" s="1910">
        <f>L!$I$47</f>
        <v>133000</v>
      </c>
      <c r="H77" s="1032">
        <f t="shared" si="2"/>
        <v>0</v>
      </c>
      <c r="J77" s="1958">
        <f t="shared" si="6"/>
        <v>0</v>
      </c>
    </row>
    <row r="78" spans="2:10">
      <c r="B78" s="1572"/>
      <c r="C78" s="1122" t="s">
        <v>28</v>
      </c>
      <c r="D78" s="1924" t="s">
        <v>1530</v>
      </c>
      <c r="E78" s="1925" t="s">
        <v>152</v>
      </c>
      <c r="F78" s="1031"/>
      <c r="G78" s="1910">
        <f>L!$I$55</f>
        <v>20000</v>
      </c>
      <c r="H78" s="1032">
        <f t="shared" si="2"/>
        <v>0</v>
      </c>
      <c r="J78" s="1958">
        <f t="shared" si="6"/>
        <v>0</v>
      </c>
    </row>
    <row r="79" spans="2:10">
      <c r="B79" s="1049"/>
      <c r="C79" s="1039" t="s">
        <v>28</v>
      </c>
      <c r="D79" s="1924" t="s">
        <v>2224</v>
      </c>
      <c r="E79" s="1925" t="s">
        <v>88</v>
      </c>
      <c r="F79" s="1031"/>
      <c r="G79" s="1910">
        <f>L!$I$63</f>
        <v>274000</v>
      </c>
      <c r="H79" s="1032">
        <f t="shared" si="2"/>
        <v>0</v>
      </c>
      <c r="J79" s="1958">
        <f t="shared" si="6"/>
        <v>0</v>
      </c>
    </row>
    <row r="80" spans="2:10">
      <c r="B80" s="1188"/>
      <c r="C80" s="1039" t="s">
        <v>28</v>
      </c>
      <c r="D80" s="1924" t="s">
        <v>2225</v>
      </c>
      <c r="E80" s="1925" t="s">
        <v>88</v>
      </c>
      <c r="F80" s="1031"/>
      <c r="G80" s="1912">
        <f>L!$I$71</f>
        <v>120000</v>
      </c>
      <c r="H80" s="1032">
        <f t="shared" si="2"/>
        <v>0</v>
      </c>
      <c r="J80" s="1958">
        <f t="shared" si="6"/>
        <v>0</v>
      </c>
    </row>
    <row r="81" spans="2:10">
      <c r="B81" s="1572"/>
      <c r="C81" s="1039" t="s">
        <v>28</v>
      </c>
      <c r="D81" s="1924" t="s">
        <v>1700</v>
      </c>
      <c r="E81" s="1925" t="s">
        <v>88</v>
      </c>
      <c r="F81" s="1031"/>
      <c r="G81" s="1910">
        <f>L!$I$143</f>
        <v>165000</v>
      </c>
      <c r="H81" s="1032">
        <f t="shared" si="2"/>
        <v>0</v>
      </c>
      <c r="J81" s="1958">
        <f t="shared" si="6"/>
        <v>0</v>
      </c>
    </row>
    <row r="82" spans="2:10">
      <c r="B82" s="1572"/>
      <c r="C82" s="1039" t="s">
        <v>28</v>
      </c>
      <c r="D82" s="1924" t="s">
        <v>1644</v>
      </c>
      <c r="E82" s="1925" t="s">
        <v>152</v>
      </c>
      <c r="F82" s="1031"/>
      <c r="G82" s="1910">
        <f>L!$I$127</f>
        <v>210000</v>
      </c>
      <c r="H82" s="1032">
        <f t="shared" si="2"/>
        <v>0</v>
      </c>
      <c r="J82" s="1958">
        <f t="shared" si="6"/>
        <v>0</v>
      </c>
    </row>
    <row r="83" spans="2:10" ht="15.75" thickBot="1">
      <c r="B83" s="1572"/>
      <c r="C83" s="1122" t="s">
        <v>28</v>
      </c>
      <c r="D83" s="1924" t="s">
        <v>1467</v>
      </c>
      <c r="E83" s="1925" t="s">
        <v>152</v>
      </c>
      <c r="F83" s="1573"/>
      <c r="G83" s="1910">
        <f>L!$I$135</f>
        <v>465000</v>
      </c>
      <c r="H83" s="1123">
        <f t="shared" si="2"/>
        <v>0</v>
      </c>
      <c r="J83" s="1958">
        <f t="shared" si="6"/>
        <v>0</v>
      </c>
    </row>
    <row r="84" spans="2:10">
      <c r="B84" s="1047"/>
      <c r="C84" s="1052"/>
      <c r="D84" s="1053" t="s">
        <v>228</v>
      </c>
      <c r="E84" s="1054"/>
      <c r="F84" s="1055"/>
      <c r="G84" s="1056"/>
      <c r="H84" s="1057">
        <f>SUM(H71:H83)</f>
        <v>120000</v>
      </c>
    </row>
    <row r="85" spans="2:10" ht="15.75" thickBot="1">
      <c r="B85" s="1025"/>
      <c r="C85" s="1058" t="s">
        <v>229</v>
      </c>
      <c r="D85" s="1059"/>
      <c r="E85" s="1059"/>
      <c r="F85" s="1059"/>
      <c r="G85" s="1060"/>
      <c r="H85" s="1061">
        <f>ROUND(H84,0)</f>
        <v>120000</v>
      </c>
    </row>
    <row r="86" spans="2:10" ht="15.75" thickBot="1">
      <c r="B86" s="1218">
        <v>6</v>
      </c>
      <c r="C86" s="987" t="str">
        <f>VLOOKUP(B86,$C$488:$D$516,2,TRUE)</f>
        <v>1 Unit Pek. Jendela (  )</v>
      </c>
      <c r="D86" s="987"/>
      <c r="E86" s="988"/>
      <c r="F86" s="989"/>
      <c r="G86" s="990"/>
      <c r="H86" s="991">
        <f>H101</f>
        <v>120000</v>
      </c>
    </row>
    <row r="87" spans="2:10">
      <c r="B87" s="1047"/>
      <c r="C87" s="1039" t="s">
        <v>28</v>
      </c>
      <c r="D87" s="1924" t="s">
        <v>1528</v>
      </c>
      <c r="E87" s="1925" t="s">
        <v>88</v>
      </c>
      <c r="F87" s="1031"/>
      <c r="G87" s="1910">
        <f>L!$I$7</f>
        <v>180000</v>
      </c>
      <c r="H87" s="1032">
        <f t="shared" ref="H87:H147" si="7">F87*G87</f>
        <v>0</v>
      </c>
      <c r="I87" s="5">
        <f>HIT.PINTU!$H$42</f>
        <v>0</v>
      </c>
      <c r="J87" s="1958">
        <f>$I$87*F87</f>
        <v>0</v>
      </c>
    </row>
    <row r="88" spans="2:10" s="1824" customFormat="1">
      <c r="B88" s="1615"/>
      <c r="C88" s="1616" t="s">
        <v>28</v>
      </c>
      <c r="D88" s="1924" t="s">
        <v>1529</v>
      </c>
      <c r="E88" s="1925" t="s">
        <v>88</v>
      </c>
      <c r="F88" s="1926"/>
      <c r="G88" s="1910">
        <f>L!$I$15</f>
        <v>93000</v>
      </c>
      <c r="H88" s="1927">
        <f t="shared" si="7"/>
        <v>0</v>
      </c>
      <c r="J88" s="1958">
        <f t="shared" ref="J88:J99" si="8">$I$87*F88</f>
        <v>0</v>
      </c>
    </row>
    <row r="89" spans="2:10">
      <c r="B89" s="1615"/>
      <c r="C89" s="1616" t="s">
        <v>28</v>
      </c>
      <c r="D89" s="1924" t="s">
        <v>611</v>
      </c>
      <c r="E89" s="1925" t="s">
        <v>88</v>
      </c>
      <c r="F89" s="1031"/>
      <c r="G89" s="1910">
        <f>L!$I$23</f>
        <v>55000</v>
      </c>
      <c r="H89" s="1032">
        <f t="shared" si="7"/>
        <v>0</v>
      </c>
      <c r="J89" s="1958">
        <f t="shared" si="8"/>
        <v>0</v>
      </c>
    </row>
    <row r="90" spans="2:10">
      <c r="B90" s="1049"/>
      <c r="C90" s="1039" t="s">
        <v>28</v>
      </c>
      <c r="D90" s="1924" t="s">
        <v>1737</v>
      </c>
      <c r="E90" s="1925" t="s">
        <v>152</v>
      </c>
      <c r="F90" s="1031">
        <v>2</v>
      </c>
      <c r="G90" s="1910">
        <f>L!$I$151</f>
        <v>13500</v>
      </c>
      <c r="H90" s="1032">
        <f t="shared" si="7"/>
        <v>27000</v>
      </c>
      <c r="J90" s="1958">
        <f t="shared" si="8"/>
        <v>0</v>
      </c>
    </row>
    <row r="91" spans="2:10">
      <c r="B91" s="1188"/>
      <c r="C91" s="1039" t="s">
        <v>28</v>
      </c>
      <c r="D91" s="1924" t="s">
        <v>2066</v>
      </c>
      <c r="E91" s="1925" t="s">
        <v>152</v>
      </c>
      <c r="F91" s="1031"/>
      <c r="G91" s="1910">
        <f>L!$I$31</f>
        <v>39500</v>
      </c>
      <c r="H91" s="1032">
        <f t="shared" si="7"/>
        <v>0</v>
      </c>
      <c r="J91" s="1958">
        <f t="shared" si="8"/>
        <v>0</v>
      </c>
    </row>
    <row r="92" spans="2:10">
      <c r="B92" s="1572"/>
      <c r="C92" s="1039" t="s">
        <v>28</v>
      </c>
      <c r="D92" s="1924" t="s">
        <v>2113</v>
      </c>
      <c r="E92" s="1925" t="s">
        <v>152</v>
      </c>
      <c r="F92" s="1031">
        <v>2</v>
      </c>
      <c r="G92" s="1910">
        <f>L!$I$39</f>
        <v>46500</v>
      </c>
      <c r="H92" s="1032">
        <f t="shared" si="7"/>
        <v>93000</v>
      </c>
      <c r="J92" s="1958">
        <f t="shared" si="8"/>
        <v>0</v>
      </c>
    </row>
    <row r="93" spans="2:10">
      <c r="B93" s="1572"/>
      <c r="C93" s="1039" t="s">
        <v>28</v>
      </c>
      <c r="D93" s="1924" t="s">
        <v>1457</v>
      </c>
      <c r="E93" s="1925" t="s">
        <v>152</v>
      </c>
      <c r="F93" s="1031"/>
      <c r="G93" s="1910">
        <f>L!$I$47</f>
        <v>133000</v>
      </c>
      <c r="H93" s="1032">
        <f t="shared" si="7"/>
        <v>0</v>
      </c>
      <c r="J93" s="1958">
        <f t="shared" si="8"/>
        <v>0</v>
      </c>
    </row>
    <row r="94" spans="2:10">
      <c r="B94" s="1572"/>
      <c r="C94" s="1122" t="s">
        <v>28</v>
      </c>
      <c r="D94" s="1924" t="s">
        <v>1530</v>
      </c>
      <c r="E94" s="1925" t="s">
        <v>152</v>
      </c>
      <c r="F94" s="1031"/>
      <c r="G94" s="1910">
        <f>L!$I$55</f>
        <v>20000</v>
      </c>
      <c r="H94" s="1032">
        <f t="shared" si="7"/>
        <v>0</v>
      </c>
      <c r="J94" s="1958">
        <f t="shared" si="8"/>
        <v>0</v>
      </c>
    </row>
    <row r="95" spans="2:10">
      <c r="B95" s="1049"/>
      <c r="C95" s="1039" t="s">
        <v>28</v>
      </c>
      <c r="D95" s="1924" t="s">
        <v>2224</v>
      </c>
      <c r="E95" s="1925" t="s">
        <v>88</v>
      </c>
      <c r="F95" s="1031"/>
      <c r="G95" s="1910">
        <f>L!$I$63</f>
        <v>274000</v>
      </c>
      <c r="H95" s="1032">
        <f t="shared" si="7"/>
        <v>0</v>
      </c>
      <c r="J95" s="1958">
        <f t="shared" si="8"/>
        <v>0</v>
      </c>
    </row>
    <row r="96" spans="2:10">
      <c r="B96" s="1188"/>
      <c r="C96" s="1039" t="s">
        <v>28</v>
      </c>
      <c r="D96" s="1924" t="s">
        <v>2225</v>
      </c>
      <c r="E96" s="1925" t="s">
        <v>88</v>
      </c>
      <c r="F96" s="1031"/>
      <c r="G96" s="1912">
        <f>L!$I$71</f>
        <v>120000</v>
      </c>
      <c r="H96" s="1032">
        <f t="shared" si="7"/>
        <v>0</v>
      </c>
      <c r="J96" s="1958">
        <f t="shared" si="8"/>
        <v>0</v>
      </c>
    </row>
    <row r="97" spans="2:10">
      <c r="B97" s="1572"/>
      <c r="C97" s="1039" t="s">
        <v>28</v>
      </c>
      <c r="D97" s="1924" t="s">
        <v>1700</v>
      </c>
      <c r="E97" s="1925" t="s">
        <v>88</v>
      </c>
      <c r="F97" s="1031"/>
      <c r="G97" s="1910">
        <f>L!$I$143</f>
        <v>165000</v>
      </c>
      <c r="H97" s="1032">
        <f t="shared" si="7"/>
        <v>0</v>
      </c>
      <c r="J97" s="1958">
        <f t="shared" si="8"/>
        <v>0</v>
      </c>
    </row>
    <row r="98" spans="2:10">
      <c r="B98" s="1572"/>
      <c r="C98" s="1039" t="s">
        <v>28</v>
      </c>
      <c r="D98" s="1924" t="s">
        <v>1644</v>
      </c>
      <c r="E98" s="1925" t="s">
        <v>152</v>
      </c>
      <c r="F98" s="1031"/>
      <c r="G98" s="1910">
        <f>L!$I$127</f>
        <v>210000</v>
      </c>
      <c r="H98" s="1032">
        <f t="shared" si="7"/>
        <v>0</v>
      </c>
      <c r="J98" s="1958">
        <f t="shared" si="8"/>
        <v>0</v>
      </c>
    </row>
    <row r="99" spans="2:10" ht="15.75" thickBot="1">
      <c r="B99" s="1572"/>
      <c r="C99" s="1122" t="s">
        <v>28</v>
      </c>
      <c r="D99" s="1924" t="s">
        <v>1467</v>
      </c>
      <c r="E99" s="1925" t="s">
        <v>152</v>
      </c>
      <c r="F99" s="1573"/>
      <c r="G99" s="1910">
        <f>L!$I$135</f>
        <v>465000</v>
      </c>
      <c r="H99" s="1123">
        <f t="shared" si="7"/>
        <v>0</v>
      </c>
      <c r="J99" s="1958">
        <f t="shared" si="8"/>
        <v>0</v>
      </c>
    </row>
    <row r="100" spans="2:10">
      <c r="B100" s="1047"/>
      <c r="C100" s="1052"/>
      <c r="D100" s="1053" t="s">
        <v>228</v>
      </c>
      <c r="E100" s="1054"/>
      <c r="F100" s="1055"/>
      <c r="G100" s="1056"/>
      <c r="H100" s="1057">
        <f>SUM(H87:H99)</f>
        <v>120000</v>
      </c>
    </row>
    <row r="101" spans="2:10" ht="15.75" thickBot="1">
      <c r="B101" s="1025"/>
      <c r="C101" s="1058" t="s">
        <v>229</v>
      </c>
      <c r="D101" s="1059"/>
      <c r="E101" s="1059"/>
      <c r="F101" s="1059"/>
      <c r="G101" s="1060"/>
      <c r="H101" s="1061">
        <f>ROUND(H100,0)</f>
        <v>120000</v>
      </c>
    </row>
    <row r="102" spans="2:10" ht="15.75" thickBot="1">
      <c r="B102" s="1218">
        <v>7</v>
      </c>
      <c r="C102" s="987" t="str">
        <f>VLOOKUP(B102,$C$488:$D$516,2,TRUE)</f>
        <v>1 Unit Pek. Jendela (  )</v>
      </c>
      <c r="D102" s="987"/>
      <c r="E102" s="988"/>
      <c r="F102" s="989"/>
      <c r="G102" s="990"/>
      <c r="H102" s="991">
        <f>H117</f>
        <v>120000</v>
      </c>
    </row>
    <row r="103" spans="2:10">
      <c r="B103" s="1047"/>
      <c r="C103" s="1039" t="s">
        <v>28</v>
      </c>
      <c r="D103" s="1924" t="s">
        <v>1528</v>
      </c>
      <c r="E103" s="1925" t="s">
        <v>88</v>
      </c>
      <c r="F103" s="1031"/>
      <c r="G103" s="1910">
        <f>L!$I$7</f>
        <v>180000</v>
      </c>
      <c r="H103" s="1032">
        <f t="shared" si="7"/>
        <v>0</v>
      </c>
      <c r="I103" s="5">
        <f>HIT.PINTU!H43</f>
        <v>0</v>
      </c>
      <c r="J103" s="1958">
        <f>$I$103*F103</f>
        <v>0</v>
      </c>
    </row>
    <row r="104" spans="2:10" s="1824" customFormat="1">
      <c r="B104" s="1615"/>
      <c r="C104" s="1616" t="s">
        <v>28</v>
      </c>
      <c r="D104" s="1924" t="s">
        <v>1529</v>
      </c>
      <c r="E104" s="1925" t="s">
        <v>88</v>
      </c>
      <c r="F104" s="1926"/>
      <c r="G104" s="1910">
        <f>L!$I$15</f>
        <v>93000</v>
      </c>
      <c r="H104" s="1927">
        <f t="shared" si="7"/>
        <v>0</v>
      </c>
      <c r="J104" s="1958">
        <f t="shared" ref="J104:J115" si="9">$I$103*F104</f>
        <v>0</v>
      </c>
    </row>
    <row r="105" spans="2:10">
      <c r="B105" s="1615"/>
      <c r="C105" s="1616" t="s">
        <v>28</v>
      </c>
      <c r="D105" s="1924" t="s">
        <v>611</v>
      </c>
      <c r="E105" s="1925" t="s">
        <v>88</v>
      </c>
      <c r="F105" s="1031"/>
      <c r="G105" s="1910">
        <f>L!$I$23</f>
        <v>55000</v>
      </c>
      <c r="H105" s="1032">
        <f t="shared" si="7"/>
        <v>0</v>
      </c>
      <c r="J105" s="1958">
        <f t="shared" si="9"/>
        <v>0</v>
      </c>
    </row>
    <row r="106" spans="2:10">
      <c r="B106" s="1049"/>
      <c r="C106" s="1039" t="s">
        <v>28</v>
      </c>
      <c r="D106" s="1924" t="s">
        <v>1737</v>
      </c>
      <c r="E106" s="1925" t="s">
        <v>152</v>
      </c>
      <c r="F106" s="1031">
        <v>2</v>
      </c>
      <c r="G106" s="1910">
        <f>L!$I$151</f>
        <v>13500</v>
      </c>
      <c r="H106" s="1032">
        <f t="shared" si="7"/>
        <v>27000</v>
      </c>
      <c r="J106" s="1958">
        <f t="shared" si="9"/>
        <v>0</v>
      </c>
    </row>
    <row r="107" spans="2:10">
      <c r="B107" s="1188"/>
      <c r="C107" s="1039" t="s">
        <v>28</v>
      </c>
      <c r="D107" s="1924" t="s">
        <v>2066</v>
      </c>
      <c r="E107" s="1925" t="s">
        <v>152</v>
      </c>
      <c r="F107" s="1031"/>
      <c r="G107" s="1910">
        <f>L!$I$31</f>
        <v>39500</v>
      </c>
      <c r="H107" s="1032">
        <f t="shared" si="7"/>
        <v>0</v>
      </c>
      <c r="J107" s="1958">
        <f t="shared" si="9"/>
        <v>0</v>
      </c>
    </row>
    <row r="108" spans="2:10">
      <c r="B108" s="1572"/>
      <c r="C108" s="1039" t="s">
        <v>28</v>
      </c>
      <c r="D108" s="1924" t="s">
        <v>2113</v>
      </c>
      <c r="E108" s="1925" t="s">
        <v>152</v>
      </c>
      <c r="F108" s="1031">
        <v>2</v>
      </c>
      <c r="G108" s="1910">
        <f>L!$I$39</f>
        <v>46500</v>
      </c>
      <c r="H108" s="1032">
        <f t="shared" si="7"/>
        <v>93000</v>
      </c>
      <c r="J108" s="1958">
        <f t="shared" si="9"/>
        <v>0</v>
      </c>
    </row>
    <row r="109" spans="2:10">
      <c r="B109" s="1572"/>
      <c r="C109" s="1039" t="s">
        <v>28</v>
      </c>
      <c r="D109" s="1924" t="s">
        <v>1457</v>
      </c>
      <c r="E109" s="1925" t="s">
        <v>152</v>
      </c>
      <c r="F109" s="1031"/>
      <c r="G109" s="1910">
        <f>L!$I$47</f>
        <v>133000</v>
      </c>
      <c r="H109" s="1032">
        <f t="shared" si="7"/>
        <v>0</v>
      </c>
      <c r="J109" s="1958">
        <f t="shared" si="9"/>
        <v>0</v>
      </c>
    </row>
    <row r="110" spans="2:10">
      <c r="B110" s="1572"/>
      <c r="C110" s="1122" t="s">
        <v>28</v>
      </c>
      <c r="D110" s="1924" t="s">
        <v>1530</v>
      </c>
      <c r="E110" s="1925" t="s">
        <v>152</v>
      </c>
      <c r="F110" s="1031"/>
      <c r="G110" s="1910">
        <f>L!$I$55</f>
        <v>20000</v>
      </c>
      <c r="H110" s="1032">
        <f t="shared" si="7"/>
        <v>0</v>
      </c>
      <c r="J110" s="1958">
        <f t="shared" si="9"/>
        <v>0</v>
      </c>
    </row>
    <row r="111" spans="2:10">
      <c r="B111" s="1049"/>
      <c r="C111" s="1039" t="s">
        <v>28</v>
      </c>
      <c r="D111" s="1924" t="s">
        <v>2224</v>
      </c>
      <c r="E111" s="1925" t="s">
        <v>88</v>
      </c>
      <c r="F111" s="1031"/>
      <c r="G111" s="1910">
        <f>L!$I$63</f>
        <v>274000</v>
      </c>
      <c r="H111" s="1032">
        <f t="shared" si="7"/>
        <v>0</v>
      </c>
      <c r="J111" s="1958">
        <f t="shared" si="9"/>
        <v>0</v>
      </c>
    </row>
    <row r="112" spans="2:10">
      <c r="B112" s="1188"/>
      <c r="C112" s="1039" t="s">
        <v>28</v>
      </c>
      <c r="D112" s="1924" t="s">
        <v>2225</v>
      </c>
      <c r="E112" s="1925" t="s">
        <v>88</v>
      </c>
      <c r="F112" s="1031"/>
      <c r="G112" s="1912">
        <f>L!$I$71</f>
        <v>120000</v>
      </c>
      <c r="H112" s="1032">
        <f t="shared" si="7"/>
        <v>0</v>
      </c>
      <c r="J112" s="1958">
        <f t="shared" si="9"/>
        <v>0</v>
      </c>
    </row>
    <row r="113" spans="2:10">
      <c r="B113" s="1572"/>
      <c r="C113" s="1039" t="s">
        <v>28</v>
      </c>
      <c r="D113" s="1924" t="s">
        <v>1700</v>
      </c>
      <c r="E113" s="1925" t="s">
        <v>88</v>
      </c>
      <c r="F113" s="1031"/>
      <c r="G113" s="1910">
        <f>L!$I$143</f>
        <v>165000</v>
      </c>
      <c r="H113" s="1032">
        <f t="shared" si="7"/>
        <v>0</v>
      </c>
      <c r="J113" s="1958">
        <f t="shared" si="9"/>
        <v>0</v>
      </c>
    </row>
    <row r="114" spans="2:10">
      <c r="B114" s="1572"/>
      <c r="C114" s="1039" t="s">
        <v>28</v>
      </c>
      <c r="D114" s="1924" t="s">
        <v>1644</v>
      </c>
      <c r="E114" s="1925" t="s">
        <v>152</v>
      </c>
      <c r="F114" s="1031"/>
      <c r="G114" s="1910">
        <f>L!$I$127</f>
        <v>210000</v>
      </c>
      <c r="H114" s="1032">
        <f t="shared" si="7"/>
        <v>0</v>
      </c>
      <c r="J114" s="1958">
        <f t="shared" si="9"/>
        <v>0</v>
      </c>
    </row>
    <row r="115" spans="2:10" ht="15.75" thickBot="1">
      <c r="B115" s="1572"/>
      <c r="C115" s="1122" t="s">
        <v>28</v>
      </c>
      <c r="D115" s="1924" t="s">
        <v>1467</v>
      </c>
      <c r="E115" s="1925" t="s">
        <v>152</v>
      </c>
      <c r="F115" s="1573"/>
      <c r="G115" s="1910">
        <f>L!$I$135</f>
        <v>465000</v>
      </c>
      <c r="H115" s="1123">
        <f t="shared" si="7"/>
        <v>0</v>
      </c>
      <c r="J115" s="1958">
        <f t="shared" si="9"/>
        <v>0</v>
      </c>
    </row>
    <row r="116" spans="2:10">
      <c r="B116" s="1047"/>
      <c r="C116" s="1052"/>
      <c r="D116" s="1053" t="s">
        <v>228</v>
      </c>
      <c r="E116" s="1054"/>
      <c r="F116" s="1055"/>
      <c r="G116" s="1056"/>
      <c r="H116" s="1057">
        <f>SUM(H103:H115)</f>
        <v>120000</v>
      </c>
    </row>
    <row r="117" spans="2:10" ht="15.75" thickBot="1">
      <c r="B117" s="1025"/>
      <c r="C117" s="1058" t="s">
        <v>229</v>
      </c>
      <c r="D117" s="1059"/>
      <c r="E117" s="1059"/>
      <c r="F117" s="1059"/>
      <c r="G117" s="1060"/>
      <c r="H117" s="1061">
        <f>ROUND(H116,0)</f>
        <v>120000</v>
      </c>
    </row>
    <row r="118" spans="2:10" ht="15.75" thickBot="1">
      <c r="B118" s="1218">
        <v>8</v>
      </c>
      <c r="C118" s="987" t="str">
        <f>VLOOKUP(B118,$C$488:$D$516,2,TRUE)</f>
        <v>1 Unit Pek. Jendela (  )</v>
      </c>
      <c r="D118" s="987"/>
      <c r="E118" s="988"/>
      <c r="F118" s="989"/>
      <c r="G118" s="990"/>
      <c r="H118" s="991">
        <f>H133</f>
        <v>0</v>
      </c>
    </row>
    <row r="119" spans="2:10">
      <c r="B119" s="1047"/>
      <c r="C119" s="1039" t="s">
        <v>28</v>
      </c>
      <c r="D119" s="1924" t="s">
        <v>1528</v>
      </c>
      <c r="E119" s="1925" t="s">
        <v>88</v>
      </c>
      <c r="F119" s="1031"/>
      <c r="G119" s="1910">
        <f>L!$I$7</f>
        <v>180000</v>
      </c>
      <c r="H119" s="1032">
        <f t="shared" si="7"/>
        <v>0</v>
      </c>
      <c r="I119" s="5">
        <f>HIT.PINTU!H44</f>
        <v>0</v>
      </c>
      <c r="J119" s="1958">
        <f>$I$119*F119</f>
        <v>0</v>
      </c>
    </row>
    <row r="120" spans="2:10" s="1824" customFormat="1">
      <c r="B120" s="1615"/>
      <c r="C120" s="1616" t="s">
        <v>28</v>
      </c>
      <c r="D120" s="1924" t="s">
        <v>1529</v>
      </c>
      <c r="E120" s="1925" t="s">
        <v>88</v>
      </c>
      <c r="F120" s="1926"/>
      <c r="G120" s="1910">
        <f>L!$I$15</f>
        <v>93000</v>
      </c>
      <c r="H120" s="1927">
        <f t="shared" si="7"/>
        <v>0</v>
      </c>
      <c r="J120" s="1958">
        <f t="shared" ref="J120:J131" si="10">$I$119*F120</f>
        <v>0</v>
      </c>
    </row>
    <row r="121" spans="2:10">
      <c r="B121" s="1615"/>
      <c r="C121" s="1616" t="s">
        <v>28</v>
      </c>
      <c r="D121" s="1924" t="s">
        <v>611</v>
      </c>
      <c r="E121" s="1925" t="s">
        <v>88</v>
      </c>
      <c r="F121" s="1031"/>
      <c r="G121" s="1910">
        <f>L!$I$23</f>
        <v>55000</v>
      </c>
      <c r="H121" s="1032">
        <f t="shared" si="7"/>
        <v>0</v>
      </c>
      <c r="J121" s="1958">
        <f t="shared" si="10"/>
        <v>0</v>
      </c>
    </row>
    <row r="122" spans="2:10">
      <c r="B122" s="1049"/>
      <c r="C122" s="1039" t="s">
        <v>28</v>
      </c>
      <c r="D122" s="1924" t="s">
        <v>1737</v>
      </c>
      <c r="E122" s="1925" t="s">
        <v>152</v>
      </c>
      <c r="F122" s="1031"/>
      <c r="G122" s="1910">
        <f>L!$I$151</f>
        <v>13500</v>
      </c>
      <c r="H122" s="1032">
        <f t="shared" si="7"/>
        <v>0</v>
      </c>
      <c r="J122" s="1958">
        <f t="shared" si="10"/>
        <v>0</v>
      </c>
    </row>
    <row r="123" spans="2:10">
      <c r="B123" s="1188"/>
      <c r="C123" s="1039" t="s">
        <v>28</v>
      </c>
      <c r="D123" s="1924" t="s">
        <v>2066</v>
      </c>
      <c r="E123" s="1925" t="s">
        <v>152</v>
      </c>
      <c r="F123" s="1031"/>
      <c r="G123" s="1910">
        <f>L!$I$31</f>
        <v>39500</v>
      </c>
      <c r="H123" s="1032">
        <f t="shared" si="7"/>
        <v>0</v>
      </c>
      <c r="J123" s="1958">
        <f t="shared" si="10"/>
        <v>0</v>
      </c>
    </row>
    <row r="124" spans="2:10">
      <c r="B124" s="1572"/>
      <c r="C124" s="1039" t="s">
        <v>28</v>
      </c>
      <c r="D124" s="1924" t="s">
        <v>2113</v>
      </c>
      <c r="E124" s="1925" t="s">
        <v>152</v>
      </c>
      <c r="F124" s="1031"/>
      <c r="G124" s="1910">
        <f>L!$I$39</f>
        <v>46500</v>
      </c>
      <c r="H124" s="1032">
        <f t="shared" si="7"/>
        <v>0</v>
      </c>
      <c r="J124" s="1958">
        <f t="shared" si="10"/>
        <v>0</v>
      </c>
    </row>
    <row r="125" spans="2:10">
      <c r="B125" s="1572"/>
      <c r="C125" s="1039" t="s">
        <v>28</v>
      </c>
      <c r="D125" s="1924" t="s">
        <v>1457</v>
      </c>
      <c r="E125" s="1925" t="s">
        <v>152</v>
      </c>
      <c r="F125" s="1031"/>
      <c r="G125" s="1910">
        <f>L!$I$47</f>
        <v>133000</v>
      </c>
      <c r="H125" s="1032">
        <f t="shared" si="7"/>
        <v>0</v>
      </c>
      <c r="J125" s="1958">
        <f t="shared" si="10"/>
        <v>0</v>
      </c>
    </row>
    <row r="126" spans="2:10">
      <c r="B126" s="1572"/>
      <c r="C126" s="1122" t="s">
        <v>28</v>
      </c>
      <c r="D126" s="1924" t="s">
        <v>1530</v>
      </c>
      <c r="E126" s="1925" t="s">
        <v>152</v>
      </c>
      <c r="F126" s="1031"/>
      <c r="G126" s="1910">
        <f>L!$I$55</f>
        <v>20000</v>
      </c>
      <c r="H126" s="1032">
        <f t="shared" si="7"/>
        <v>0</v>
      </c>
      <c r="J126" s="1958">
        <f t="shared" si="10"/>
        <v>0</v>
      </c>
    </row>
    <row r="127" spans="2:10">
      <c r="B127" s="1049"/>
      <c r="C127" s="1039" t="s">
        <v>28</v>
      </c>
      <c r="D127" s="1924" t="s">
        <v>2224</v>
      </c>
      <c r="E127" s="1925" t="s">
        <v>88</v>
      </c>
      <c r="F127" s="1031"/>
      <c r="G127" s="1910">
        <f>L!$I$63</f>
        <v>274000</v>
      </c>
      <c r="H127" s="1032">
        <f t="shared" si="7"/>
        <v>0</v>
      </c>
      <c r="J127" s="1958">
        <f t="shared" si="10"/>
        <v>0</v>
      </c>
    </row>
    <row r="128" spans="2:10">
      <c r="B128" s="1188"/>
      <c r="C128" s="1039" t="s">
        <v>28</v>
      </c>
      <c r="D128" s="1924" t="s">
        <v>2225</v>
      </c>
      <c r="E128" s="1925" t="s">
        <v>88</v>
      </c>
      <c r="F128" s="1031"/>
      <c r="G128" s="1912">
        <f>L!$I$71</f>
        <v>120000</v>
      </c>
      <c r="H128" s="1032">
        <f t="shared" si="7"/>
        <v>0</v>
      </c>
      <c r="J128" s="1958">
        <f t="shared" si="10"/>
        <v>0</v>
      </c>
    </row>
    <row r="129" spans="2:10">
      <c r="B129" s="1572"/>
      <c r="C129" s="1039" t="s">
        <v>28</v>
      </c>
      <c r="D129" s="1924" t="s">
        <v>1700</v>
      </c>
      <c r="E129" s="1925" t="s">
        <v>88</v>
      </c>
      <c r="F129" s="1031"/>
      <c r="G129" s="1910">
        <f>L!$I$143</f>
        <v>165000</v>
      </c>
      <c r="H129" s="1032">
        <f t="shared" si="7"/>
        <v>0</v>
      </c>
      <c r="J129" s="1958">
        <f t="shared" si="10"/>
        <v>0</v>
      </c>
    </row>
    <row r="130" spans="2:10">
      <c r="B130" s="1572"/>
      <c r="C130" s="1039" t="s">
        <v>28</v>
      </c>
      <c r="D130" s="1924" t="s">
        <v>1644</v>
      </c>
      <c r="E130" s="1925" t="s">
        <v>152</v>
      </c>
      <c r="F130" s="1031"/>
      <c r="G130" s="1910">
        <f>L!$I$127</f>
        <v>210000</v>
      </c>
      <c r="H130" s="1032">
        <f t="shared" si="7"/>
        <v>0</v>
      </c>
      <c r="J130" s="1958">
        <f t="shared" si="10"/>
        <v>0</v>
      </c>
    </row>
    <row r="131" spans="2:10" ht="15.75" thickBot="1">
      <c r="B131" s="1572"/>
      <c r="C131" s="1122" t="s">
        <v>28</v>
      </c>
      <c r="D131" s="1924" t="s">
        <v>1467</v>
      </c>
      <c r="E131" s="1925" t="s">
        <v>152</v>
      </c>
      <c r="F131" s="1573"/>
      <c r="G131" s="1910">
        <f>L!$I$135</f>
        <v>465000</v>
      </c>
      <c r="H131" s="1123">
        <f t="shared" si="7"/>
        <v>0</v>
      </c>
      <c r="J131" s="1958">
        <f t="shared" si="10"/>
        <v>0</v>
      </c>
    </row>
    <row r="132" spans="2:10">
      <c r="B132" s="1047"/>
      <c r="C132" s="1052"/>
      <c r="D132" s="1053" t="s">
        <v>228</v>
      </c>
      <c r="E132" s="1054"/>
      <c r="F132" s="1055"/>
      <c r="G132" s="1056"/>
      <c r="H132" s="1057">
        <f>SUM(H119:H131)</f>
        <v>0</v>
      </c>
    </row>
    <row r="133" spans="2:10" ht="15.75" thickBot="1">
      <c r="B133" s="1025"/>
      <c r="C133" s="1058" t="s">
        <v>229</v>
      </c>
      <c r="D133" s="1059"/>
      <c r="E133" s="1059"/>
      <c r="F133" s="1059"/>
      <c r="G133" s="1060"/>
      <c r="H133" s="1061">
        <f>ROUND(H132,0)</f>
        <v>0</v>
      </c>
    </row>
    <row r="134" spans="2:10" ht="15.75" thickBot="1">
      <c r="B134" s="1218">
        <v>9</v>
      </c>
      <c r="C134" s="987" t="str">
        <f>VLOOKUP(B134,$C$488:$D$516,2,TRUE)</f>
        <v>1 Unit Pek. Jendela (  )</v>
      </c>
      <c r="D134" s="987"/>
      <c r="E134" s="988"/>
      <c r="F134" s="989"/>
      <c r="G134" s="990"/>
      <c r="H134" s="991">
        <f>H149</f>
        <v>0</v>
      </c>
    </row>
    <row r="135" spans="2:10">
      <c r="B135" s="1047"/>
      <c r="C135" s="1039" t="s">
        <v>28</v>
      </c>
      <c r="D135" s="1924" t="s">
        <v>1528</v>
      </c>
      <c r="E135" s="1925" t="s">
        <v>88</v>
      </c>
      <c r="F135" s="1031"/>
      <c r="G135" s="1910">
        <f>L!$I$7</f>
        <v>180000</v>
      </c>
      <c r="H135" s="1032">
        <f t="shared" si="7"/>
        <v>0</v>
      </c>
      <c r="I135" s="5">
        <f>HIT.PINTU!$H$45</f>
        <v>0</v>
      </c>
      <c r="J135" s="1958">
        <f>$I$135*F135</f>
        <v>0</v>
      </c>
    </row>
    <row r="136" spans="2:10" s="1824" customFormat="1">
      <c r="B136" s="1615"/>
      <c r="C136" s="1616" t="s">
        <v>28</v>
      </c>
      <c r="D136" s="1924" t="s">
        <v>1529</v>
      </c>
      <c r="E136" s="1925" t="s">
        <v>88</v>
      </c>
      <c r="F136" s="1926"/>
      <c r="G136" s="1910">
        <f>L!$I$15</f>
        <v>93000</v>
      </c>
      <c r="H136" s="1927">
        <f t="shared" si="7"/>
        <v>0</v>
      </c>
      <c r="J136" s="1958">
        <f t="shared" ref="J136:J147" si="11">$I$135*F136</f>
        <v>0</v>
      </c>
    </row>
    <row r="137" spans="2:10">
      <c r="B137" s="1615"/>
      <c r="C137" s="1616" t="s">
        <v>28</v>
      </c>
      <c r="D137" s="1924" t="s">
        <v>611</v>
      </c>
      <c r="E137" s="1925" t="s">
        <v>88</v>
      </c>
      <c r="F137" s="1031"/>
      <c r="G137" s="1910">
        <f>L!$I$23</f>
        <v>55000</v>
      </c>
      <c r="H137" s="1032">
        <f t="shared" si="7"/>
        <v>0</v>
      </c>
      <c r="J137" s="1958">
        <f t="shared" si="11"/>
        <v>0</v>
      </c>
    </row>
    <row r="138" spans="2:10">
      <c r="B138" s="1049"/>
      <c r="C138" s="1039" t="s">
        <v>28</v>
      </c>
      <c r="D138" s="1924" t="s">
        <v>1737</v>
      </c>
      <c r="E138" s="1925" t="s">
        <v>152</v>
      </c>
      <c r="F138" s="1031"/>
      <c r="G138" s="1910">
        <f>L!$I$151</f>
        <v>13500</v>
      </c>
      <c r="H138" s="1032">
        <f t="shared" si="7"/>
        <v>0</v>
      </c>
      <c r="J138" s="1958">
        <f t="shared" si="11"/>
        <v>0</v>
      </c>
    </row>
    <row r="139" spans="2:10">
      <c r="B139" s="1188"/>
      <c r="C139" s="1039" t="s">
        <v>28</v>
      </c>
      <c r="D139" s="1924" t="s">
        <v>2066</v>
      </c>
      <c r="E139" s="1925" t="s">
        <v>152</v>
      </c>
      <c r="F139" s="1031"/>
      <c r="G139" s="1910">
        <f>L!$I$31</f>
        <v>39500</v>
      </c>
      <c r="H139" s="1032">
        <f t="shared" si="7"/>
        <v>0</v>
      </c>
      <c r="J139" s="1958">
        <f t="shared" si="11"/>
        <v>0</v>
      </c>
    </row>
    <row r="140" spans="2:10">
      <c r="B140" s="1572"/>
      <c r="C140" s="1039" t="s">
        <v>28</v>
      </c>
      <c r="D140" s="1924" t="s">
        <v>2113</v>
      </c>
      <c r="E140" s="1925" t="s">
        <v>152</v>
      </c>
      <c r="F140" s="1031"/>
      <c r="G140" s="1910">
        <f>L!$I$39</f>
        <v>46500</v>
      </c>
      <c r="H140" s="1032">
        <f t="shared" si="7"/>
        <v>0</v>
      </c>
      <c r="J140" s="1958">
        <f t="shared" si="11"/>
        <v>0</v>
      </c>
    </row>
    <row r="141" spans="2:10">
      <c r="B141" s="1572"/>
      <c r="C141" s="1039" t="s">
        <v>28</v>
      </c>
      <c r="D141" s="1924" t="s">
        <v>1457</v>
      </c>
      <c r="E141" s="1925" t="s">
        <v>152</v>
      </c>
      <c r="F141" s="1031"/>
      <c r="G141" s="1910">
        <f>L!$I$47</f>
        <v>133000</v>
      </c>
      <c r="H141" s="1032">
        <f t="shared" si="7"/>
        <v>0</v>
      </c>
      <c r="J141" s="1958">
        <f t="shared" si="11"/>
        <v>0</v>
      </c>
    </row>
    <row r="142" spans="2:10">
      <c r="B142" s="1572"/>
      <c r="C142" s="1122" t="s">
        <v>28</v>
      </c>
      <c r="D142" s="1924" t="s">
        <v>1530</v>
      </c>
      <c r="E142" s="1925" t="s">
        <v>152</v>
      </c>
      <c r="F142" s="1031"/>
      <c r="G142" s="1910">
        <f>L!$I$55</f>
        <v>20000</v>
      </c>
      <c r="H142" s="1032">
        <f t="shared" si="7"/>
        <v>0</v>
      </c>
      <c r="J142" s="1958">
        <f t="shared" si="11"/>
        <v>0</v>
      </c>
    </row>
    <row r="143" spans="2:10">
      <c r="B143" s="1049"/>
      <c r="C143" s="1039" t="s">
        <v>28</v>
      </c>
      <c r="D143" s="1924" t="s">
        <v>2224</v>
      </c>
      <c r="E143" s="1925" t="s">
        <v>88</v>
      </c>
      <c r="F143" s="1031"/>
      <c r="G143" s="1910">
        <f>L!$I$63</f>
        <v>274000</v>
      </c>
      <c r="H143" s="1032">
        <f t="shared" si="7"/>
        <v>0</v>
      </c>
      <c r="J143" s="1958">
        <f t="shared" si="11"/>
        <v>0</v>
      </c>
    </row>
    <row r="144" spans="2:10">
      <c r="B144" s="1188"/>
      <c r="C144" s="1039" t="s">
        <v>28</v>
      </c>
      <c r="D144" s="1924" t="s">
        <v>2225</v>
      </c>
      <c r="E144" s="1925" t="s">
        <v>88</v>
      </c>
      <c r="F144" s="1031"/>
      <c r="G144" s="1912">
        <f>L!$I$71</f>
        <v>120000</v>
      </c>
      <c r="H144" s="1032">
        <f t="shared" si="7"/>
        <v>0</v>
      </c>
      <c r="J144" s="1958">
        <f t="shared" si="11"/>
        <v>0</v>
      </c>
    </row>
    <row r="145" spans="2:10">
      <c r="B145" s="1572"/>
      <c r="C145" s="1039" t="s">
        <v>28</v>
      </c>
      <c r="D145" s="1924" t="s">
        <v>1700</v>
      </c>
      <c r="E145" s="1925" t="s">
        <v>88</v>
      </c>
      <c r="F145" s="1031"/>
      <c r="G145" s="1910">
        <f>L!$I$143</f>
        <v>165000</v>
      </c>
      <c r="H145" s="1032">
        <f t="shared" si="7"/>
        <v>0</v>
      </c>
      <c r="J145" s="1958">
        <f t="shared" si="11"/>
        <v>0</v>
      </c>
    </row>
    <row r="146" spans="2:10">
      <c r="B146" s="1572"/>
      <c r="C146" s="1039" t="s">
        <v>28</v>
      </c>
      <c r="D146" s="1924" t="s">
        <v>1644</v>
      </c>
      <c r="E146" s="1925" t="s">
        <v>152</v>
      </c>
      <c r="F146" s="1031"/>
      <c r="G146" s="1910">
        <f>L!$I$127</f>
        <v>210000</v>
      </c>
      <c r="H146" s="1032">
        <f t="shared" si="7"/>
        <v>0</v>
      </c>
      <c r="J146" s="1958">
        <f t="shared" si="11"/>
        <v>0</v>
      </c>
    </row>
    <row r="147" spans="2:10" ht="15.75" thickBot="1">
      <c r="B147" s="1572"/>
      <c r="C147" s="1122" t="s">
        <v>28</v>
      </c>
      <c r="D147" s="1924" t="s">
        <v>1467</v>
      </c>
      <c r="E147" s="1925" t="s">
        <v>152</v>
      </c>
      <c r="F147" s="1573"/>
      <c r="G147" s="1910">
        <f>L!$I$135</f>
        <v>465000</v>
      </c>
      <c r="H147" s="1123">
        <f t="shared" si="7"/>
        <v>0</v>
      </c>
      <c r="J147" s="1958">
        <f t="shared" si="11"/>
        <v>0</v>
      </c>
    </row>
    <row r="148" spans="2:10">
      <c r="B148" s="1047"/>
      <c r="C148" s="1052"/>
      <c r="D148" s="1053" t="s">
        <v>228</v>
      </c>
      <c r="E148" s="1054"/>
      <c r="F148" s="1055"/>
      <c r="G148" s="1056"/>
      <c r="H148" s="1057">
        <f>SUM(H135:H147)</f>
        <v>0</v>
      </c>
    </row>
    <row r="149" spans="2:10" ht="15.75" thickBot="1">
      <c r="B149" s="1025"/>
      <c r="C149" s="1058" t="s">
        <v>229</v>
      </c>
      <c r="D149" s="1059"/>
      <c r="E149" s="1059"/>
      <c r="F149" s="1059"/>
      <c r="G149" s="1060"/>
      <c r="H149" s="1061">
        <f>ROUND(H148,0)</f>
        <v>0</v>
      </c>
    </row>
    <row r="150" spans="2:10" ht="15.75" thickBot="1">
      <c r="B150" s="1218">
        <v>10</v>
      </c>
      <c r="C150" s="987" t="str">
        <f>VLOOKUP(B150,$C$488:$D$516,2,TRUE)</f>
        <v>1 Unit Pek. Jendela (  )</v>
      </c>
      <c r="D150" s="987"/>
      <c r="E150" s="988"/>
      <c r="F150" s="989"/>
      <c r="G150" s="990"/>
      <c r="H150" s="991">
        <f>H165</f>
        <v>0</v>
      </c>
    </row>
    <row r="151" spans="2:10">
      <c r="B151" s="1047"/>
      <c r="C151" s="1039" t="s">
        <v>28</v>
      </c>
      <c r="D151" s="1924" t="s">
        <v>1528</v>
      </c>
      <c r="E151" s="1925" t="s">
        <v>88</v>
      </c>
      <c r="F151" s="1031"/>
      <c r="G151" s="1910">
        <f>L!$I$7</f>
        <v>180000</v>
      </c>
      <c r="H151" s="1032">
        <f t="shared" ref="H151:H211" si="12">F151*G151</f>
        <v>0</v>
      </c>
      <c r="I151" s="5">
        <f>HIT.PINTU!$H$46</f>
        <v>0</v>
      </c>
      <c r="J151" s="1958">
        <f>$I$151*F151</f>
        <v>0</v>
      </c>
    </row>
    <row r="152" spans="2:10" s="1824" customFormat="1">
      <c r="B152" s="1615"/>
      <c r="C152" s="1616" t="s">
        <v>28</v>
      </c>
      <c r="D152" s="1924" t="s">
        <v>1529</v>
      </c>
      <c r="E152" s="1925" t="s">
        <v>88</v>
      </c>
      <c r="F152" s="1926"/>
      <c r="G152" s="1910">
        <f>L!$I$15</f>
        <v>93000</v>
      </c>
      <c r="H152" s="1927">
        <f t="shared" si="12"/>
        <v>0</v>
      </c>
      <c r="J152" s="1958">
        <f t="shared" ref="J152:J163" si="13">$I$151*F152</f>
        <v>0</v>
      </c>
    </row>
    <row r="153" spans="2:10">
      <c r="B153" s="1615"/>
      <c r="C153" s="1616" t="s">
        <v>28</v>
      </c>
      <c r="D153" s="1924" t="s">
        <v>611</v>
      </c>
      <c r="E153" s="1925" t="s">
        <v>88</v>
      </c>
      <c r="F153" s="1031"/>
      <c r="G153" s="1910">
        <f>L!$I$23</f>
        <v>55000</v>
      </c>
      <c r="H153" s="1032">
        <f t="shared" si="12"/>
        <v>0</v>
      </c>
      <c r="J153" s="1958">
        <f t="shared" si="13"/>
        <v>0</v>
      </c>
    </row>
    <row r="154" spans="2:10">
      <c r="B154" s="1049"/>
      <c r="C154" s="1039" t="s">
        <v>28</v>
      </c>
      <c r="D154" s="1924" t="s">
        <v>1737</v>
      </c>
      <c r="E154" s="1925" t="s">
        <v>152</v>
      </c>
      <c r="F154" s="1031"/>
      <c r="G154" s="1910">
        <f>L!$I$151</f>
        <v>13500</v>
      </c>
      <c r="H154" s="1032">
        <f t="shared" si="12"/>
        <v>0</v>
      </c>
      <c r="J154" s="1958">
        <f t="shared" si="13"/>
        <v>0</v>
      </c>
    </row>
    <row r="155" spans="2:10">
      <c r="B155" s="1188"/>
      <c r="C155" s="1039" t="s">
        <v>28</v>
      </c>
      <c r="D155" s="1924" t="s">
        <v>2066</v>
      </c>
      <c r="E155" s="1925" t="s">
        <v>152</v>
      </c>
      <c r="F155" s="1031"/>
      <c r="G155" s="1910">
        <f>L!$I$31</f>
        <v>39500</v>
      </c>
      <c r="H155" s="1032">
        <f t="shared" si="12"/>
        <v>0</v>
      </c>
      <c r="J155" s="1958">
        <f t="shared" si="13"/>
        <v>0</v>
      </c>
    </row>
    <row r="156" spans="2:10">
      <c r="B156" s="1572"/>
      <c r="C156" s="1039" t="s">
        <v>28</v>
      </c>
      <c r="D156" s="1924" t="s">
        <v>2113</v>
      </c>
      <c r="E156" s="1925" t="s">
        <v>152</v>
      </c>
      <c r="F156" s="1031"/>
      <c r="G156" s="1910">
        <f>L!$I$39</f>
        <v>46500</v>
      </c>
      <c r="H156" s="1032">
        <f t="shared" si="12"/>
        <v>0</v>
      </c>
      <c r="J156" s="1958">
        <f t="shared" si="13"/>
        <v>0</v>
      </c>
    </row>
    <row r="157" spans="2:10">
      <c r="B157" s="1572"/>
      <c r="C157" s="1039" t="s">
        <v>28</v>
      </c>
      <c r="D157" s="1924" t="s">
        <v>1457</v>
      </c>
      <c r="E157" s="1925" t="s">
        <v>152</v>
      </c>
      <c r="F157" s="1031"/>
      <c r="G157" s="1910">
        <f>L!$I$47</f>
        <v>133000</v>
      </c>
      <c r="H157" s="1032">
        <f t="shared" si="12"/>
        <v>0</v>
      </c>
      <c r="J157" s="1958">
        <f t="shared" si="13"/>
        <v>0</v>
      </c>
    </row>
    <row r="158" spans="2:10">
      <c r="B158" s="1572"/>
      <c r="C158" s="1122" t="s">
        <v>28</v>
      </c>
      <c r="D158" s="1924" t="s">
        <v>1530</v>
      </c>
      <c r="E158" s="1925" t="s">
        <v>152</v>
      </c>
      <c r="F158" s="1031"/>
      <c r="G158" s="1910">
        <f>L!$I$55</f>
        <v>20000</v>
      </c>
      <c r="H158" s="1032">
        <f t="shared" si="12"/>
        <v>0</v>
      </c>
      <c r="J158" s="1958">
        <f t="shared" si="13"/>
        <v>0</v>
      </c>
    </row>
    <row r="159" spans="2:10">
      <c r="B159" s="1049"/>
      <c r="C159" s="1039" t="s">
        <v>28</v>
      </c>
      <c r="D159" s="1924" t="s">
        <v>2224</v>
      </c>
      <c r="E159" s="1925" t="s">
        <v>88</v>
      </c>
      <c r="F159" s="1031"/>
      <c r="G159" s="1910">
        <f>L!$I$63</f>
        <v>274000</v>
      </c>
      <c r="H159" s="1032">
        <f t="shared" si="12"/>
        <v>0</v>
      </c>
      <c r="J159" s="1958">
        <f t="shared" si="13"/>
        <v>0</v>
      </c>
    </row>
    <row r="160" spans="2:10">
      <c r="B160" s="1188"/>
      <c r="C160" s="1039" t="s">
        <v>28</v>
      </c>
      <c r="D160" s="1924" t="s">
        <v>2225</v>
      </c>
      <c r="E160" s="1925" t="s">
        <v>88</v>
      </c>
      <c r="F160" s="1031"/>
      <c r="G160" s="1912">
        <f>L!$I$71</f>
        <v>120000</v>
      </c>
      <c r="H160" s="1032">
        <f t="shared" si="12"/>
        <v>0</v>
      </c>
      <c r="J160" s="1958">
        <f t="shared" si="13"/>
        <v>0</v>
      </c>
    </row>
    <row r="161" spans="2:10">
      <c r="B161" s="1572"/>
      <c r="C161" s="1039" t="s">
        <v>28</v>
      </c>
      <c r="D161" s="1924" t="s">
        <v>1700</v>
      </c>
      <c r="E161" s="1925" t="s">
        <v>88</v>
      </c>
      <c r="F161" s="1031"/>
      <c r="G161" s="1910">
        <f>L!$I$143</f>
        <v>165000</v>
      </c>
      <c r="H161" s="1032">
        <f t="shared" si="12"/>
        <v>0</v>
      </c>
      <c r="J161" s="1958">
        <f t="shared" si="13"/>
        <v>0</v>
      </c>
    </row>
    <row r="162" spans="2:10">
      <c r="B162" s="1572"/>
      <c r="C162" s="1039" t="s">
        <v>28</v>
      </c>
      <c r="D162" s="1924" t="s">
        <v>1644</v>
      </c>
      <c r="E162" s="1925" t="s">
        <v>152</v>
      </c>
      <c r="F162" s="1031"/>
      <c r="G162" s="1910">
        <f>L!$I$127</f>
        <v>210000</v>
      </c>
      <c r="H162" s="1032">
        <f t="shared" si="12"/>
        <v>0</v>
      </c>
      <c r="J162" s="1958">
        <f t="shared" si="13"/>
        <v>0</v>
      </c>
    </row>
    <row r="163" spans="2:10" ht="15.75" thickBot="1">
      <c r="B163" s="1572"/>
      <c r="C163" s="1122" t="s">
        <v>28</v>
      </c>
      <c r="D163" s="1924" t="s">
        <v>1467</v>
      </c>
      <c r="E163" s="1925" t="s">
        <v>152</v>
      </c>
      <c r="F163" s="1573"/>
      <c r="G163" s="1910">
        <f>L!$I$135</f>
        <v>465000</v>
      </c>
      <c r="H163" s="1123">
        <f t="shared" si="12"/>
        <v>0</v>
      </c>
      <c r="J163" s="1958">
        <f t="shared" si="13"/>
        <v>0</v>
      </c>
    </row>
    <row r="164" spans="2:10">
      <c r="B164" s="1047"/>
      <c r="C164" s="1052"/>
      <c r="D164" s="1053" t="s">
        <v>228</v>
      </c>
      <c r="E164" s="1054"/>
      <c r="F164" s="1055"/>
      <c r="G164" s="1056"/>
      <c r="H164" s="1057">
        <f>SUM(H151:H163)</f>
        <v>0</v>
      </c>
    </row>
    <row r="165" spans="2:10" ht="15.75" thickBot="1">
      <c r="B165" s="1025"/>
      <c r="C165" s="1058" t="s">
        <v>229</v>
      </c>
      <c r="D165" s="1059"/>
      <c r="E165" s="1059"/>
      <c r="F165" s="1059"/>
      <c r="G165" s="1060"/>
      <c r="H165" s="1061">
        <f>ROUND(H164,0)</f>
        <v>0</v>
      </c>
    </row>
    <row r="166" spans="2:10" ht="15.75" thickBot="1">
      <c r="B166" s="1218">
        <v>11</v>
      </c>
      <c r="C166" s="987" t="str">
        <f>VLOOKUP(B166,$C$488:$D$516,2,TRUE)</f>
        <v>1 Unit Pek. Jendela (  )</v>
      </c>
      <c r="D166" s="987"/>
      <c r="E166" s="988"/>
      <c r="F166" s="989"/>
      <c r="G166" s="990"/>
      <c r="H166" s="991">
        <f>H181</f>
        <v>0</v>
      </c>
    </row>
    <row r="167" spans="2:10">
      <c r="B167" s="1047"/>
      <c r="C167" s="1039" t="s">
        <v>28</v>
      </c>
      <c r="D167" s="1924" t="s">
        <v>1528</v>
      </c>
      <c r="E167" s="1925" t="s">
        <v>88</v>
      </c>
      <c r="F167" s="1031"/>
      <c r="G167" s="1910">
        <f>L!$I$7</f>
        <v>180000</v>
      </c>
      <c r="H167" s="1032">
        <f t="shared" si="12"/>
        <v>0</v>
      </c>
      <c r="I167" s="5">
        <f>HIT.PINTU!H47</f>
        <v>0</v>
      </c>
      <c r="J167" s="1958">
        <f>$I$167*F167</f>
        <v>0</v>
      </c>
    </row>
    <row r="168" spans="2:10" s="1824" customFormat="1">
      <c r="B168" s="1615"/>
      <c r="C168" s="1616" t="s">
        <v>28</v>
      </c>
      <c r="D168" s="1924" t="s">
        <v>1529</v>
      </c>
      <c r="E168" s="1925" t="s">
        <v>88</v>
      </c>
      <c r="F168" s="1926"/>
      <c r="G168" s="1910">
        <f>L!$I$15</f>
        <v>93000</v>
      </c>
      <c r="H168" s="1927">
        <f t="shared" si="12"/>
        <v>0</v>
      </c>
      <c r="J168" s="1958">
        <f t="shared" ref="J168:J179" si="14">$I$167*F168</f>
        <v>0</v>
      </c>
    </row>
    <row r="169" spans="2:10">
      <c r="B169" s="1615"/>
      <c r="C169" s="1616" t="s">
        <v>28</v>
      </c>
      <c r="D169" s="1924" t="s">
        <v>611</v>
      </c>
      <c r="E169" s="1925" t="s">
        <v>88</v>
      </c>
      <c r="F169" s="1031"/>
      <c r="G169" s="1910">
        <f>L!$I$23</f>
        <v>55000</v>
      </c>
      <c r="H169" s="1032">
        <f t="shared" si="12"/>
        <v>0</v>
      </c>
      <c r="J169" s="1958">
        <f t="shared" si="14"/>
        <v>0</v>
      </c>
    </row>
    <row r="170" spans="2:10">
      <c r="B170" s="1049"/>
      <c r="C170" s="1039" t="s">
        <v>28</v>
      </c>
      <c r="D170" s="1924" t="s">
        <v>1737</v>
      </c>
      <c r="E170" s="1925" t="s">
        <v>152</v>
      </c>
      <c r="F170" s="1031"/>
      <c r="G170" s="1910">
        <f>L!$I$151</f>
        <v>13500</v>
      </c>
      <c r="H170" s="1032">
        <f t="shared" si="12"/>
        <v>0</v>
      </c>
      <c r="J170" s="1958">
        <f t="shared" si="14"/>
        <v>0</v>
      </c>
    </row>
    <row r="171" spans="2:10">
      <c r="B171" s="1188"/>
      <c r="C171" s="1039" t="s">
        <v>28</v>
      </c>
      <c r="D171" s="1924" t="s">
        <v>2066</v>
      </c>
      <c r="E171" s="1925" t="s">
        <v>152</v>
      </c>
      <c r="F171" s="1031"/>
      <c r="G171" s="1910">
        <f>L!$I$31</f>
        <v>39500</v>
      </c>
      <c r="H171" s="1032">
        <f t="shared" si="12"/>
        <v>0</v>
      </c>
      <c r="J171" s="1958">
        <f t="shared" si="14"/>
        <v>0</v>
      </c>
    </row>
    <row r="172" spans="2:10">
      <c r="B172" s="1572"/>
      <c r="C172" s="1039" t="s">
        <v>28</v>
      </c>
      <c r="D172" s="1924" t="s">
        <v>2113</v>
      </c>
      <c r="E172" s="1925" t="s">
        <v>152</v>
      </c>
      <c r="F172" s="1031"/>
      <c r="G172" s="1910">
        <f>L!$I$39</f>
        <v>46500</v>
      </c>
      <c r="H172" s="1032">
        <f t="shared" si="12"/>
        <v>0</v>
      </c>
      <c r="J172" s="1958">
        <f t="shared" si="14"/>
        <v>0</v>
      </c>
    </row>
    <row r="173" spans="2:10">
      <c r="B173" s="1572"/>
      <c r="C173" s="1039" t="s">
        <v>28</v>
      </c>
      <c r="D173" s="1924" t="s">
        <v>1457</v>
      </c>
      <c r="E173" s="1925" t="s">
        <v>152</v>
      </c>
      <c r="F173" s="1031"/>
      <c r="G173" s="1910">
        <f>L!$I$47</f>
        <v>133000</v>
      </c>
      <c r="H173" s="1032">
        <f t="shared" si="12"/>
        <v>0</v>
      </c>
      <c r="J173" s="1958">
        <f t="shared" si="14"/>
        <v>0</v>
      </c>
    </row>
    <row r="174" spans="2:10">
      <c r="B174" s="1572"/>
      <c r="C174" s="1122" t="s">
        <v>28</v>
      </c>
      <c r="D174" s="1924" t="s">
        <v>1530</v>
      </c>
      <c r="E174" s="1925" t="s">
        <v>152</v>
      </c>
      <c r="F174" s="1031"/>
      <c r="G174" s="1910">
        <f>L!$I$55</f>
        <v>20000</v>
      </c>
      <c r="H174" s="1032">
        <f t="shared" si="12"/>
        <v>0</v>
      </c>
      <c r="J174" s="1958">
        <f t="shared" si="14"/>
        <v>0</v>
      </c>
    </row>
    <row r="175" spans="2:10">
      <c r="B175" s="1049"/>
      <c r="C175" s="1039" t="s">
        <v>28</v>
      </c>
      <c r="D175" s="1924" t="s">
        <v>2224</v>
      </c>
      <c r="E175" s="1925" t="s">
        <v>88</v>
      </c>
      <c r="F175" s="1031"/>
      <c r="G175" s="1910">
        <f>L!$I$63</f>
        <v>274000</v>
      </c>
      <c r="H175" s="1032">
        <f t="shared" si="12"/>
        <v>0</v>
      </c>
      <c r="J175" s="1958">
        <f t="shared" si="14"/>
        <v>0</v>
      </c>
    </row>
    <row r="176" spans="2:10">
      <c r="B176" s="1188"/>
      <c r="C176" s="1039" t="s">
        <v>28</v>
      </c>
      <c r="D176" s="1924" t="s">
        <v>2225</v>
      </c>
      <c r="E176" s="1925" t="s">
        <v>88</v>
      </c>
      <c r="F176" s="1031"/>
      <c r="G176" s="1912">
        <f>L!$I$71</f>
        <v>120000</v>
      </c>
      <c r="H176" s="1032">
        <f t="shared" si="12"/>
        <v>0</v>
      </c>
      <c r="J176" s="1958">
        <f t="shared" si="14"/>
        <v>0</v>
      </c>
    </row>
    <row r="177" spans="2:10">
      <c r="B177" s="1572"/>
      <c r="C177" s="1039" t="s">
        <v>28</v>
      </c>
      <c r="D177" s="1924" t="s">
        <v>1700</v>
      </c>
      <c r="E177" s="1925" t="s">
        <v>88</v>
      </c>
      <c r="F177" s="1031"/>
      <c r="G177" s="1910">
        <f>L!$I$143</f>
        <v>165000</v>
      </c>
      <c r="H177" s="1032">
        <f t="shared" si="12"/>
        <v>0</v>
      </c>
      <c r="J177" s="1958">
        <f t="shared" si="14"/>
        <v>0</v>
      </c>
    </row>
    <row r="178" spans="2:10">
      <c r="B178" s="1572"/>
      <c r="C178" s="1039" t="s">
        <v>28</v>
      </c>
      <c r="D178" s="1924" t="s">
        <v>1644</v>
      </c>
      <c r="E178" s="1925" t="s">
        <v>152</v>
      </c>
      <c r="F178" s="1031"/>
      <c r="G178" s="1910">
        <f>L!$I$127</f>
        <v>210000</v>
      </c>
      <c r="H178" s="1032">
        <f t="shared" si="12"/>
        <v>0</v>
      </c>
      <c r="J178" s="1958">
        <f t="shared" si="14"/>
        <v>0</v>
      </c>
    </row>
    <row r="179" spans="2:10" ht="15.75" thickBot="1">
      <c r="B179" s="1572"/>
      <c r="C179" s="1122" t="s">
        <v>28</v>
      </c>
      <c r="D179" s="1924" t="s">
        <v>1467</v>
      </c>
      <c r="E179" s="1925" t="s">
        <v>152</v>
      </c>
      <c r="F179" s="1573"/>
      <c r="G179" s="1910">
        <f>L!$I$135</f>
        <v>465000</v>
      </c>
      <c r="H179" s="1123">
        <f t="shared" si="12"/>
        <v>0</v>
      </c>
      <c r="J179" s="1958">
        <f t="shared" si="14"/>
        <v>0</v>
      </c>
    </row>
    <row r="180" spans="2:10">
      <c r="B180" s="1047"/>
      <c r="C180" s="1052"/>
      <c r="D180" s="1053" t="s">
        <v>228</v>
      </c>
      <c r="E180" s="1054"/>
      <c r="F180" s="1055"/>
      <c r="G180" s="1056"/>
      <c r="H180" s="1057">
        <f>SUM(H167:H179)</f>
        <v>0</v>
      </c>
    </row>
    <row r="181" spans="2:10" ht="15.75" thickBot="1">
      <c r="B181" s="1025"/>
      <c r="C181" s="1058" t="s">
        <v>229</v>
      </c>
      <c r="D181" s="1059"/>
      <c r="E181" s="1059"/>
      <c r="F181" s="1059"/>
      <c r="G181" s="1060"/>
      <c r="H181" s="1061">
        <f>ROUND(H180,0)</f>
        <v>0</v>
      </c>
    </row>
    <row r="182" spans="2:10" ht="15.75" thickBot="1">
      <c r="B182" s="1218">
        <v>12</v>
      </c>
      <c r="C182" s="987" t="str">
        <f>VLOOKUP(B182,$C$488:$D$516,2,TRUE)</f>
        <v>1 Unit Pek. Jendela (  )</v>
      </c>
      <c r="D182" s="987"/>
      <c r="E182" s="988"/>
      <c r="F182" s="989"/>
      <c r="G182" s="990"/>
      <c r="H182" s="991">
        <f>H197</f>
        <v>0</v>
      </c>
    </row>
    <row r="183" spans="2:10">
      <c r="B183" s="1047"/>
      <c r="C183" s="1039" t="s">
        <v>28</v>
      </c>
      <c r="D183" s="1924" t="s">
        <v>1528</v>
      </c>
      <c r="E183" s="1925" t="s">
        <v>88</v>
      </c>
      <c r="F183" s="1031"/>
      <c r="G183" s="1910">
        <f>L!$I$7</f>
        <v>180000</v>
      </c>
      <c r="H183" s="1032">
        <f t="shared" si="12"/>
        <v>0</v>
      </c>
      <c r="I183" s="5">
        <f>HIT.PINTU!H48</f>
        <v>0</v>
      </c>
      <c r="J183" s="1958">
        <f>$I$183*F183</f>
        <v>0</v>
      </c>
    </row>
    <row r="184" spans="2:10" s="1824" customFormat="1">
      <c r="B184" s="1615"/>
      <c r="C184" s="1616" t="s">
        <v>28</v>
      </c>
      <c r="D184" s="1924" t="s">
        <v>1529</v>
      </c>
      <c r="E184" s="1925" t="s">
        <v>88</v>
      </c>
      <c r="F184" s="1926"/>
      <c r="G184" s="1910">
        <f>L!$I$15</f>
        <v>93000</v>
      </c>
      <c r="H184" s="1927">
        <f t="shared" si="12"/>
        <v>0</v>
      </c>
      <c r="J184" s="1958">
        <f t="shared" ref="J184:J195" si="15">$I$183*F184</f>
        <v>0</v>
      </c>
    </row>
    <row r="185" spans="2:10">
      <c r="B185" s="1615"/>
      <c r="C185" s="1616" t="s">
        <v>28</v>
      </c>
      <c r="D185" s="1924" t="s">
        <v>611</v>
      </c>
      <c r="E185" s="1925" t="s">
        <v>88</v>
      </c>
      <c r="F185" s="1031"/>
      <c r="G185" s="1910">
        <f>L!$I$23</f>
        <v>55000</v>
      </c>
      <c r="H185" s="1032">
        <f t="shared" si="12"/>
        <v>0</v>
      </c>
      <c r="J185" s="1958">
        <f t="shared" si="15"/>
        <v>0</v>
      </c>
    </row>
    <row r="186" spans="2:10">
      <c r="B186" s="1049"/>
      <c r="C186" s="1039" t="s">
        <v>28</v>
      </c>
      <c r="D186" s="1924" t="s">
        <v>1737</v>
      </c>
      <c r="E186" s="1925" t="s">
        <v>152</v>
      </c>
      <c r="F186" s="1031"/>
      <c r="G186" s="1910">
        <f>L!$I$151</f>
        <v>13500</v>
      </c>
      <c r="H186" s="1032">
        <f t="shared" si="12"/>
        <v>0</v>
      </c>
      <c r="J186" s="1958">
        <f t="shared" si="15"/>
        <v>0</v>
      </c>
    </row>
    <row r="187" spans="2:10">
      <c r="B187" s="1188"/>
      <c r="C187" s="1039" t="s">
        <v>28</v>
      </c>
      <c r="D187" s="1924" t="s">
        <v>2066</v>
      </c>
      <c r="E187" s="1925" t="s">
        <v>152</v>
      </c>
      <c r="F187" s="1031"/>
      <c r="G187" s="1910">
        <f>L!$I$31</f>
        <v>39500</v>
      </c>
      <c r="H187" s="1032">
        <f t="shared" si="12"/>
        <v>0</v>
      </c>
      <c r="J187" s="1958">
        <f t="shared" si="15"/>
        <v>0</v>
      </c>
    </row>
    <row r="188" spans="2:10">
      <c r="B188" s="1572"/>
      <c r="C188" s="1039" t="s">
        <v>28</v>
      </c>
      <c r="D188" s="1924" t="s">
        <v>2113</v>
      </c>
      <c r="E188" s="1925" t="s">
        <v>152</v>
      </c>
      <c r="F188" s="1031"/>
      <c r="G188" s="1910">
        <f>L!$I$39</f>
        <v>46500</v>
      </c>
      <c r="H188" s="1032">
        <f t="shared" si="12"/>
        <v>0</v>
      </c>
      <c r="J188" s="1958">
        <f t="shared" si="15"/>
        <v>0</v>
      </c>
    </row>
    <row r="189" spans="2:10">
      <c r="B189" s="1572"/>
      <c r="C189" s="1039" t="s">
        <v>28</v>
      </c>
      <c r="D189" s="1924" t="s">
        <v>1457</v>
      </c>
      <c r="E189" s="1925" t="s">
        <v>152</v>
      </c>
      <c r="F189" s="1031"/>
      <c r="G189" s="1910">
        <f>L!$I$47</f>
        <v>133000</v>
      </c>
      <c r="H189" s="1032">
        <f t="shared" si="12"/>
        <v>0</v>
      </c>
      <c r="J189" s="1958">
        <f t="shared" si="15"/>
        <v>0</v>
      </c>
    </row>
    <row r="190" spans="2:10">
      <c r="B190" s="1572"/>
      <c r="C190" s="1122" t="s">
        <v>28</v>
      </c>
      <c r="D190" s="1924" t="s">
        <v>1530</v>
      </c>
      <c r="E190" s="1925" t="s">
        <v>152</v>
      </c>
      <c r="F190" s="1031"/>
      <c r="G190" s="1910">
        <f>L!$I$55</f>
        <v>20000</v>
      </c>
      <c r="H190" s="1032">
        <f t="shared" si="12"/>
        <v>0</v>
      </c>
      <c r="J190" s="1958">
        <f t="shared" si="15"/>
        <v>0</v>
      </c>
    </row>
    <row r="191" spans="2:10">
      <c r="B191" s="1049"/>
      <c r="C191" s="1039" t="s">
        <v>28</v>
      </c>
      <c r="D191" s="1924" t="s">
        <v>2224</v>
      </c>
      <c r="E191" s="1925" t="s">
        <v>88</v>
      </c>
      <c r="F191" s="1031"/>
      <c r="G191" s="1910">
        <f>L!$I$63</f>
        <v>274000</v>
      </c>
      <c r="H191" s="1032">
        <f t="shared" si="12"/>
        <v>0</v>
      </c>
      <c r="J191" s="1958">
        <f t="shared" si="15"/>
        <v>0</v>
      </c>
    </row>
    <row r="192" spans="2:10">
      <c r="B192" s="1188"/>
      <c r="C192" s="1039" t="s">
        <v>28</v>
      </c>
      <c r="D192" s="1924" t="s">
        <v>2225</v>
      </c>
      <c r="E192" s="1925" t="s">
        <v>88</v>
      </c>
      <c r="F192" s="1031"/>
      <c r="G192" s="1912">
        <f>L!$I$71</f>
        <v>120000</v>
      </c>
      <c r="H192" s="1032">
        <f t="shared" si="12"/>
        <v>0</v>
      </c>
      <c r="J192" s="1958">
        <f t="shared" si="15"/>
        <v>0</v>
      </c>
    </row>
    <row r="193" spans="2:10">
      <c r="B193" s="1572"/>
      <c r="C193" s="1039" t="s">
        <v>28</v>
      </c>
      <c r="D193" s="1924" t="s">
        <v>1700</v>
      </c>
      <c r="E193" s="1925" t="s">
        <v>88</v>
      </c>
      <c r="F193" s="1031"/>
      <c r="G193" s="1910">
        <f>L!$I$143</f>
        <v>165000</v>
      </c>
      <c r="H193" s="1032">
        <f t="shared" si="12"/>
        <v>0</v>
      </c>
      <c r="J193" s="1958">
        <f t="shared" si="15"/>
        <v>0</v>
      </c>
    </row>
    <row r="194" spans="2:10">
      <c r="B194" s="1572"/>
      <c r="C194" s="1039" t="s">
        <v>28</v>
      </c>
      <c r="D194" s="1924" t="s">
        <v>1644</v>
      </c>
      <c r="E194" s="1925" t="s">
        <v>152</v>
      </c>
      <c r="F194" s="1031"/>
      <c r="G194" s="1910">
        <f>L!$I$127</f>
        <v>210000</v>
      </c>
      <c r="H194" s="1032">
        <f t="shared" si="12"/>
        <v>0</v>
      </c>
      <c r="J194" s="1958">
        <f t="shared" si="15"/>
        <v>0</v>
      </c>
    </row>
    <row r="195" spans="2:10" ht="15.75" thickBot="1">
      <c r="B195" s="1572"/>
      <c r="C195" s="1122" t="s">
        <v>28</v>
      </c>
      <c r="D195" s="1924" t="s">
        <v>1467</v>
      </c>
      <c r="E195" s="1925" t="s">
        <v>152</v>
      </c>
      <c r="F195" s="1573"/>
      <c r="G195" s="1910">
        <f>L!$I$135</f>
        <v>465000</v>
      </c>
      <c r="H195" s="1123">
        <f t="shared" si="12"/>
        <v>0</v>
      </c>
      <c r="J195" s="1958">
        <f t="shared" si="15"/>
        <v>0</v>
      </c>
    </row>
    <row r="196" spans="2:10">
      <c r="B196" s="1047"/>
      <c r="C196" s="1052"/>
      <c r="D196" s="1053" t="s">
        <v>228</v>
      </c>
      <c r="E196" s="1054"/>
      <c r="F196" s="1055"/>
      <c r="G196" s="1056"/>
      <c r="H196" s="1057">
        <f>SUM(H183:H195)</f>
        <v>0</v>
      </c>
    </row>
    <row r="197" spans="2:10" ht="15.75" thickBot="1">
      <c r="B197" s="1025"/>
      <c r="C197" s="1058" t="s">
        <v>229</v>
      </c>
      <c r="D197" s="1059"/>
      <c r="E197" s="1059"/>
      <c r="F197" s="1059"/>
      <c r="G197" s="1060"/>
      <c r="H197" s="1061">
        <f>ROUND(H196,0)</f>
        <v>0</v>
      </c>
    </row>
    <row r="198" spans="2:10" ht="15.75" thickBot="1">
      <c r="B198" s="1218">
        <v>13</v>
      </c>
      <c r="C198" s="987" t="str">
        <f>VLOOKUP(B198,$C$488:$D$516,2,TRUE)</f>
        <v>1 Unit Pek. Jendela (  )</v>
      </c>
      <c r="D198" s="987"/>
      <c r="E198" s="988"/>
      <c r="F198" s="989"/>
      <c r="G198" s="990"/>
      <c r="H198" s="991">
        <f>H213</f>
        <v>0</v>
      </c>
    </row>
    <row r="199" spans="2:10">
      <c r="B199" s="1047"/>
      <c r="C199" s="1039" t="s">
        <v>28</v>
      </c>
      <c r="D199" s="1924" t="s">
        <v>1528</v>
      </c>
      <c r="E199" s="1925" t="s">
        <v>88</v>
      </c>
      <c r="F199" s="1031"/>
      <c r="G199" s="1910">
        <f>L!$I$7</f>
        <v>180000</v>
      </c>
      <c r="H199" s="1032">
        <f t="shared" si="12"/>
        <v>0</v>
      </c>
      <c r="I199" s="5">
        <f>HIT.PINTU!H49</f>
        <v>0</v>
      </c>
      <c r="J199" s="1958">
        <f>$I$199*F199</f>
        <v>0</v>
      </c>
    </row>
    <row r="200" spans="2:10" s="1824" customFormat="1">
      <c r="B200" s="1615"/>
      <c r="C200" s="1616" t="s">
        <v>28</v>
      </c>
      <c r="D200" s="1924" t="s">
        <v>1529</v>
      </c>
      <c r="E200" s="1925" t="s">
        <v>88</v>
      </c>
      <c r="F200" s="1926"/>
      <c r="G200" s="1910">
        <f>L!$I$15</f>
        <v>93000</v>
      </c>
      <c r="H200" s="1927">
        <f t="shared" si="12"/>
        <v>0</v>
      </c>
      <c r="J200" s="1958">
        <f t="shared" ref="J200:J211" si="16">$I$199*F200</f>
        <v>0</v>
      </c>
    </row>
    <row r="201" spans="2:10">
      <c r="B201" s="1615"/>
      <c r="C201" s="1616" t="s">
        <v>28</v>
      </c>
      <c r="D201" s="1924" t="s">
        <v>611</v>
      </c>
      <c r="E201" s="1925" t="s">
        <v>88</v>
      </c>
      <c r="F201" s="1031"/>
      <c r="G201" s="1910">
        <f>L!$I$23</f>
        <v>55000</v>
      </c>
      <c r="H201" s="1032">
        <f t="shared" si="12"/>
        <v>0</v>
      </c>
      <c r="J201" s="1958">
        <f t="shared" si="16"/>
        <v>0</v>
      </c>
    </row>
    <row r="202" spans="2:10">
      <c r="B202" s="1049"/>
      <c r="C202" s="1039" t="s">
        <v>28</v>
      </c>
      <c r="D202" s="1924" t="s">
        <v>1737</v>
      </c>
      <c r="E202" s="1925" t="s">
        <v>152</v>
      </c>
      <c r="F202" s="1031"/>
      <c r="G202" s="1910">
        <f>L!$I$151</f>
        <v>13500</v>
      </c>
      <c r="H202" s="1032">
        <f t="shared" si="12"/>
        <v>0</v>
      </c>
      <c r="J202" s="1958">
        <f t="shared" si="16"/>
        <v>0</v>
      </c>
    </row>
    <row r="203" spans="2:10">
      <c r="B203" s="1188"/>
      <c r="C203" s="1039" t="s">
        <v>28</v>
      </c>
      <c r="D203" s="1924" t="s">
        <v>2066</v>
      </c>
      <c r="E203" s="1925" t="s">
        <v>152</v>
      </c>
      <c r="F203" s="1031"/>
      <c r="G203" s="1910">
        <f>L!$I$31</f>
        <v>39500</v>
      </c>
      <c r="H203" s="1032">
        <f t="shared" si="12"/>
        <v>0</v>
      </c>
      <c r="J203" s="1958">
        <f t="shared" si="16"/>
        <v>0</v>
      </c>
    </row>
    <row r="204" spans="2:10">
      <c r="B204" s="1572"/>
      <c r="C204" s="1039" t="s">
        <v>28</v>
      </c>
      <c r="D204" s="1924" t="s">
        <v>2113</v>
      </c>
      <c r="E204" s="1925" t="s">
        <v>152</v>
      </c>
      <c r="F204" s="1031"/>
      <c r="G204" s="1910">
        <f>L!$I$39</f>
        <v>46500</v>
      </c>
      <c r="H204" s="1032">
        <f t="shared" si="12"/>
        <v>0</v>
      </c>
      <c r="J204" s="1958">
        <f t="shared" si="16"/>
        <v>0</v>
      </c>
    </row>
    <row r="205" spans="2:10">
      <c r="B205" s="1572"/>
      <c r="C205" s="1039" t="s">
        <v>28</v>
      </c>
      <c r="D205" s="1924" t="s">
        <v>1457</v>
      </c>
      <c r="E205" s="1925" t="s">
        <v>152</v>
      </c>
      <c r="F205" s="1031"/>
      <c r="G205" s="1910">
        <f>L!$I$47</f>
        <v>133000</v>
      </c>
      <c r="H205" s="1032">
        <f t="shared" si="12"/>
        <v>0</v>
      </c>
      <c r="J205" s="1958">
        <f t="shared" si="16"/>
        <v>0</v>
      </c>
    </row>
    <row r="206" spans="2:10">
      <c r="B206" s="1572"/>
      <c r="C206" s="1122" t="s">
        <v>28</v>
      </c>
      <c r="D206" s="1924" t="s">
        <v>1530</v>
      </c>
      <c r="E206" s="1925" t="s">
        <v>152</v>
      </c>
      <c r="F206" s="1031"/>
      <c r="G206" s="1910">
        <f>L!$I$55</f>
        <v>20000</v>
      </c>
      <c r="H206" s="1032">
        <f t="shared" si="12"/>
        <v>0</v>
      </c>
      <c r="J206" s="1958">
        <f t="shared" si="16"/>
        <v>0</v>
      </c>
    </row>
    <row r="207" spans="2:10">
      <c r="B207" s="1049"/>
      <c r="C207" s="1039" t="s">
        <v>28</v>
      </c>
      <c r="D207" s="1924" t="s">
        <v>2224</v>
      </c>
      <c r="E207" s="1925" t="s">
        <v>88</v>
      </c>
      <c r="F207" s="1031"/>
      <c r="G207" s="1910">
        <f>L!$I$63</f>
        <v>274000</v>
      </c>
      <c r="H207" s="1032">
        <f t="shared" si="12"/>
        <v>0</v>
      </c>
      <c r="J207" s="1958">
        <f t="shared" si="16"/>
        <v>0</v>
      </c>
    </row>
    <row r="208" spans="2:10">
      <c r="B208" s="1188"/>
      <c r="C208" s="1039" t="s">
        <v>28</v>
      </c>
      <c r="D208" s="1924" t="s">
        <v>2225</v>
      </c>
      <c r="E208" s="1925" t="s">
        <v>88</v>
      </c>
      <c r="F208" s="1031"/>
      <c r="G208" s="1912">
        <f>L!$I$71</f>
        <v>120000</v>
      </c>
      <c r="H208" s="1032">
        <f t="shared" si="12"/>
        <v>0</v>
      </c>
      <c r="J208" s="1958">
        <f t="shared" si="16"/>
        <v>0</v>
      </c>
    </row>
    <row r="209" spans="2:10">
      <c r="B209" s="1572"/>
      <c r="C209" s="1039" t="s">
        <v>28</v>
      </c>
      <c r="D209" s="1924" t="s">
        <v>1700</v>
      </c>
      <c r="E209" s="1925" t="s">
        <v>88</v>
      </c>
      <c r="F209" s="1031"/>
      <c r="G209" s="1910">
        <f>L!$I$143</f>
        <v>165000</v>
      </c>
      <c r="H209" s="1032">
        <f t="shared" si="12"/>
        <v>0</v>
      </c>
      <c r="J209" s="1958">
        <f t="shared" si="16"/>
        <v>0</v>
      </c>
    </row>
    <row r="210" spans="2:10">
      <c r="B210" s="1572"/>
      <c r="C210" s="1039" t="s">
        <v>28</v>
      </c>
      <c r="D210" s="1924" t="s">
        <v>1644</v>
      </c>
      <c r="E210" s="1925" t="s">
        <v>152</v>
      </c>
      <c r="F210" s="1031"/>
      <c r="G210" s="1910">
        <f>L!$I$127</f>
        <v>210000</v>
      </c>
      <c r="H210" s="1032">
        <f t="shared" si="12"/>
        <v>0</v>
      </c>
      <c r="J210" s="1958">
        <f t="shared" si="16"/>
        <v>0</v>
      </c>
    </row>
    <row r="211" spans="2:10" ht="15.75" thickBot="1">
      <c r="B211" s="1572"/>
      <c r="C211" s="1122" t="s">
        <v>28</v>
      </c>
      <c r="D211" s="1924" t="s">
        <v>1467</v>
      </c>
      <c r="E211" s="1925" t="s">
        <v>152</v>
      </c>
      <c r="F211" s="1573"/>
      <c r="G211" s="1910">
        <f>L!$I$135</f>
        <v>465000</v>
      </c>
      <c r="H211" s="1123">
        <f t="shared" si="12"/>
        <v>0</v>
      </c>
      <c r="J211" s="1958">
        <f t="shared" si="16"/>
        <v>0</v>
      </c>
    </row>
    <row r="212" spans="2:10">
      <c r="B212" s="1047"/>
      <c r="C212" s="1052"/>
      <c r="D212" s="1053" t="s">
        <v>228</v>
      </c>
      <c r="E212" s="1054"/>
      <c r="F212" s="1055"/>
      <c r="G212" s="1056"/>
      <c r="H212" s="1057">
        <f>SUM(H199:H211)</f>
        <v>0</v>
      </c>
    </row>
    <row r="213" spans="2:10" ht="15.75" thickBot="1">
      <c r="B213" s="1025"/>
      <c r="C213" s="1058" t="s">
        <v>229</v>
      </c>
      <c r="D213" s="1059"/>
      <c r="E213" s="1059"/>
      <c r="F213" s="1059"/>
      <c r="G213" s="1060"/>
      <c r="H213" s="1061">
        <f>ROUND(H212,0)</f>
        <v>0</v>
      </c>
    </row>
    <row r="214" spans="2:10" ht="15.75" thickBot="1">
      <c r="B214" s="1218">
        <v>14</v>
      </c>
      <c r="C214" s="987" t="str">
        <f>VLOOKUP(B214,$C$488:$D$516,2,TRUE)</f>
        <v>1 Unit Pek. Jendela (  )</v>
      </c>
      <c r="D214" s="987"/>
      <c r="E214" s="988"/>
      <c r="F214" s="989"/>
      <c r="G214" s="990"/>
      <c r="H214" s="991">
        <f>H229</f>
        <v>0</v>
      </c>
    </row>
    <row r="215" spans="2:10">
      <c r="B215" s="1047"/>
      <c r="C215" s="1039" t="s">
        <v>28</v>
      </c>
      <c r="D215" s="1924" t="s">
        <v>1528</v>
      </c>
      <c r="E215" s="1925" t="s">
        <v>88</v>
      </c>
      <c r="F215" s="1031"/>
      <c r="G215" s="1910">
        <f>L!$I$7</f>
        <v>180000</v>
      </c>
      <c r="H215" s="1032">
        <f t="shared" ref="H215:H275" si="17">F215*G215</f>
        <v>0</v>
      </c>
      <c r="I215" s="5">
        <f>HIT.PINTU!H50</f>
        <v>0</v>
      </c>
      <c r="J215" s="1958">
        <f>$I$215*F215</f>
        <v>0</v>
      </c>
    </row>
    <row r="216" spans="2:10" s="1824" customFormat="1">
      <c r="B216" s="1615"/>
      <c r="C216" s="1616" t="s">
        <v>28</v>
      </c>
      <c r="D216" s="1924" t="s">
        <v>1529</v>
      </c>
      <c r="E216" s="1925" t="s">
        <v>88</v>
      </c>
      <c r="F216" s="1926"/>
      <c r="G216" s="1910">
        <f>L!$I$15</f>
        <v>93000</v>
      </c>
      <c r="H216" s="1927">
        <f t="shared" si="17"/>
        <v>0</v>
      </c>
      <c r="J216" s="1958">
        <f t="shared" ref="J216:J227" si="18">$I$215*F216</f>
        <v>0</v>
      </c>
    </row>
    <row r="217" spans="2:10">
      <c r="B217" s="1615"/>
      <c r="C217" s="1616" t="s">
        <v>28</v>
      </c>
      <c r="D217" s="1924" t="s">
        <v>611</v>
      </c>
      <c r="E217" s="1925" t="s">
        <v>88</v>
      </c>
      <c r="F217" s="1031"/>
      <c r="G217" s="1910">
        <f>L!$I$23</f>
        <v>55000</v>
      </c>
      <c r="H217" s="1032">
        <f t="shared" si="17"/>
        <v>0</v>
      </c>
      <c r="J217" s="1958">
        <f t="shared" si="18"/>
        <v>0</v>
      </c>
    </row>
    <row r="218" spans="2:10">
      <c r="B218" s="1049"/>
      <c r="C218" s="1039" t="s">
        <v>28</v>
      </c>
      <c r="D218" s="1924" t="s">
        <v>1737</v>
      </c>
      <c r="E218" s="1925" t="s">
        <v>152</v>
      </c>
      <c r="F218" s="1031"/>
      <c r="G218" s="1910">
        <f>L!$I$151</f>
        <v>13500</v>
      </c>
      <c r="H218" s="1032">
        <f t="shared" si="17"/>
        <v>0</v>
      </c>
      <c r="J218" s="1958">
        <f t="shared" si="18"/>
        <v>0</v>
      </c>
    </row>
    <row r="219" spans="2:10">
      <c r="B219" s="1188"/>
      <c r="C219" s="1039" t="s">
        <v>28</v>
      </c>
      <c r="D219" s="1924" t="s">
        <v>2066</v>
      </c>
      <c r="E219" s="1925" t="s">
        <v>152</v>
      </c>
      <c r="F219" s="1031"/>
      <c r="G219" s="1910">
        <f>L!$I$31</f>
        <v>39500</v>
      </c>
      <c r="H219" s="1032">
        <f t="shared" si="17"/>
        <v>0</v>
      </c>
      <c r="J219" s="1958">
        <f t="shared" si="18"/>
        <v>0</v>
      </c>
    </row>
    <row r="220" spans="2:10">
      <c r="B220" s="1572"/>
      <c r="C220" s="1039" t="s">
        <v>28</v>
      </c>
      <c r="D220" s="1924" t="s">
        <v>2113</v>
      </c>
      <c r="E220" s="1925" t="s">
        <v>152</v>
      </c>
      <c r="F220" s="1031"/>
      <c r="G220" s="1910">
        <f>L!$I$39</f>
        <v>46500</v>
      </c>
      <c r="H220" s="1032">
        <f t="shared" si="17"/>
        <v>0</v>
      </c>
      <c r="J220" s="1958">
        <f t="shared" si="18"/>
        <v>0</v>
      </c>
    </row>
    <row r="221" spans="2:10">
      <c r="B221" s="1572"/>
      <c r="C221" s="1039" t="s">
        <v>28</v>
      </c>
      <c r="D221" s="1924" t="s">
        <v>1457</v>
      </c>
      <c r="E221" s="1925" t="s">
        <v>152</v>
      </c>
      <c r="F221" s="1031"/>
      <c r="G221" s="1910">
        <f>L!$I$47</f>
        <v>133000</v>
      </c>
      <c r="H221" s="1032">
        <f t="shared" si="17"/>
        <v>0</v>
      </c>
      <c r="J221" s="1958">
        <f t="shared" si="18"/>
        <v>0</v>
      </c>
    </row>
    <row r="222" spans="2:10">
      <c r="B222" s="1572"/>
      <c r="C222" s="1122" t="s">
        <v>28</v>
      </c>
      <c r="D222" s="1924" t="s">
        <v>1530</v>
      </c>
      <c r="E222" s="1925" t="s">
        <v>152</v>
      </c>
      <c r="F222" s="1031"/>
      <c r="G222" s="1910">
        <f>L!$I$55</f>
        <v>20000</v>
      </c>
      <c r="H222" s="1032">
        <f t="shared" si="17"/>
        <v>0</v>
      </c>
      <c r="J222" s="1958">
        <f t="shared" si="18"/>
        <v>0</v>
      </c>
    </row>
    <row r="223" spans="2:10">
      <c r="B223" s="1049"/>
      <c r="C223" s="1039" t="s">
        <v>28</v>
      </c>
      <c r="D223" s="1924" t="s">
        <v>2224</v>
      </c>
      <c r="E223" s="1925" t="s">
        <v>88</v>
      </c>
      <c r="F223" s="1031"/>
      <c r="G223" s="1910">
        <f>L!$I$63</f>
        <v>274000</v>
      </c>
      <c r="H223" s="1032">
        <f t="shared" si="17"/>
        <v>0</v>
      </c>
      <c r="J223" s="1958">
        <f t="shared" si="18"/>
        <v>0</v>
      </c>
    </row>
    <row r="224" spans="2:10">
      <c r="B224" s="1188"/>
      <c r="C224" s="1039" t="s">
        <v>28</v>
      </c>
      <c r="D224" s="1924" t="s">
        <v>2225</v>
      </c>
      <c r="E224" s="1925" t="s">
        <v>88</v>
      </c>
      <c r="F224" s="1031"/>
      <c r="G224" s="1912">
        <f>L!$I$71</f>
        <v>120000</v>
      </c>
      <c r="H224" s="1032">
        <f t="shared" si="17"/>
        <v>0</v>
      </c>
      <c r="J224" s="1958">
        <f t="shared" si="18"/>
        <v>0</v>
      </c>
    </row>
    <row r="225" spans="2:10">
      <c r="B225" s="1572"/>
      <c r="C225" s="1039" t="s">
        <v>28</v>
      </c>
      <c r="D225" s="1924" t="s">
        <v>1700</v>
      </c>
      <c r="E225" s="1925" t="s">
        <v>88</v>
      </c>
      <c r="F225" s="1031"/>
      <c r="G225" s="1910">
        <f>L!$I$143</f>
        <v>165000</v>
      </c>
      <c r="H225" s="1032">
        <f t="shared" si="17"/>
        <v>0</v>
      </c>
      <c r="J225" s="1958">
        <f t="shared" si="18"/>
        <v>0</v>
      </c>
    </row>
    <row r="226" spans="2:10">
      <c r="B226" s="1572"/>
      <c r="C226" s="1039" t="s">
        <v>28</v>
      </c>
      <c r="D226" s="1924" t="s">
        <v>1644</v>
      </c>
      <c r="E226" s="1925" t="s">
        <v>152</v>
      </c>
      <c r="F226" s="1031"/>
      <c r="G226" s="1910">
        <f>L!$I$127</f>
        <v>210000</v>
      </c>
      <c r="H226" s="1032">
        <f t="shared" si="17"/>
        <v>0</v>
      </c>
      <c r="J226" s="1958">
        <f t="shared" si="18"/>
        <v>0</v>
      </c>
    </row>
    <row r="227" spans="2:10" ht="15.75" thickBot="1">
      <c r="B227" s="1572"/>
      <c r="C227" s="1122" t="s">
        <v>28</v>
      </c>
      <c r="D227" s="1924" t="s">
        <v>1467</v>
      </c>
      <c r="E227" s="1925" t="s">
        <v>152</v>
      </c>
      <c r="F227" s="1573"/>
      <c r="G227" s="1910">
        <f>L!$I$135</f>
        <v>465000</v>
      </c>
      <c r="H227" s="1123">
        <f t="shared" si="17"/>
        <v>0</v>
      </c>
      <c r="J227" s="1958">
        <f t="shared" si="18"/>
        <v>0</v>
      </c>
    </row>
    <row r="228" spans="2:10">
      <c r="B228" s="1047"/>
      <c r="C228" s="1052"/>
      <c r="D228" s="1053" t="s">
        <v>228</v>
      </c>
      <c r="E228" s="1054"/>
      <c r="F228" s="1055"/>
      <c r="G228" s="1056"/>
      <c r="H228" s="1057">
        <f>SUM(H215:H227)</f>
        <v>0</v>
      </c>
    </row>
    <row r="229" spans="2:10" ht="15.75" thickBot="1">
      <c r="B229" s="1025"/>
      <c r="C229" s="1058" t="s">
        <v>229</v>
      </c>
      <c r="D229" s="1059"/>
      <c r="E229" s="1059"/>
      <c r="F229" s="1059"/>
      <c r="G229" s="1060"/>
      <c r="H229" s="1061">
        <f>ROUND(H228,0)</f>
        <v>0</v>
      </c>
    </row>
    <row r="230" spans="2:10" ht="15.75" thickBot="1">
      <c r="B230" s="1218">
        <v>15</v>
      </c>
      <c r="C230" s="987" t="str">
        <f>VLOOKUP(B230,$C$488:$D$516,2,TRUE)</f>
        <v>1 Unit Pek. Jendela (  )</v>
      </c>
      <c r="D230" s="987"/>
      <c r="E230" s="988"/>
      <c r="F230" s="989"/>
      <c r="G230" s="990"/>
      <c r="H230" s="991">
        <f>H245</f>
        <v>0</v>
      </c>
    </row>
    <row r="231" spans="2:10">
      <c r="B231" s="1047"/>
      <c r="C231" s="1039" t="s">
        <v>28</v>
      </c>
      <c r="D231" s="1924" t="s">
        <v>1528</v>
      </c>
      <c r="E231" s="1925" t="s">
        <v>88</v>
      </c>
      <c r="F231" s="1031"/>
      <c r="G231" s="1910">
        <f>L!$I$7</f>
        <v>180000</v>
      </c>
      <c r="H231" s="1032">
        <f t="shared" si="17"/>
        <v>0</v>
      </c>
      <c r="I231" s="5">
        <f>HIT.PINTU!H51</f>
        <v>0</v>
      </c>
      <c r="J231" s="1958">
        <f>$I$231*F231</f>
        <v>0</v>
      </c>
    </row>
    <row r="232" spans="2:10" s="1824" customFormat="1">
      <c r="B232" s="1615"/>
      <c r="C232" s="1616" t="s">
        <v>28</v>
      </c>
      <c r="D232" s="1924" t="s">
        <v>1529</v>
      </c>
      <c r="E232" s="1925" t="s">
        <v>88</v>
      </c>
      <c r="F232" s="1926"/>
      <c r="G232" s="1910">
        <f>L!$I$15</f>
        <v>93000</v>
      </c>
      <c r="H232" s="1927">
        <f t="shared" si="17"/>
        <v>0</v>
      </c>
      <c r="J232" s="1958">
        <f t="shared" ref="J232:J243" si="19">$I$231*F232</f>
        <v>0</v>
      </c>
    </row>
    <row r="233" spans="2:10">
      <c r="B233" s="1615"/>
      <c r="C233" s="1616" t="s">
        <v>28</v>
      </c>
      <c r="D233" s="1924" t="s">
        <v>611</v>
      </c>
      <c r="E233" s="1925" t="s">
        <v>88</v>
      </c>
      <c r="F233" s="1031"/>
      <c r="G233" s="1910">
        <f>L!$I$23</f>
        <v>55000</v>
      </c>
      <c r="H233" s="1032">
        <f t="shared" si="17"/>
        <v>0</v>
      </c>
      <c r="J233" s="1958">
        <f t="shared" si="19"/>
        <v>0</v>
      </c>
    </row>
    <row r="234" spans="2:10">
      <c r="B234" s="1049"/>
      <c r="C234" s="1039" t="s">
        <v>28</v>
      </c>
      <c r="D234" s="1924" t="s">
        <v>1737</v>
      </c>
      <c r="E234" s="1925" t="s">
        <v>152</v>
      </c>
      <c r="F234" s="1031"/>
      <c r="G234" s="1910">
        <f>L!$I$151</f>
        <v>13500</v>
      </c>
      <c r="H234" s="1032">
        <f t="shared" si="17"/>
        <v>0</v>
      </c>
      <c r="J234" s="1958">
        <f t="shared" si="19"/>
        <v>0</v>
      </c>
    </row>
    <row r="235" spans="2:10">
      <c r="B235" s="1188"/>
      <c r="C235" s="1039" t="s">
        <v>28</v>
      </c>
      <c r="D235" s="1924" t="s">
        <v>2066</v>
      </c>
      <c r="E235" s="1925" t="s">
        <v>152</v>
      </c>
      <c r="F235" s="1031"/>
      <c r="G235" s="1910">
        <f>L!$I$31</f>
        <v>39500</v>
      </c>
      <c r="H235" s="1032">
        <f t="shared" si="17"/>
        <v>0</v>
      </c>
      <c r="J235" s="1958">
        <f t="shared" si="19"/>
        <v>0</v>
      </c>
    </row>
    <row r="236" spans="2:10">
      <c r="B236" s="1572"/>
      <c r="C236" s="1039" t="s">
        <v>28</v>
      </c>
      <c r="D236" s="1924" t="s">
        <v>2113</v>
      </c>
      <c r="E236" s="1925" t="s">
        <v>152</v>
      </c>
      <c r="F236" s="1031"/>
      <c r="G236" s="1910">
        <f>L!$I$39</f>
        <v>46500</v>
      </c>
      <c r="H236" s="1032">
        <f t="shared" si="17"/>
        <v>0</v>
      </c>
      <c r="J236" s="1958">
        <f t="shared" si="19"/>
        <v>0</v>
      </c>
    </row>
    <row r="237" spans="2:10">
      <c r="B237" s="1572"/>
      <c r="C237" s="1039" t="s">
        <v>28</v>
      </c>
      <c r="D237" s="1924" t="s">
        <v>1457</v>
      </c>
      <c r="E237" s="1925" t="s">
        <v>152</v>
      </c>
      <c r="F237" s="1031"/>
      <c r="G237" s="1910">
        <f>L!$I$47</f>
        <v>133000</v>
      </c>
      <c r="H237" s="1032">
        <f t="shared" si="17"/>
        <v>0</v>
      </c>
      <c r="J237" s="1958">
        <f t="shared" si="19"/>
        <v>0</v>
      </c>
    </row>
    <row r="238" spans="2:10">
      <c r="B238" s="1572"/>
      <c r="C238" s="1122" t="s">
        <v>28</v>
      </c>
      <c r="D238" s="1924" t="s">
        <v>1530</v>
      </c>
      <c r="E238" s="1925" t="s">
        <v>152</v>
      </c>
      <c r="F238" s="1031"/>
      <c r="G238" s="1910">
        <f>L!$I$55</f>
        <v>20000</v>
      </c>
      <c r="H238" s="1032">
        <f t="shared" si="17"/>
        <v>0</v>
      </c>
      <c r="J238" s="1958">
        <f t="shared" si="19"/>
        <v>0</v>
      </c>
    </row>
    <row r="239" spans="2:10">
      <c r="B239" s="1049"/>
      <c r="C239" s="1039" t="s">
        <v>28</v>
      </c>
      <c r="D239" s="1924" t="s">
        <v>2224</v>
      </c>
      <c r="E239" s="1925" t="s">
        <v>88</v>
      </c>
      <c r="F239" s="1031"/>
      <c r="G239" s="1910">
        <f>L!$I$63</f>
        <v>274000</v>
      </c>
      <c r="H239" s="1032">
        <f t="shared" si="17"/>
        <v>0</v>
      </c>
      <c r="J239" s="1958">
        <f t="shared" si="19"/>
        <v>0</v>
      </c>
    </row>
    <row r="240" spans="2:10">
      <c r="B240" s="1188"/>
      <c r="C240" s="1039" t="s">
        <v>28</v>
      </c>
      <c r="D240" s="1924" t="s">
        <v>2225</v>
      </c>
      <c r="E240" s="1925" t="s">
        <v>88</v>
      </c>
      <c r="F240" s="1031"/>
      <c r="G240" s="1912">
        <f>L!$I$71</f>
        <v>120000</v>
      </c>
      <c r="H240" s="1032">
        <f t="shared" si="17"/>
        <v>0</v>
      </c>
      <c r="J240" s="1958">
        <f t="shared" si="19"/>
        <v>0</v>
      </c>
    </row>
    <row r="241" spans="2:10">
      <c r="B241" s="1572"/>
      <c r="C241" s="1039" t="s">
        <v>28</v>
      </c>
      <c r="D241" s="1924" t="s">
        <v>1700</v>
      </c>
      <c r="E241" s="1925" t="s">
        <v>88</v>
      </c>
      <c r="F241" s="1031"/>
      <c r="G241" s="1910">
        <f>L!$I$143</f>
        <v>165000</v>
      </c>
      <c r="H241" s="1032">
        <f t="shared" si="17"/>
        <v>0</v>
      </c>
      <c r="J241" s="1958">
        <f t="shared" si="19"/>
        <v>0</v>
      </c>
    </row>
    <row r="242" spans="2:10">
      <c r="B242" s="1572"/>
      <c r="C242" s="1039" t="s">
        <v>28</v>
      </c>
      <c r="D242" s="1924" t="s">
        <v>1644</v>
      </c>
      <c r="E242" s="1925" t="s">
        <v>152</v>
      </c>
      <c r="F242" s="1031"/>
      <c r="G242" s="1910">
        <f>L!$I$127</f>
        <v>210000</v>
      </c>
      <c r="H242" s="1032">
        <f t="shared" si="17"/>
        <v>0</v>
      </c>
      <c r="J242" s="1958">
        <f t="shared" si="19"/>
        <v>0</v>
      </c>
    </row>
    <row r="243" spans="2:10" ht="15.75" thickBot="1">
      <c r="B243" s="1572"/>
      <c r="C243" s="1122" t="s">
        <v>28</v>
      </c>
      <c r="D243" s="1924" t="s">
        <v>1467</v>
      </c>
      <c r="E243" s="1925" t="s">
        <v>152</v>
      </c>
      <c r="F243" s="1573"/>
      <c r="G243" s="1910">
        <f>L!$I$135</f>
        <v>465000</v>
      </c>
      <c r="H243" s="1123">
        <f t="shared" si="17"/>
        <v>0</v>
      </c>
      <c r="J243" s="1958">
        <f t="shared" si="19"/>
        <v>0</v>
      </c>
    </row>
    <row r="244" spans="2:10">
      <c r="B244" s="1047"/>
      <c r="C244" s="1052"/>
      <c r="D244" s="1053" t="s">
        <v>228</v>
      </c>
      <c r="E244" s="1054"/>
      <c r="F244" s="1055"/>
      <c r="G244" s="1056"/>
      <c r="H244" s="1057">
        <f>SUM(H231:H243)</f>
        <v>0</v>
      </c>
    </row>
    <row r="245" spans="2:10" ht="15.75" thickBot="1">
      <c r="B245" s="1025"/>
      <c r="C245" s="1058" t="s">
        <v>229</v>
      </c>
      <c r="D245" s="1059"/>
      <c r="E245" s="1059"/>
      <c r="F245" s="1059"/>
      <c r="G245" s="1060"/>
      <c r="H245" s="1061">
        <f>ROUND(H244,0)</f>
        <v>0</v>
      </c>
    </row>
    <row r="246" spans="2:10" ht="15.75" thickBot="1">
      <c r="B246" s="1218">
        <v>16</v>
      </c>
      <c r="C246" s="987" t="str">
        <f>VLOOKUP(B246,$C$488:$D$516,2,TRUE)</f>
        <v>1 Unit Pek. Jendela (  )</v>
      </c>
      <c r="D246" s="987"/>
      <c r="E246" s="988"/>
      <c r="F246" s="989"/>
      <c r="G246" s="990"/>
      <c r="H246" s="991">
        <f>H261</f>
        <v>0</v>
      </c>
    </row>
    <row r="247" spans="2:10">
      <c r="B247" s="1047"/>
      <c r="C247" s="1039" t="s">
        <v>28</v>
      </c>
      <c r="D247" s="1924" t="s">
        <v>1528</v>
      </c>
      <c r="E247" s="1925" t="s">
        <v>88</v>
      </c>
      <c r="F247" s="1031"/>
      <c r="G247" s="1910">
        <f>L!$I$7</f>
        <v>180000</v>
      </c>
      <c r="H247" s="1032">
        <f t="shared" si="17"/>
        <v>0</v>
      </c>
      <c r="I247" s="5">
        <f>HIT.PINTU!H52</f>
        <v>0</v>
      </c>
      <c r="J247" s="1958">
        <f t="shared" ref="J247:J257" si="20">$I$247*F247</f>
        <v>0</v>
      </c>
    </row>
    <row r="248" spans="2:10" s="1824" customFormat="1">
      <c r="B248" s="1615"/>
      <c r="C248" s="1616" t="s">
        <v>28</v>
      </c>
      <c r="D248" s="1924" t="s">
        <v>1529</v>
      </c>
      <c r="E248" s="1925" t="s">
        <v>88</v>
      </c>
      <c r="F248" s="1926"/>
      <c r="G248" s="1910">
        <f>L!$I$15</f>
        <v>93000</v>
      </c>
      <c r="H248" s="1927">
        <f t="shared" si="17"/>
        <v>0</v>
      </c>
      <c r="I248" s="5"/>
      <c r="J248" s="1958">
        <f t="shared" si="20"/>
        <v>0</v>
      </c>
    </row>
    <row r="249" spans="2:10">
      <c r="B249" s="1615"/>
      <c r="C249" s="1616" t="s">
        <v>28</v>
      </c>
      <c r="D249" s="1924" t="s">
        <v>611</v>
      </c>
      <c r="E249" s="1925" t="s">
        <v>88</v>
      </c>
      <c r="F249" s="1031"/>
      <c r="G249" s="1910">
        <f>L!$I$23</f>
        <v>55000</v>
      </c>
      <c r="H249" s="1032">
        <f t="shared" si="17"/>
        <v>0</v>
      </c>
      <c r="J249" s="1958">
        <f t="shared" si="20"/>
        <v>0</v>
      </c>
    </row>
    <row r="250" spans="2:10">
      <c r="B250" s="1049"/>
      <c r="C250" s="1039" t="s">
        <v>28</v>
      </c>
      <c r="D250" s="1924" t="s">
        <v>1737</v>
      </c>
      <c r="E250" s="1925" t="s">
        <v>152</v>
      </c>
      <c r="F250" s="1031"/>
      <c r="G250" s="1910">
        <f>L!$I$151</f>
        <v>13500</v>
      </c>
      <c r="H250" s="1032">
        <f t="shared" si="17"/>
        <v>0</v>
      </c>
      <c r="J250" s="1958">
        <f t="shared" si="20"/>
        <v>0</v>
      </c>
    </row>
    <row r="251" spans="2:10">
      <c r="B251" s="1188"/>
      <c r="C251" s="1039" t="s">
        <v>28</v>
      </c>
      <c r="D251" s="1924" t="s">
        <v>2066</v>
      </c>
      <c r="E251" s="1925" t="s">
        <v>152</v>
      </c>
      <c r="F251" s="1031"/>
      <c r="G251" s="1910">
        <f>L!$I$31</f>
        <v>39500</v>
      </c>
      <c r="H251" s="1032">
        <f t="shared" si="17"/>
        <v>0</v>
      </c>
      <c r="J251" s="1958">
        <f t="shared" si="20"/>
        <v>0</v>
      </c>
    </row>
    <row r="252" spans="2:10">
      <c r="B252" s="1572"/>
      <c r="C252" s="1039" t="s">
        <v>28</v>
      </c>
      <c r="D252" s="1924" t="s">
        <v>2113</v>
      </c>
      <c r="E252" s="1925" t="s">
        <v>152</v>
      </c>
      <c r="F252" s="1031"/>
      <c r="G252" s="1910">
        <f>L!$I$39</f>
        <v>46500</v>
      </c>
      <c r="H252" s="1032">
        <f t="shared" si="17"/>
        <v>0</v>
      </c>
      <c r="J252" s="1958">
        <f t="shared" si="20"/>
        <v>0</v>
      </c>
    </row>
    <row r="253" spans="2:10">
      <c r="B253" s="1572"/>
      <c r="C253" s="1039" t="s">
        <v>28</v>
      </c>
      <c r="D253" s="1924" t="s">
        <v>1457</v>
      </c>
      <c r="E253" s="1925" t="s">
        <v>152</v>
      </c>
      <c r="F253" s="1031"/>
      <c r="G253" s="1910">
        <f>L!$I$47</f>
        <v>133000</v>
      </c>
      <c r="H253" s="1032">
        <f t="shared" si="17"/>
        <v>0</v>
      </c>
      <c r="J253" s="1958">
        <f t="shared" si="20"/>
        <v>0</v>
      </c>
    </row>
    <row r="254" spans="2:10">
      <c r="B254" s="1572"/>
      <c r="C254" s="1122" t="s">
        <v>28</v>
      </c>
      <c r="D254" s="1924" t="s">
        <v>1530</v>
      </c>
      <c r="E254" s="1925" t="s">
        <v>152</v>
      </c>
      <c r="F254" s="1031"/>
      <c r="G254" s="1910">
        <f>L!$I$55</f>
        <v>20000</v>
      </c>
      <c r="H254" s="1032">
        <f t="shared" si="17"/>
        <v>0</v>
      </c>
      <c r="J254" s="1958">
        <f t="shared" si="20"/>
        <v>0</v>
      </c>
    </row>
    <row r="255" spans="2:10">
      <c r="B255" s="1049"/>
      <c r="C255" s="1039" t="s">
        <v>28</v>
      </c>
      <c r="D255" s="1924" t="s">
        <v>2224</v>
      </c>
      <c r="E255" s="1925" t="s">
        <v>88</v>
      </c>
      <c r="F255" s="1031"/>
      <c r="G255" s="1910">
        <f>L!$I$63</f>
        <v>274000</v>
      </c>
      <c r="H255" s="1032">
        <f t="shared" si="17"/>
        <v>0</v>
      </c>
      <c r="J255" s="1958">
        <f t="shared" si="20"/>
        <v>0</v>
      </c>
    </row>
    <row r="256" spans="2:10">
      <c r="B256" s="1188"/>
      <c r="C256" s="1039" t="s">
        <v>28</v>
      </c>
      <c r="D256" s="1924" t="s">
        <v>2225</v>
      </c>
      <c r="E256" s="1925" t="s">
        <v>88</v>
      </c>
      <c r="F256" s="1031"/>
      <c r="G256" s="1912">
        <f>L!$I$71</f>
        <v>120000</v>
      </c>
      <c r="H256" s="1032">
        <f t="shared" si="17"/>
        <v>0</v>
      </c>
      <c r="J256" s="1958">
        <f t="shared" si="20"/>
        <v>0</v>
      </c>
    </row>
    <row r="257" spans="2:10">
      <c r="B257" s="1572"/>
      <c r="C257" s="1039" t="s">
        <v>28</v>
      </c>
      <c r="D257" s="1924" t="s">
        <v>1700</v>
      </c>
      <c r="E257" s="1925" t="s">
        <v>88</v>
      </c>
      <c r="F257" s="1031"/>
      <c r="G257" s="1910">
        <f>L!$I$143</f>
        <v>165000</v>
      </c>
      <c r="H257" s="1032">
        <f t="shared" si="17"/>
        <v>0</v>
      </c>
      <c r="J257" s="1958">
        <f t="shared" si="20"/>
        <v>0</v>
      </c>
    </row>
    <row r="258" spans="2:10">
      <c r="B258" s="1572"/>
      <c r="C258" s="1039" t="s">
        <v>28</v>
      </c>
      <c r="D258" s="1924" t="s">
        <v>1644</v>
      </c>
      <c r="E258" s="1925" t="s">
        <v>152</v>
      </c>
      <c r="F258" s="1031"/>
      <c r="G258" s="1910">
        <f>L!$I$127</f>
        <v>210000</v>
      </c>
      <c r="H258" s="1032">
        <f t="shared" si="17"/>
        <v>0</v>
      </c>
      <c r="J258" s="1958">
        <f>$I$247*F258</f>
        <v>0</v>
      </c>
    </row>
    <row r="259" spans="2:10" ht="15.75" thickBot="1">
      <c r="B259" s="1572"/>
      <c r="C259" s="1122" t="s">
        <v>28</v>
      </c>
      <c r="D259" s="1924" t="s">
        <v>1467</v>
      </c>
      <c r="E259" s="1925" t="s">
        <v>152</v>
      </c>
      <c r="F259" s="1573"/>
      <c r="G259" s="1910">
        <f>L!$I$135</f>
        <v>465000</v>
      </c>
      <c r="H259" s="1123">
        <f t="shared" si="17"/>
        <v>0</v>
      </c>
      <c r="J259" s="1958">
        <f>$I$247*F259</f>
        <v>0</v>
      </c>
    </row>
    <row r="260" spans="2:10">
      <c r="B260" s="1047"/>
      <c r="C260" s="1052"/>
      <c r="D260" s="1053" t="s">
        <v>228</v>
      </c>
      <c r="E260" s="1054"/>
      <c r="F260" s="1055"/>
      <c r="G260" s="1056"/>
      <c r="H260" s="1057">
        <f>SUM(H247:H259)</f>
        <v>0</v>
      </c>
    </row>
    <row r="261" spans="2:10" ht="15.75" thickBot="1">
      <c r="B261" s="1025"/>
      <c r="C261" s="1058" t="s">
        <v>229</v>
      </c>
      <c r="D261" s="1059"/>
      <c r="E261" s="1059"/>
      <c r="F261" s="1059"/>
      <c r="G261" s="1060"/>
      <c r="H261" s="1061">
        <f>ROUND(H260,0)</f>
        <v>0</v>
      </c>
    </row>
    <row r="262" spans="2:10" ht="15.75" thickBot="1">
      <c r="B262" s="1218">
        <v>17</v>
      </c>
      <c r="C262" s="987" t="str">
        <f>VLOOKUP(B262,$C$488:$D$516,2,TRUE)</f>
        <v>1 Unit Pek. Jendela (  )</v>
      </c>
      <c r="D262" s="987"/>
      <c r="E262" s="988"/>
      <c r="F262" s="989"/>
      <c r="G262" s="990"/>
      <c r="H262" s="991">
        <f>H277</f>
        <v>0</v>
      </c>
    </row>
    <row r="263" spans="2:10">
      <c r="B263" s="1047"/>
      <c r="C263" s="1039" t="s">
        <v>28</v>
      </c>
      <c r="D263" s="1924" t="s">
        <v>1528</v>
      </c>
      <c r="E263" s="1925" t="s">
        <v>88</v>
      </c>
      <c r="F263" s="1031"/>
      <c r="G263" s="1910">
        <f>L!$I$7</f>
        <v>180000</v>
      </c>
      <c r="H263" s="1032">
        <f t="shared" si="17"/>
        <v>0</v>
      </c>
      <c r="I263" s="5">
        <f>HIT.PINTU!$H$53</f>
        <v>0</v>
      </c>
      <c r="J263" s="1958">
        <f t="shared" ref="J263:J274" si="21">$I$247*F263</f>
        <v>0</v>
      </c>
    </row>
    <row r="264" spans="2:10" s="1824" customFormat="1">
      <c r="B264" s="1615"/>
      <c r="C264" s="1616" t="s">
        <v>28</v>
      </c>
      <c r="D264" s="1924" t="s">
        <v>1529</v>
      </c>
      <c r="E264" s="1925" t="s">
        <v>88</v>
      </c>
      <c r="F264" s="1926"/>
      <c r="G264" s="1910">
        <f>L!$I$15</f>
        <v>93000</v>
      </c>
      <c r="H264" s="1927">
        <f t="shared" si="17"/>
        <v>0</v>
      </c>
      <c r="J264" s="1958">
        <f t="shared" si="21"/>
        <v>0</v>
      </c>
    </row>
    <row r="265" spans="2:10">
      <c r="B265" s="1615"/>
      <c r="C265" s="1616" t="s">
        <v>28</v>
      </c>
      <c r="D265" s="1924" t="s">
        <v>611</v>
      </c>
      <c r="E265" s="1925" t="s">
        <v>88</v>
      </c>
      <c r="F265" s="1031"/>
      <c r="G265" s="1910">
        <f>L!$I$23</f>
        <v>55000</v>
      </c>
      <c r="H265" s="1032">
        <f t="shared" si="17"/>
        <v>0</v>
      </c>
      <c r="J265" s="1958">
        <f t="shared" si="21"/>
        <v>0</v>
      </c>
    </row>
    <row r="266" spans="2:10">
      <c r="B266" s="1049"/>
      <c r="C266" s="1039" t="s">
        <v>28</v>
      </c>
      <c r="D266" s="1924" t="s">
        <v>1737</v>
      </c>
      <c r="E266" s="1925" t="s">
        <v>152</v>
      </c>
      <c r="F266" s="1031"/>
      <c r="G266" s="1910">
        <f>L!$I$151</f>
        <v>13500</v>
      </c>
      <c r="H266" s="1032">
        <f t="shared" si="17"/>
        <v>0</v>
      </c>
      <c r="J266" s="1958">
        <f t="shared" si="21"/>
        <v>0</v>
      </c>
    </row>
    <row r="267" spans="2:10">
      <c r="B267" s="1188"/>
      <c r="C267" s="1039" t="s">
        <v>28</v>
      </c>
      <c r="D267" s="1924" t="s">
        <v>2066</v>
      </c>
      <c r="E267" s="1925" t="s">
        <v>152</v>
      </c>
      <c r="F267" s="1031"/>
      <c r="G267" s="1910">
        <f>L!$I$31</f>
        <v>39500</v>
      </c>
      <c r="H267" s="1032">
        <f t="shared" si="17"/>
        <v>0</v>
      </c>
      <c r="J267" s="1958">
        <f t="shared" si="21"/>
        <v>0</v>
      </c>
    </row>
    <row r="268" spans="2:10">
      <c r="B268" s="1572"/>
      <c r="C268" s="1039" t="s">
        <v>28</v>
      </c>
      <c r="D268" s="1924" t="s">
        <v>2113</v>
      </c>
      <c r="E268" s="1925" t="s">
        <v>152</v>
      </c>
      <c r="F268" s="1031"/>
      <c r="G268" s="1910">
        <f>L!$I$39</f>
        <v>46500</v>
      </c>
      <c r="H268" s="1032">
        <f t="shared" si="17"/>
        <v>0</v>
      </c>
      <c r="J268" s="1958">
        <f t="shared" si="21"/>
        <v>0</v>
      </c>
    </row>
    <row r="269" spans="2:10">
      <c r="B269" s="1572"/>
      <c r="C269" s="1039" t="s">
        <v>28</v>
      </c>
      <c r="D269" s="1924" t="s">
        <v>1457</v>
      </c>
      <c r="E269" s="1925" t="s">
        <v>152</v>
      </c>
      <c r="F269" s="1031"/>
      <c r="G269" s="1910">
        <f>L!$I$47</f>
        <v>133000</v>
      </c>
      <c r="H269" s="1032">
        <f t="shared" si="17"/>
        <v>0</v>
      </c>
      <c r="J269" s="1958">
        <f t="shared" si="21"/>
        <v>0</v>
      </c>
    </row>
    <row r="270" spans="2:10">
      <c r="B270" s="1572"/>
      <c r="C270" s="1122" t="s">
        <v>28</v>
      </c>
      <c r="D270" s="1924" t="s">
        <v>1530</v>
      </c>
      <c r="E270" s="1925" t="s">
        <v>152</v>
      </c>
      <c r="F270" s="1031"/>
      <c r="G270" s="1910">
        <f>L!$I$55</f>
        <v>20000</v>
      </c>
      <c r="H270" s="1032">
        <f t="shared" si="17"/>
        <v>0</v>
      </c>
      <c r="J270" s="1958">
        <f t="shared" si="21"/>
        <v>0</v>
      </c>
    </row>
    <row r="271" spans="2:10">
      <c r="B271" s="1049"/>
      <c r="C271" s="1039" t="s">
        <v>28</v>
      </c>
      <c r="D271" s="1924" t="s">
        <v>2224</v>
      </c>
      <c r="E271" s="1925" t="s">
        <v>88</v>
      </c>
      <c r="F271" s="1031"/>
      <c r="G271" s="1910">
        <f>L!$I$63</f>
        <v>274000</v>
      </c>
      <c r="H271" s="1032">
        <f t="shared" si="17"/>
        <v>0</v>
      </c>
      <c r="J271" s="1958">
        <f t="shared" si="21"/>
        <v>0</v>
      </c>
    </row>
    <row r="272" spans="2:10">
      <c r="B272" s="1188"/>
      <c r="C272" s="1039" t="s">
        <v>28</v>
      </c>
      <c r="D272" s="1924" t="s">
        <v>2225</v>
      </c>
      <c r="E272" s="1925" t="s">
        <v>88</v>
      </c>
      <c r="F272" s="1031"/>
      <c r="G272" s="1912">
        <f>L!$I$71</f>
        <v>120000</v>
      </c>
      <c r="H272" s="1032">
        <f t="shared" si="17"/>
        <v>0</v>
      </c>
      <c r="J272" s="1958">
        <f t="shared" si="21"/>
        <v>0</v>
      </c>
    </row>
    <row r="273" spans="2:10">
      <c r="B273" s="1572"/>
      <c r="C273" s="1039" t="s">
        <v>28</v>
      </c>
      <c r="D273" s="1924" t="s">
        <v>1700</v>
      </c>
      <c r="E273" s="1925" t="s">
        <v>88</v>
      </c>
      <c r="F273" s="1031"/>
      <c r="G273" s="1910">
        <f>L!$I$143</f>
        <v>165000</v>
      </c>
      <c r="H273" s="1032">
        <f t="shared" si="17"/>
        <v>0</v>
      </c>
      <c r="J273" s="1958">
        <f t="shared" si="21"/>
        <v>0</v>
      </c>
    </row>
    <row r="274" spans="2:10">
      <c r="B274" s="1572"/>
      <c r="C274" s="1039" t="s">
        <v>28</v>
      </c>
      <c r="D274" s="1924" t="s">
        <v>1644</v>
      </c>
      <c r="E274" s="1925" t="s">
        <v>152</v>
      </c>
      <c r="F274" s="1031"/>
      <c r="G274" s="1910">
        <f>L!$I$127</f>
        <v>210000</v>
      </c>
      <c r="H274" s="1032">
        <f t="shared" si="17"/>
        <v>0</v>
      </c>
      <c r="J274" s="1958">
        <f t="shared" si="21"/>
        <v>0</v>
      </c>
    </row>
    <row r="275" spans="2:10" ht="15.75" thickBot="1">
      <c r="B275" s="1572"/>
      <c r="C275" s="1122" t="s">
        <v>28</v>
      </c>
      <c r="D275" s="1924" t="s">
        <v>1467</v>
      </c>
      <c r="E275" s="1925" t="s">
        <v>152</v>
      </c>
      <c r="F275" s="1573"/>
      <c r="G275" s="1910">
        <f>L!$I$135</f>
        <v>465000</v>
      </c>
      <c r="H275" s="1123">
        <f t="shared" si="17"/>
        <v>0</v>
      </c>
      <c r="J275" s="1958">
        <f>$I$247*F275</f>
        <v>0</v>
      </c>
    </row>
    <row r="276" spans="2:10">
      <c r="B276" s="1047"/>
      <c r="C276" s="1052"/>
      <c r="D276" s="1053" t="s">
        <v>228</v>
      </c>
      <c r="E276" s="1054"/>
      <c r="F276" s="1055"/>
      <c r="G276" s="1056"/>
      <c r="H276" s="1057">
        <f>SUM(H263:H275)</f>
        <v>0</v>
      </c>
    </row>
    <row r="277" spans="2:10" ht="15.75" thickBot="1">
      <c r="B277" s="1025"/>
      <c r="C277" s="1058" t="s">
        <v>229</v>
      </c>
      <c r="D277" s="1059"/>
      <c r="E277" s="1059"/>
      <c r="F277" s="1059"/>
      <c r="G277" s="1060"/>
      <c r="H277" s="1061">
        <f>ROUND(H276,0)</f>
        <v>0</v>
      </c>
    </row>
    <row r="278" spans="2:10" ht="15.75" thickBot="1">
      <c r="B278" s="1218">
        <v>18</v>
      </c>
      <c r="C278" s="987" t="str">
        <f>VLOOKUP(B278,$C$488:$D$516,2,TRUE)</f>
        <v>1 Unit Pek. Jendela (  )</v>
      </c>
      <c r="D278" s="987"/>
      <c r="E278" s="988"/>
      <c r="F278" s="989"/>
      <c r="G278" s="990"/>
      <c r="H278" s="991">
        <f>H293</f>
        <v>0</v>
      </c>
    </row>
    <row r="279" spans="2:10">
      <c r="B279" s="1047"/>
      <c r="C279" s="1039" t="s">
        <v>28</v>
      </c>
      <c r="D279" s="1924" t="s">
        <v>1528</v>
      </c>
      <c r="E279" s="1925" t="s">
        <v>88</v>
      </c>
      <c r="F279" s="1031"/>
      <c r="G279" s="1910">
        <f>L!$I$7</f>
        <v>180000</v>
      </c>
      <c r="H279" s="1032">
        <f t="shared" ref="H279:H339" si="22">F279*G279</f>
        <v>0</v>
      </c>
      <c r="I279" s="5">
        <f>HIT.PINTU!$H$54</f>
        <v>0</v>
      </c>
      <c r="J279" s="1958">
        <f t="shared" ref="J279:J290" si="23">$I$247*F279</f>
        <v>0</v>
      </c>
    </row>
    <row r="280" spans="2:10" s="1824" customFormat="1">
      <c r="B280" s="1615"/>
      <c r="C280" s="1616" t="s">
        <v>28</v>
      </c>
      <c r="D280" s="1924" t="s">
        <v>1529</v>
      </c>
      <c r="E280" s="1925" t="s">
        <v>88</v>
      </c>
      <c r="F280" s="1926"/>
      <c r="G280" s="1910">
        <f>L!$I$15</f>
        <v>93000</v>
      </c>
      <c r="H280" s="1927">
        <f t="shared" si="22"/>
        <v>0</v>
      </c>
      <c r="J280" s="1958">
        <f t="shared" si="23"/>
        <v>0</v>
      </c>
    </row>
    <row r="281" spans="2:10">
      <c r="B281" s="1615"/>
      <c r="C281" s="1616" t="s">
        <v>28</v>
      </c>
      <c r="D281" s="1924" t="s">
        <v>611</v>
      </c>
      <c r="E281" s="1925" t="s">
        <v>88</v>
      </c>
      <c r="F281" s="1031"/>
      <c r="G281" s="1910">
        <f>L!$I$23</f>
        <v>55000</v>
      </c>
      <c r="H281" s="1032">
        <f t="shared" si="22"/>
        <v>0</v>
      </c>
      <c r="J281" s="1958">
        <f t="shared" si="23"/>
        <v>0</v>
      </c>
    </row>
    <row r="282" spans="2:10">
      <c r="B282" s="1049"/>
      <c r="C282" s="1039" t="s">
        <v>28</v>
      </c>
      <c r="D282" s="1924" t="s">
        <v>1737</v>
      </c>
      <c r="E282" s="1925" t="s">
        <v>152</v>
      </c>
      <c r="F282" s="1031"/>
      <c r="G282" s="1910">
        <f>L!$I$151</f>
        <v>13500</v>
      </c>
      <c r="H282" s="1032">
        <f t="shared" si="22"/>
        <v>0</v>
      </c>
      <c r="J282" s="1958">
        <f t="shared" si="23"/>
        <v>0</v>
      </c>
    </row>
    <row r="283" spans="2:10">
      <c r="B283" s="1188"/>
      <c r="C283" s="1039" t="s">
        <v>28</v>
      </c>
      <c r="D283" s="1924" t="s">
        <v>2066</v>
      </c>
      <c r="E283" s="1925" t="s">
        <v>152</v>
      </c>
      <c r="F283" s="1031"/>
      <c r="G283" s="1910">
        <f>L!$I$31</f>
        <v>39500</v>
      </c>
      <c r="H283" s="1032">
        <f t="shared" si="22"/>
        <v>0</v>
      </c>
      <c r="J283" s="1958">
        <f t="shared" si="23"/>
        <v>0</v>
      </c>
    </row>
    <row r="284" spans="2:10">
      <c r="B284" s="1572"/>
      <c r="C284" s="1039" t="s">
        <v>28</v>
      </c>
      <c r="D284" s="1924" t="s">
        <v>2113</v>
      </c>
      <c r="E284" s="1925" t="s">
        <v>152</v>
      </c>
      <c r="F284" s="1031"/>
      <c r="G284" s="1910">
        <f>L!$I$39</f>
        <v>46500</v>
      </c>
      <c r="H284" s="1032">
        <f t="shared" si="22"/>
        <v>0</v>
      </c>
      <c r="J284" s="1958">
        <f t="shared" si="23"/>
        <v>0</v>
      </c>
    </row>
    <row r="285" spans="2:10">
      <c r="B285" s="1572"/>
      <c r="C285" s="1039" t="s">
        <v>28</v>
      </c>
      <c r="D285" s="1924" t="s">
        <v>1457</v>
      </c>
      <c r="E285" s="1925" t="s">
        <v>152</v>
      </c>
      <c r="F285" s="1031"/>
      <c r="G285" s="1910">
        <f>L!$I$47</f>
        <v>133000</v>
      </c>
      <c r="H285" s="1032">
        <f t="shared" si="22"/>
        <v>0</v>
      </c>
      <c r="J285" s="1958">
        <f t="shared" si="23"/>
        <v>0</v>
      </c>
    </row>
    <row r="286" spans="2:10">
      <c r="B286" s="1572"/>
      <c r="C286" s="1122" t="s">
        <v>28</v>
      </c>
      <c r="D286" s="1924" t="s">
        <v>1530</v>
      </c>
      <c r="E286" s="1925" t="s">
        <v>152</v>
      </c>
      <c r="F286" s="1031"/>
      <c r="G286" s="1910">
        <f>L!$I$55</f>
        <v>20000</v>
      </c>
      <c r="H286" s="1032">
        <f t="shared" si="22"/>
        <v>0</v>
      </c>
      <c r="J286" s="1958">
        <f t="shared" si="23"/>
        <v>0</v>
      </c>
    </row>
    <row r="287" spans="2:10">
      <c r="B287" s="1049"/>
      <c r="C287" s="1039" t="s">
        <v>28</v>
      </c>
      <c r="D287" s="1924" t="s">
        <v>2224</v>
      </c>
      <c r="E287" s="1925" t="s">
        <v>88</v>
      </c>
      <c r="F287" s="1031"/>
      <c r="G287" s="1910">
        <f>L!$I$63</f>
        <v>274000</v>
      </c>
      <c r="H287" s="1032">
        <f t="shared" si="22"/>
        <v>0</v>
      </c>
      <c r="J287" s="1958">
        <f t="shared" si="23"/>
        <v>0</v>
      </c>
    </row>
    <row r="288" spans="2:10">
      <c r="B288" s="1188"/>
      <c r="C288" s="1039" t="s">
        <v>28</v>
      </c>
      <c r="D288" s="1924" t="s">
        <v>2225</v>
      </c>
      <c r="E288" s="1925" t="s">
        <v>88</v>
      </c>
      <c r="F288" s="1031"/>
      <c r="G288" s="1912">
        <f>L!$I$71</f>
        <v>120000</v>
      </c>
      <c r="H288" s="1032">
        <f t="shared" si="22"/>
        <v>0</v>
      </c>
      <c r="J288" s="1958">
        <f t="shared" si="23"/>
        <v>0</v>
      </c>
    </row>
    <row r="289" spans="2:10">
      <c r="B289" s="1572"/>
      <c r="C289" s="1039" t="s">
        <v>28</v>
      </c>
      <c r="D289" s="1924" t="s">
        <v>1700</v>
      </c>
      <c r="E289" s="1925" t="s">
        <v>88</v>
      </c>
      <c r="F289" s="1031"/>
      <c r="G289" s="1910">
        <f>L!$I$143</f>
        <v>165000</v>
      </c>
      <c r="H289" s="1032">
        <f t="shared" si="22"/>
        <v>0</v>
      </c>
      <c r="J289" s="1958">
        <f t="shared" si="23"/>
        <v>0</v>
      </c>
    </row>
    <row r="290" spans="2:10">
      <c r="B290" s="1572"/>
      <c r="C290" s="1039" t="s">
        <v>28</v>
      </c>
      <c r="D290" s="1924" t="s">
        <v>1644</v>
      </c>
      <c r="E290" s="1925" t="s">
        <v>152</v>
      </c>
      <c r="F290" s="1031"/>
      <c r="G290" s="1910">
        <f>L!$I$127</f>
        <v>210000</v>
      </c>
      <c r="H290" s="1032">
        <f t="shared" si="22"/>
        <v>0</v>
      </c>
      <c r="J290" s="1958">
        <f t="shared" si="23"/>
        <v>0</v>
      </c>
    </row>
    <row r="291" spans="2:10" ht="15.75" thickBot="1">
      <c r="B291" s="1572"/>
      <c r="C291" s="1122" t="s">
        <v>28</v>
      </c>
      <c r="D291" s="1924" t="s">
        <v>1467</v>
      </c>
      <c r="E291" s="1925" t="s">
        <v>152</v>
      </c>
      <c r="F291" s="1573"/>
      <c r="G291" s="1910">
        <f>L!$I$135</f>
        <v>465000</v>
      </c>
      <c r="H291" s="1123">
        <f t="shared" si="22"/>
        <v>0</v>
      </c>
      <c r="J291" s="1958">
        <f>$I$247*F291</f>
        <v>0</v>
      </c>
    </row>
    <row r="292" spans="2:10">
      <c r="B292" s="1047"/>
      <c r="C292" s="1052"/>
      <c r="D292" s="1053" t="s">
        <v>228</v>
      </c>
      <c r="E292" s="1054"/>
      <c r="F292" s="1055"/>
      <c r="G292" s="1056"/>
      <c r="H292" s="1057">
        <f>SUM(H279:H291)</f>
        <v>0</v>
      </c>
    </row>
    <row r="293" spans="2:10" ht="15.75" thickBot="1">
      <c r="B293" s="1025"/>
      <c r="C293" s="1058" t="s">
        <v>229</v>
      </c>
      <c r="D293" s="1059"/>
      <c r="E293" s="1059"/>
      <c r="F293" s="1059"/>
      <c r="G293" s="1060"/>
      <c r="H293" s="1061">
        <f>ROUND(H292,0)</f>
        <v>0</v>
      </c>
    </row>
    <row r="294" spans="2:10" ht="15.75" thickBot="1">
      <c r="B294" s="1218">
        <v>19</v>
      </c>
      <c r="C294" s="987" t="str">
        <f>VLOOKUP(B294,$C$488:$D$516,2,TRUE)</f>
        <v>1 Unit Pek. Jendela (  )</v>
      </c>
      <c r="D294" s="987"/>
      <c r="E294" s="988"/>
      <c r="F294" s="989"/>
      <c r="G294" s="990"/>
      <c r="H294" s="991">
        <f>H309</f>
        <v>0</v>
      </c>
    </row>
    <row r="295" spans="2:10">
      <c r="B295" s="1047"/>
      <c r="C295" s="1039" t="s">
        <v>28</v>
      </c>
      <c r="D295" s="1924" t="s">
        <v>1528</v>
      </c>
      <c r="E295" s="1925" t="s">
        <v>88</v>
      </c>
      <c r="F295" s="1031"/>
      <c r="G295" s="1910">
        <f>L!$I$7</f>
        <v>180000</v>
      </c>
      <c r="H295" s="1032">
        <f t="shared" si="22"/>
        <v>0</v>
      </c>
      <c r="I295" s="5">
        <f>HIT.PINTU!H55</f>
        <v>0</v>
      </c>
      <c r="J295" s="1958">
        <f t="shared" ref="J295:J306" si="24">$I$247*F295</f>
        <v>0</v>
      </c>
    </row>
    <row r="296" spans="2:10" s="1824" customFormat="1">
      <c r="B296" s="1615"/>
      <c r="C296" s="1616" t="s">
        <v>28</v>
      </c>
      <c r="D296" s="1924" t="s">
        <v>1529</v>
      </c>
      <c r="E296" s="1925" t="s">
        <v>88</v>
      </c>
      <c r="F296" s="1926"/>
      <c r="G296" s="1910">
        <f>L!$I$15</f>
        <v>93000</v>
      </c>
      <c r="H296" s="1927">
        <f t="shared" si="22"/>
        <v>0</v>
      </c>
      <c r="I296" s="5"/>
      <c r="J296" s="1958">
        <f t="shared" si="24"/>
        <v>0</v>
      </c>
    </row>
    <row r="297" spans="2:10">
      <c r="B297" s="1615"/>
      <c r="C297" s="1616" t="s">
        <v>28</v>
      </c>
      <c r="D297" s="1924" t="s">
        <v>611</v>
      </c>
      <c r="E297" s="1925" t="s">
        <v>88</v>
      </c>
      <c r="F297" s="1031"/>
      <c r="G297" s="1910">
        <f>L!$I$23</f>
        <v>55000</v>
      </c>
      <c r="H297" s="1032">
        <f t="shared" si="22"/>
        <v>0</v>
      </c>
      <c r="J297" s="1958">
        <f t="shared" si="24"/>
        <v>0</v>
      </c>
    </row>
    <row r="298" spans="2:10">
      <c r="B298" s="1049"/>
      <c r="C298" s="1039" t="s">
        <v>28</v>
      </c>
      <c r="D298" s="1924" t="s">
        <v>1737</v>
      </c>
      <c r="E298" s="1925" t="s">
        <v>152</v>
      </c>
      <c r="F298" s="1031"/>
      <c r="G298" s="1910">
        <f>L!$I$151</f>
        <v>13500</v>
      </c>
      <c r="H298" s="1032">
        <f t="shared" si="22"/>
        <v>0</v>
      </c>
      <c r="J298" s="1958">
        <f t="shared" si="24"/>
        <v>0</v>
      </c>
    </row>
    <row r="299" spans="2:10">
      <c r="B299" s="1188"/>
      <c r="C299" s="1039" t="s">
        <v>28</v>
      </c>
      <c r="D299" s="1924" t="s">
        <v>2066</v>
      </c>
      <c r="E299" s="1925" t="s">
        <v>152</v>
      </c>
      <c r="F299" s="1031"/>
      <c r="G299" s="1910">
        <f>L!$I$31</f>
        <v>39500</v>
      </c>
      <c r="H299" s="1032">
        <f t="shared" si="22"/>
        <v>0</v>
      </c>
      <c r="J299" s="1958">
        <f t="shared" si="24"/>
        <v>0</v>
      </c>
    </row>
    <row r="300" spans="2:10">
      <c r="B300" s="1572"/>
      <c r="C300" s="1039" t="s">
        <v>28</v>
      </c>
      <c r="D300" s="1924" t="s">
        <v>2113</v>
      </c>
      <c r="E300" s="1925" t="s">
        <v>152</v>
      </c>
      <c r="F300" s="1031"/>
      <c r="G300" s="1910">
        <f>L!$I$39</f>
        <v>46500</v>
      </c>
      <c r="H300" s="1032">
        <f t="shared" si="22"/>
        <v>0</v>
      </c>
      <c r="J300" s="1958">
        <f t="shared" si="24"/>
        <v>0</v>
      </c>
    </row>
    <row r="301" spans="2:10">
      <c r="B301" s="1572"/>
      <c r="C301" s="1039" t="s">
        <v>28</v>
      </c>
      <c r="D301" s="1924" t="s">
        <v>1457</v>
      </c>
      <c r="E301" s="1925" t="s">
        <v>152</v>
      </c>
      <c r="F301" s="1031"/>
      <c r="G301" s="1910">
        <f>L!$I$47</f>
        <v>133000</v>
      </c>
      <c r="H301" s="1032">
        <f t="shared" si="22"/>
        <v>0</v>
      </c>
      <c r="J301" s="1958">
        <f t="shared" si="24"/>
        <v>0</v>
      </c>
    </row>
    <row r="302" spans="2:10">
      <c r="B302" s="1572"/>
      <c r="C302" s="1122" t="s">
        <v>28</v>
      </c>
      <c r="D302" s="1924" t="s">
        <v>1530</v>
      </c>
      <c r="E302" s="1925" t="s">
        <v>152</v>
      </c>
      <c r="F302" s="1031"/>
      <c r="G302" s="1910">
        <f>L!$I$55</f>
        <v>20000</v>
      </c>
      <c r="H302" s="1032">
        <f t="shared" si="22"/>
        <v>0</v>
      </c>
      <c r="J302" s="1958">
        <f t="shared" si="24"/>
        <v>0</v>
      </c>
    </row>
    <row r="303" spans="2:10">
      <c r="B303" s="1049"/>
      <c r="C303" s="1039" t="s">
        <v>28</v>
      </c>
      <c r="D303" s="1924" t="s">
        <v>2224</v>
      </c>
      <c r="E303" s="1925" t="s">
        <v>88</v>
      </c>
      <c r="F303" s="1031"/>
      <c r="G303" s="1910">
        <f>L!$I$63</f>
        <v>274000</v>
      </c>
      <c r="H303" s="1032">
        <f t="shared" si="22"/>
        <v>0</v>
      </c>
      <c r="J303" s="1958">
        <f t="shared" si="24"/>
        <v>0</v>
      </c>
    </row>
    <row r="304" spans="2:10">
      <c r="B304" s="1188"/>
      <c r="C304" s="1039" t="s">
        <v>28</v>
      </c>
      <c r="D304" s="1924" t="s">
        <v>2225</v>
      </c>
      <c r="E304" s="1925" t="s">
        <v>88</v>
      </c>
      <c r="F304" s="1031"/>
      <c r="G304" s="1912">
        <f>L!$I$71</f>
        <v>120000</v>
      </c>
      <c r="H304" s="1032">
        <f t="shared" si="22"/>
        <v>0</v>
      </c>
      <c r="J304" s="1958">
        <f t="shared" si="24"/>
        <v>0</v>
      </c>
    </row>
    <row r="305" spans="2:10">
      <c r="B305" s="1572"/>
      <c r="C305" s="1039" t="s">
        <v>28</v>
      </c>
      <c r="D305" s="1924" t="s">
        <v>1700</v>
      </c>
      <c r="E305" s="1925" t="s">
        <v>88</v>
      </c>
      <c r="F305" s="1031"/>
      <c r="G305" s="1910">
        <f>L!$I$143</f>
        <v>165000</v>
      </c>
      <c r="H305" s="1032">
        <f t="shared" si="22"/>
        <v>0</v>
      </c>
      <c r="J305" s="1958">
        <f t="shared" si="24"/>
        <v>0</v>
      </c>
    </row>
    <row r="306" spans="2:10">
      <c r="B306" s="1572"/>
      <c r="C306" s="1039" t="s">
        <v>28</v>
      </c>
      <c r="D306" s="1924" t="s">
        <v>1644</v>
      </c>
      <c r="E306" s="1925" t="s">
        <v>152</v>
      </c>
      <c r="F306" s="1031"/>
      <c r="G306" s="1910">
        <f>L!$I$127</f>
        <v>210000</v>
      </c>
      <c r="H306" s="1032">
        <f t="shared" si="22"/>
        <v>0</v>
      </c>
      <c r="J306" s="1958">
        <f t="shared" si="24"/>
        <v>0</v>
      </c>
    </row>
    <row r="307" spans="2:10" ht="15.75" thickBot="1">
      <c r="B307" s="1572"/>
      <c r="C307" s="1122" t="s">
        <v>28</v>
      </c>
      <c r="D307" s="1924" t="s">
        <v>1467</v>
      </c>
      <c r="E307" s="1925" t="s">
        <v>152</v>
      </c>
      <c r="F307" s="1573"/>
      <c r="G307" s="1910">
        <f>L!$I$135</f>
        <v>465000</v>
      </c>
      <c r="H307" s="1123">
        <f t="shared" si="22"/>
        <v>0</v>
      </c>
      <c r="J307" s="1958">
        <f>$I$247*F307</f>
        <v>0</v>
      </c>
    </row>
    <row r="308" spans="2:10">
      <c r="B308" s="1047"/>
      <c r="C308" s="1052"/>
      <c r="D308" s="1053" t="s">
        <v>228</v>
      </c>
      <c r="E308" s="1054"/>
      <c r="F308" s="1055"/>
      <c r="G308" s="1056"/>
      <c r="H308" s="1057">
        <f>SUM(H295:H307)</f>
        <v>0</v>
      </c>
    </row>
    <row r="309" spans="2:10" ht="15.75" thickBot="1">
      <c r="B309" s="1025"/>
      <c r="C309" s="1058" t="s">
        <v>229</v>
      </c>
      <c r="D309" s="1059"/>
      <c r="E309" s="1059"/>
      <c r="F309" s="1059"/>
      <c r="G309" s="1060"/>
      <c r="H309" s="1061">
        <f>ROUND(H308,0)</f>
        <v>0</v>
      </c>
    </row>
    <row r="310" spans="2:10" ht="15.75" thickBot="1">
      <c r="B310" s="1218">
        <v>20</v>
      </c>
      <c r="C310" s="987" t="str">
        <f>VLOOKUP(B310,$C$488:$D$516,2,TRUE)</f>
        <v>1 Unit Pek. Jendela (  )</v>
      </c>
      <c r="D310" s="987"/>
      <c r="E310" s="988"/>
      <c r="F310" s="989"/>
      <c r="G310" s="990"/>
      <c r="H310" s="991">
        <f>H325</f>
        <v>0</v>
      </c>
    </row>
    <row r="311" spans="2:10">
      <c r="B311" s="1047"/>
      <c r="C311" s="1039" t="s">
        <v>28</v>
      </c>
      <c r="D311" s="1924" t="s">
        <v>1528</v>
      </c>
      <c r="E311" s="1925" t="s">
        <v>88</v>
      </c>
      <c r="F311" s="1031"/>
      <c r="G311" s="1910">
        <f>L!$I$7</f>
        <v>180000</v>
      </c>
      <c r="H311" s="1032">
        <f t="shared" si="22"/>
        <v>0</v>
      </c>
      <c r="I311" s="5">
        <f>HIT.PINTU!H56</f>
        <v>0</v>
      </c>
      <c r="J311" s="1958">
        <f t="shared" ref="J311:J322" si="25">$I$247*F311</f>
        <v>0</v>
      </c>
    </row>
    <row r="312" spans="2:10" s="1824" customFormat="1">
      <c r="B312" s="1615"/>
      <c r="C312" s="1616" t="s">
        <v>28</v>
      </c>
      <c r="D312" s="1924" t="s">
        <v>1529</v>
      </c>
      <c r="E312" s="1925" t="s">
        <v>88</v>
      </c>
      <c r="F312" s="1926"/>
      <c r="G312" s="1910">
        <f>L!$I$15</f>
        <v>93000</v>
      </c>
      <c r="H312" s="1927">
        <f t="shared" si="22"/>
        <v>0</v>
      </c>
      <c r="J312" s="1958">
        <f t="shared" si="25"/>
        <v>0</v>
      </c>
    </row>
    <row r="313" spans="2:10">
      <c r="B313" s="1615"/>
      <c r="C313" s="1616" t="s">
        <v>28</v>
      </c>
      <c r="D313" s="1924" t="s">
        <v>611</v>
      </c>
      <c r="E313" s="1925" t="s">
        <v>88</v>
      </c>
      <c r="F313" s="1031"/>
      <c r="G313" s="1910">
        <f>L!$I$23</f>
        <v>55000</v>
      </c>
      <c r="H313" s="1032">
        <f t="shared" si="22"/>
        <v>0</v>
      </c>
      <c r="J313" s="1958">
        <f t="shared" si="25"/>
        <v>0</v>
      </c>
    </row>
    <row r="314" spans="2:10">
      <c r="B314" s="1049"/>
      <c r="C314" s="1039" t="s">
        <v>28</v>
      </c>
      <c r="D314" s="1924" t="s">
        <v>1737</v>
      </c>
      <c r="E314" s="1925" t="s">
        <v>152</v>
      </c>
      <c r="F314" s="1031"/>
      <c r="G314" s="1910">
        <f>L!$I$151</f>
        <v>13500</v>
      </c>
      <c r="H314" s="1032">
        <f t="shared" si="22"/>
        <v>0</v>
      </c>
      <c r="J314" s="1958">
        <f t="shared" si="25"/>
        <v>0</v>
      </c>
    </row>
    <row r="315" spans="2:10">
      <c r="B315" s="1188"/>
      <c r="C315" s="1039" t="s">
        <v>28</v>
      </c>
      <c r="D315" s="1924" t="s">
        <v>2066</v>
      </c>
      <c r="E315" s="1925" t="s">
        <v>152</v>
      </c>
      <c r="F315" s="1031"/>
      <c r="G315" s="1910">
        <f>L!$I$31</f>
        <v>39500</v>
      </c>
      <c r="H315" s="1032">
        <f t="shared" si="22"/>
        <v>0</v>
      </c>
      <c r="J315" s="1958">
        <f t="shared" si="25"/>
        <v>0</v>
      </c>
    </row>
    <row r="316" spans="2:10">
      <c r="B316" s="1572"/>
      <c r="C316" s="1039" t="s">
        <v>28</v>
      </c>
      <c r="D316" s="1924" t="s">
        <v>2113</v>
      </c>
      <c r="E316" s="1925" t="s">
        <v>152</v>
      </c>
      <c r="F316" s="1031"/>
      <c r="G316" s="1910">
        <f>L!$I$39</f>
        <v>46500</v>
      </c>
      <c r="H316" s="1032">
        <f t="shared" si="22"/>
        <v>0</v>
      </c>
      <c r="J316" s="1958">
        <f t="shared" si="25"/>
        <v>0</v>
      </c>
    </row>
    <row r="317" spans="2:10">
      <c r="B317" s="1572"/>
      <c r="C317" s="1039" t="s">
        <v>28</v>
      </c>
      <c r="D317" s="1924" t="s">
        <v>1457</v>
      </c>
      <c r="E317" s="1925" t="s">
        <v>152</v>
      </c>
      <c r="F317" s="1031"/>
      <c r="G317" s="1910">
        <f>L!$I$47</f>
        <v>133000</v>
      </c>
      <c r="H317" s="1032">
        <f t="shared" si="22"/>
        <v>0</v>
      </c>
      <c r="J317" s="1958">
        <f t="shared" si="25"/>
        <v>0</v>
      </c>
    </row>
    <row r="318" spans="2:10">
      <c r="B318" s="1572"/>
      <c r="C318" s="1122" t="s">
        <v>28</v>
      </c>
      <c r="D318" s="1924" t="s">
        <v>1530</v>
      </c>
      <c r="E318" s="1925" t="s">
        <v>152</v>
      </c>
      <c r="F318" s="1031"/>
      <c r="G318" s="1910">
        <f>L!$I$55</f>
        <v>20000</v>
      </c>
      <c r="H318" s="1032">
        <f t="shared" si="22"/>
        <v>0</v>
      </c>
      <c r="J318" s="1958">
        <f t="shared" si="25"/>
        <v>0</v>
      </c>
    </row>
    <row r="319" spans="2:10">
      <c r="B319" s="1049"/>
      <c r="C319" s="1039" t="s">
        <v>28</v>
      </c>
      <c r="D319" s="1924" t="s">
        <v>2224</v>
      </c>
      <c r="E319" s="1925" t="s">
        <v>88</v>
      </c>
      <c r="F319" s="1031"/>
      <c r="G319" s="1910">
        <f>L!$I$63</f>
        <v>274000</v>
      </c>
      <c r="H319" s="1032">
        <f t="shared" si="22"/>
        <v>0</v>
      </c>
      <c r="J319" s="1958">
        <f t="shared" si="25"/>
        <v>0</v>
      </c>
    </row>
    <row r="320" spans="2:10">
      <c r="B320" s="1188"/>
      <c r="C320" s="1039" t="s">
        <v>28</v>
      </c>
      <c r="D320" s="1924" t="s">
        <v>2225</v>
      </c>
      <c r="E320" s="1925" t="s">
        <v>88</v>
      </c>
      <c r="F320" s="1031"/>
      <c r="G320" s="1912">
        <f>L!$I$71</f>
        <v>120000</v>
      </c>
      <c r="H320" s="1032">
        <f t="shared" si="22"/>
        <v>0</v>
      </c>
      <c r="J320" s="1958">
        <f t="shared" si="25"/>
        <v>0</v>
      </c>
    </row>
    <row r="321" spans="2:10">
      <c r="B321" s="1572"/>
      <c r="C321" s="1039" t="s">
        <v>28</v>
      </c>
      <c r="D321" s="1924" t="s">
        <v>1700</v>
      </c>
      <c r="E321" s="1925" t="s">
        <v>88</v>
      </c>
      <c r="F321" s="1031"/>
      <c r="G321" s="1910">
        <f>L!$I$143</f>
        <v>165000</v>
      </c>
      <c r="H321" s="1032">
        <f t="shared" si="22"/>
        <v>0</v>
      </c>
      <c r="J321" s="1958">
        <f t="shared" si="25"/>
        <v>0</v>
      </c>
    </row>
    <row r="322" spans="2:10">
      <c r="B322" s="1572"/>
      <c r="C322" s="1039" t="s">
        <v>28</v>
      </c>
      <c r="D322" s="1924" t="s">
        <v>1644</v>
      </c>
      <c r="E322" s="1925" t="s">
        <v>152</v>
      </c>
      <c r="F322" s="1031"/>
      <c r="G322" s="1910">
        <f>L!$I$127</f>
        <v>210000</v>
      </c>
      <c r="H322" s="1032">
        <f t="shared" si="22"/>
        <v>0</v>
      </c>
      <c r="J322" s="1958">
        <f t="shared" si="25"/>
        <v>0</v>
      </c>
    </row>
    <row r="323" spans="2:10" ht="15.75" thickBot="1">
      <c r="B323" s="1572"/>
      <c r="C323" s="1122" t="s">
        <v>28</v>
      </c>
      <c r="D323" s="1924" t="s">
        <v>1467</v>
      </c>
      <c r="E323" s="1925" t="s">
        <v>152</v>
      </c>
      <c r="F323" s="1573"/>
      <c r="G323" s="1910">
        <f>L!$I$135</f>
        <v>465000</v>
      </c>
      <c r="H323" s="1123">
        <f t="shared" si="22"/>
        <v>0</v>
      </c>
      <c r="J323" s="1958">
        <f>$I$247*F323</f>
        <v>0</v>
      </c>
    </row>
    <row r="324" spans="2:10">
      <c r="B324" s="1047"/>
      <c r="C324" s="1052"/>
      <c r="D324" s="1053" t="s">
        <v>228</v>
      </c>
      <c r="E324" s="1054"/>
      <c r="F324" s="1055"/>
      <c r="G324" s="1056"/>
      <c r="H324" s="1057">
        <f>SUM(H311:H323)</f>
        <v>0</v>
      </c>
    </row>
    <row r="325" spans="2:10" ht="15.75" thickBot="1">
      <c r="B325" s="1025"/>
      <c r="C325" s="1058" t="s">
        <v>229</v>
      </c>
      <c r="D325" s="1059"/>
      <c r="E325" s="1059"/>
      <c r="F325" s="1059"/>
      <c r="G325" s="1060"/>
      <c r="H325" s="1061">
        <f>ROUND(H324,0)</f>
        <v>0</v>
      </c>
    </row>
    <row r="326" spans="2:10" ht="15.75" thickBot="1">
      <c r="B326" s="1218">
        <v>21</v>
      </c>
      <c r="C326" s="987" t="str">
        <f>VLOOKUP(B326,$C$488:$D$516,2,TRUE)</f>
        <v>1 Unit Pek. Jendela (  )</v>
      </c>
      <c r="D326" s="987"/>
      <c r="E326" s="988"/>
      <c r="F326" s="989"/>
      <c r="G326" s="990"/>
      <c r="H326" s="991">
        <f>H341</f>
        <v>0</v>
      </c>
    </row>
    <row r="327" spans="2:10">
      <c r="B327" s="1047"/>
      <c r="C327" s="1039" t="s">
        <v>28</v>
      </c>
      <c r="D327" s="1924" t="s">
        <v>1528</v>
      </c>
      <c r="E327" s="1925" t="s">
        <v>88</v>
      </c>
      <c r="F327" s="1031"/>
      <c r="G327" s="1910">
        <f>L!$I$7</f>
        <v>180000</v>
      </c>
      <c r="H327" s="1032">
        <f t="shared" si="22"/>
        <v>0</v>
      </c>
      <c r="I327" s="5">
        <f>HIT.PINTU!H57</f>
        <v>0</v>
      </c>
      <c r="J327" s="1958">
        <f t="shared" ref="J327:J338" si="26">$I$247*F327</f>
        <v>0</v>
      </c>
    </row>
    <row r="328" spans="2:10" s="1824" customFormat="1">
      <c r="B328" s="1615"/>
      <c r="C328" s="1616" t="s">
        <v>28</v>
      </c>
      <c r="D328" s="1924" t="s">
        <v>1529</v>
      </c>
      <c r="E328" s="1925" t="s">
        <v>88</v>
      </c>
      <c r="F328" s="1926"/>
      <c r="G328" s="1910">
        <f>L!$I$15</f>
        <v>93000</v>
      </c>
      <c r="H328" s="1927">
        <f t="shared" si="22"/>
        <v>0</v>
      </c>
      <c r="J328" s="1958">
        <f t="shared" si="26"/>
        <v>0</v>
      </c>
    </row>
    <row r="329" spans="2:10">
      <c r="B329" s="1615"/>
      <c r="C329" s="1616" t="s">
        <v>28</v>
      </c>
      <c r="D329" s="1924" t="s">
        <v>611</v>
      </c>
      <c r="E329" s="1925" t="s">
        <v>88</v>
      </c>
      <c r="F329" s="1031"/>
      <c r="G329" s="1910">
        <f>L!$I$23</f>
        <v>55000</v>
      </c>
      <c r="H329" s="1032">
        <f t="shared" si="22"/>
        <v>0</v>
      </c>
      <c r="J329" s="1958">
        <f t="shared" si="26"/>
        <v>0</v>
      </c>
    </row>
    <row r="330" spans="2:10">
      <c r="B330" s="1049"/>
      <c r="C330" s="1039" t="s">
        <v>28</v>
      </c>
      <c r="D330" s="1924" t="s">
        <v>1737</v>
      </c>
      <c r="E330" s="1925" t="s">
        <v>152</v>
      </c>
      <c r="F330" s="1031"/>
      <c r="G330" s="1910">
        <f>L!$I$151</f>
        <v>13500</v>
      </c>
      <c r="H330" s="1032">
        <f t="shared" si="22"/>
        <v>0</v>
      </c>
      <c r="J330" s="1958">
        <f t="shared" si="26"/>
        <v>0</v>
      </c>
    </row>
    <row r="331" spans="2:10">
      <c r="B331" s="1188"/>
      <c r="C331" s="1039" t="s">
        <v>28</v>
      </c>
      <c r="D331" s="1924" t="s">
        <v>2066</v>
      </c>
      <c r="E331" s="1925" t="s">
        <v>152</v>
      </c>
      <c r="F331" s="1031"/>
      <c r="G331" s="1910">
        <f>L!$I$31</f>
        <v>39500</v>
      </c>
      <c r="H331" s="1032">
        <f t="shared" si="22"/>
        <v>0</v>
      </c>
      <c r="J331" s="1958">
        <f t="shared" si="26"/>
        <v>0</v>
      </c>
    </row>
    <row r="332" spans="2:10">
      <c r="B332" s="1572"/>
      <c r="C332" s="1039" t="s">
        <v>28</v>
      </c>
      <c r="D332" s="1924" t="s">
        <v>2113</v>
      </c>
      <c r="E332" s="1925" t="s">
        <v>152</v>
      </c>
      <c r="F332" s="1031"/>
      <c r="G332" s="1910">
        <f>L!$I$39</f>
        <v>46500</v>
      </c>
      <c r="H332" s="1032">
        <f t="shared" si="22"/>
        <v>0</v>
      </c>
      <c r="J332" s="1958">
        <f t="shared" si="26"/>
        <v>0</v>
      </c>
    </row>
    <row r="333" spans="2:10">
      <c r="B333" s="1572"/>
      <c r="C333" s="1039" t="s">
        <v>28</v>
      </c>
      <c r="D333" s="1924" t="s">
        <v>1457</v>
      </c>
      <c r="E333" s="1925" t="s">
        <v>152</v>
      </c>
      <c r="F333" s="1031"/>
      <c r="G333" s="1910">
        <f>L!$I$47</f>
        <v>133000</v>
      </c>
      <c r="H333" s="1032">
        <f t="shared" si="22"/>
        <v>0</v>
      </c>
      <c r="J333" s="1958">
        <f t="shared" si="26"/>
        <v>0</v>
      </c>
    </row>
    <row r="334" spans="2:10">
      <c r="B334" s="1572"/>
      <c r="C334" s="1122" t="s">
        <v>28</v>
      </c>
      <c r="D334" s="1924" t="s">
        <v>1530</v>
      </c>
      <c r="E334" s="1925" t="s">
        <v>152</v>
      </c>
      <c r="F334" s="1031"/>
      <c r="G334" s="1910">
        <f>L!$I$55</f>
        <v>20000</v>
      </c>
      <c r="H334" s="1032">
        <f t="shared" si="22"/>
        <v>0</v>
      </c>
      <c r="J334" s="1958">
        <f t="shared" si="26"/>
        <v>0</v>
      </c>
    </row>
    <row r="335" spans="2:10">
      <c r="B335" s="1049"/>
      <c r="C335" s="1039" t="s">
        <v>28</v>
      </c>
      <c r="D335" s="1924" t="s">
        <v>2224</v>
      </c>
      <c r="E335" s="1925" t="s">
        <v>88</v>
      </c>
      <c r="F335" s="1031"/>
      <c r="G335" s="1910">
        <f>L!$I$63</f>
        <v>274000</v>
      </c>
      <c r="H335" s="1032">
        <f t="shared" si="22"/>
        <v>0</v>
      </c>
      <c r="J335" s="1958">
        <f t="shared" si="26"/>
        <v>0</v>
      </c>
    </row>
    <row r="336" spans="2:10">
      <c r="B336" s="1188"/>
      <c r="C336" s="1039" t="s">
        <v>28</v>
      </c>
      <c r="D336" s="1924" t="s">
        <v>2225</v>
      </c>
      <c r="E336" s="1925" t="s">
        <v>88</v>
      </c>
      <c r="F336" s="1031"/>
      <c r="G336" s="1912">
        <f>L!$I$71</f>
        <v>120000</v>
      </c>
      <c r="H336" s="1032">
        <f t="shared" si="22"/>
        <v>0</v>
      </c>
      <c r="J336" s="1958">
        <f t="shared" si="26"/>
        <v>0</v>
      </c>
    </row>
    <row r="337" spans="2:10">
      <c r="B337" s="1572"/>
      <c r="C337" s="1039" t="s">
        <v>28</v>
      </c>
      <c r="D337" s="1924" t="s">
        <v>1700</v>
      </c>
      <c r="E337" s="1925" t="s">
        <v>88</v>
      </c>
      <c r="F337" s="1031"/>
      <c r="G337" s="1910">
        <f>L!$I$143</f>
        <v>165000</v>
      </c>
      <c r="H337" s="1032">
        <f t="shared" si="22"/>
        <v>0</v>
      </c>
      <c r="J337" s="1958">
        <f t="shared" si="26"/>
        <v>0</v>
      </c>
    </row>
    <row r="338" spans="2:10">
      <c r="B338" s="1572"/>
      <c r="C338" s="1039" t="s">
        <v>28</v>
      </c>
      <c r="D338" s="1924" t="s">
        <v>1644</v>
      </c>
      <c r="E338" s="1925" t="s">
        <v>152</v>
      </c>
      <c r="F338" s="1031"/>
      <c r="G338" s="1910">
        <f>L!$I$127</f>
        <v>210000</v>
      </c>
      <c r="H338" s="1032">
        <f t="shared" si="22"/>
        <v>0</v>
      </c>
      <c r="J338" s="1958">
        <f t="shared" si="26"/>
        <v>0</v>
      </c>
    </row>
    <row r="339" spans="2:10" ht="15.75" thickBot="1">
      <c r="B339" s="1572"/>
      <c r="C339" s="1122" t="s">
        <v>28</v>
      </c>
      <c r="D339" s="1924" t="s">
        <v>1467</v>
      </c>
      <c r="E339" s="1925" t="s">
        <v>152</v>
      </c>
      <c r="F339" s="1573"/>
      <c r="G339" s="1910">
        <f>L!$I$135</f>
        <v>465000</v>
      </c>
      <c r="H339" s="1123">
        <f t="shared" si="22"/>
        <v>0</v>
      </c>
      <c r="J339" s="1958">
        <f>$I$247*F339</f>
        <v>0</v>
      </c>
    </row>
    <row r="340" spans="2:10">
      <c r="B340" s="1047"/>
      <c r="C340" s="1052"/>
      <c r="D340" s="1053" t="s">
        <v>228</v>
      </c>
      <c r="E340" s="1054"/>
      <c r="F340" s="1055"/>
      <c r="G340" s="1056"/>
      <c r="H340" s="1057">
        <f>SUM(H327:H339)</f>
        <v>0</v>
      </c>
    </row>
    <row r="341" spans="2:10" ht="15.75" thickBot="1">
      <c r="B341" s="1025"/>
      <c r="C341" s="1058" t="s">
        <v>229</v>
      </c>
      <c r="D341" s="1059"/>
      <c r="E341" s="1059"/>
      <c r="F341" s="1059"/>
      <c r="G341" s="1060"/>
      <c r="H341" s="1061">
        <f>ROUND(H340,0)</f>
        <v>0</v>
      </c>
    </row>
    <row r="342" spans="2:10" ht="15.75" thickBot="1">
      <c r="B342" s="1218">
        <v>22</v>
      </c>
      <c r="C342" s="987" t="str">
        <f>VLOOKUP(B342,$C$488:$D$516,2,TRUE)</f>
        <v>1 Unit Pek. Jendela (  )</v>
      </c>
      <c r="D342" s="987"/>
      <c r="E342" s="988"/>
      <c r="F342" s="989"/>
      <c r="G342" s="990"/>
      <c r="H342" s="991">
        <f>H357</f>
        <v>0</v>
      </c>
    </row>
    <row r="343" spans="2:10">
      <c r="B343" s="1047"/>
      <c r="C343" s="1039" t="s">
        <v>28</v>
      </c>
      <c r="D343" s="1924" t="s">
        <v>1528</v>
      </c>
      <c r="E343" s="1925" t="s">
        <v>88</v>
      </c>
      <c r="F343" s="1031"/>
      <c r="G343" s="1910">
        <f>L!$I$7</f>
        <v>180000</v>
      </c>
      <c r="H343" s="1032">
        <f t="shared" ref="H343:H403" si="27">F343*G343</f>
        <v>0</v>
      </c>
      <c r="I343" s="5">
        <f>HIT.PINTU!H62</f>
        <v>0</v>
      </c>
      <c r="J343" s="1958">
        <f t="shared" ref="J343:J354" si="28">$I$247*F343</f>
        <v>0</v>
      </c>
    </row>
    <row r="344" spans="2:10" s="1824" customFormat="1">
      <c r="B344" s="1615"/>
      <c r="C344" s="1616" t="s">
        <v>28</v>
      </c>
      <c r="D344" s="1924" t="s">
        <v>1529</v>
      </c>
      <c r="E344" s="1925" t="s">
        <v>88</v>
      </c>
      <c r="F344" s="1926"/>
      <c r="G344" s="1910">
        <f>L!$I$15</f>
        <v>93000</v>
      </c>
      <c r="H344" s="1927">
        <f t="shared" si="27"/>
        <v>0</v>
      </c>
      <c r="J344" s="1958">
        <f t="shared" si="28"/>
        <v>0</v>
      </c>
    </row>
    <row r="345" spans="2:10">
      <c r="B345" s="1615"/>
      <c r="C345" s="1616" t="s">
        <v>28</v>
      </c>
      <c r="D345" s="1924" t="s">
        <v>611</v>
      </c>
      <c r="E345" s="1925" t="s">
        <v>88</v>
      </c>
      <c r="F345" s="1031"/>
      <c r="G345" s="1910">
        <f>L!$I$23</f>
        <v>55000</v>
      </c>
      <c r="H345" s="1032">
        <f t="shared" si="27"/>
        <v>0</v>
      </c>
      <c r="J345" s="1958">
        <f t="shared" si="28"/>
        <v>0</v>
      </c>
    </row>
    <row r="346" spans="2:10">
      <c r="B346" s="1049"/>
      <c r="C346" s="1039" t="s">
        <v>28</v>
      </c>
      <c r="D346" s="1924" t="s">
        <v>1737</v>
      </c>
      <c r="E346" s="1925" t="s">
        <v>152</v>
      </c>
      <c r="F346" s="1031"/>
      <c r="G346" s="1910">
        <f>L!$I$151</f>
        <v>13500</v>
      </c>
      <c r="H346" s="1032">
        <f t="shared" si="27"/>
        <v>0</v>
      </c>
      <c r="J346" s="1958">
        <f t="shared" si="28"/>
        <v>0</v>
      </c>
    </row>
    <row r="347" spans="2:10">
      <c r="B347" s="1188"/>
      <c r="C347" s="1039" t="s">
        <v>28</v>
      </c>
      <c r="D347" s="1924" t="s">
        <v>2066</v>
      </c>
      <c r="E347" s="1925" t="s">
        <v>152</v>
      </c>
      <c r="F347" s="1031"/>
      <c r="G347" s="1910">
        <f>L!$I$31</f>
        <v>39500</v>
      </c>
      <c r="H347" s="1032">
        <f t="shared" si="27"/>
        <v>0</v>
      </c>
      <c r="J347" s="1958">
        <f t="shared" si="28"/>
        <v>0</v>
      </c>
    </row>
    <row r="348" spans="2:10">
      <c r="B348" s="1572"/>
      <c r="C348" s="1039" t="s">
        <v>28</v>
      </c>
      <c r="D348" s="1924" t="s">
        <v>2113</v>
      </c>
      <c r="E348" s="1925" t="s">
        <v>152</v>
      </c>
      <c r="F348" s="1031"/>
      <c r="G348" s="1910">
        <f>L!$I$39</f>
        <v>46500</v>
      </c>
      <c r="H348" s="1032">
        <f t="shared" si="27"/>
        <v>0</v>
      </c>
      <c r="J348" s="1958">
        <f t="shared" si="28"/>
        <v>0</v>
      </c>
    </row>
    <row r="349" spans="2:10">
      <c r="B349" s="1572"/>
      <c r="C349" s="1039" t="s">
        <v>28</v>
      </c>
      <c r="D349" s="1924" t="s">
        <v>1457</v>
      </c>
      <c r="E349" s="1925" t="s">
        <v>152</v>
      </c>
      <c r="F349" s="1031"/>
      <c r="G349" s="1910">
        <f>L!$I$47</f>
        <v>133000</v>
      </c>
      <c r="H349" s="1032">
        <f t="shared" si="27"/>
        <v>0</v>
      </c>
      <c r="J349" s="1958">
        <f t="shared" si="28"/>
        <v>0</v>
      </c>
    </row>
    <row r="350" spans="2:10">
      <c r="B350" s="1572"/>
      <c r="C350" s="1122" t="s">
        <v>28</v>
      </c>
      <c r="D350" s="1924" t="s">
        <v>1530</v>
      </c>
      <c r="E350" s="1925" t="s">
        <v>152</v>
      </c>
      <c r="F350" s="1031"/>
      <c r="G350" s="1910">
        <f>L!$I$55</f>
        <v>20000</v>
      </c>
      <c r="H350" s="1032">
        <f t="shared" si="27"/>
        <v>0</v>
      </c>
      <c r="J350" s="1958">
        <f t="shared" si="28"/>
        <v>0</v>
      </c>
    </row>
    <row r="351" spans="2:10">
      <c r="B351" s="1049"/>
      <c r="C351" s="1039" t="s">
        <v>28</v>
      </c>
      <c r="D351" s="1924" t="s">
        <v>2224</v>
      </c>
      <c r="E351" s="1925" t="s">
        <v>88</v>
      </c>
      <c r="F351" s="1031"/>
      <c r="G351" s="1910">
        <f>L!$I$63</f>
        <v>274000</v>
      </c>
      <c r="H351" s="1032">
        <f t="shared" si="27"/>
        <v>0</v>
      </c>
      <c r="J351" s="1958">
        <f t="shared" si="28"/>
        <v>0</v>
      </c>
    </row>
    <row r="352" spans="2:10">
      <c r="B352" s="1188"/>
      <c r="C352" s="1039" t="s">
        <v>28</v>
      </c>
      <c r="D352" s="1924" t="s">
        <v>2225</v>
      </c>
      <c r="E352" s="1925" t="s">
        <v>88</v>
      </c>
      <c r="F352" s="1031"/>
      <c r="G352" s="1912">
        <f>L!$I$71</f>
        <v>120000</v>
      </c>
      <c r="H352" s="1032">
        <f t="shared" si="27"/>
        <v>0</v>
      </c>
      <c r="J352" s="1958">
        <f t="shared" si="28"/>
        <v>0</v>
      </c>
    </row>
    <row r="353" spans="2:10">
      <c r="B353" s="1572"/>
      <c r="C353" s="1039" t="s">
        <v>28</v>
      </c>
      <c r="D353" s="1924" t="s">
        <v>1700</v>
      </c>
      <c r="E353" s="1925" t="s">
        <v>88</v>
      </c>
      <c r="F353" s="1031"/>
      <c r="G353" s="1910">
        <f>L!$I$143</f>
        <v>165000</v>
      </c>
      <c r="H353" s="1032">
        <f t="shared" si="27"/>
        <v>0</v>
      </c>
      <c r="J353" s="1958">
        <f t="shared" si="28"/>
        <v>0</v>
      </c>
    </row>
    <row r="354" spans="2:10">
      <c r="B354" s="1572"/>
      <c r="C354" s="1039" t="s">
        <v>28</v>
      </c>
      <c r="D354" s="1924" t="s">
        <v>1644</v>
      </c>
      <c r="E354" s="1925" t="s">
        <v>152</v>
      </c>
      <c r="F354" s="1031"/>
      <c r="G354" s="1910">
        <f>L!$I$127</f>
        <v>210000</v>
      </c>
      <c r="H354" s="1032">
        <f t="shared" si="27"/>
        <v>0</v>
      </c>
      <c r="J354" s="1958">
        <f t="shared" si="28"/>
        <v>0</v>
      </c>
    </row>
    <row r="355" spans="2:10" ht="15.75" thickBot="1">
      <c r="B355" s="1572"/>
      <c r="C355" s="1122" t="s">
        <v>28</v>
      </c>
      <c r="D355" s="1924" t="s">
        <v>1467</v>
      </c>
      <c r="E355" s="1925" t="s">
        <v>152</v>
      </c>
      <c r="F355" s="1573"/>
      <c r="G355" s="1910">
        <f>L!$I$135</f>
        <v>465000</v>
      </c>
      <c r="H355" s="1123">
        <f t="shared" si="27"/>
        <v>0</v>
      </c>
      <c r="J355" s="1958">
        <f>$I$247*F355</f>
        <v>0</v>
      </c>
    </row>
    <row r="356" spans="2:10">
      <c r="B356" s="1047"/>
      <c r="C356" s="1052"/>
      <c r="D356" s="1053" t="s">
        <v>228</v>
      </c>
      <c r="E356" s="1054"/>
      <c r="F356" s="1055"/>
      <c r="G356" s="1056"/>
      <c r="H356" s="1057">
        <f>SUM(H343:H355)</f>
        <v>0</v>
      </c>
    </row>
    <row r="357" spans="2:10" ht="15.75" thickBot="1">
      <c r="B357" s="1025"/>
      <c r="C357" s="1058" t="s">
        <v>229</v>
      </c>
      <c r="D357" s="1059"/>
      <c r="E357" s="1059"/>
      <c r="F357" s="1059"/>
      <c r="G357" s="1060"/>
      <c r="H357" s="1061">
        <f>ROUND(H356,0)</f>
        <v>0</v>
      </c>
    </row>
    <row r="358" spans="2:10" ht="15.75" thickBot="1">
      <c r="B358" s="1218">
        <v>23</v>
      </c>
      <c r="C358" s="987" t="str">
        <f>VLOOKUP(B358,$C$488:$D$516,2,TRUE)</f>
        <v>1 Unit Pek. Jendela (  )</v>
      </c>
      <c r="D358" s="987"/>
      <c r="E358" s="988"/>
      <c r="F358" s="989"/>
      <c r="G358" s="990"/>
      <c r="H358" s="991">
        <f>H373</f>
        <v>0</v>
      </c>
    </row>
    <row r="359" spans="2:10">
      <c r="B359" s="1047"/>
      <c r="C359" s="1039" t="s">
        <v>28</v>
      </c>
      <c r="D359" s="1924" t="s">
        <v>1528</v>
      </c>
      <c r="E359" s="1925" t="s">
        <v>88</v>
      </c>
      <c r="F359" s="1031"/>
      <c r="G359" s="1910">
        <f>L!$I$7</f>
        <v>180000</v>
      </c>
      <c r="H359" s="1032">
        <f t="shared" si="27"/>
        <v>0</v>
      </c>
      <c r="I359" s="5">
        <f>HIT.PINTU!H47</f>
        <v>0</v>
      </c>
      <c r="J359" s="1958">
        <f t="shared" ref="J359:J370" si="29">$I$247*F359</f>
        <v>0</v>
      </c>
    </row>
    <row r="360" spans="2:10" s="1824" customFormat="1">
      <c r="B360" s="1615"/>
      <c r="C360" s="1616" t="s">
        <v>28</v>
      </c>
      <c r="D360" s="1924" t="s">
        <v>1529</v>
      </c>
      <c r="E360" s="1925" t="s">
        <v>88</v>
      </c>
      <c r="F360" s="1926"/>
      <c r="G360" s="1910">
        <f>L!$I$15</f>
        <v>93000</v>
      </c>
      <c r="H360" s="1927">
        <f t="shared" si="27"/>
        <v>0</v>
      </c>
      <c r="J360" s="1958">
        <f t="shared" si="29"/>
        <v>0</v>
      </c>
    </row>
    <row r="361" spans="2:10">
      <c r="B361" s="1615"/>
      <c r="C361" s="1616" t="s">
        <v>28</v>
      </c>
      <c r="D361" s="1924" t="s">
        <v>611</v>
      </c>
      <c r="E361" s="1925" t="s">
        <v>88</v>
      </c>
      <c r="F361" s="1031"/>
      <c r="G361" s="1910">
        <f>L!$I$23</f>
        <v>55000</v>
      </c>
      <c r="H361" s="1032">
        <f t="shared" si="27"/>
        <v>0</v>
      </c>
      <c r="J361" s="1958">
        <f t="shared" si="29"/>
        <v>0</v>
      </c>
    </row>
    <row r="362" spans="2:10">
      <c r="B362" s="1049"/>
      <c r="C362" s="1039" t="s">
        <v>28</v>
      </c>
      <c r="D362" s="1924" t="s">
        <v>1737</v>
      </c>
      <c r="E362" s="1925" t="s">
        <v>152</v>
      </c>
      <c r="F362" s="1031"/>
      <c r="G362" s="1910">
        <f>L!$I$151</f>
        <v>13500</v>
      </c>
      <c r="H362" s="1032">
        <f t="shared" si="27"/>
        <v>0</v>
      </c>
      <c r="J362" s="1958">
        <f t="shared" si="29"/>
        <v>0</v>
      </c>
    </row>
    <row r="363" spans="2:10">
      <c r="B363" s="1188"/>
      <c r="C363" s="1039" t="s">
        <v>28</v>
      </c>
      <c r="D363" s="1924" t="s">
        <v>2066</v>
      </c>
      <c r="E363" s="1925" t="s">
        <v>152</v>
      </c>
      <c r="F363" s="1031"/>
      <c r="G363" s="1910">
        <f>L!$I$31</f>
        <v>39500</v>
      </c>
      <c r="H363" s="1032">
        <f t="shared" si="27"/>
        <v>0</v>
      </c>
      <c r="J363" s="1958">
        <f t="shared" si="29"/>
        <v>0</v>
      </c>
    </row>
    <row r="364" spans="2:10">
      <c r="B364" s="1572"/>
      <c r="C364" s="1039" t="s">
        <v>28</v>
      </c>
      <c r="D364" s="1924" t="s">
        <v>2113</v>
      </c>
      <c r="E364" s="1925" t="s">
        <v>152</v>
      </c>
      <c r="F364" s="1031"/>
      <c r="G364" s="1910">
        <f>L!$I$39</f>
        <v>46500</v>
      </c>
      <c r="H364" s="1032">
        <f t="shared" si="27"/>
        <v>0</v>
      </c>
      <c r="J364" s="1958">
        <f t="shared" si="29"/>
        <v>0</v>
      </c>
    </row>
    <row r="365" spans="2:10">
      <c r="B365" s="1572"/>
      <c r="C365" s="1039" t="s">
        <v>28</v>
      </c>
      <c r="D365" s="1924" t="s">
        <v>1457</v>
      </c>
      <c r="E365" s="1925" t="s">
        <v>152</v>
      </c>
      <c r="F365" s="1031"/>
      <c r="G365" s="1910">
        <f>L!$I$47</f>
        <v>133000</v>
      </c>
      <c r="H365" s="1032">
        <f t="shared" si="27"/>
        <v>0</v>
      </c>
      <c r="J365" s="1958">
        <f t="shared" si="29"/>
        <v>0</v>
      </c>
    </row>
    <row r="366" spans="2:10">
      <c r="B366" s="1572"/>
      <c r="C366" s="1122" t="s">
        <v>28</v>
      </c>
      <c r="D366" s="1924" t="s">
        <v>1530</v>
      </c>
      <c r="E366" s="1925" t="s">
        <v>152</v>
      </c>
      <c r="F366" s="1031"/>
      <c r="G366" s="1910">
        <f>L!$I$55</f>
        <v>20000</v>
      </c>
      <c r="H366" s="1032">
        <f t="shared" si="27"/>
        <v>0</v>
      </c>
      <c r="J366" s="1958">
        <f t="shared" si="29"/>
        <v>0</v>
      </c>
    </row>
    <row r="367" spans="2:10">
      <c r="B367" s="1049"/>
      <c r="C367" s="1039" t="s">
        <v>28</v>
      </c>
      <c r="D367" s="1924" t="s">
        <v>2224</v>
      </c>
      <c r="E367" s="1925" t="s">
        <v>88</v>
      </c>
      <c r="F367" s="1031"/>
      <c r="G367" s="1910">
        <f>L!$I$63</f>
        <v>274000</v>
      </c>
      <c r="H367" s="1032">
        <f t="shared" si="27"/>
        <v>0</v>
      </c>
      <c r="J367" s="1958">
        <f t="shared" si="29"/>
        <v>0</v>
      </c>
    </row>
    <row r="368" spans="2:10">
      <c r="B368" s="1188"/>
      <c r="C368" s="1039" t="s">
        <v>28</v>
      </c>
      <c r="D368" s="1924" t="s">
        <v>2225</v>
      </c>
      <c r="E368" s="1925" t="s">
        <v>88</v>
      </c>
      <c r="F368" s="1031"/>
      <c r="G368" s="1912">
        <f>L!$I$71</f>
        <v>120000</v>
      </c>
      <c r="H368" s="1032">
        <f t="shared" si="27"/>
        <v>0</v>
      </c>
      <c r="J368" s="1958">
        <f t="shared" si="29"/>
        <v>0</v>
      </c>
    </row>
    <row r="369" spans="2:10">
      <c r="B369" s="1572"/>
      <c r="C369" s="1039" t="s">
        <v>28</v>
      </c>
      <c r="D369" s="1924" t="s">
        <v>1700</v>
      </c>
      <c r="E369" s="1925" t="s">
        <v>88</v>
      </c>
      <c r="F369" s="1031"/>
      <c r="G369" s="1910">
        <f>L!$I$143</f>
        <v>165000</v>
      </c>
      <c r="H369" s="1032">
        <f t="shared" si="27"/>
        <v>0</v>
      </c>
      <c r="J369" s="1958">
        <f t="shared" si="29"/>
        <v>0</v>
      </c>
    </row>
    <row r="370" spans="2:10">
      <c r="B370" s="1572"/>
      <c r="C370" s="1039" t="s">
        <v>28</v>
      </c>
      <c r="D370" s="1924" t="s">
        <v>1644</v>
      </c>
      <c r="E370" s="1925" t="s">
        <v>152</v>
      </c>
      <c r="F370" s="1031"/>
      <c r="G370" s="1910">
        <f>L!$I$127</f>
        <v>210000</v>
      </c>
      <c r="H370" s="1032">
        <f t="shared" si="27"/>
        <v>0</v>
      </c>
      <c r="J370" s="1958">
        <f t="shared" si="29"/>
        <v>0</v>
      </c>
    </row>
    <row r="371" spans="2:10" ht="15.75" thickBot="1">
      <c r="B371" s="1572"/>
      <c r="C371" s="1122" t="s">
        <v>28</v>
      </c>
      <c r="D371" s="1924" t="s">
        <v>1467</v>
      </c>
      <c r="E371" s="1925" t="s">
        <v>152</v>
      </c>
      <c r="F371" s="1573"/>
      <c r="G371" s="1910">
        <f>L!$I$135</f>
        <v>465000</v>
      </c>
      <c r="H371" s="1123">
        <f t="shared" si="27"/>
        <v>0</v>
      </c>
      <c r="J371" s="1958">
        <f>$I$247*F371</f>
        <v>0</v>
      </c>
    </row>
    <row r="372" spans="2:10">
      <c r="B372" s="1047"/>
      <c r="C372" s="1052"/>
      <c r="D372" s="1053" t="s">
        <v>228</v>
      </c>
      <c r="E372" s="1054"/>
      <c r="F372" s="1055"/>
      <c r="G372" s="1056"/>
      <c r="H372" s="1057">
        <f>SUM(H359:H371)</f>
        <v>0</v>
      </c>
    </row>
    <row r="373" spans="2:10" ht="15.75" thickBot="1">
      <c r="B373" s="1025"/>
      <c r="C373" s="1058" t="s">
        <v>229</v>
      </c>
      <c r="D373" s="1059"/>
      <c r="E373" s="1059"/>
      <c r="F373" s="1059"/>
      <c r="G373" s="1060"/>
      <c r="H373" s="1061">
        <f>ROUND(H372,0)</f>
        <v>0</v>
      </c>
    </row>
    <row r="374" spans="2:10" ht="15.75" thickBot="1">
      <c r="B374" s="1218">
        <v>24</v>
      </c>
      <c r="C374" s="987" t="str">
        <f>VLOOKUP(B374,$C$488:$D$516,2,TRUE)</f>
        <v>1 Unit Pek. Jendela (  )</v>
      </c>
      <c r="D374" s="987"/>
      <c r="E374" s="988"/>
      <c r="F374" s="989"/>
      <c r="G374" s="990"/>
      <c r="H374" s="991">
        <f>H389</f>
        <v>0</v>
      </c>
    </row>
    <row r="375" spans="2:10">
      <c r="B375" s="1047"/>
      <c r="C375" s="1039" t="s">
        <v>28</v>
      </c>
      <c r="D375" s="1924" t="s">
        <v>1528</v>
      </c>
      <c r="E375" s="1925" t="s">
        <v>88</v>
      </c>
      <c r="F375" s="1031"/>
      <c r="G375" s="1910">
        <f>L!$I$7</f>
        <v>180000</v>
      </c>
      <c r="H375" s="1032">
        <f t="shared" si="27"/>
        <v>0</v>
      </c>
      <c r="I375" s="5">
        <f>HIT.PINTU!G94</f>
        <v>0</v>
      </c>
      <c r="J375" s="1958">
        <f t="shared" ref="J375:J386" si="30">$I$247*F375</f>
        <v>0</v>
      </c>
    </row>
    <row r="376" spans="2:10" s="1824" customFormat="1">
      <c r="B376" s="1615"/>
      <c r="C376" s="1616" t="s">
        <v>28</v>
      </c>
      <c r="D376" s="1924" t="s">
        <v>1529</v>
      </c>
      <c r="E376" s="1925" t="s">
        <v>88</v>
      </c>
      <c r="F376" s="1926"/>
      <c r="G376" s="1910">
        <f>L!$I$15</f>
        <v>93000</v>
      </c>
      <c r="H376" s="1927">
        <f t="shared" si="27"/>
        <v>0</v>
      </c>
      <c r="J376" s="1958">
        <f t="shared" si="30"/>
        <v>0</v>
      </c>
    </row>
    <row r="377" spans="2:10">
      <c r="B377" s="1615"/>
      <c r="C377" s="1616" t="s">
        <v>28</v>
      </c>
      <c r="D377" s="1924" t="s">
        <v>611</v>
      </c>
      <c r="E377" s="1925" t="s">
        <v>88</v>
      </c>
      <c r="F377" s="1031"/>
      <c r="G377" s="1910">
        <f>L!$I$23</f>
        <v>55000</v>
      </c>
      <c r="H377" s="1032">
        <f t="shared" si="27"/>
        <v>0</v>
      </c>
      <c r="J377" s="1958">
        <f t="shared" si="30"/>
        <v>0</v>
      </c>
    </row>
    <row r="378" spans="2:10">
      <c r="B378" s="1049"/>
      <c r="C378" s="1039" t="s">
        <v>28</v>
      </c>
      <c r="D378" s="1924" t="s">
        <v>1737</v>
      </c>
      <c r="E378" s="1925" t="s">
        <v>152</v>
      </c>
      <c r="F378" s="1031"/>
      <c r="G378" s="1910">
        <f>L!$I$151</f>
        <v>13500</v>
      </c>
      <c r="H378" s="1032">
        <f t="shared" si="27"/>
        <v>0</v>
      </c>
      <c r="J378" s="1958">
        <f t="shared" si="30"/>
        <v>0</v>
      </c>
    </row>
    <row r="379" spans="2:10">
      <c r="B379" s="1188"/>
      <c r="C379" s="1039" t="s">
        <v>28</v>
      </c>
      <c r="D379" s="1924" t="s">
        <v>2066</v>
      </c>
      <c r="E379" s="1925" t="s">
        <v>152</v>
      </c>
      <c r="F379" s="1031"/>
      <c r="G379" s="1910">
        <f>L!$I$31</f>
        <v>39500</v>
      </c>
      <c r="H379" s="1032">
        <f t="shared" si="27"/>
        <v>0</v>
      </c>
      <c r="J379" s="1958">
        <f t="shared" si="30"/>
        <v>0</v>
      </c>
    </row>
    <row r="380" spans="2:10">
      <c r="B380" s="1572"/>
      <c r="C380" s="1039" t="s">
        <v>28</v>
      </c>
      <c r="D380" s="1924" t="s">
        <v>2113</v>
      </c>
      <c r="E380" s="1925" t="s">
        <v>152</v>
      </c>
      <c r="F380" s="1031"/>
      <c r="G380" s="1910">
        <f>L!$I$39</f>
        <v>46500</v>
      </c>
      <c r="H380" s="1032">
        <f t="shared" si="27"/>
        <v>0</v>
      </c>
      <c r="J380" s="1958">
        <f t="shared" si="30"/>
        <v>0</v>
      </c>
    </row>
    <row r="381" spans="2:10">
      <c r="B381" s="1572"/>
      <c r="C381" s="1039" t="s">
        <v>28</v>
      </c>
      <c r="D381" s="1924" t="s">
        <v>1457</v>
      </c>
      <c r="E381" s="1925" t="s">
        <v>152</v>
      </c>
      <c r="F381" s="1031"/>
      <c r="G381" s="1910">
        <f>L!$I$47</f>
        <v>133000</v>
      </c>
      <c r="H381" s="1032">
        <f t="shared" si="27"/>
        <v>0</v>
      </c>
      <c r="J381" s="1958">
        <f t="shared" si="30"/>
        <v>0</v>
      </c>
    </row>
    <row r="382" spans="2:10">
      <c r="B382" s="1572"/>
      <c r="C382" s="1122" t="s">
        <v>28</v>
      </c>
      <c r="D382" s="1924" t="s">
        <v>1530</v>
      </c>
      <c r="E382" s="1925" t="s">
        <v>152</v>
      </c>
      <c r="F382" s="1031"/>
      <c r="G382" s="1910">
        <f>L!$I$55</f>
        <v>20000</v>
      </c>
      <c r="H382" s="1032">
        <f t="shared" si="27"/>
        <v>0</v>
      </c>
      <c r="J382" s="1958">
        <f t="shared" si="30"/>
        <v>0</v>
      </c>
    </row>
    <row r="383" spans="2:10">
      <c r="B383" s="1049"/>
      <c r="C383" s="1039" t="s">
        <v>28</v>
      </c>
      <c r="D383" s="1924" t="s">
        <v>2224</v>
      </c>
      <c r="E383" s="1925" t="s">
        <v>88</v>
      </c>
      <c r="F383" s="1031"/>
      <c r="G383" s="1910">
        <f>L!$I$63</f>
        <v>274000</v>
      </c>
      <c r="H383" s="1032">
        <f t="shared" si="27"/>
        <v>0</v>
      </c>
      <c r="J383" s="1958">
        <f t="shared" si="30"/>
        <v>0</v>
      </c>
    </row>
    <row r="384" spans="2:10">
      <c r="B384" s="1188"/>
      <c r="C384" s="1039" t="s">
        <v>28</v>
      </c>
      <c r="D384" s="1924" t="s">
        <v>2225</v>
      </c>
      <c r="E384" s="1925" t="s">
        <v>88</v>
      </c>
      <c r="F384" s="1031"/>
      <c r="G384" s="1912">
        <f>L!$I$71</f>
        <v>120000</v>
      </c>
      <c r="H384" s="1032">
        <f t="shared" si="27"/>
        <v>0</v>
      </c>
      <c r="J384" s="1958">
        <f t="shared" si="30"/>
        <v>0</v>
      </c>
    </row>
    <row r="385" spans="2:10">
      <c r="B385" s="1572"/>
      <c r="C385" s="1039" t="s">
        <v>28</v>
      </c>
      <c r="D385" s="1924" t="s">
        <v>1700</v>
      </c>
      <c r="E385" s="1925" t="s">
        <v>88</v>
      </c>
      <c r="F385" s="1031"/>
      <c r="G385" s="1910">
        <f>L!$I$143</f>
        <v>165000</v>
      </c>
      <c r="H385" s="1032">
        <f t="shared" si="27"/>
        <v>0</v>
      </c>
      <c r="J385" s="1958">
        <f t="shared" si="30"/>
        <v>0</v>
      </c>
    </row>
    <row r="386" spans="2:10">
      <c r="B386" s="1572"/>
      <c r="C386" s="1039" t="s">
        <v>28</v>
      </c>
      <c r="D386" s="1924" t="s">
        <v>1644</v>
      </c>
      <c r="E386" s="1925" t="s">
        <v>152</v>
      </c>
      <c r="F386" s="1031"/>
      <c r="G386" s="1910">
        <f>L!$I$127</f>
        <v>210000</v>
      </c>
      <c r="H386" s="1032">
        <f t="shared" si="27"/>
        <v>0</v>
      </c>
      <c r="J386" s="1958">
        <f t="shared" si="30"/>
        <v>0</v>
      </c>
    </row>
    <row r="387" spans="2:10" ht="15.75" thickBot="1">
      <c r="B387" s="1572"/>
      <c r="C387" s="1122" t="s">
        <v>28</v>
      </c>
      <c r="D387" s="1924" t="s">
        <v>1467</v>
      </c>
      <c r="E387" s="1925" t="s">
        <v>152</v>
      </c>
      <c r="F387" s="1573"/>
      <c r="G387" s="1910">
        <f>L!$I$135</f>
        <v>465000</v>
      </c>
      <c r="H387" s="1123">
        <f t="shared" si="27"/>
        <v>0</v>
      </c>
      <c r="J387" s="1958">
        <f>$I$247*F387</f>
        <v>0</v>
      </c>
    </row>
    <row r="388" spans="2:10">
      <c r="B388" s="1047"/>
      <c r="C388" s="1052"/>
      <c r="D388" s="1053" t="s">
        <v>228</v>
      </c>
      <c r="E388" s="1054"/>
      <c r="F388" s="1055"/>
      <c r="G388" s="1056"/>
      <c r="H388" s="1057">
        <f>SUM(H375:H387)</f>
        <v>0</v>
      </c>
    </row>
    <row r="389" spans="2:10" ht="15.75" thickBot="1">
      <c r="B389" s="1025"/>
      <c r="C389" s="1058" t="s">
        <v>229</v>
      </c>
      <c r="D389" s="1059"/>
      <c r="E389" s="1059"/>
      <c r="F389" s="1059"/>
      <c r="G389" s="1060"/>
      <c r="H389" s="1061">
        <f>ROUND(H388,0)</f>
        <v>0</v>
      </c>
    </row>
    <row r="390" spans="2:10" ht="15.75" thickBot="1">
      <c r="B390" s="1218">
        <v>25</v>
      </c>
      <c r="C390" s="987" t="str">
        <f>VLOOKUP(B390,$C$488:$D$516,2,TRUE)</f>
        <v>1 Unit Pek. Jendela (  )</v>
      </c>
      <c r="D390" s="987"/>
      <c r="E390" s="988"/>
      <c r="F390" s="989"/>
      <c r="G390" s="990"/>
      <c r="H390" s="991">
        <f>H405</f>
        <v>0</v>
      </c>
    </row>
    <row r="391" spans="2:10">
      <c r="B391" s="1047"/>
      <c r="C391" s="1039" t="s">
        <v>28</v>
      </c>
      <c r="D391" s="1924" t="s">
        <v>1528</v>
      </c>
      <c r="E391" s="1925" t="s">
        <v>88</v>
      </c>
      <c r="F391" s="1031"/>
      <c r="G391" s="1910">
        <f>L!$I$7</f>
        <v>180000</v>
      </c>
      <c r="H391" s="1032">
        <f t="shared" si="27"/>
        <v>0</v>
      </c>
      <c r="I391" s="5">
        <f>HIT.PINTU!G79</f>
        <v>0</v>
      </c>
      <c r="J391" s="1958">
        <f t="shared" ref="J391:J402" si="31">$I$247*F391</f>
        <v>0</v>
      </c>
    </row>
    <row r="392" spans="2:10" s="1824" customFormat="1">
      <c r="B392" s="1615"/>
      <c r="C392" s="1616" t="s">
        <v>28</v>
      </c>
      <c r="D392" s="1924" t="s">
        <v>1529</v>
      </c>
      <c r="E392" s="1925" t="s">
        <v>88</v>
      </c>
      <c r="F392" s="1926"/>
      <c r="G392" s="1910">
        <f>L!$I$15</f>
        <v>93000</v>
      </c>
      <c r="H392" s="1927">
        <f t="shared" si="27"/>
        <v>0</v>
      </c>
      <c r="J392" s="1958">
        <f t="shared" si="31"/>
        <v>0</v>
      </c>
    </row>
    <row r="393" spans="2:10">
      <c r="B393" s="1615"/>
      <c r="C393" s="1616" t="s">
        <v>28</v>
      </c>
      <c r="D393" s="1924" t="s">
        <v>611</v>
      </c>
      <c r="E393" s="1925" t="s">
        <v>88</v>
      </c>
      <c r="F393" s="1031"/>
      <c r="G393" s="1910">
        <f>L!$I$23</f>
        <v>55000</v>
      </c>
      <c r="H393" s="1032">
        <f t="shared" si="27"/>
        <v>0</v>
      </c>
      <c r="J393" s="1958">
        <f t="shared" si="31"/>
        <v>0</v>
      </c>
    </row>
    <row r="394" spans="2:10">
      <c r="B394" s="1049"/>
      <c r="C394" s="1039" t="s">
        <v>28</v>
      </c>
      <c r="D394" s="1924" t="s">
        <v>1737</v>
      </c>
      <c r="E394" s="1925" t="s">
        <v>152</v>
      </c>
      <c r="F394" s="1031"/>
      <c r="G394" s="1910">
        <f>L!$I$151</f>
        <v>13500</v>
      </c>
      <c r="H394" s="1032">
        <f t="shared" si="27"/>
        <v>0</v>
      </c>
      <c r="J394" s="1958">
        <f t="shared" si="31"/>
        <v>0</v>
      </c>
    </row>
    <row r="395" spans="2:10">
      <c r="B395" s="1188"/>
      <c r="C395" s="1039" t="s">
        <v>28</v>
      </c>
      <c r="D395" s="1924" t="s">
        <v>2066</v>
      </c>
      <c r="E395" s="1925" t="s">
        <v>152</v>
      </c>
      <c r="F395" s="1031"/>
      <c r="G395" s="1910">
        <f>L!$I$31</f>
        <v>39500</v>
      </c>
      <c r="H395" s="1032">
        <f t="shared" si="27"/>
        <v>0</v>
      </c>
      <c r="J395" s="1958">
        <f t="shared" si="31"/>
        <v>0</v>
      </c>
    </row>
    <row r="396" spans="2:10">
      <c r="B396" s="1572"/>
      <c r="C396" s="1039" t="s">
        <v>28</v>
      </c>
      <c r="D396" s="1924" t="s">
        <v>2113</v>
      </c>
      <c r="E396" s="1925" t="s">
        <v>152</v>
      </c>
      <c r="F396" s="1031"/>
      <c r="G396" s="1910">
        <f>L!$I$39</f>
        <v>46500</v>
      </c>
      <c r="H396" s="1032">
        <f t="shared" si="27"/>
        <v>0</v>
      </c>
      <c r="J396" s="1958">
        <f t="shared" si="31"/>
        <v>0</v>
      </c>
    </row>
    <row r="397" spans="2:10">
      <c r="B397" s="1572"/>
      <c r="C397" s="1039" t="s">
        <v>28</v>
      </c>
      <c r="D397" s="1924" t="s">
        <v>1457</v>
      </c>
      <c r="E397" s="1925" t="s">
        <v>152</v>
      </c>
      <c r="F397" s="1031"/>
      <c r="G397" s="1910">
        <f>L!$I$47</f>
        <v>133000</v>
      </c>
      <c r="H397" s="1032">
        <f t="shared" si="27"/>
        <v>0</v>
      </c>
      <c r="J397" s="1958">
        <f t="shared" si="31"/>
        <v>0</v>
      </c>
    </row>
    <row r="398" spans="2:10">
      <c r="B398" s="1572"/>
      <c r="C398" s="1122" t="s">
        <v>28</v>
      </c>
      <c r="D398" s="1924" t="s">
        <v>1530</v>
      </c>
      <c r="E398" s="1925" t="s">
        <v>152</v>
      </c>
      <c r="F398" s="1031"/>
      <c r="G398" s="1910">
        <f>L!$I$55</f>
        <v>20000</v>
      </c>
      <c r="H398" s="1032">
        <f t="shared" si="27"/>
        <v>0</v>
      </c>
      <c r="J398" s="1958">
        <f t="shared" si="31"/>
        <v>0</v>
      </c>
    </row>
    <row r="399" spans="2:10">
      <c r="B399" s="1049"/>
      <c r="C399" s="1039" t="s">
        <v>28</v>
      </c>
      <c r="D399" s="1924" t="s">
        <v>2224</v>
      </c>
      <c r="E399" s="1925" t="s">
        <v>88</v>
      </c>
      <c r="F399" s="1031"/>
      <c r="G399" s="1910">
        <f>L!$I$63</f>
        <v>274000</v>
      </c>
      <c r="H399" s="1032">
        <f t="shared" si="27"/>
        <v>0</v>
      </c>
      <c r="J399" s="1958">
        <f t="shared" si="31"/>
        <v>0</v>
      </c>
    </row>
    <row r="400" spans="2:10">
      <c r="B400" s="1188"/>
      <c r="C400" s="1039" t="s">
        <v>28</v>
      </c>
      <c r="D400" s="1924" t="s">
        <v>2225</v>
      </c>
      <c r="E400" s="1925" t="s">
        <v>88</v>
      </c>
      <c r="F400" s="1031"/>
      <c r="G400" s="1912">
        <f>L!$I$71</f>
        <v>120000</v>
      </c>
      <c r="H400" s="1032">
        <f t="shared" si="27"/>
        <v>0</v>
      </c>
      <c r="J400" s="1958">
        <f t="shared" si="31"/>
        <v>0</v>
      </c>
    </row>
    <row r="401" spans="2:10">
      <c r="B401" s="1572"/>
      <c r="C401" s="1039" t="s">
        <v>28</v>
      </c>
      <c r="D401" s="1924" t="s">
        <v>1700</v>
      </c>
      <c r="E401" s="1925" t="s">
        <v>88</v>
      </c>
      <c r="F401" s="1031"/>
      <c r="G401" s="1910">
        <f>L!$I$143</f>
        <v>165000</v>
      </c>
      <c r="H401" s="1032">
        <f t="shared" si="27"/>
        <v>0</v>
      </c>
      <c r="J401" s="1958">
        <f t="shared" si="31"/>
        <v>0</v>
      </c>
    </row>
    <row r="402" spans="2:10">
      <c r="B402" s="1572"/>
      <c r="C402" s="1039" t="s">
        <v>28</v>
      </c>
      <c r="D402" s="1924" t="s">
        <v>1644</v>
      </c>
      <c r="E402" s="1925" t="s">
        <v>152</v>
      </c>
      <c r="F402" s="1031"/>
      <c r="G402" s="1910">
        <f>L!$I$127</f>
        <v>210000</v>
      </c>
      <c r="H402" s="1032">
        <f t="shared" si="27"/>
        <v>0</v>
      </c>
      <c r="J402" s="1958">
        <f t="shared" si="31"/>
        <v>0</v>
      </c>
    </row>
    <row r="403" spans="2:10" ht="15.75" thickBot="1">
      <c r="B403" s="1572"/>
      <c r="C403" s="1122" t="s">
        <v>28</v>
      </c>
      <c r="D403" s="1924" t="s">
        <v>1467</v>
      </c>
      <c r="E403" s="1925" t="s">
        <v>152</v>
      </c>
      <c r="F403" s="1573"/>
      <c r="G403" s="1910">
        <f>L!$I$135</f>
        <v>465000</v>
      </c>
      <c r="H403" s="1123">
        <f t="shared" si="27"/>
        <v>0</v>
      </c>
      <c r="J403" s="1958">
        <f>$I$247*F403</f>
        <v>0</v>
      </c>
    </row>
    <row r="404" spans="2:10">
      <c r="B404" s="1047"/>
      <c r="C404" s="1052"/>
      <c r="D404" s="1053" t="s">
        <v>228</v>
      </c>
      <c r="E404" s="1054"/>
      <c r="F404" s="1055"/>
      <c r="G404" s="1056"/>
      <c r="H404" s="1057">
        <f>SUM(H391:H403)</f>
        <v>0</v>
      </c>
    </row>
    <row r="405" spans="2:10" ht="15.75" thickBot="1">
      <c r="B405" s="1025"/>
      <c r="C405" s="1058" t="s">
        <v>229</v>
      </c>
      <c r="D405" s="1059"/>
      <c r="E405" s="1059"/>
      <c r="F405" s="1059"/>
      <c r="G405" s="1060"/>
      <c r="H405" s="1061">
        <f>ROUND(H404,0)</f>
        <v>0</v>
      </c>
    </row>
    <row r="406" spans="2:10" ht="15.75" thickBot="1">
      <c r="B406" s="1218">
        <v>26</v>
      </c>
      <c r="C406" s="987" t="str">
        <f>VLOOKUP(B406,$C$488:$D$516,2,TRUE)</f>
        <v>1 Unit Pek. Jendela (  )</v>
      </c>
      <c r="D406" s="987"/>
      <c r="E406" s="988"/>
      <c r="F406" s="989"/>
      <c r="G406" s="990"/>
      <c r="H406" s="991">
        <f>H421</f>
        <v>0</v>
      </c>
    </row>
    <row r="407" spans="2:10">
      <c r="B407" s="1047"/>
      <c r="C407" s="1039" t="s">
        <v>28</v>
      </c>
      <c r="D407" s="1924" t="s">
        <v>1528</v>
      </c>
      <c r="E407" s="1925" t="s">
        <v>88</v>
      </c>
      <c r="F407" s="1031"/>
      <c r="G407" s="1910">
        <f>L!$I$7</f>
        <v>180000</v>
      </c>
      <c r="H407" s="1032">
        <f t="shared" ref="H407:H467" si="32">F407*G407</f>
        <v>0</v>
      </c>
      <c r="I407" s="5">
        <f>HIT.PINTU!G94</f>
        <v>0</v>
      </c>
      <c r="J407" s="1958">
        <f t="shared" ref="J407:J418" si="33">$I$247*F407</f>
        <v>0</v>
      </c>
    </row>
    <row r="408" spans="2:10" s="1824" customFormat="1">
      <c r="B408" s="1615"/>
      <c r="C408" s="1616" t="s">
        <v>28</v>
      </c>
      <c r="D408" s="1924" t="s">
        <v>1529</v>
      </c>
      <c r="E408" s="1925" t="s">
        <v>88</v>
      </c>
      <c r="F408" s="1926"/>
      <c r="G408" s="1910">
        <f>L!$I$15</f>
        <v>93000</v>
      </c>
      <c r="H408" s="1927">
        <f t="shared" si="32"/>
        <v>0</v>
      </c>
      <c r="J408" s="1958">
        <f t="shared" si="33"/>
        <v>0</v>
      </c>
    </row>
    <row r="409" spans="2:10">
      <c r="B409" s="1615"/>
      <c r="C409" s="1616" t="s">
        <v>28</v>
      </c>
      <c r="D409" s="1924" t="s">
        <v>611</v>
      </c>
      <c r="E409" s="1925" t="s">
        <v>88</v>
      </c>
      <c r="F409" s="1031"/>
      <c r="G409" s="1910">
        <f>L!$I$23</f>
        <v>55000</v>
      </c>
      <c r="H409" s="1032">
        <f t="shared" si="32"/>
        <v>0</v>
      </c>
      <c r="J409" s="1958">
        <f t="shared" si="33"/>
        <v>0</v>
      </c>
    </row>
    <row r="410" spans="2:10">
      <c r="B410" s="1049"/>
      <c r="C410" s="1039" t="s">
        <v>28</v>
      </c>
      <c r="D410" s="1924" t="s">
        <v>1737</v>
      </c>
      <c r="E410" s="1925" t="s">
        <v>152</v>
      </c>
      <c r="F410" s="1031"/>
      <c r="G410" s="1910">
        <f>L!$I$151</f>
        <v>13500</v>
      </c>
      <c r="H410" s="1032">
        <f t="shared" si="32"/>
        <v>0</v>
      </c>
      <c r="J410" s="1958">
        <f t="shared" si="33"/>
        <v>0</v>
      </c>
    </row>
    <row r="411" spans="2:10">
      <c r="B411" s="1188"/>
      <c r="C411" s="1039" t="s">
        <v>28</v>
      </c>
      <c r="D411" s="1924" t="s">
        <v>2066</v>
      </c>
      <c r="E411" s="1925" t="s">
        <v>152</v>
      </c>
      <c r="F411" s="1031"/>
      <c r="G411" s="1910">
        <f>L!$I$31</f>
        <v>39500</v>
      </c>
      <c r="H411" s="1032">
        <f t="shared" si="32"/>
        <v>0</v>
      </c>
      <c r="J411" s="1958">
        <f t="shared" si="33"/>
        <v>0</v>
      </c>
    </row>
    <row r="412" spans="2:10">
      <c r="B412" s="1572"/>
      <c r="C412" s="1039" t="s">
        <v>28</v>
      </c>
      <c r="D412" s="1924" t="s">
        <v>2113</v>
      </c>
      <c r="E412" s="1925" t="s">
        <v>152</v>
      </c>
      <c r="F412" s="1031"/>
      <c r="G412" s="1910">
        <f>L!$I$39</f>
        <v>46500</v>
      </c>
      <c r="H412" s="1032">
        <f t="shared" si="32"/>
        <v>0</v>
      </c>
      <c r="J412" s="1958">
        <f t="shared" si="33"/>
        <v>0</v>
      </c>
    </row>
    <row r="413" spans="2:10">
      <c r="B413" s="1572"/>
      <c r="C413" s="1039" t="s">
        <v>28</v>
      </c>
      <c r="D413" s="1924" t="s">
        <v>1457</v>
      </c>
      <c r="E413" s="1925" t="s">
        <v>152</v>
      </c>
      <c r="F413" s="1031"/>
      <c r="G413" s="1910">
        <f>L!$I$47</f>
        <v>133000</v>
      </c>
      <c r="H413" s="1032">
        <f t="shared" si="32"/>
        <v>0</v>
      </c>
      <c r="J413" s="1958">
        <f t="shared" si="33"/>
        <v>0</v>
      </c>
    </row>
    <row r="414" spans="2:10">
      <c r="B414" s="1572"/>
      <c r="C414" s="1122" t="s">
        <v>28</v>
      </c>
      <c r="D414" s="1924" t="s">
        <v>1530</v>
      </c>
      <c r="E414" s="1925" t="s">
        <v>152</v>
      </c>
      <c r="F414" s="1031"/>
      <c r="G414" s="1910">
        <f>L!$I$55</f>
        <v>20000</v>
      </c>
      <c r="H414" s="1032">
        <f t="shared" si="32"/>
        <v>0</v>
      </c>
      <c r="J414" s="1958">
        <f t="shared" si="33"/>
        <v>0</v>
      </c>
    </row>
    <row r="415" spans="2:10">
      <c r="B415" s="1049"/>
      <c r="C415" s="1039" t="s">
        <v>28</v>
      </c>
      <c r="D415" s="1924" t="s">
        <v>2224</v>
      </c>
      <c r="E415" s="1925" t="s">
        <v>88</v>
      </c>
      <c r="F415" s="1031"/>
      <c r="G415" s="1910">
        <f>L!$I$63</f>
        <v>274000</v>
      </c>
      <c r="H415" s="1032">
        <f t="shared" si="32"/>
        <v>0</v>
      </c>
      <c r="J415" s="1958">
        <f t="shared" si="33"/>
        <v>0</v>
      </c>
    </row>
    <row r="416" spans="2:10">
      <c r="B416" s="1188"/>
      <c r="C416" s="1039" t="s">
        <v>28</v>
      </c>
      <c r="D416" s="1924" t="s">
        <v>2225</v>
      </c>
      <c r="E416" s="1925" t="s">
        <v>88</v>
      </c>
      <c r="F416" s="1031"/>
      <c r="G416" s="1912">
        <f>L!$I$71</f>
        <v>120000</v>
      </c>
      <c r="H416" s="1032">
        <f t="shared" si="32"/>
        <v>0</v>
      </c>
      <c r="J416" s="1958">
        <f t="shared" si="33"/>
        <v>0</v>
      </c>
    </row>
    <row r="417" spans="2:10">
      <c r="B417" s="1572"/>
      <c r="C417" s="1039" t="s">
        <v>28</v>
      </c>
      <c r="D417" s="1924" t="s">
        <v>1700</v>
      </c>
      <c r="E417" s="1925" t="s">
        <v>88</v>
      </c>
      <c r="F417" s="1031"/>
      <c r="G417" s="1910">
        <f>L!$I$143</f>
        <v>165000</v>
      </c>
      <c r="H417" s="1032">
        <f t="shared" si="32"/>
        <v>0</v>
      </c>
      <c r="J417" s="1958">
        <f t="shared" si="33"/>
        <v>0</v>
      </c>
    </row>
    <row r="418" spans="2:10">
      <c r="B418" s="1572"/>
      <c r="C418" s="1039" t="s">
        <v>28</v>
      </c>
      <c r="D418" s="1924" t="s">
        <v>1644</v>
      </c>
      <c r="E418" s="1925" t="s">
        <v>152</v>
      </c>
      <c r="F418" s="1031"/>
      <c r="G418" s="1910">
        <f>L!$I$127</f>
        <v>210000</v>
      </c>
      <c r="H418" s="1032">
        <f t="shared" si="32"/>
        <v>0</v>
      </c>
      <c r="J418" s="1958">
        <f t="shared" si="33"/>
        <v>0</v>
      </c>
    </row>
    <row r="419" spans="2:10" ht="15.75" thickBot="1">
      <c r="B419" s="1572"/>
      <c r="C419" s="1122" t="s">
        <v>28</v>
      </c>
      <c r="D419" s="1924" t="s">
        <v>1467</v>
      </c>
      <c r="E419" s="1925" t="s">
        <v>152</v>
      </c>
      <c r="F419" s="1573"/>
      <c r="G419" s="1910">
        <f>L!$I$135</f>
        <v>465000</v>
      </c>
      <c r="H419" s="1123">
        <f t="shared" si="32"/>
        <v>0</v>
      </c>
      <c r="J419" s="1958">
        <f>$I$247*F419</f>
        <v>0</v>
      </c>
    </row>
    <row r="420" spans="2:10">
      <c r="B420" s="1047"/>
      <c r="C420" s="1052"/>
      <c r="D420" s="1053" t="s">
        <v>228</v>
      </c>
      <c r="E420" s="1054"/>
      <c r="F420" s="1055"/>
      <c r="G420" s="1056"/>
      <c r="H420" s="1057">
        <f>SUM(H407:H419)</f>
        <v>0</v>
      </c>
    </row>
    <row r="421" spans="2:10" ht="15.75" thickBot="1">
      <c r="B421" s="1025"/>
      <c r="C421" s="1058" t="s">
        <v>229</v>
      </c>
      <c r="D421" s="1059"/>
      <c r="E421" s="1059"/>
      <c r="F421" s="1059"/>
      <c r="G421" s="1060"/>
      <c r="H421" s="1061">
        <f>ROUND(H420,0)</f>
        <v>0</v>
      </c>
    </row>
    <row r="422" spans="2:10" ht="15.75" thickBot="1">
      <c r="B422" s="1218">
        <v>27</v>
      </c>
      <c r="C422" s="987" t="str">
        <f>VLOOKUP(B422,$C$488:$D$516,2,TRUE)</f>
        <v>1 Unit Pek. Jendela (  )</v>
      </c>
      <c r="D422" s="987"/>
      <c r="E422" s="988"/>
      <c r="F422" s="989"/>
      <c r="G422" s="990"/>
      <c r="H422" s="991">
        <f>H437</f>
        <v>0</v>
      </c>
    </row>
    <row r="423" spans="2:10">
      <c r="B423" s="1047"/>
      <c r="C423" s="1039" t="s">
        <v>28</v>
      </c>
      <c r="D423" s="1924" t="s">
        <v>1528</v>
      </c>
      <c r="E423" s="1925" t="s">
        <v>88</v>
      </c>
      <c r="F423" s="1031"/>
      <c r="G423" s="1910">
        <f>L!$I$7</f>
        <v>180000</v>
      </c>
      <c r="H423" s="1032">
        <f t="shared" si="32"/>
        <v>0</v>
      </c>
      <c r="I423" s="5">
        <f>HIT.PINTU!G79</f>
        <v>0</v>
      </c>
      <c r="J423" s="1958">
        <f t="shared" ref="J423:J434" si="34">$I$247*F423</f>
        <v>0</v>
      </c>
    </row>
    <row r="424" spans="2:10" s="1824" customFormat="1">
      <c r="B424" s="1615"/>
      <c r="C424" s="1616" t="s">
        <v>28</v>
      </c>
      <c r="D424" s="1924" t="s">
        <v>1529</v>
      </c>
      <c r="E424" s="1925" t="s">
        <v>88</v>
      </c>
      <c r="F424" s="1926"/>
      <c r="G424" s="1910">
        <f>L!$I$15</f>
        <v>93000</v>
      </c>
      <c r="H424" s="1927">
        <f t="shared" si="32"/>
        <v>0</v>
      </c>
      <c r="J424" s="1958">
        <f t="shared" si="34"/>
        <v>0</v>
      </c>
    </row>
    <row r="425" spans="2:10">
      <c r="B425" s="1615"/>
      <c r="C425" s="1616" t="s">
        <v>28</v>
      </c>
      <c r="D425" s="1924" t="s">
        <v>611</v>
      </c>
      <c r="E425" s="1925" t="s">
        <v>88</v>
      </c>
      <c r="F425" s="1031"/>
      <c r="G425" s="1910">
        <f>L!$I$23</f>
        <v>55000</v>
      </c>
      <c r="H425" s="1032">
        <f t="shared" si="32"/>
        <v>0</v>
      </c>
      <c r="J425" s="1958">
        <f t="shared" si="34"/>
        <v>0</v>
      </c>
    </row>
    <row r="426" spans="2:10">
      <c r="B426" s="1049"/>
      <c r="C426" s="1039" t="s">
        <v>28</v>
      </c>
      <c r="D426" s="1924" t="s">
        <v>1737</v>
      </c>
      <c r="E426" s="1925" t="s">
        <v>152</v>
      </c>
      <c r="F426" s="1031"/>
      <c r="G426" s="1910">
        <f>L!$I$151</f>
        <v>13500</v>
      </c>
      <c r="H426" s="1032">
        <f t="shared" si="32"/>
        <v>0</v>
      </c>
      <c r="J426" s="1958">
        <f t="shared" si="34"/>
        <v>0</v>
      </c>
    </row>
    <row r="427" spans="2:10">
      <c r="B427" s="1188"/>
      <c r="C427" s="1039" t="s">
        <v>28</v>
      </c>
      <c r="D427" s="1924" t="s">
        <v>2066</v>
      </c>
      <c r="E427" s="1925" t="s">
        <v>152</v>
      </c>
      <c r="F427" s="1031"/>
      <c r="G427" s="1910">
        <f>L!$I$31</f>
        <v>39500</v>
      </c>
      <c r="H427" s="1032">
        <f t="shared" si="32"/>
        <v>0</v>
      </c>
      <c r="J427" s="1958">
        <f t="shared" si="34"/>
        <v>0</v>
      </c>
    </row>
    <row r="428" spans="2:10">
      <c r="B428" s="1572"/>
      <c r="C428" s="1039" t="s">
        <v>28</v>
      </c>
      <c r="D428" s="1924" t="s">
        <v>2113</v>
      </c>
      <c r="E428" s="1925" t="s">
        <v>152</v>
      </c>
      <c r="F428" s="1031"/>
      <c r="G428" s="1910">
        <f>L!$I$39</f>
        <v>46500</v>
      </c>
      <c r="H428" s="1032">
        <f t="shared" si="32"/>
        <v>0</v>
      </c>
      <c r="J428" s="1958">
        <f t="shared" si="34"/>
        <v>0</v>
      </c>
    </row>
    <row r="429" spans="2:10">
      <c r="B429" s="1572"/>
      <c r="C429" s="1039" t="s">
        <v>28</v>
      </c>
      <c r="D429" s="1924" t="s">
        <v>1457</v>
      </c>
      <c r="E429" s="1925" t="s">
        <v>152</v>
      </c>
      <c r="F429" s="1031"/>
      <c r="G429" s="1910">
        <f>L!$I$47</f>
        <v>133000</v>
      </c>
      <c r="H429" s="1032">
        <f t="shared" si="32"/>
        <v>0</v>
      </c>
      <c r="J429" s="1958">
        <f t="shared" si="34"/>
        <v>0</v>
      </c>
    </row>
    <row r="430" spans="2:10">
      <c r="B430" s="1572"/>
      <c r="C430" s="1122" t="s">
        <v>28</v>
      </c>
      <c r="D430" s="1924" t="s">
        <v>1530</v>
      </c>
      <c r="E430" s="1925" t="s">
        <v>152</v>
      </c>
      <c r="F430" s="1031"/>
      <c r="G430" s="1910">
        <f>L!$I$55</f>
        <v>20000</v>
      </c>
      <c r="H430" s="1032">
        <f t="shared" si="32"/>
        <v>0</v>
      </c>
      <c r="J430" s="1958">
        <f t="shared" si="34"/>
        <v>0</v>
      </c>
    </row>
    <row r="431" spans="2:10">
      <c r="B431" s="1049"/>
      <c r="C431" s="1039" t="s">
        <v>28</v>
      </c>
      <c r="D431" s="1924" t="s">
        <v>2224</v>
      </c>
      <c r="E431" s="1925" t="s">
        <v>88</v>
      </c>
      <c r="F431" s="1031"/>
      <c r="G431" s="1910">
        <f>L!$I$63</f>
        <v>274000</v>
      </c>
      <c r="H431" s="1032">
        <f t="shared" si="32"/>
        <v>0</v>
      </c>
      <c r="J431" s="1958">
        <f t="shared" si="34"/>
        <v>0</v>
      </c>
    </row>
    <row r="432" spans="2:10">
      <c r="B432" s="1188"/>
      <c r="C432" s="1039" t="s">
        <v>28</v>
      </c>
      <c r="D432" s="1924" t="s">
        <v>2225</v>
      </c>
      <c r="E432" s="1925" t="s">
        <v>88</v>
      </c>
      <c r="F432" s="1031"/>
      <c r="G432" s="1912">
        <f>L!$I$71</f>
        <v>120000</v>
      </c>
      <c r="H432" s="1032">
        <f t="shared" si="32"/>
        <v>0</v>
      </c>
      <c r="J432" s="1958">
        <f t="shared" si="34"/>
        <v>0</v>
      </c>
    </row>
    <row r="433" spans="2:10">
      <c r="B433" s="1572"/>
      <c r="C433" s="1039" t="s">
        <v>28</v>
      </c>
      <c r="D433" s="1924" t="s">
        <v>1700</v>
      </c>
      <c r="E433" s="1925" t="s">
        <v>88</v>
      </c>
      <c r="F433" s="1031"/>
      <c r="G433" s="1910">
        <f>L!$I$143</f>
        <v>165000</v>
      </c>
      <c r="H433" s="1032">
        <f t="shared" si="32"/>
        <v>0</v>
      </c>
      <c r="J433" s="1958">
        <f t="shared" si="34"/>
        <v>0</v>
      </c>
    </row>
    <row r="434" spans="2:10">
      <c r="B434" s="1572"/>
      <c r="C434" s="1039" t="s">
        <v>28</v>
      </c>
      <c r="D434" s="1924" t="s">
        <v>1644</v>
      </c>
      <c r="E434" s="1925" t="s">
        <v>152</v>
      </c>
      <c r="F434" s="1031"/>
      <c r="G434" s="1910">
        <f>L!$I$127</f>
        <v>210000</v>
      </c>
      <c r="H434" s="1032">
        <f t="shared" si="32"/>
        <v>0</v>
      </c>
      <c r="J434" s="1958">
        <f t="shared" si="34"/>
        <v>0</v>
      </c>
    </row>
    <row r="435" spans="2:10" ht="15.75" thickBot="1">
      <c r="B435" s="1572"/>
      <c r="C435" s="1122" t="s">
        <v>28</v>
      </c>
      <c r="D435" s="1924" t="s">
        <v>1467</v>
      </c>
      <c r="E435" s="1925" t="s">
        <v>152</v>
      </c>
      <c r="F435" s="1573"/>
      <c r="G435" s="1910">
        <f>L!$I$135</f>
        <v>465000</v>
      </c>
      <c r="H435" s="1123">
        <f t="shared" si="32"/>
        <v>0</v>
      </c>
      <c r="J435" s="1958">
        <f>$I$247*F435</f>
        <v>0</v>
      </c>
    </row>
    <row r="436" spans="2:10">
      <c r="B436" s="1047"/>
      <c r="C436" s="1052"/>
      <c r="D436" s="1053" t="s">
        <v>228</v>
      </c>
      <c r="E436" s="1054"/>
      <c r="F436" s="1055"/>
      <c r="G436" s="1056"/>
      <c r="H436" s="1057">
        <f>SUM(H423:H435)</f>
        <v>0</v>
      </c>
    </row>
    <row r="437" spans="2:10" ht="15.75" thickBot="1">
      <c r="B437" s="1025"/>
      <c r="C437" s="1058" t="s">
        <v>229</v>
      </c>
      <c r="D437" s="1059"/>
      <c r="E437" s="1059"/>
      <c r="F437" s="1059"/>
      <c r="G437" s="1060"/>
      <c r="H437" s="1061">
        <f>ROUND(H436,0)</f>
        <v>0</v>
      </c>
    </row>
    <row r="438" spans="2:10" ht="15.75" thickBot="1">
      <c r="B438" s="1218">
        <v>28</v>
      </c>
      <c r="C438" s="987" t="str">
        <f>VLOOKUP(B438,$C$488:$D$516,2,TRUE)</f>
        <v>1 Unit Pek. Jendela (  )</v>
      </c>
      <c r="D438" s="987"/>
      <c r="E438" s="988"/>
      <c r="F438" s="989"/>
      <c r="G438" s="990"/>
      <c r="H438" s="991">
        <f>H453</f>
        <v>0</v>
      </c>
    </row>
    <row r="439" spans="2:10">
      <c r="B439" s="1047"/>
      <c r="C439" s="1039" t="s">
        <v>28</v>
      </c>
      <c r="D439" s="1924" t="s">
        <v>1528</v>
      </c>
      <c r="E439" s="1925" t="s">
        <v>88</v>
      </c>
      <c r="F439" s="1031"/>
      <c r="G439" s="1910">
        <f>L!$I$7</f>
        <v>180000</v>
      </c>
      <c r="H439" s="1032">
        <f t="shared" si="32"/>
        <v>0</v>
      </c>
      <c r="I439" s="5">
        <f>HIT.PINTU!G95</f>
        <v>0</v>
      </c>
      <c r="J439" s="1958">
        <f t="shared" ref="J439:J450" si="35">$I$247*F439</f>
        <v>0</v>
      </c>
    </row>
    <row r="440" spans="2:10" s="1824" customFormat="1">
      <c r="B440" s="1615"/>
      <c r="C440" s="1616" t="s">
        <v>28</v>
      </c>
      <c r="D440" s="1924" t="s">
        <v>1529</v>
      </c>
      <c r="E440" s="1925" t="s">
        <v>88</v>
      </c>
      <c r="F440" s="1926"/>
      <c r="G440" s="1910">
        <f>L!$I$15</f>
        <v>93000</v>
      </c>
      <c r="H440" s="1927">
        <f t="shared" si="32"/>
        <v>0</v>
      </c>
      <c r="J440" s="1958">
        <f t="shared" si="35"/>
        <v>0</v>
      </c>
    </row>
    <row r="441" spans="2:10">
      <c r="B441" s="1615"/>
      <c r="C441" s="1616" t="s">
        <v>28</v>
      </c>
      <c r="D441" s="1924" t="s">
        <v>611</v>
      </c>
      <c r="E441" s="1925" t="s">
        <v>88</v>
      </c>
      <c r="F441" s="1031"/>
      <c r="G441" s="1910">
        <f>L!$I$23</f>
        <v>55000</v>
      </c>
      <c r="H441" s="1032">
        <f t="shared" si="32"/>
        <v>0</v>
      </c>
      <c r="J441" s="1958">
        <f t="shared" si="35"/>
        <v>0</v>
      </c>
    </row>
    <row r="442" spans="2:10">
      <c r="B442" s="1049"/>
      <c r="C442" s="1039" t="s">
        <v>28</v>
      </c>
      <c r="D442" s="1924" t="s">
        <v>1737</v>
      </c>
      <c r="E442" s="1925" t="s">
        <v>152</v>
      </c>
      <c r="F442" s="1031"/>
      <c r="G442" s="1910">
        <f>L!$I$151</f>
        <v>13500</v>
      </c>
      <c r="H442" s="1032">
        <f t="shared" si="32"/>
        <v>0</v>
      </c>
      <c r="J442" s="1958">
        <f t="shared" si="35"/>
        <v>0</v>
      </c>
    </row>
    <row r="443" spans="2:10">
      <c r="B443" s="1188"/>
      <c r="C443" s="1039" t="s">
        <v>28</v>
      </c>
      <c r="D443" s="1924" t="s">
        <v>2066</v>
      </c>
      <c r="E443" s="1925" t="s">
        <v>152</v>
      </c>
      <c r="F443" s="1031"/>
      <c r="G443" s="1910">
        <f>L!$I$31</f>
        <v>39500</v>
      </c>
      <c r="H443" s="1032">
        <f t="shared" si="32"/>
        <v>0</v>
      </c>
      <c r="J443" s="1958">
        <f t="shared" si="35"/>
        <v>0</v>
      </c>
    </row>
    <row r="444" spans="2:10">
      <c r="B444" s="1572"/>
      <c r="C444" s="1039" t="s">
        <v>28</v>
      </c>
      <c r="D444" s="1924" t="s">
        <v>2113</v>
      </c>
      <c r="E444" s="1925" t="s">
        <v>152</v>
      </c>
      <c r="F444" s="1031"/>
      <c r="G444" s="1910">
        <f>L!$I$39</f>
        <v>46500</v>
      </c>
      <c r="H444" s="1032">
        <f t="shared" si="32"/>
        <v>0</v>
      </c>
      <c r="J444" s="1958">
        <f t="shared" si="35"/>
        <v>0</v>
      </c>
    </row>
    <row r="445" spans="2:10">
      <c r="B445" s="1572"/>
      <c r="C445" s="1039" t="s">
        <v>28</v>
      </c>
      <c r="D445" s="1924" t="s">
        <v>1457</v>
      </c>
      <c r="E445" s="1925" t="s">
        <v>152</v>
      </c>
      <c r="F445" s="1031"/>
      <c r="G445" s="1910">
        <f>L!$I$47</f>
        <v>133000</v>
      </c>
      <c r="H445" s="1032">
        <f t="shared" si="32"/>
        <v>0</v>
      </c>
      <c r="J445" s="1958">
        <f t="shared" si="35"/>
        <v>0</v>
      </c>
    </row>
    <row r="446" spans="2:10">
      <c r="B446" s="1572"/>
      <c r="C446" s="1122" t="s">
        <v>28</v>
      </c>
      <c r="D446" s="1924" t="s">
        <v>1530</v>
      </c>
      <c r="E446" s="1925" t="s">
        <v>152</v>
      </c>
      <c r="F446" s="1031"/>
      <c r="G446" s="1910">
        <f>L!$I$55</f>
        <v>20000</v>
      </c>
      <c r="H446" s="1032">
        <f t="shared" si="32"/>
        <v>0</v>
      </c>
      <c r="J446" s="1958">
        <f t="shared" si="35"/>
        <v>0</v>
      </c>
    </row>
    <row r="447" spans="2:10">
      <c r="B447" s="1049"/>
      <c r="C447" s="1039" t="s">
        <v>28</v>
      </c>
      <c r="D447" s="1924" t="s">
        <v>2224</v>
      </c>
      <c r="E447" s="1925" t="s">
        <v>88</v>
      </c>
      <c r="F447" s="1031"/>
      <c r="G447" s="1910">
        <f>L!$I$63</f>
        <v>274000</v>
      </c>
      <c r="H447" s="1032">
        <f t="shared" si="32"/>
        <v>0</v>
      </c>
      <c r="J447" s="1958">
        <f t="shared" si="35"/>
        <v>0</v>
      </c>
    </row>
    <row r="448" spans="2:10">
      <c r="B448" s="1188"/>
      <c r="C448" s="1039" t="s">
        <v>28</v>
      </c>
      <c r="D448" s="1924" t="s">
        <v>2225</v>
      </c>
      <c r="E448" s="1925" t="s">
        <v>88</v>
      </c>
      <c r="F448" s="1031"/>
      <c r="G448" s="1912">
        <f>L!$I$71</f>
        <v>120000</v>
      </c>
      <c r="H448" s="1032">
        <f t="shared" si="32"/>
        <v>0</v>
      </c>
      <c r="J448" s="1958">
        <f t="shared" si="35"/>
        <v>0</v>
      </c>
    </row>
    <row r="449" spans="2:10">
      <c r="B449" s="1572"/>
      <c r="C449" s="1039" t="s">
        <v>28</v>
      </c>
      <c r="D449" s="1924" t="s">
        <v>1700</v>
      </c>
      <c r="E449" s="1925" t="s">
        <v>88</v>
      </c>
      <c r="F449" s="1031"/>
      <c r="G449" s="1910">
        <f>L!$I$143</f>
        <v>165000</v>
      </c>
      <c r="H449" s="1032">
        <f t="shared" si="32"/>
        <v>0</v>
      </c>
      <c r="J449" s="1958">
        <f t="shared" si="35"/>
        <v>0</v>
      </c>
    </row>
    <row r="450" spans="2:10">
      <c r="B450" s="1572"/>
      <c r="C450" s="1039" t="s">
        <v>28</v>
      </c>
      <c r="D450" s="1924" t="s">
        <v>1644</v>
      </c>
      <c r="E450" s="1925" t="s">
        <v>152</v>
      </c>
      <c r="F450" s="1031"/>
      <c r="G450" s="1910">
        <f>L!$I$127</f>
        <v>210000</v>
      </c>
      <c r="H450" s="1032">
        <f t="shared" si="32"/>
        <v>0</v>
      </c>
      <c r="J450" s="1958">
        <f t="shared" si="35"/>
        <v>0</v>
      </c>
    </row>
    <row r="451" spans="2:10" ht="15.75" thickBot="1">
      <c r="B451" s="1572"/>
      <c r="C451" s="1122" t="s">
        <v>28</v>
      </c>
      <c r="D451" s="1924" t="s">
        <v>1467</v>
      </c>
      <c r="E451" s="1925" t="s">
        <v>152</v>
      </c>
      <c r="F451" s="1573"/>
      <c r="G451" s="1910">
        <f>L!$I$135</f>
        <v>465000</v>
      </c>
      <c r="H451" s="1123">
        <f t="shared" si="32"/>
        <v>0</v>
      </c>
      <c r="J451" s="1958">
        <f>$I$247*F451</f>
        <v>0</v>
      </c>
    </row>
    <row r="452" spans="2:10">
      <c r="B452" s="1047"/>
      <c r="C452" s="1052"/>
      <c r="D452" s="1053" t="s">
        <v>228</v>
      </c>
      <c r="E452" s="1054"/>
      <c r="F452" s="1055"/>
      <c r="G452" s="1056"/>
      <c r="H452" s="1057">
        <f>SUM(H439:H451)</f>
        <v>0</v>
      </c>
    </row>
    <row r="453" spans="2:10" ht="15.75" thickBot="1">
      <c r="B453" s="1025"/>
      <c r="C453" s="1058" t="s">
        <v>229</v>
      </c>
      <c r="D453" s="1059"/>
      <c r="E453" s="1059"/>
      <c r="F453" s="1059"/>
      <c r="G453" s="1060"/>
      <c r="H453" s="1061">
        <f>ROUND(H452,0)</f>
        <v>0</v>
      </c>
    </row>
    <row r="454" spans="2:10" ht="15.75" thickBot="1">
      <c r="B454" s="1218">
        <v>29</v>
      </c>
      <c r="C454" s="987" t="str">
        <f>VLOOKUP(B454,$C$488:$D$516,2,TRUE)</f>
        <v>1 Unit Pek. Jendela (  )</v>
      </c>
      <c r="D454" s="987"/>
      <c r="E454" s="988"/>
      <c r="F454" s="989"/>
      <c r="G454" s="990"/>
      <c r="H454" s="991">
        <f>H469</f>
        <v>0</v>
      </c>
    </row>
    <row r="455" spans="2:10">
      <c r="B455" s="1047"/>
      <c r="C455" s="1039" t="s">
        <v>28</v>
      </c>
      <c r="D455" s="1924" t="s">
        <v>1528</v>
      </c>
      <c r="E455" s="1925" t="s">
        <v>88</v>
      </c>
      <c r="F455" s="1031"/>
      <c r="G455" s="1910">
        <f>L!$I$7</f>
        <v>180000</v>
      </c>
      <c r="H455" s="1032">
        <f t="shared" si="32"/>
        <v>0</v>
      </c>
      <c r="I455" s="5">
        <f>HIT.PINTU!G95</f>
        <v>0</v>
      </c>
      <c r="J455" s="1958">
        <f t="shared" ref="J455:J466" si="36">$I$247*F455</f>
        <v>0</v>
      </c>
    </row>
    <row r="456" spans="2:10" s="1824" customFormat="1">
      <c r="B456" s="1615"/>
      <c r="C456" s="1616" t="s">
        <v>28</v>
      </c>
      <c r="D456" s="1924" t="s">
        <v>1529</v>
      </c>
      <c r="E456" s="1925" t="s">
        <v>88</v>
      </c>
      <c r="F456" s="1926"/>
      <c r="G456" s="1910">
        <f>L!$I$15</f>
        <v>93000</v>
      </c>
      <c r="H456" s="1927">
        <f t="shared" si="32"/>
        <v>0</v>
      </c>
      <c r="J456" s="1958">
        <f t="shared" si="36"/>
        <v>0</v>
      </c>
    </row>
    <row r="457" spans="2:10">
      <c r="B457" s="1615"/>
      <c r="C457" s="1616" t="s">
        <v>28</v>
      </c>
      <c r="D457" s="1924" t="s">
        <v>611</v>
      </c>
      <c r="E457" s="1925" t="s">
        <v>88</v>
      </c>
      <c r="F457" s="1031"/>
      <c r="G457" s="1910">
        <f>L!$I$23</f>
        <v>55000</v>
      </c>
      <c r="H457" s="1032">
        <f t="shared" si="32"/>
        <v>0</v>
      </c>
      <c r="J457" s="1958">
        <f t="shared" si="36"/>
        <v>0</v>
      </c>
    </row>
    <row r="458" spans="2:10">
      <c r="B458" s="1049"/>
      <c r="C458" s="1039" t="s">
        <v>28</v>
      </c>
      <c r="D458" s="1924" t="s">
        <v>1737</v>
      </c>
      <c r="E458" s="1925" t="s">
        <v>152</v>
      </c>
      <c r="F458" s="1031"/>
      <c r="G458" s="1910">
        <f>L!$I$151</f>
        <v>13500</v>
      </c>
      <c r="H458" s="1032">
        <f t="shared" si="32"/>
        <v>0</v>
      </c>
      <c r="J458" s="1958">
        <f t="shared" si="36"/>
        <v>0</v>
      </c>
    </row>
    <row r="459" spans="2:10">
      <c r="B459" s="1188"/>
      <c r="C459" s="1039" t="s">
        <v>28</v>
      </c>
      <c r="D459" s="1924" t="s">
        <v>2066</v>
      </c>
      <c r="E459" s="1925" t="s">
        <v>152</v>
      </c>
      <c r="F459" s="1031"/>
      <c r="G459" s="1910">
        <f>L!$I$31</f>
        <v>39500</v>
      </c>
      <c r="H459" s="1032">
        <f t="shared" si="32"/>
        <v>0</v>
      </c>
      <c r="J459" s="1958">
        <f t="shared" si="36"/>
        <v>0</v>
      </c>
    </row>
    <row r="460" spans="2:10">
      <c r="B460" s="1572"/>
      <c r="C460" s="1039" t="s">
        <v>28</v>
      </c>
      <c r="D460" s="1924" t="s">
        <v>2113</v>
      </c>
      <c r="E460" s="1925" t="s">
        <v>152</v>
      </c>
      <c r="F460" s="1031"/>
      <c r="G460" s="1910">
        <f>L!$I$39</f>
        <v>46500</v>
      </c>
      <c r="H460" s="1032">
        <f t="shared" si="32"/>
        <v>0</v>
      </c>
      <c r="J460" s="1958">
        <f t="shared" si="36"/>
        <v>0</v>
      </c>
    </row>
    <row r="461" spans="2:10">
      <c r="B461" s="1572"/>
      <c r="C461" s="1039" t="s">
        <v>28</v>
      </c>
      <c r="D461" s="1924" t="s">
        <v>1457</v>
      </c>
      <c r="E461" s="1925" t="s">
        <v>152</v>
      </c>
      <c r="F461" s="1031"/>
      <c r="G461" s="1910">
        <f>L!$I$47</f>
        <v>133000</v>
      </c>
      <c r="H461" s="1032">
        <f t="shared" si="32"/>
        <v>0</v>
      </c>
      <c r="J461" s="1958">
        <f t="shared" si="36"/>
        <v>0</v>
      </c>
    </row>
    <row r="462" spans="2:10">
      <c r="B462" s="1572"/>
      <c r="C462" s="1122" t="s">
        <v>28</v>
      </c>
      <c r="D462" s="1924" t="s">
        <v>1530</v>
      </c>
      <c r="E462" s="1925" t="s">
        <v>152</v>
      </c>
      <c r="F462" s="1031"/>
      <c r="G462" s="1910">
        <f>L!$I$55</f>
        <v>20000</v>
      </c>
      <c r="H462" s="1032">
        <f t="shared" si="32"/>
        <v>0</v>
      </c>
      <c r="J462" s="1958">
        <f t="shared" si="36"/>
        <v>0</v>
      </c>
    </row>
    <row r="463" spans="2:10">
      <c r="B463" s="1049"/>
      <c r="C463" s="1039" t="s">
        <v>28</v>
      </c>
      <c r="D463" s="1924" t="s">
        <v>2224</v>
      </c>
      <c r="E463" s="1925" t="s">
        <v>88</v>
      </c>
      <c r="F463" s="1031"/>
      <c r="G463" s="1910">
        <f>L!$I$63</f>
        <v>274000</v>
      </c>
      <c r="H463" s="1032">
        <f t="shared" si="32"/>
        <v>0</v>
      </c>
      <c r="J463" s="1958">
        <f t="shared" si="36"/>
        <v>0</v>
      </c>
    </row>
    <row r="464" spans="2:10">
      <c r="B464" s="1188"/>
      <c r="C464" s="1039" t="s">
        <v>28</v>
      </c>
      <c r="D464" s="1924" t="s">
        <v>2225</v>
      </c>
      <c r="E464" s="1925" t="s">
        <v>88</v>
      </c>
      <c r="F464" s="1031"/>
      <c r="G464" s="1912">
        <f>L!$I$71</f>
        <v>120000</v>
      </c>
      <c r="H464" s="1032">
        <f t="shared" si="32"/>
        <v>0</v>
      </c>
      <c r="J464" s="1958">
        <f t="shared" si="36"/>
        <v>0</v>
      </c>
    </row>
    <row r="465" spans="1:10">
      <c r="B465" s="1572"/>
      <c r="C465" s="1039" t="s">
        <v>28</v>
      </c>
      <c r="D465" s="1924" t="s">
        <v>1700</v>
      </c>
      <c r="E465" s="1925" t="s">
        <v>88</v>
      </c>
      <c r="F465" s="1031"/>
      <c r="G465" s="1910">
        <f>L!$I$143</f>
        <v>165000</v>
      </c>
      <c r="H465" s="1032">
        <f t="shared" si="32"/>
        <v>0</v>
      </c>
      <c r="J465" s="1958">
        <f t="shared" si="36"/>
        <v>0</v>
      </c>
    </row>
    <row r="466" spans="1:10">
      <c r="B466" s="1572"/>
      <c r="C466" s="1039" t="s">
        <v>28</v>
      </c>
      <c r="D466" s="1924" t="s">
        <v>1644</v>
      </c>
      <c r="E466" s="1925" t="s">
        <v>152</v>
      </c>
      <c r="F466" s="1031"/>
      <c r="G466" s="1910">
        <f>L!$I$127</f>
        <v>210000</v>
      </c>
      <c r="H466" s="1032">
        <f t="shared" si="32"/>
        <v>0</v>
      </c>
      <c r="J466" s="1958">
        <f t="shared" si="36"/>
        <v>0</v>
      </c>
    </row>
    <row r="467" spans="1:10" ht="15.75" thickBot="1">
      <c r="B467" s="1572"/>
      <c r="C467" s="1122" t="s">
        <v>28</v>
      </c>
      <c r="D467" s="1924" t="s">
        <v>1467</v>
      </c>
      <c r="E467" s="1925" t="s">
        <v>152</v>
      </c>
      <c r="F467" s="1573"/>
      <c r="G467" s="1910">
        <f>L!$I$135</f>
        <v>465000</v>
      </c>
      <c r="H467" s="1123">
        <f t="shared" si="32"/>
        <v>0</v>
      </c>
      <c r="J467" s="1958">
        <f>$I$247*F467</f>
        <v>0</v>
      </c>
    </row>
    <row r="468" spans="1:10">
      <c r="B468" s="1047"/>
      <c r="C468" s="1052"/>
      <c r="D468" s="1053" t="s">
        <v>228</v>
      </c>
      <c r="E468" s="1054"/>
      <c r="F468" s="1055"/>
      <c r="G468" s="1056"/>
      <c r="H468" s="1057">
        <f>SUM(H455:H467)</f>
        <v>0</v>
      </c>
    </row>
    <row r="469" spans="1:10" ht="15.75" thickBot="1">
      <c r="B469" s="1025"/>
      <c r="C469" s="1058" t="s">
        <v>229</v>
      </c>
      <c r="D469" s="1059"/>
      <c r="E469" s="1059"/>
      <c r="F469" s="1059"/>
      <c r="G469" s="1060"/>
      <c r="H469" s="1061">
        <f>ROUND(H468,0)</f>
        <v>0</v>
      </c>
    </row>
    <row r="471" spans="1:10">
      <c r="F471" s="1923"/>
    </row>
    <row r="472" spans="1:10">
      <c r="D472" s="1928" t="s">
        <v>1528</v>
      </c>
      <c r="E472" s="1929" t="s">
        <v>88</v>
      </c>
      <c r="F472" s="1957">
        <f>SUMIF($D$1:$D$467,D472,$J$1:$J$467)</f>
        <v>0</v>
      </c>
    </row>
    <row r="473" spans="1:10" s="1824" customFormat="1">
      <c r="A473" s="5"/>
      <c r="B473" s="5"/>
      <c r="C473" s="5"/>
      <c r="D473" s="1928" t="s">
        <v>1529</v>
      </c>
      <c r="E473" s="1929" t="s">
        <v>88</v>
      </c>
      <c r="F473" s="1957">
        <f t="shared" ref="F473:F484" si="37">SUMIF($D$1:$D$467,D473,$J$1:$J$467)</f>
        <v>0</v>
      </c>
      <c r="G473" s="5"/>
      <c r="H473" s="5"/>
      <c r="I473" s="5"/>
      <c r="J473" s="1958"/>
    </row>
    <row r="474" spans="1:10">
      <c r="D474" s="1928" t="s">
        <v>611</v>
      </c>
      <c r="E474" s="1929" t="s">
        <v>88</v>
      </c>
      <c r="F474" s="1957">
        <f t="shared" si="37"/>
        <v>0</v>
      </c>
    </row>
    <row r="475" spans="1:10">
      <c r="D475" s="1928" t="s">
        <v>1737</v>
      </c>
      <c r="E475" s="1925" t="s">
        <v>152</v>
      </c>
      <c r="F475" s="1957">
        <f t="shared" si="37"/>
        <v>0</v>
      </c>
    </row>
    <row r="476" spans="1:10">
      <c r="D476" s="1928" t="s">
        <v>2066</v>
      </c>
      <c r="E476" s="1929" t="s">
        <v>152</v>
      </c>
      <c r="F476" s="1957">
        <f t="shared" si="37"/>
        <v>0</v>
      </c>
    </row>
    <row r="477" spans="1:10">
      <c r="D477" s="1928" t="s">
        <v>2113</v>
      </c>
      <c r="E477" s="1929" t="s">
        <v>152</v>
      </c>
      <c r="F477" s="1957">
        <f>SUMIF($D$1:$D$467,D477,$J$1:$J$467)</f>
        <v>0</v>
      </c>
    </row>
    <row r="478" spans="1:10">
      <c r="D478" s="1928" t="s">
        <v>1457</v>
      </c>
      <c r="E478" s="1929" t="s">
        <v>152</v>
      </c>
      <c r="F478" s="1957">
        <f t="shared" si="37"/>
        <v>0</v>
      </c>
    </row>
    <row r="479" spans="1:10">
      <c r="D479" s="1928" t="s">
        <v>1530</v>
      </c>
      <c r="E479" s="1929" t="s">
        <v>152</v>
      </c>
      <c r="F479" s="1957">
        <f t="shared" si="37"/>
        <v>0</v>
      </c>
    </row>
    <row r="480" spans="1:10">
      <c r="D480" s="1928" t="s">
        <v>2224</v>
      </c>
      <c r="E480" s="1929" t="s">
        <v>88</v>
      </c>
      <c r="F480" s="1957">
        <f t="shared" si="37"/>
        <v>0</v>
      </c>
    </row>
    <row r="481" spans="3:8">
      <c r="D481" s="1928" t="s">
        <v>2225</v>
      </c>
      <c r="E481" s="1929" t="s">
        <v>88</v>
      </c>
      <c r="F481" s="1957">
        <f t="shared" si="37"/>
        <v>0</v>
      </c>
    </row>
    <row r="482" spans="3:8">
      <c r="D482" s="1928" t="s">
        <v>1700</v>
      </c>
      <c r="E482" s="1929" t="s">
        <v>88</v>
      </c>
      <c r="F482" s="1957">
        <f t="shared" si="37"/>
        <v>0</v>
      </c>
    </row>
    <row r="483" spans="3:8">
      <c r="D483" s="1928" t="s">
        <v>1644</v>
      </c>
      <c r="E483" s="1929" t="s">
        <v>152</v>
      </c>
      <c r="F483" s="1957">
        <f t="shared" si="37"/>
        <v>0</v>
      </c>
    </row>
    <row r="484" spans="3:8">
      <c r="D484" s="1928" t="s">
        <v>1467</v>
      </c>
      <c r="E484" s="1929" t="s">
        <v>152</v>
      </c>
      <c r="F484" s="1957">
        <f t="shared" si="37"/>
        <v>0</v>
      </c>
    </row>
    <row r="488" spans="3:8">
      <c r="C488" s="5">
        <v>1</v>
      </c>
      <c r="D488" s="5" t="str">
        <f>'ANALISA HARGA PINTU'!B243</f>
        <v>1 Unit Pek. Pintu (  )</v>
      </c>
      <c r="H488" s="1410">
        <f>VLOOKUP(C488,$B$6:$H$469,7,TRUE)</f>
        <v>1137000</v>
      </c>
    </row>
    <row r="489" spans="3:8">
      <c r="C489" s="5">
        <v>2</v>
      </c>
      <c r="D489" s="5" t="str">
        <f>'ANALISA HARGA PINTU'!B244</f>
        <v>1 Unit Pek. Pintu (  )</v>
      </c>
      <c r="H489" s="1410">
        <f t="shared" ref="H489:H516" si="38">VLOOKUP(C489,$B$6:$H$469,7,TRUE)</f>
        <v>656000</v>
      </c>
    </row>
    <row r="490" spans="3:8">
      <c r="C490" s="5">
        <v>3</v>
      </c>
      <c r="D490" s="5" t="str">
        <f>'ANALISA HARGA PINTU'!B245</f>
        <v>1 Unit Pek. Pintu (  )</v>
      </c>
      <c r="H490" s="1410">
        <f t="shared" si="38"/>
        <v>716000</v>
      </c>
    </row>
    <row r="491" spans="3:8">
      <c r="C491" s="5">
        <v>4</v>
      </c>
      <c r="D491" s="5" t="str">
        <f>'ANALISA HARGA PINTU'!B246</f>
        <v>1 Unit Pek. Jendela (  )</v>
      </c>
      <c r="H491" s="1410">
        <f t="shared" si="38"/>
        <v>120000</v>
      </c>
    </row>
    <row r="492" spans="3:8">
      <c r="C492" s="5">
        <v>5</v>
      </c>
      <c r="D492" s="5" t="str">
        <f>'ANALISA HARGA PINTU'!B247</f>
        <v>1 Unit Pek. Jendela (  )</v>
      </c>
      <c r="H492" s="1410">
        <f t="shared" si="38"/>
        <v>120000</v>
      </c>
    </row>
    <row r="493" spans="3:8">
      <c r="C493" s="5">
        <v>6</v>
      </c>
      <c r="D493" s="5" t="str">
        <f>'ANALISA HARGA PINTU'!B248</f>
        <v>1 Unit Pek. Jendela (  )</v>
      </c>
      <c r="H493" s="1410">
        <f t="shared" si="38"/>
        <v>120000</v>
      </c>
    </row>
    <row r="494" spans="3:8">
      <c r="C494" s="5">
        <v>7</v>
      </c>
      <c r="D494" s="5" t="str">
        <f>'ANALISA HARGA PINTU'!B249</f>
        <v>1 Unit Pek. Jendela (  )</v>
      </c>
      <c r="H494" s="1410">
        <f t="shared" si="38"/>
        <v>120000</v>
      </c>
    </row>
    <row r="495" spans="3:8">
      <c r="C495" s="5">
        <v>8</v>
      </c>
      <c r="D495" s="5" t="str">
        <f>'ANALISA HARGA PINTU'!B250</f>
        <v>1 Unit Pek. Jendela (  )</v>
      </c>
      <c r="H495" s="1410">
        <f t="shared" si="38"/>
        <v>0</v>
      </c>
    </row>
    <row r="496" spans="3:8">
      <c r="C496" s="5">
        <v>9</v>
      </c>
      <c r="D496" s="5" t="str">
        <f>'ANALISA HARGA PINTU'!B251</f>
        <v>1 Unit Pek. Jendela (  )</v>
      </c>
      <c r="H496" s="1410">
        <f t="shared" si="38"/>
        <v>0</v>
      </c>
    </row>
    <row r="497" spans="3:8">
      <c r="C497" s="5">
        <v>10</v>
      </c>
      <c r="D497" s="5" t="str">
        <f>'ANALISA HARGA PINTU'!B252</f>
        <v>1 Unit Pek. Jendela (  )</v>
      </c>
      <c r="H497" s="1410">
        <f t="shared" si="38"/>
        <v>0</v>
      </c>
    </row>
    <row r="498" spans="3:8">
      <c r="C498" s="5">
        <v>11</v>
      </c>
      <c r="D498" s="5" t="str">
        <f>'ANALISA HARGA PINTU'!B253</f>
        <v>1 Unit Pek. Jendela (  )</v>
      </c>
      <c r="H498" s="1410">
        <f t="shared" si="38"/>
        <v>0</v>
      </c>
    </row>
    <row r="499" spans="3:8">
      <c r="C499" s="5">
        <v>12</v>
      </c>
      <c r="D499" s="5" t="str">
        <f>'ANALISA HARGA PINTU'!B254</f>
        <v>1 Unit Pek. Jendela (  )</v>
      </c>
      <c r="H499" s="1410">
        <f t="shared" si="38"/>
        <v>0</v>
      </c>
    </row>
    <row r="500" spans="3:8">
      <c r="C500" s="5">
        <v>13</v>
      </c>
      <c r="D500" s="5" t="str">
        <f>'ANALISA HARGA PINTU'!B255</f>
        <v>1 Unit Pek. Jendela (  )</v>
      </c>
      <c r="H500" s="1410">
        <f t="shared" si="38"/>
        <v>0</v>
      </c>
    </row>
    <row r="501" spans="3:8">
      <c r="C501" s="5">
        <v>14</v>
      </c>
      <c r="D501" s="5" t="str">
        <f>'ANALISA HARGA PINTU'!B256</f>
        <v>1 Unit Pek. Jendela (  )</v>
      </c>
      <c r="H501" s="1410">
        <f t="shared" si="38"/>
        <v>0</v>
      </c>
    </row>
    <row r="502" spans="3:8">
      <c r="C502" s="5">
        <v>15</v>
      </c>
      <c r="D502" s="5" t="str">
        <f>'ANALISA HARGA PINTU'!B257</f>
        <v>1 Unit Pek. Jendela (  )</v>
      </c>
      <c r="H502" s="1410">
        <f t="shared" si="38"/>
        <v>0</v>
      </c>
    </row>
    <row r="503" spans="3:8">
      <c r="C503" s="5">
        <v>16</v>
      </c>
      <c r="D503" s="5" t="str">
        <f>'ANALISA HARGA PINTU'!B258</f>
        <v>1 Unit Pek. Jendela (  )</v>
      </c>
      <c r="H503" s="1410">
        <f t="shared" si="38"/>
        <v>0</v>
      </c>
    </row>
    <row r="504" spans="3:8">
      <c r="C504" s="5">
        <v>17</v>
      </c>
      <c r="D504" s="5" t="str">
        <f>'ANALISA HARGA PINTU'!B259</f>
        <v>1 Unit Pek. Jendela (  )</v>
      </c>
      <c r="H504" s="1410">
        <f t="shared" si="38"/>
        <v>0</v>
      </c>
    </row>
    <row r="505" spans="3:8">
      <c r="C505" s="5">
        <v>18</v>
      </c>
      <c r="D505" s="5" t="str">
        <f>'ANALISA HARGA PINTU'!B260</f>
        <v>1 Unit Pek. Jendela (  )</v>
      </c>
      <c r="H505" s="1410">
        <f t="shared" si="38"/>
        <v>0</v>
      </c>
    </row>
    <row r="506" spans="3:8">
      <c r="C506" s="5">
        <v>19</v>
      </c>
      <c r="D506" s="5" t="str">
        <f>'ANALISA HARGA PINTU'!B261</f>
        <v>1 Unit Pek. Jendela (  )</v>
      </c>
      <c r="H506" s="1410">
        <f t="shared" si="38"/>
        <v>0</v>
      </c>
    </row>
    <row r="507" spans="3:8">
      <c r="C507" s="5">
        <v>20</v>
      </c>
      <c r="D507" s="5" t="str">
        <f>'ANALISA HARGA PINTU'!B262</f>
        <v>1 Unit Pek. Jendela (  )</v>
      </c>
      <c r="H507" s="1410">
        <f t="shared" si="38"/>
        <v>0</v>
      </c>
    </row>
    <row r="508" spans="3:8">
      <c r="C508" s="5">
        <v>21</v>
      </c>
      <c r="D508" s="5" t="str">
        <f>'ANALISA HARGA PINTU'!B263</f>
        <v>1 Unit Pek. Jendela (  )</v>
      </c>
      <c r="H508" s="1410">
        <f t="shared" si="38"/>
        <v>0</v>
      </c>
    </row>
    <row r="509" spans="3:8">
      <c r="C509" s="5">
        <v>22</v>
      </c>
      <c r="D509" s="5" t="str">
        <f>'ANALISA HARGA PINTU'!B264</f>
        <v>1 Unit Pek. Jendela (  )</v>
      </c>
      <c r="H509" s="1410">
        <f t="shared" si="38"/>
        <v>0</v>
      </c>
    </row>
    <row r="510" spans="3:8">
      <c r="C510" s="5">
        <v>23</v>
      </c>
      <c r="D510" s="5" t="str">
        <f>'ANALISA HARGA PINTU'!B265</f>
        <v>1 Unit Pek. Jendela (  )</v>
      </c>
      <c r="H510" s="1410">
        <f t="shared" si="38"/>
        <v>0</v>
      </c>
    </row>
    <row r="511" spans="3:8">
      <c r="C511" s="5">
        <v>24</v>
      </c>
      <c r="D511" s="5" t="str">
        <f>'ANALISA HARGA PINTU'!B266</f>
        <v>1 Unit Pek. Jendela (  )</v>
      </c>
      <c r="H511" s="1410">
        <f t="shared" si="38"/>
        <v>0</v>
      </c>
    </row>
    <row r="512" spans="3:8">
      <c r="C512" s="5">
        <v>25</v>
      </c>
      <c r="D512" s="5" t="str">
        <f>'ANALISA HARGA PINTU'!B267</f>
        <v>1 Unit Pek. Jendela (  )</v>
      </c>
      <c r="H512" s="1410">
        <f t="shared" si="38"/>
        <v>0</v>
      </c>
    </row>
    <row r="513" spans="3:8">
      <c r="C513" s="5">
        <v>26</v>
      </c>
      <c r="D513" s="5" t="str">
        <f>'ANALISA HARGA PINTU'!B268</f>
        <v>1 Unit Pek. Jendela (  )</v>
      </c>
      <c r="H513" s="1410">
        <f t="shared" si="38"/>
        <v>0</v>
      </c>
    </row>
    <row r="514" spans="3:8">
      <c r="C514" s="5">
        <v>27</v>
      </c>
      <c r="D514" s="5" t="str">
        <f>'ANALISA HARGA PINTU'!B269</f>
        <v>1 Unit Pek. Jendela (  )</v>
      </c>
      <c r="H514" s="1410">
        <f t="shared" si="38"/>
        <v>0</v>
      </c>
    </row>
    <row r="515" spans="3:8">
      <c r="C515" s="5">
        <v>28</v>
      </c>
      <c r="D515" s="5" t="str">
        <f>'ANALISA HARGA PINTU'!B270</f>
        <v>1 Unit Pek. Jendela (  )</v>
      </c>
      <c r="H515" s="1410">
        <f t="shared" si="38"/>
        <v>0</v>
      </c>
    </row>
    <row r="516" spans="3:8">
      <c r="C516" s="5">
        <v>29</v>
      </c>
      <c r="D516" s="5" t="str">
        <f>'ANALISA HARGA PINTU'!B271</f>
        <v>1 Unit Pek. Jendela (  )</v>
      </c>
      <c r="H516" s="1410">
        <f t="shared" si="38"/>
        <v>0</v>
      </c>
    </row>
  </sheetData>
  <mergeCells count="5">
    <mergeCell ref="B2:H3"/>
    <mergeCell ref="B4:B5"/>
    <mergeCell ref="C4:D5"/>
    <mergeCell ref="E4:E5"/>
    <mergeCell ref="F4:F5"/>
  </mergeCells>
  <hyperlinks>
    <hyperlink ref="G7" location="L!I7" display="L!I7" xr:uid="{00000000-0004-0000-0E00-000000000000}"/>
    <hyperlink ref="G8" location="L!I15" display="L!I15" xr:uid="{00000000-0004-0000-0E00-000001000000}"/>
    <hyperlink ref="G10" location="L!I151" display="L!I151" xr:uid="{00000000-0004-0000-0E00-000002000000}"/>
    <hyperlink ref="G12" location="L!I39" display="L!I39" xr:uid="{00000000-0004-0000-0E00-000003000000}"/>
    <hyperlink ref="G13" location="L!I47" display="L!I47" xr:uid="{00000000-0004-0000-0E00-000004000000}"/>
    <hyperlink ref="G14" location="L!I55" display="L!I55" xr:uid="{00000000-0004-0000-0E00-000005000000}"/>
    <hyperlink ref="G17" location="L!I143" display="L!I143" xr:uid="{00000000-0004-0000-0E00-000006000000}"/>
    <hyperlink ref="G18" location="L!I127" display="L!I127" xr:uid="{00000000-0004-0000-0E00-000007000000}"/>
    <hyperlink ref="G19" location="L!I135" display="L!I135" xr:uid="{00000000-0004-0000-0E00-000008000000}"/>
    <hyperlink ref="G23" location="L!I7" display="L!I7" xr:uid="{00000000-0004-0000-0E00-000009000000}"/>
    <hyperlink ref="G24" location="L!I15" display="L!I15" xr:uid="{00000000-0004-0000-0E00-00000A000000}"/>
    <hyperlink ref="G26" location="L!I151" display="L!I151" xr:uid="{00000000-0004-0000-0E00-00000B000000}"/>
    <hyperlink ref="G28" location="L!I39" display="L!I39" xr:uid="{00000000-0004-0000-0E00-00000C000000}"/>
    <hyperlink ref="G29" location="L!I47" display="L!I47" xr:uid="{00000000-0004-0000-0E00-00000D000000}"/>
    <hyperlink ref="G30" location="L!I55" display="L!I55" xr:uid="{00000000-0004-0000-0E00-00000E000000}"/>
    <hyperlink ref="G33" location="L!I143" display="L!I143" xr:uid="{00000000-0004-0000-0E00-00000F000000}"/>
    <hyperlink ref="G34" location="L!I127" display="L!I127" xr:uid="{00000000-0004-0000-0E00-000010000000}"/>
    <hyperlink ref="G35" location="L!I135" display="L!I135" xr:uid="{00000000-0004-0000-0E00-000011000000}"/>
    <hyperlink ref="G39" location="L!I7" display="L!I7" xr:uid="{00000000-0004-0000-0E00-000012000000}"/>
    <hyperlink ref="G40" location="L!I15" display="L!I15" xr:uid="{00000000-0004-0000-0E00-000013000000}"/>
    <hyperlink ref="G42" location="L!I151" display="L!I151" xr:uid="{00000000-0004-0000-0E00-000014000000}"/>
    <hyperlink ref="G44" location="L!I39" display="L!I39" xr:uid="{00000000-0004-0000-0E00-000015000000}"/>
    <hyperlink ref="G45" location="L!I47" display="L!I47" xr:uid="{00000000-0004-0000-0E00-000016000000}"/>
    <hyperlink ref="G46" location="L!I55" display="L!I55" xr:uid="{00000000-0004-0000-0E00-000017000000}"/>
    <hyperlink ref="G49" location="L!I143" display="L!I143" xr:uid="{00000000-0004-0000-0E00-000018000000}"/>
    <hyperlink ref="G50" location="L!I127" display="L!I127" xr:uid="{00000000-0004-0000-0E00-000019000000}"/>
    <hyperlink ref="G51" location="L!I135" display="L!I135" xr:uid="{00000000-0004-0000-0E00-00001A000000}"/>
    <hyperlink ref="G55" location="L!I7" display="L!I7" xr:uid="{00000000-0004-0000-0E00-00001B000000}"/>
    <hyperlink ref="G56" location="L!I15" display="L!I15" xr:uid="{00000000-0004-0000-0E00-00001C000000}"/>
    <hyperlink ref="G58" location="L!I151" display="L!I151" xr:uid="{00000000-0004-0000-0E00-00001D000000}"/>
    <hyperlink ref="G60" location="L!I39" display="L!I39" xr:uid="{00000000-0004-0000-0E00-00001E000000}"/>
    <hyperlink ref="G61" location="L!I47" display="L!I47" xr:uid="{00000000-0004-0000-0E00-00001F000000}"/>
    <hyperlink ref="G62" location="L!I55" display="L!I55" xr:uid="{00000000-0004-0000-0E00-000020000000}"/>
    <hyperlink ref="G65" location="L!I143" display="L!I143" xr:uid="{00000000-0004-0000-0E00-000021000000}"/>
    <hyperlink ref="G66" location="L!I127" display="L!I127" xr:uid="{00000000-0004-0000-0E00-000022000000}"/>
    <hyperlink ref="G67" location="L!I135" display="L!I135" xr:uid="{00000000-0004-0000-0E00-000023000000}"/>
    <hyperlink ref="G71" location="L!I7" display="L!I7" xr:uid="{00000000-0004-0000-0E00-000024000000}"/>
    <hyperlink ref="G72" location="L!I15" display="L!I15" xr:uid="{00000000-0004-0000-0E00-000025000000}"/>
    <hyperlink ref="G74" location="L!I151" display="L!I151" xr:uid="{00000000-0004-0000-0E00-000026000000}"/>
    <hyperlink ref="G76" location="L!I39" display="L!I39" xr:uid="{00000000-0004-0000-0E00-000027000000}"/>
    <hyperlink ref="G77" location="L!I47" display="L!I47" xr:uid="{00000000-0004-0000-0E00-000028000000}"/>
    <hyperlink ref="G78" location="L!I55" display="L!I55" xr:uid="{00000000-0004-0000-0E00-000029000000}"/>
    <hyperlink ref="G81" location="L!I143" display="L!I143" xr:uid="{00000000-0004-0000-0E00-00002A000000}"/>
    <hyperlink ref="G82" location="L!I127" display="L!I127" xr:uid="{00000000-0004-0000-0E00-00002B000000}"/>
    <hyperlink ref="G83" location="L!I135" display="L!I135" xr:uid="{00000000-0004-0000-0E00-00002C000000}"/>
    <hyperlink ref="G87" location="L!I7" display="L!I7" xr:uid="{00000000-0004-0000-0E00-00002D000000}"/>
    <hyperlink ref="G88" location="L!I15" display="L!I15" xr:uid="{00000000-0004-0000-0E00-00002E000000}"/>
    <hyperlink ref="G90" location="L!I151" display="L!I151" xr:uid="{00000000-0004-0000-0E00-00002F000000}"/>
    <hyperlink ref="G92" location="L!I39" display="L!I39" xr:uid="{00000000-0004-0000-0E00-000030000000}"/>
    <hyperlink ref="G93" location="L!I47" display="L!I47" xr:uid="{00000000-0004-0000-0E00-000031000000}"/>
    <hyperlink ref="G94" location="L!I55" display="L!I55" xr:uid="{00000000-0004-0000-0E00-000032000000}"/>
    <hyperlink ref="G97" location="L!I143" display="L!I143" xr:uid="{00000000-0004-0000-0E00-000033000000}"/>
    <hyperlink ref="G98" location="L!I127" display="L!I127" xr:uid="{00000000-0004-0000-0E00-000034000000}"/>
    <hyperlink ref="G99" location="L!I135" display="L!I135" xr:uid="{00000000-0004-0000-0E00-000035000000}"/>
    <hyperlink ref="G103" location="L!I7" display="L!I7" xr:uid="{00000000-0004-0000-0E00-000036000000}"/>
    <hyperlink ref="G104" location="L!I15" display="L!I15" xr:uid="{00000000-0004-0000-0E00-000037000000}"/>
    <hyperlink ref="G106" location="L!I151" display="L!I151" xr:uid="{00000000-0004-0000-0E00-000038000000}"/>
    <hyperlink ref="G108" location="L!I39" display="L!I39" xr:uid="{00000000-0004-0000-0E00-000039000000}"/>
    <hyperlink ref="G109" location="L!I47" display="L!I47" xr:uid="{00000000-0004-0000-0E00-00003A000000}"/>
    <hyperlink ref="G110" location="L!I55" display="L!I55" xr:uid="{00000000-0004-0000-0E00-00003B000000}"/>
    <hyperlink ref="G113" location="L!I143" display="L!I143" xr:uid="{00000000-0004-0000-0E00-00003C000000}"/>
    <hyperlink ref="G114" location="L!I127" display="L!I127" xr:uid="{00000000-0004-0000-0E00-00003D000000}"/>
    <hyperlink ref="G115" location="L!I135" display="L!I135" xr:uid="{00000000-0004-0000-0E00-00003E000000}"/>
    <hyperlink ref="G119" location="L!I7" display="L!I7" xr:uid="{00000000-0004-0000-0E00-00003F000000}"/>
    <hyperlink ref="G120" location="L!I15" display="L!I15" xr:uid="{00000000-0004-0000-0E00-000040000000}"/>
    <hyperlink ref="G122" location="L!I151" display="L!I151" xr:uid="{00000000-0004-0000-0E00-000041000000}"/>
    <hyperlink ref="G124" location="L!I39" display="L!I39" xr:uid="{00000000-0004-0000-0E00-000042000000}"/>
    <hyperlink ref="G125" location="L!I47" display="L!I47" xr:uid="{00000000-0004-0000-0E00-000043000000}"/>
    <hyperlink ref="G126" location="L!I55" display="L!I55" xr:uid="{00000000-0004-0000-0E00-000044000000}"/>
    <hyperlink ref="G129" location="L!I143" display="L!I143" xr:uid="{00000000-0004-0000-0E00-000045000000}"/>
    <hyperlink ref="G130" location="L!I127" display="L!I127" xr:uid="{00000000-0004-0000-0E00-000046000000}"/>
    <hyperlink ref="G131" location="L!I135" display="L!I135" xr:uid="{00000000-0004-0000-0E00-000047000000}"/>
    <hyperlink ref="G135" location="L!I7" display="L!I7" xr:uid="{00000000-0004-0000-0E00-000048000000}"/>
    <hyperlink ref="G136" location="L!I15" display="L!I15" xr:uid="{00000000-0004-0000-0E00-000049000000}"/>
    <hyperlink ref="G138" location="L!I151" display="L!I151" xr:uid="{00000000-0004-0000-0E00-00004A000000}"/>
    <hyperlink ref="G140" location="L!I39" display="L!I39" xr:uid="{00000000-0004-0000-0E00-00004B000000}"/>
    <hyperlink ref="G141" location="L!I47" display="L!I47" xr:uid="{00000000-0004-0000-0E00-00004C000000}"/>
    <hyperlink ref="G142" location="L!I55" display="L!I55" xr:uid="{00000000-0004-0000-0E00-00004D000000}"/>
    <hyperlink ref="G145" location="L!I143" display="L!I143" xr:uid="{00000000-0004-0000-0E00-00004E000000}"/>
    <hyperlink ref="G146" location="L!I127" display="L!I127" xr:uid="{00000000-0004-0000-0E00-00004F000000}"/>
    <hyperlink ref="G147" location="L!I135" display="L!I135" xr:uid="{00000000-0004-0000-0E00-000050000000}"/>
    <hyperlink ref="G151" location="L!I7" display="L!I7" xr:uid="{00000000-0004-0000-0E00-000051000000}"/>
    <hyperlink ref="G152" location="L!I15" display="L!I15" xr:uid="{00000000-0004-0000-0E00-000052000000}"/>
    <hyperlink ref="G154" location="L!I151" display="L!I151" xr:uid="{00000000-0004-0000-0E00-000053000000}"/>
    <hyperlink ref="G156" location="L!I39" display="L!I39" xr:uid="{00000000-0004-0000-0E00-000054000000}"/>
    <hyperlink ref="G157" location="L!I47" display="L!I47" xr:uid="{00000000-0004-0000-0E00-000055000000}"/>
    <hyperlink ref="G158" location="L!I55" display="L!I55" xr:uid="{00000000-0004-0000-0E00-000056000000}"/>
    <hyperlink ref="G161" location="L!I143" display="L!I143" xr:uid="{00000000-0004-0000-0E00-000057000000}"/>
    <hyperlink ref="G162" location="L!I127" display="L!I127" xr:uid="{00000000-0004-0000-0E00-000058000000}"/>
    <hyperlink ref="G163" location="L!I135" display="L!I135" xr:uid="{00000000-0004-0000-0E00-000059000000}"/>
    <hyperlink ref="G167" location="L!I7" display="L!I7" xr:uid="{00000000-0004-0000-0E00-00005A000000}"/>
    <hyperlink ref="G168" location="L!I15" display="L!I15" xr:uid="{00000000-0004-0000-0E00-00005B000000}"/>
    <hyperlink ref="G170" location="L!I151" display="L!I151" xr:uid="{00000000-0004-0000-0E00-00005C000000}"/>
    <hyperlink ref="G172" location="L!I39" display="L!I39" xr:uid="{00000000-0004-0000-0E00-00005D000000}"/>
    <hyperlink ref="G173" location="L!I47" display="L!I47" xr:uid="{00000000-0004-0000-0E00-00005E000000}"/>
    <hyperlink ref="G174" location="L!I55" display="L!I55" xr:uid="{00000000-0004-0000-0E00-00005F000000}"/>
    <hyperlink ref="G177" location="L!I143" display="L!I143" xr:uid="{00000000-0004-0000-0E00-000060000000}"/>
    <hyperlink ref="G178" location="L!I127" display="L!I127" xr:uid="{00000000-0004-0000-0E00-000061000000}"/>
    <hyperlink ref="G179" location="L!I135" display="L!I135" xr:uid="{00000000-0004-0000-0E00-000062000000}"/>
    <hyperlink ref="G183" location="L!I7" display="L!I7" xr:uid="{00000000-0004-0000-0E00-000063000000}"/>
    <hyperlink ref="G184" location="L!I15" display="L!I15" xr:uid="{00000000-0004-0000-0E00-000064000000}"/>
    <hyperlink ref="G186" location="L!I151" display="L!I151" xr:uid="{00000000-0004-0000-0E00-000065000000}"/>
    <hyperlink ref="G188" location="L!I39" display="L!I39" xr:uid="{00000000-0004-0000-0E00-000066000000}"/>
    <hyperlink ref="G189" location="L!I47" display="L!I47" xr:uid="{00000000-0004-0000-0E00-000067000000}"/>
    <hyperlink ref="G190" location="L!I55" display="L!I55" xr:uid="{00000000-0004-0000-0E00-000068000000}"/>
    <hyperlink ref="G193" location="L!I143" display="L!I143" xr:uid="{00000000-0004-0000-0E00-000069000000}"/>
    <hyperlink ref="G194" location="L!I127" display="L!I127" xr:uid="{00000000-0004-0000-0E00-00006A000000}"/>
    <hyperlink ref="G195" location="L!I135" display="L!I135" xr:uid="{00000000-0004-0000-0E00-00006B000000}"/>
    <hyperlink ref="G199" location="L!I7" display="L!I7" xr:uid="{00000000-0004-0000-0E00-00006C000000}"/>
    <hyperlink ref="G200" location="L!I15" display="L!I15" xr:uid="{00000000-0004-0000-0E00-00006D000000}"/>
    <hyperlink ref="G202" location="L!I151" display="L!I151" xr:uid="{00000000-0004-0000-0E00-00006E000000}"/>
    <hyperlink ref="G204" location="L!I39" display="L!I39" xr:uid="{00000000-0004-0000-0E00-00006F000000}"/>
    <hyperlink ref="G205" location="L!I47" display="L!I47" xr:uid="{00000000-0004-0000-0E00-000070000000}"/>
    <hyperlink ref="G206" location="L!I55" display="L!I55" xr:uid="{00000000-0004-0000-0E00-000071000000}"/>
    <hyperlink ref="G209" location="L!I143" display="L!I143" xr:uid="{00000000-0004-0000-0E00-000072000000}"/>
    <hyperlink ref="G210" location="L!I127" display="L!I127" xr:uid="{00000000-0004-0000-0E00-000073000000}"/>
    <hyperlink ref="G211" location="L!I135" display="L!I135" xr:uid="{00000000-0004-0000-0E00-000074000000}"/>
    <hyperlink ref="G215" location="L!I7" display="L!I7" xr:uid="{00000000-0004-0000-0E00-000075000000}"/>
    <hyperlink ref="G216" location="L!I15" display="L!I15" xr:uid="{00000000-0004-0000-0E00-000076000000}"/>
    <hyperlink ref="G218" location="L!I151" display="L!I151" xr:uid="{00000000-0004-0000-0E00-000077000000}"/>
    <hyperlink ref="G220" location="L!I39" display="L!I39" xr:uid="{00000000-0004-0000-0E00-000078000000}"/>
    <hyperlink ref="G221" location="L!I47" display="L!I47" xr:uid="{00000000-0004-0000-0E00-000079000000}"/>
    <hyperlink ref="G222" location="L!I55" display="L!I55" xr:uid="{00000000-0004-0000-0E00-00007A000000}"/>
    <hyperlink ref="G225" location="L!I143" display="L!I143" xr:uid="{00000000-0004-0000-0E00-00007B000000}"/>
    <hyperlink ref="G226" location="L!I127" display="L!I127" xr:uid="{00000000-0004-0000-0E00-00007C000000}"/>
    <hyperlink ref="G227" location="L!I135" display="L!I135" xr:uid="{00000000-0004-0000-0E00-00007D000000}"/>
    <hyperlink ref="G231" location="L!I7" display="L!I7" xr:uid="{00000000-0004-0000-0E00-00007E000000}"/>
    <hyperlink ref="G232" location="L!I15" display="L!I15" xr:uid="{00000000-0004-0000-0E00-00007F000000}"/>
    <hyperlink ref="G234" location="L!I151" display="L!I151" xr:uid="{00000000-0004-0000-0E00-000080000000}"/>
    <hyperlink ref="G236" location="L!I39" display="L!I39" xr:uid="{00000000-0004-0000-0E00-000081000000}"/>
    <hyperlink ref="G237" location="L!I47" display="L!I47" xr:uid="{00000000-0004-0000-0E00-000082000000}"/>
    <hyperlink ref="G238" location="L!I55" display="L!I55" xr:uid="{00000000-0004-0000-0E00-000083000000}"/>
    <hyperlink ref="G241" location="L!I143" display="L!I143" xr:uid="{00000000-0004-0000-0E00-000084000000}"/>
    <hyperlink ref="G242" location="L!I127" display="L!I127" xr:uid="{00000000-0004-0000-0E00-000085000000}"/>
    <hyperlink ref="G243" location="L!I135" display="L!I135" xr:uid="{00000000-0004-0000-0E00-000086000000}"/>
    <hyperlink ref="G247" location="L!I7" display="L!I7" xr:uid="{00000000-0004-0000-0E00-000087000000}"/>
    <hyperlink ref="G248" location="L!I15" display="L!I15" xr:uid="{00000000-0004-0000-0E00-000088000000}"/>
    <hyperlink ref="G250" location="L!I151" display="L!I151" xr:uid="{00000000-0004-0000-0E00-000089000000}"/>
    <hyperlink ref="G252" location="L!I39" display="L!I39" xr:uid="{00000000-0004-0000-0E00-00008A000000}"/>
    <hyperlink ref="G253" location="L!I47" display="L!I47" xr:uid="{00000000-0004-0000-0E00-00008B000000}"/>
    <hyperlink ref="G254" location="L!I55" display="L!I55" xr:uid="{00000000-0004-0000-0E00-00008C000000}"/>
    <hyperlink ref="G257" location="L!I143" display="L!I143" xr:uid="{00000000-0004-0000-0E00-00008D000000}"/>
    <hyperlink ref="G258" location="L!I127" display="L!I127" xr:uid="{00000000-0004-0000-0E00-00008E000000}"/>
    <hyperlink ref="G259" location="L!I135" display="L!I135" xr:uid="{00000000-0004-0000-0E00-00008F000000}"/>
    <hyperlink ref="G263" location="L!I7" display="L!I7" xr:uid="{00000000-0004-0000-0E00-000090000000}"/>
    <hyperlink ref="G264" location="L!I15" display="L!I15" xr:uid="{00000000-0004-0000-0E00-000091000000}"/>
    <hyperlink ref="G266" location="L!I151" display="L!I151" xr:uid="{00000000-0004-0000-0E00-000092000000}"/>
    <hyperlink ref="G268" location="L!I39" display="L!I39" xr:uid="{00000000-0004-0000-0E00-000093000000}"/>
    <hyperlink ref="G269" location="L!I47" display="L!I47" xr:uid="{00000000-0004-0000-0E00-000094000000}"/>
    <hyperlink ref="G270" location="L!I55" display="L!I55" xr:uid="{00000000-0004-0000-0E00-000095000000}"/>
    <hyperlink ref="G273" location="L!I143" display="L!I143" xr:uid="{00000000-0004-0000-0E00-000096000000}"/>
    <hyperlink ref="G274" location="L!I127" display="L!I127" xr:uid="{00000000-0004-0000-0E00-000097000000}"/>
    <hyperlink ref="G275" location="L!I135" display="L!I135" xr:uid="{00000000-0004-0000-0E00-000098000000}"/>
    <hyperlink ref="G279" location="L!I7" display="L!I7" xr:uid="{00000000-0004-0000-0E00-000099000000}"/>
    <hyperlink ref="G280" location="L!I15" display="L!I15" xr:uid="{00000000-0004-0000-0E00-00009A000000}"/>
    <hyperlink ref="G282" location="L!I151" display="L!I151" xr:uid="{00000000-0004-0000-0E00-00009B000000}"/>
    <hyperlink ref="G284" location="L!I39" display="L!I39" xr:uid="{00000000-0004-0000-0E00-00009C000000}"/>
    <hyperlink ref="G285" location="L!I47" display="L!I47" xr:uid="{00000000-0004-0000-0E00-00009D000000}"/>
    <hyperlink ref="G286" location="L!I55" display="L!I55" xr:uid="{00000000-0004-0000-0E00-00009E000000}"/>
    <hyperlink ref="G289" location="L!I143" display="L!I143" xr:uid="{00000000-0004-0000-0E00-00009F000000}"/>
    <hyperlink ref="G290" location="L!I127" display="L!I127" xr:uid="{00000000-0004-0000-0E00-0000A0000000}"/>
    <hyperlink ref="G291" location="L!I135" display="L!I135" xr:uid="{00000000-0004-0000-0E00-0000A1000000}"/>
    <hyperlink ref="G295" location="L!I7" display="L!I7" xr:uid="{00000000-0004-0000-0E00-0000A2000000}"/>
    <hyperlink ref="G296" location="L!I15" display="L!I15" xr:uid="{00000000-0004-0000-0E00-0000A3000000}"/>
    <hyperlink ref="G298" location="L!I151" display="L!I151" xr:uid="{00000000-0004-0000-0E00-0000A4000000}"/>
    <hyperlink ref="G300" location="L!I39" display="L!I39" xr:uid="{00000000-0004-0000-0E00-0000A5000000}"/>
    <hyperlink ref="G301" location="L!I47" display="L!I47" xr:uid="{00000000-0004-0000-0E00-0000A6000000}"/>
    <hyperlink ref="G302" location="L!I55" display="L!I55" xr:uid="{00000000-0004-0000-0E00-0000A7000000}"/>
    <hyperlink ref="G305" location="L!I143" display="L!I143" xr:uid="{00000000-0004-0000-0E00-0000A8000000}"/>
    <hyperlink ref="G306" location="L!I127" display="L!I127" xr:uid="{00000000-0004-0000-0E00-0000A9000000}"/>
    <hyperlink ref="G307" location="L!I135" display="L!I135" xr:uid="{00000000-0004-0000-0E00-0000AA000000}"/>
    <hyperlink ref="G311" location="L!I7" display="L!I7" xr:uid="{00000000-0004-0000-0E00-0000AB000000}"/>
    <hyperlink ref="G312" location="L!I15" display="L!I15" xr:uid="{00000000-0004-0000-0E00-0000AC000000}"/>
    <hyperlink ref="G314" location="L!I151" display="L!I151" xr:uid="{00000000-0004-0000-0E00-0000AD000000}"/>
    <hyperlink ref="G316" location="L!I39" display="L!I39" xr:uid="{00000000-0004-0000-0E00-0000AE000000}"/>
    <hyperlink ref="G317" location="L!I47" display="L!I47" xr:uid="{00000000-0004-0000-0E00-0000AF000000}"/>
    <hyperlink ref="G318" location="L!I55" display="L!I55" xr:uid="{00000000-0004-0000-0E00-0000B0000000}"/>
    <hyperlink ref="G321" location="L!I143" display="L!I143" xr:uid="{00000000-0004-0000-0E00-0000B1000000}"/>
    <hyperlink ref="G322" location="L!I127" display="L!I127" xr:uid="{00000000-0004-0000-0E00-0000B2000000}"/>
    <hyperlink ref="G323" location="L!I135" display="L!I135" xr:uid="{00000000-0004-0000-0E00-0000B3000000}"/>
    <hyperlink ref="G327" location="L!I7" display="L!I7" xr:uid="{00000000-0004-0000-0E00-0000B4000000}"/>
    <hyperlink ref="G328" location="L!I15" display="L!I15" xr:uid="{00000000-0004-0000-0E00-0000B5000000}"/>
    <hyperlink ref="G330" location="L!I151" display="L!I151" xr:uid="{00000000-0004-0000-0E00-0000B6000000}"/>
    <hyperlink ref="G332" location="L!I39" display="L!I39" xr:uid="{00000000-0004-0000-0E00-0000B7000000}"/>
    <hyperlink ref="G333" location="L!I47" display="L!I47" xr:uid="{00000000-0004-0000-0E00-0000B8000000}"/>
    <hyperlink ref="G334" location="L!I55" display="L!I55" xr:uid="{00000000-0004-0000-0E00-0000B9000000}"/>
    <hyperlink ref="G337" location="L!I143" display="L!I143" xr:uid="{00000000-0004-0000-0E00-0000BA000000}"/>
    <hyperlink ref="G338" location="L!I127" display="L!I127" xr:uid="{00000000-0004-0000-0E00-0000BB000000}"/>
    <hyperlink ref="G339" location="L!I135" display="L!I135" xr:uid="{00000000-0004-0000-0E00-0000BC000000}"/>
    <hyperlink ref="G407" location="L!I7" display="L!I7" xr:uid="{00000000-0004-0000-0E00-0000BD000000}"/>
    <hyperlink ref="G408" location="L!I15" display="L!I15" xr:uid="{00000000-0004-0000-0E00-0000BE000000}"/>
    <hyperlink ref="G410" location="L!I151" display="L!I151" xr:uid="{00000000-0004-0000-0E00-0000BF000000}"/>
    <hyperlink ref="G412" location="L!I39" display="L!I39" xr:uid="{00000000-0004-0000-0E00-0000C0000000}"/>
    <hyperlink ref="G413" location="L!I47" display="L!I47" xr:uid="{00000000-0004-0000-0E00-0000C1000000}"/>
    <hyperlink ref="G414" location="L!I55" display="L!I55" xr:uid="{00000000-0004-0000-0E00-0000C2000000}"/>
    <hyperlink ref="G417" location="L!I143" display="L!I143" xr:uid="{00000000-0004-0000-0E00-0000C3000000}"/>
    <hyperlink ref="G418" location="L!I127" display="L!I127" xr:uid="{00000000-0004-0000-0E00-0000C4000000}"/>
    <hyperlink ref="G419" location="L!I135" display="L!I135" xr:uid="{00000000-0004-0000-0E00-0000C5000000}"/>
    <hyperlink ref="G455" location="L!I7" display="L!I7" xr:uid="{00000000-0004-0000-0E00-0000C6000000}"/>
    <hyperlink ref="G456" location="L!I15" display="L!I15" xr:uid="{00000000-0004-0000-0E00-0000C7000000}"/>
    <hyperlink ref="G458" location="L!I151" display="L!I151" xr:uid="{00000000-0004-0000-0E00-0000C8000000}"/>
    <hyperlink ref="G460" location="L!I39" display="L!I39" xr:uid="{00000000-0004-0000-0E00-0000C9000000}"/>
    <hyperlink ref="G461" location="L!I47" display="L!I47" xr:uid="{00000000-0004-0000-0E00-0000CA000000}"/>
    <hyperlink ref="G462" location="L!I55" display="L!I55" xr:uid="{00000000-0004-0000-0E00-0000CB000000}"/>
    <hyperlink ref="G465" location="L!I143" display="L!I143" xr:uid="{00000000-0004-0000-0E00-0000CC000000}"/>
    <hyperlink ref="G466" location="L!I127" display="L!I127" xr:uid="{00000000-0004-0000-0E00-0000CD000000}"/>
    <hyperlink ref="G467" location="L!I135" display="L!I135" xr:uid="{00000000-0004-0000-0E00-0000CE000000}"/>
    <hyperlink ref="G423" location="L!I7" display="L!I7" xr:uid="{00000000-0004-0000-0E00-0000CF000000}"/>
    <hyperlink ref="G424" location="L!I15" display="L!I15" xr:uid="{00000000-0004-0000-0E00-0000D0000000}"/>
    <hyperlink ref="G426" location="L!I151" display="L!I151" xr:uid="{00000000-0004-0000-0E00-0000D1000000}"/>
    <hyperlink ref="G428" location="L!I39" display="L!I39" xr:uid="{00000000-0004-0000-0E00-0000D2000000}"/>
    <hyperlink ref="G429" location="L!I47" display="L!I47" xr:uid="{00000000-0004-0000-0E00-0000D3000000}"/>
    <hyperlink ref="G430" location="L!I55" display="L!I55" xr:uid="{00000000-0004-0000-0E00-0000D4000000}"/>
    <hyperlink ref="G433" location="L!I143" display="L!I143" xr:uid="{00000000-0004-0000-0E00-0000D5000000}"/>
    <hyperlink ref="G434" location="L!I127" display="L!I127" xr:uid="{00000000-0004-0000-0E00-0000D6000000}"/>
    <hyperlink ref="G435" location="L!I135" display="L!I135" xr:uid="{00000000-0004-0000-0E00-0000D7000000}"/>
    <hyperlink ref="G343" location="L!I7" display="L!I7" xr:uid="{00000000-0004-0000-0E00-0000D8000000}"/>
    <hyperlink ref="G344" location="L!I15" display="L!I15" xr:uid="{00000000-0004-0000-0E00-0000D9000000}"/>
    <hyperlink ref="G346" location="L!I151" display="L!I151" xr:uid="{00000000-0004-0000-0E00-0000DA000000}"/>
    <hyperlink ref="G348" location="L!I39" display="L!I39" xr:uid="{00000000-0004-0000-0E00-0000DB000000}"/>
    <hyperlink ref="G349" location="L!I47" display="L!I47" xr:uid="{00000000-0004-0000-0E00-0000DC000000}"/>
    <hyperlink ref="G350" location="L!I55" display="L!I55" xr:uid="{00000000-0004-0000-0E00-0000DD000000}"/>
    <hyperlink ref="G353" location="L!I143" display="L!I143" xr:uid="{00000000-0004-0000-0E00-0000DE000000}"/>
    <hyperlink ref="G354" location="L!I127" display="L!I127" xr:uid="{00000000-0004-0000-0E00-0000DF000000}"/>
    <hyperlink ref="G355" location="L!I135" display="L!I135" xr:uid="{00000000-0004-0000-0E00-0000E0000000}"/>
    <hyperlink ref="G359" location="L!I7" display="L!I7" xr:uid="{00000000-0004-0000-0E00-0000E1000000}"/>
    <hyperlink ref="G360" location="L!I15" display="L!I15" xr:uid="{00000000-0004-0000-0E00-0000E2000000}"/>
    <hyperlink ref="G362" location="L!I151" display="L!I151" xr:uid="{00000000-0004-0000-0E00-0000E3000000}"/>
    <hyperlink ref="G364" location="L!I39" display="L!I39" xr:uid="{00000000-0004-0000-0E00-0000E4000000}"/>
    <hyperlink ref="G365" location="L!I47" display="L!I47" xr:uid="{00000000-0004-0000-0E00-0000E5000000}"/>
    <hyperlink ref="G366" location="L!I55" display="L!I55" xr:uid="{00000000-0004-0000-0E00-0000E6000000}"/>
    <hyperlink ref="G369" location="L!I143" display="L!I143" xr:uid="{00000000-0004-0000-0E00-0000E7000000}"/>
    <hyperlink ref="G370" location="L!I127" display="L!I127" xr:uid="{00000000-0004-0000-0E00-0000E8000000}"/>
    <hyperlink ref="G371" location="L!I135" display="L!I135" xr:uid="{00000000-0004-0000-0E00-0000E9000000}"/>
    <hyperlink ref="G375" location="L!I7" display="L!I7" xr:uid="{00000000-0004-0000-0E00-0000EA000000}"/>
    <hyperlink ref="G376" location="L!I15" display="L!I15" xr:uid="{00000000-0004-0000-0E00-0000EB000000}"/>
    <hyperlink ref="G378" location="L!I151" display="L!I151" xr:uid="{00000000-0004-0000-0E00-0000EC000000}"/>
    <hyperlink ref="G380" location="L!I39" display="L!I39" xr:uid="{00000000-0004-0000-0E00-0000ED000000}"/>
    <hyperlink ref="G381" location="L!I47" display="L!I47" xr:uid="{00000000-0004-0000-0E00-0000EE000000}"/>
    <hyperlink ref="G382" location="L!I55" display="L!I55" xr:uid="{00000000-0004-0000-0E00-0000EF000000}"/>
    <hyperlink ref="G385" location="L!I143" display="L!I143" xr:uid="{00000000-0004-0000-0E00-0000F0000000}"/>
    <hyperlink ref="G386" location="L!I127" display="L!I127" xr:uid="{00000000-0004-0000-0E00-0000F1000000}"/>
    <hyperlink ref="G387" location="L!I135" display="L!I135" xr:uid="{00000000-0004-0000-0E00-0000F2000000}"/>
    <hyperlink ref="G391" location="L!I7" display="L!I7" xr:uid="{00000000-0004-0000-0E00-0000F3000000}"/>
    <hyperlink ref="G392" location="L!I15" display="L!I15" xr:uid="{00000000-0004-0000-0E00-0000F4000000}"/>
    <hyperlink ref="G394" location="L!I151" display="L!I151" xr:uid="{00000000-0004-0000-0E00-0000F5000000}"/>
    <hyperlink ref="G396" location="L!I39" display="L!I39" xr:uid="{00000000-0004-0000-0E00-0000F6000000}"/>
    <hyperlink ref="G397" location="L!I47" display="L!I47" xr:uid="{00000000-0004-0000-0E00-0000F7000000}"/>
    <hyperlink ref="G398" location="L!I55" display="L!I55" xr:uid="{00000000-0004-0000-0E00-0000F8000000}"/>
    <hyperlink ref="G401" location="L!I143" display="L!I143" xr:uid="{00000000-0004-0000-0E00-0000F9000000}"/>
    <hyperlink ref="G402" location="L!I127" display="L!I127" xr:uid="{00000000-0004-0000-0E00-0000FA000000}"/>
    <hyperlink ref="G403" location="L!I135" display="L!I135" xr:uid="{00000000-0004-0000-0E00-0000FB000000}"/>
    <hyperlink ref="G439" location="L!I7" display="L!I7" xr:uid="{00000000-0004-0000-0E00-0000FC000000}"/>
    <hyperlink ref="G440" location="L!I15" display="L!I15" xr:uid="{00000000-0004-0000-0E00-0000FD000000}"/>
    <hyperlink ref="G442" location="L!I151" display="L!I151" xr:uid="{00000000-0004-0000-0E00-0000FE000000}"/>
    <hyperlink ref="G444" location="L!I39" display="L!I39" xr:uid="{00000000-0004-0000-0E00-0000FF000000}"/>
    <hyperlink ref="G445" location="L!I47" display="L!I47" xr:uid="{00000000-0004-0000-0E00-000000010000}"/>
    <hyperlink ref="G446" location="L!I55" display="L!I55" xr:uid="{00000000-0004-0000-0E00-000001010000}"/>
    <hyperlink ref="G449" location="L!I143" display="L!I143" xr:uid="{00000000-0004-0000-0E00-000002010000}"/>
    <hyperlink ref="G450" location="L!I127" display="L!I127" xr:uid="{00000000-0004-0000-0E00-000003010000}"/>
    <hyperlink ref="G451" location="L!I135" display="L!I135" xr:uid="{00000000-0004-0000-0E00-000004010000}"/>
  </hyperlinks>
  <pageMargins left="0.5" right="0.5" top="0.5" bottom="0.5" header="0.3" footer="0.3"/>
  <pageSetup paperSize="9" orientation="portrait" r:id="rId1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0"/>
  <dimension ref="A1:T93"/>
  <sheetViews>
    <sheetView zoomScale="85" zoomScaleNormal="85" workbookViewId="0">
      <selection activeCell="N33" sqref="N33"/>
    </sheetView>
  </sheetViews>
  <sheetFormatPr defaultColWidth="9.140625" defaultRowHeight="15"/>
  <cols>
    <col min="1" max="1" width="9.140625" style="1304"/>
    <col min="2" max="2" width="9.5703125" style="1304" bestFit="1" customWidth="1"/>
    <col min="3" max="3" width="10.28515625" style="1304" customWidth="1"/>
    <col min="4" max="4" width="9.140625" style="1304"/>
    <col min="5" max="5" width="10.140625" style="1304" bestFit="1" customWidth="1"/>
    <col min="6" max="6" width="9.140625" style="1304"/>
    <col min="7" max="7" width="16" style="1304" bestFit="1" customWidth="1"/>
    <col min="8" max="14" width="9.140625" style="1304"/>
    <col min="15" max="16" width="9.85546875" style="1304" bestFit="1" customWidth="1"/>
    <col min="17" max="19" width="9.140625" style="1304"/>
    <col min="20" max="20" width="20.140625" style="1304" bestFit="1" customWidth="1"/>
    <col min="21" max="16384" width="9.140625" style="1304"/>
  </cols>
  <sheetData>
    <row r="1" spans="1:20">
      <c r="A1" s="1306" t="s">
        <v>42</v>
      </c>
      <c r="B1" s="1304" t="s">
        <v>1788</v>
      </c>
      <c r="E1" s="1304" t="e">
        <f>((Q3*Q4)+(Q6*Q7)+(R6*R7)+(S6*S7))-E5</f>
        <v>#REF!</v>
      </c>
      <c r="G1" s="2" t="s">
        <v>1782</v>
      </c>
      <c r="H1" s="2"/>
      <c r="I1" s="1704"/>
      <c r="J1" s="1299"/>
      <c r="K1" s="1299"/>
      <c r="L1" s="1299"/>
      <c r="M1" s="1299"/>
    </row>
    <row r="2" spans="1:20">
      <c r="A2" s="1306"/>
      <c r="B2" s="1304" t="s">
        <v>1787</v>
      </c>
      <c r="E2" s="1304">
        <f>(Q7*Q6)+(R7*R6)+(S7*S6)</f>
        <v>239.4</v>
      </c>
      <c r="G2" s="1408" t="s">
        <v>1830</v>
      </c>
      <c r="H2" s="1408">
        <f>0</f>
        <v>0</v>
      </c>
      <c r="I2" s="1299"/>
      <c r="J2" s="1299"/>
      <c r="K2" s="1299"/>
      <c r="L2" s="1299"/>
      <c r="M2" s="1299"/>
      <c r="P2" s="2711" t="s">
        <v>2021</v>
      </c>
      <c r="Q2" s="2711"/>
      <c r="R2" s="2711"/>
      <c r="S2" s="2711"/>
    </row>
    <row r="3" spans="1:20">
      <c r="B3" s="1304" t="s">
        <v>1781</v>
      </c>
      <c r="E3" s="1309" t="e">
        <f>(E1*2)-(E2+E6)</f>
        <v>#REF!</v>
      </c>
      <c r="G3" s="1523" t="s">
        <v>1920</v>
      </c>
      <c r="H3" s="1408">
        <v>0</v>
      </c>
      <c r="I3" s="1299"/>
      <c r="J3" s="1299"/>
      <c r="K3" s="1299"/>
      <c r="L3" s="1299"/>
      <c r="M3" s="1409"/>
      <c r="N3" s="1623"/>
      <c r="O3" s="1623"/>
      <c r="P3" s="1619" t="s">
        <v>1608</v>
      </c>
      <c r="Q3" s="1619">
        <v>4</v>
      </c>
      <c r="R3" s="1619">
        <v>0</v>
      </c>
      <c r="S3" s="1619">
        <v>0</v>
      </c>
    </row>
    <row r="4" spans="1:20">
      <c r="B4" s="1304" t="s">
        <v>1780</v>
      </c>
      <c r="E4" s="1309" t="e">
        <f>E2-(E7+H6)</f>
        <v>#REF!</v>
      </c>
      <c r="G4" s="1523" t="s">
        <v>1845</v>
      </c>
      <c r="H4" s="1304">
        <v>1.4</v>
      </c>
      <c r="I4" s="1299"/>
      <c r="J4" s="1299"/>
      <c r="K4" s="1299"/>
      <c r="L4" s="1299"/>
      <c r="M4" s="1409"/>
      <c r="N4" s="1623"/>
      <c r="O4" s="1623"/>
      <c r="P4" s="1582" t="s">
        <v>2009</v>
      </c>
      <c r="Q4" s="1582">
        <f>9.5+6.7+2.48+2.48+2.48+1.8+1.75+2.7+2.7</f>
        <v>32.590000000000003</v>
      </c>
      <c r="R4" s="1582">
        <v>0</v>
      </c>
      <c r="S4" s="1582">
        <v>0</v>
      </c>
    </row>
    <row r="5" spans="1:20">
      <c r="B5" s="1304" t="s">
        <v>1779</v>
      </c>
      <c r="E5" s="1618" t="e">
        <f>HIT.PINTU!#REF!</f>
        <v>#REF!</v>
      </c>
      <c r="G5" s="1409" t="s">
        <v>2030</v>
      </c>
      <c r="I5" s="1299"/>
      <c r="J5" s="1299"/>
      <c r="K5" s="1299"/>
      <c r="L5" s="1299"/>
      <c r="M5" s="1299"/>
      <c r="N5" s="1623"/>
      <c r="O5" s="1623"/>
      <c r="P5" s="2711" t="s">
        <v>2010</v>
      </c>
      <c r="Q5" s="2711"/>
      <c r="R5" s="2711"/>
      <c r="S5" s="2711"/>
    </row>
    <row r="6" spans="1:20">
      <c r="B6" s="1304" t="s">
        <v>1778</v>
      </c>
      <c r="E6" s="1304" t="e">
        <f>E5-E7</f>
        <v>#REF!</v>
      </c>
      <c r="G6" s="1409"/>
      <c r="H6" s="1540">
        <f>SUM(H2:H5)</f>
        <v>1.4</v>
      </c>
      <c r="I6" s="1299"/>
      <c r="J6" s="1299"/>
      <c r="K6" s="1299"/>
      <c r="L6" s="1299"/>
      <c r="M6" s="1299"/>
      <c r="N6" s="1623"/>
      <c r="O6" s="1623"/>
      <c r="P6" s="1624" t="s">
        <v>1608</v>
      </c>
      <c r="Q6" s="1619">
        <v>4</v>
      </c>
      <c r="R6" s="1619">
        <v>0</v>
      </c>
      <c r="S6" s="1619">
        <v>0</v>
      </c>
    </row>
    <row r="7" spans="1:20">
      <c r="B7" s="1304" t="s">
        <v>1777</v>
      </c>
      <c r="E7" s="1618" t="e">
        <f>HIT.PINTU!#REF!</f>
        <v>#REF!</v>
      </c>
      <c r="G7" s="1299"/>
      <c r="H7" s="1408"/>
      <c r="I7" s="1299"/>
      <c r="J7" s="1299"/>
      <c r="K7" s="1299"/>
      <c r="L7" s="1299"/>
      <c r="M7" s="1299"/>
      <c r="N7" s="1623"/>
      <c r="O7" s="1623"/>
      <c r="P7" s="1582" t="s">
        <v>2009</v>
      </c>
      <c r="Q7" s="1582">
        <f>7.7+11.5+9.5+4.2+2+3.5+5.7+2.75+6+6+1</f>
        <v>59.85</v>
      </c>
      <c r="R7" s="1582"/>
      <c r="S7" s="1582"/>
    </row>
    <row r="8" spans="1:20">
      <c r="G8" s="1299"/>
      <c r="H8" s="1408"/>
      <c r="I8" s="1299"/>
      <c r="J8" s="1299"/>
      <c r="K8" s="1299"/>
      <c r="N8" s="1623"/>
      <c r="O8" s="1623"/>
      <c r="P8" s="2711" t="s">
        <v>2022</v>
      </c>
      <c r="Q8" s="2711"/>
      <c r="R8" s="2711"/>
      <c r="S8" s="2711"/>
    </row>
    <row r="9" spans="1:20">
      <c r="A9" s="1306" t="s">
        <v>60</v>
      </c>
      <c r="B9" s="1304" t="s">
        <v>1786</v>
      </c>
      <c r="E9" s="1304" t="e">
        <f>((Q9*Q10)+(Q12*Q13)+(T12))-E13</f>
        <v>#REF!</v>
      </c>
      <c r="G9" s="2" t="s">
        <v>1782</v>
      </c>
      <c r="H9" s="1408"/>
      <c r="I9" s="1299"/>
      <c r="J9" s="1299"/>
      <c r="K9" s="1299"/>
      <c r="N9" s="1623"/>
      <c r="O9" s="1623"/>
      <c r="P9" s="1624" t="s">
        <v>1608</v>
      </c>
      <c r="Q9" s="1624">
        <v>4</v>
      </c>
      <c r="R9" s="1624">
        <v>0</v>
      </c>
      <c r="S9" s="1624">
        <v>0</v>
      </c>
    </row>
    <row r="10" spans="1:20">
      <c r="A10" s="1306"/>
      <c r="B10" s="1304" t="s">
        <v>1785</v>
      </c>
      <c r="E10" s="1304">
        <f>(Q13*Q12)+(R13*R12)+(S13*S12)</f>
        <v>184.88</v>
      </c>
      <c r="G10" s="1408" t="s">
        <v>1830</v>
      </c>
      <c r="H10" s="1408"/>
      <c r="I10" s="1299"/>
      <c r="J10" s="1299"/>
      <c r="K10" s="1299"/>
      <c r="N10" s="1623"/>
      <c r="O10" s="1623"/>
      <c r="P10" s="1582" t="s">
        <v>2009</v>
      </c>
      <c r="Q10" s="1582">
        <f>3.5+3.5+3.5+3.5+6.5+2+1.8+2.88+4.2</f>
        <v>31.38</v>
      </c>
      <c r="R10" s="1582">
        <v>0</v>
      </c>
      <c r="S10" s="1582">
        <v>0</v>
      </c>
    </row>
    <row r="11" spans="1:20">
      <c r="B11" s="1304" t="s">
        <v>1781</v>
      </c>
      <c r="E11" s="1309" t="e">
        <f>(E9*2)-(E10+E14)</f>
        <v>#REF!</v>
      </c>
      <c r="G11" s="1523" t="s">
        <v>2065</v>
      </c>
      <c r="H11" s="1408">
        <v>0</v>
      </c>
      <c r="I11" s="1409"/>
      <c r="J11" s="1299"/>
      <c r="K11" s="1299"/>
      <c r="N11" s="1623"/>
      <c r="O11" s="1623"/>
      <c r="P11" s="2711" t="s">
        <v>2011</v>
      </c>
      <c r="Q11" s="2711"/>
      <c r="R11" s="2711"/>
      <c r="S11" s="2711"/>
      <c r="T11" s="1304" t="s">
        <v>2134</v>
      </c>
    </row>
    <row r="12" spans="1:20">
      <c r="B12" s="1304" t="s">
        <v>1780</v>
      </c>
      <c r="E12" s="1309" t="e">
        <f>E10-(E15+H14)</f>
        <v>#REF!</v>
      </c>
      <c r="G12" s="1523" t="s">
        <v>1845</v>
      </c>
      <c r="H12" s="1304">
        <v>4.2</v>
      </c>
      <c r="I12" s="1409"/>
      <c r="J12" s="1299"/>
      <c r="K12" s="1299"/>
      <c r="N12" s="1623"/>
      <c r="O12" s="1623"/>
      <c r="P12" s="1624" t="s">
        <v>1608</v>
      </c>
      <c r="Q12" s="1624">
        <v>4</v>
      </c>
      <c r="R12" s="1624">
        <v>0</v>
      </c>
      <c r="S12" s="1624">
        <v>0</v>
      </c>
      <c r="T12" s="1304">
        <f>4.5*2</f>
        <v>9</v>
      </c>
    </row>
    <row r="13" spans="1:20">
      <c r="B13" s="1304" t="s">
        <v>1779</v>
      </c>
      <c r="E13" s="1618" t="e">
        <f>HIT.PINTU!#REF!</f>
        <v>#REF!</v>
      </c>
      <c r="G13" s="1409" t="s">
        <v>2030</v>
      </c>
      <c r="H13" s="1304">
        <v>0</v>
      </c>
      <c r="I13" s="1409"/>
      <c r="J13" s="1299"/>
      <c r="K13" s="1299"/>
      <c r="N13" s="1623"/>
      <c r="O13" s="1623"/>
      <c r="P13" s="1582" t="s">
        <v>2009</v>
      </c>
      <c r="Q13" s="1582">
        <f>11.11+7.7+1+13.8+4.16+2.75+1.5+4.2</f>
        <v>46.22</v>
      </c>
      <c r="R13" s="1582">
        <v>0</v>
      </c>
      <c r="S13" s="1582">
        <v>0</v>
      </c>
    </row>
    <row r="14" spans="1:20">
      <c r="B14" s="1304" t="s">
        <v>1778</v>
      </c>
      <c r="E14" s="1304" t="e">
        <f>E13-E15</f>
        <v>#REF!</v>
      </c>
      <c r="G14" s="1409"/>
      <c r="H14" s="1540">
        <f>SUM(H10:H13)</f>
        <v>4.2</v>
      </c>
      <c r="I14" s="1299"/>
      <c r="J14" s="1299"/>
      <c r="K14" s="1299"/>
      <c r="N14" s="1623"/>
      <c r="O14" s="1623"/>
      <c r="P14" s="2711" t="s">
        <v>2133</v>
      </c>
      <c r="Q14" s="2711"/>
      <c r="R14" s="2711"/>
      <c r="S14" s="2711"/>
    </row>
    <row r="15" spans="1:20">
      <c r="B15" s="1304" t="s">
        <v>1777</v>
      </c>
      <c r="E15" s="1618" t="e">
        <f>HIT.PINTU!#REF!</f>
        <v>#REF!</v>
      </c>
      <c r="G15" s="1299"/>
      <c r="H15" s="1299"/>
      <c r="I15" s="1299"/>
      <c r="J15" s="1299"/>
      <c r="K15" s="1299"/>
      <c r="N15" s="1623"/>
      <c r="O15" s="1623"/>
      <c r="P15" s="1624" t="s">
        <v>1608</v>
      </c>
      <c r="Q15" s="1624">
        <v>3.5</v>
      </c>
      <c r="R15" s="1624">
        <v>0</v>
      </c>
      <c r="S15" s="1624">
        <v>0</v>
      </c>
    </row>
    <row r="16" spans="1:20">
      <c r="G16" s="1299"/>
      <c r="H16" s="1299"/>
      <c r="I16" s="1299"/>
      <c r="J16" s="1299"/>
      <c r="K16" s="1299"/>
      <c r="N16" s="1623"/>
      <c r="O16" s="1623"/>
      <c r="P16" s="1582" t="s">
        <v>2009</v>
      </c>
      <c r="Q16" s="1582">
        <f>4.87+2.88+3.5+3.5+1.25+1.25</f>
        <v>17.25</v>
      </c>
      <c r="R16" s="1582">
        <v>0</v>
      </c>
      <c r="S16" s="1582">
        <v>0</v>
      </c>
    </row>
    <row r="17" spans="1:20">
      <c r="A17" s="1306" t="s">
        <v>71</v>
      </c>
      <c r="B17" s="1304" t="s">
        <v>1784</v>
      </c>
      <c r="E17" s="1308">
        <f>(Q19*Q18)+(R19*R18)+(S19*S18)+(Q16*Q15)+(R16*R15)+(S16*S15)+(T18)</f>
        <v>218.52499999999998</v>
      </c>
      <c r="G17" s="1408"/>
      <c r="H17" s="1408"/>
      <c r="I17" s="1299"/>
      <c r="J17" s="1299"/>
      <c r="K17" s="1299"/>
      <c r="N17" s="1623"/>
      <c r="O17" s="1623"/>
      <c r="P17" s="2711" t="s">
        <v>2012</v>
      </c>
      <c r="Q17" s="2711"/>
      <c r="R17" s="2711"/>
      <c r="S17" s="2711"/>
      <c r="T17" s="1304" t="s">
        <v>2134</v>
      </c>
    </row>
    <row r="18" spans="1:20">
      <c r="A18" s="1306"/>
      <c r="B18" s="1304" t="s">
        <v>1783</v>
      </c>
      <c r="E18" s="1304">
        <f>(Q18*Q19)+(R19*R18)+(S19*S18)</f>
        <v>141.14999999999998</v>
      </c>
      <c r="G18" s="1408"/>
      <c r="H18" s="1408"/>
      <c r="I18" s="1299"/>
      <c r="J18" s="1299"/>
      <c r="K18" s="1299"/>
      <c r="N18" s="1623"/>
      <c r="O18" s="1623"/>
      <c r="P18" s="1624" t="s">
        <v>1608</v>
      </c>
      <c r="Q18" s="1624">
        <v>3.5</v>
      </c>
      <c r="R18" s="1624">
        <v>1</v>
      </c>
      <c r="S18" s="1624">
        <v>0</v>
      </c>
      <c r="T18" s="1304">
        <f>8.5*2</f>
        <v>17</v>
      </c>
    </row>
    <row r="19" spans="1:20">
      <c r="B19" s="1304" t="s">
        <v>1781</v>
      </c>
      <c r="E19" s="1309" t="e">
        <f>(E17*2)-(E18+E22)</f>
        <v>#REF!</v>
      </c>
      <c r="G19" s="1409"/>
      <c r="H19" s="1299"/>
      <c r="I19" s="1409"/>
      <c r="J19" s="1299"/>
      <c r="K19" s="1299"/>
      <c r="N19" s="1623"/>
      <c r="O19" s="1623"/>
      <c r="P19" s="1582" t="s">
        <v>2009</v>
      </c>
      <c r="Q19" s="1582">
        <f>8.1+8.1+7.7+7.7+0.5+1.8+4.2</f>
        <v>38.099999999999994</v>
      </c>
      <c r="R19" s="1582">
        <f>4.2+1.8+1.8</f>
        <v>7.8</v>
      </c>
      <c r="S19" s="1582">
        <v>0</v>
      </c>
    </row>
    <row r="20" spans="1:20">
      <c r="B20" s="1304" t="s">
        <v>1780</v>
      </c>
      <c r="E20" s="1309" t="e">
        <f>E18-(E23+H22)</f>
        <v>#REF!</v>
      </c>
      <c r="G20" s="1409"/>
      <c r="H20" s="1299"/>
      <c r="I20" s="1409"/>
      <c r="J20" s="1299"/>
      <c r="K20" s="1299"/>
      <c r="P20" s="2711" t="s">
        <v>2133</v>
      </c>
      <c r="Q20" s="2711"/>
      <c r="R20" s="2711"/>
      <c r="S20" s="2711"/>
    </row>
    <row r="21" spans="1:20">
      <c r="B21" s="1304" t="s">
        <v>1779</v>
      </c>
      <c r="E21" s="1618" t="e">
        <f>HIT.PINTU!#REF!</f>
        <v>#REF!</v>
      </c>
      <c r="G21" s="1409"/>
      <c r="H21" s="1409"/>
      <c r="I21" s="1409"/>
      <c r="J21" s="1299"/>
      <c r="K21" s="1299"/>
      <c r="P21" s="1624" t="s">
        <v>1608</v>
      </c>
      <c r="Q21" s="1624">
        <v>0</v>
      </c>
      <c r="R21" s="1624">
        <v>0</v>
      </c>
      <c r="S21" s="1624">
        <v>0</v>
      </c>
    </row>
    <row r="22" spans="1:20">
      <c r="B22" s="1304" t="s">
        <v>1778</v>
      </c>
      <c r="E22" s="1304" t="e">
        <f>E21-E23</f>
        <v>#REF!</v>
      </c>
      <c r="G22" s="1409"/>
      <c r="H22" s="1409"/>
      <c r="I22" s="1299"/>
      <c r="J22" s="1299"/>
      <c r="K22" s="1299"/>
      <c r="P22" s="1582" t="s">
        <v>2009</v>
      </c>
      <c r="Q22" s="1582">
        <v>0</v>
      </c>
      <c r="R22" s="1582">
        <v>0</v>
      </c>
      <c r="S22" s="1582">
        <v>0</v>
      </c>
    </row>
    <row r="23" spans="1:20">
      <c r="B23" s="1304" t="s">
        <v>1777</v>
      </c>
      <c r="E23" s="1618" t="e">
        <f>HIT.PINTU!#REF!</f>
        <v>#REF!</v>
      </c>
      <c r="G23" s="1299"/>
      <c r="H23" s="1299"/>
      <c r="I23" s="1299"/>
      <c r="J23" s="1299"/>
      <c r="K23" s="1299"/>
      <c r="P23" s="2711" t="s">
        <v>2135</v>
      </c>
      <c r="Q23" s="2711"/>
      <c r="R23" s="2711"/>
      <c r="S23" s="2711"/>
      <c r="T23" s="1304" t="s">
        <v>2134</v>
      </c>
    </row>
    <row r="24" spans="1:20">
      <c r="G24" s="1299"/>
      <c r="H24" s="1299"/>
      <c r="I24" s="1299"/>
      <c r="J24" s="1299"/>
      <c r="K24" s="1299"/>
      <c r="P24" s="1624" t="s">
        <v>1608</v>
      </c>
      <c r="Q24" s="1624">
        <v>0.6</v>
      </c>
      <c r="R24" s="1624">
        <v>0</v>
      </c>
      <c r="S24" s="1624">
        <v>0</v>
      </c>
      <c r="T24" s="1304">
        <v>0</v>
      </c>
    </row>
    <row r="25" spans="1:20">
      <c r="A25" s="1306" t="s">
        <v>71</v>
      </c>
      <c r="B25" s="1304" t="s">
        <v>2136</v>
      </c>
      <c r="E25" s="1308">
        <f>(Q25*Q24)+(R25*R24)+(S25*S24)+(Q22*Q21)+(R22*R21)+(S22*S21)+(T24)</f>
        <v>8.4</v>
      </c>
      <c r="G25" s="1299"/>
      <c r="H25" s="1299"/>
      <c r="I25" s="1299"/>
      <c r="J25" s="1299"/>
      <c r="K25" s="1299"/>
      <c r="P25" s="1582" t="s">
        <v>2009</v>
      </c>
      <c r="Q25" s="1582">
        <f>5.86+4.07*2</f>
        <v>14</v>
      </c>
      <c r="R25" s="1582"/>
      <c r="S25" s="1582">
        <v>0</v>
      </c>
    </row>
    <row r="26" spans="1:20">
      <c r="A26" s="1306"/>
      <c r="B26" s="1304" t="s">
        <v>2137</v>
      </c>
      <c r="E26" s="1304">
        <f>(Q26*Q27)+(R27*R26)+(S27*S26)</f>
        <v>0</v>
      </c>
      <c r="G26" s="1299"/>
      <c r="H26" s="1299"/>
      <c r="I26" s="1299"/>
      <c r="J26" s="1299"/>
      <c r="K26" s="1299"/>
    </row>
    <row r="27" spans="1:20">
      <c r="B27" s="1304" t="s">
        <v>1781</v>
      </c>
      <c r="E27" s="1309">
        <v>0</v>
      </c>
      <c r="G27" s="1299"/>
      <c r="H27" s="1299"/>
      <c r="I27" s="1299"/>
      <c r="J27" s="1299"/>
      <c r="K27" s="1299"/>
    </row>
    <row r="28" spans="1:20">
      <c r="B28" s="1304" t="s">
        <v>1780</v>
      </c>
      <c r="E28" s="1309" t="e">
        <f>(E25*2)-(E26+E30)</f>
        <v>#REF!</v>
      </c>
      <c r="G28" s="1299"/>
      <c r="H28" s="1299"/>
      <c r="I28" s="1299"/>
      <c r="J28" s="1299"/>
      <c r="K28" s="1299"/>
    </row>
    <row r="29" spans="1:20">
      <c r="B29" s="1304" t="s">
        <v>1779</v>
      </c>
      <c r="E29" s="1618" t="e">
        <f>HIT.PINTU!#REF!</f>
        <v>#REF!</v>
      </c>
      <c r="G29" s="1299"/>
      <c r="H29" s="1299"/>
      <c r="I29" s="1299"/>
      <c r="J29" s="1299"/>
      <c r="K29" s="1299"/>
    </row>
    <row r="30" spans="1:20">
      <c r="B30" s="1304" t="s">
        <v>1778</v>
      </c>
      <c r="E30" s="1304" t="e">
        <f>E29-E31</f>
        <v>#REF!</v>
      </c>
      <c r="G30" s="1299"/>
      <c r="H30" s="1299"/>
      <c r="I30" s="1299"/>
      <c r="J30" s="1299"/>
      <c r="K30" s="1299"/>
    </row>
    <row r="31" spans="1:20">
      <c r="B31" s="1304" t="s">
        <v>1777</v>
      </c>
      <c r="E31" s="1618" t="e">
        <f>HIT.PINTU!#REF!</f>
        <v>#REF!</v>
      </c>
      <c r="G31" s="1299"/>
      <c r="H31" s="1299"/>
      <c r="I31" s="1299"/>
      <c r="J31" s="1299"/>
      <c r="K31" s="1299"/>
    </row>
    <row r="32" spans="1:20">
      <c r="G32" s="1299"/>
      <c r="H32" s="1299"/>
      <c r="I32" s="1299"/>
      <c r="J32" s="1299"/>
      <c r="K32" s="1299"/>
    </row>
    <row r="33" spans="1:11">
      <c r="G33" s="1299"/>
      <c r="H33" s="1299"/>
      <c r="I33" s="1299"/>
      <c r="J33" s="1299"/>
      <c r="K33" s="1299"/>
    </row>
    <row r="35" spans="1:11">
      <c r="B35" s="1304" t="s">
        <v>1776</v>
      </c>
      <c r="F35" s="1304" t="s">
        <v>1775</v>
      </c>
      <c r="H35" s="2919" t="s">
        <v>2049</v>
      </c>
      <c r="I35" s="2919"/>
      <c r="J35" s="2919"/>
    </row>
    <row r="36" spans="1:11">
      <c r="B36" s="1304" t="s">
        <v>28</v>
      </c>
      <c r="C36" s="1304" t="s">
        <v>1772</v>
      </c>
      <c r="D36" s="1304">
        <v>0</v>
      </c>
      <c r="F36" s="1304">
        <f>3.88*4+1.79</f>
        <v>17.309999999999999</v>
      </c>
      <c r="H36" s="1675" t="s">
        <v>2009</v>
      </c>
      <c r="I36" s="1675" t="s">
        <v>2045</v>
      </c>
      <c r="J36" s="1675" t="s">
        <v>213</v>
      </c>
    </row>
    <row r="37" spans="1:11">
      <c r="A37" s="1306"/>
      <c r="C37" s="1304" t="s">
        <v>1842</v>
      </c>
      <c r="D37" s="1304">
        <v>0</v>
      </c>
      <c r="F37" s="1304">
        <v>0</v>
      </c>
      <c r="H37" s="1663">
        <v>0</v>
      </c>
      <c r="I37" s="1663">
        <v>0</v>
      </c>
      <c r="J37" s="1663">
        <f>H37*I37</f>
        <v>0</v>
      </c>
    </row>
    <row r="38" spans="1:11">
      <c r="F38" s="1305">
        <f>SUM(F36:F37)</f>
        <v>17.309999999999999</v>
      </c>
      <c r="H38" s="1582"/>
      <c r="I38" s="1582"/>
      <c r="J38" s="1582"/>
    </row>
    <row r="39" spans="1:11">
      <c r="B39" s="1304" t="s">
        <v>28</v>
      </c>
      <c r="C39" s="1304" t="s">
        <v>1772</v>
      </c>
      <c r="D39" s="1304">
        <v>0</v>
      </c>
      <c r="H39" s="1582"/>
      <c r="I39" s="1582"/>
      <c r="J39" s="1582"/>
    </row>
    <row r="40" spans="1:11">
      <c r="C40" s="1304" t="s">
        <v>1773</v>
      </c>
      <c r="D40" s="1304">
        <v>0</v>
      </c>
      <c r="H40" s="1582"/>
      <c r="I40" s="1582"/>
      <c r="J40" s="1582"/>
    </row>
    <row r="41" spans="1:11">
      <c r="H41" s="1582"/>
      <c r="I41" s="1582"/>
      <c r="J41" s="1582"/>
    </row>
    <row r="42" spans="1:11">
      <c r="B42" s="1304" t="s">
        <v>1774</v>
      </c>
      <c r="H42" s="1582"/>
      <c r="I42" s="1582"/>
      <c r="J42" s="1582"/>
    </row>
    <row r="43" spans="1:11">
      <c r="A43" s="1306"/>
      <c r="B43" s="1304" t="s">
        <v>28</v>
      </c>
      <c r="C43" s="1304" t="s">
        <v>1772</v>
      </c>
      <c r="D43" s="1304">
        <v>0</v>
      </c>
      <c r="H43" s="1582"/>
      <c r="I43" s="1582"/>
      <c r="J43" s="1582"/>
    </row>
    <row r="44" spans="1:11">
      <c r="C44" s="1304" t="s">
        <v>2190</v>
      </c>
      <c r="D44" s="1304">
        <v>0</v>
      </c>
      <c r="H44" s="1582"/>
      <c r="I44" s="1582"/>
      <c r="J44" s="1582"/>
    </row>
    <row r="47" spans="1:11" s="1639" customFormat="1">
      <c r="A47" s="1638"/>
      <c r="C47" s="1639" t="s">
        <v>1771</v>
      </c>
      <c r="D47" s="1640">
        <f>4.2+((12.7+7.5)*2)</f>
        <v>44.6</v>
      </c>
    </row>
    <row r="49" spans="1:13">
      <c r="A49" s="1304" t="s">
        <v>1413</v>
      </c>
      <c r="B49" s="1304" t="s">
        <v>1770</v>
      </c>
      <c r="C49" s="1304" t="s">
        <v>1765</v>
      </c>
      <c r="F49" s="1304">
        <f>(6.03+8.3)*3.05</f>
        <v>43.706500000000005</v>
      </c>
      <c r="H49" s="1304" t="s">
        <v>1519</v>
      </c>
      <c r="J49" s="1304" t="s">
        <v>1769</v>
      </c>
    </row>
    <row r="50" spans="1:13">
      <c r="C50" s="1304" t="s">
        <v>1764</v>
      </c>
      <c r="F50" s="1304">
        <f>HIT.PINTU!M18+HIT.PINTU!M10</f>
        <v>0</v>
      </c>
      <c r="H50" s="1308">
        <f>F52+F57+F62+F67</f>
        <v>43.706500000000005</v>
      </c>
      <c r="J50" s="1308">
        <f>F51+F56+F61+F66</f>
        <v>4.2990000000000004</v>
      </c>
    </row>
    <row r="51" spans="1:13">
      <c r="C51" s="1304" t="s">
        <v>1763</v>
      </c>
      <c r="F51" s="1305">
        <f>F49/3.05*0.3</f>
        <v>4.2990000000000004</v>
      </c>
    </row>
    <row r="52" spans="1:13">
      <c r="A52" s="1306"/>
      <c r="C52" s="1304" t="s">
        <v>1518</v>
      </c>
      <c r="F52" s="1305">
        <f>F49-F50</f>
        <v>43.706500000000005</v>
      </c>
    </row>
    <row r="54" spans="1:13">
      <c r="B54" s="1304" t="s">
        <v>1768</v>
      </c>
      <c r="C54" s="1304" t="s">
        <v>1765</v>
      </c>
      <c r="F54" s="1304">
        <v>0</v>
      </c>
    </row>
    <row r="55" spans="1:13">
      <c r="C55" s="1304" t="s">
        <v>1764</v>
      </c>
      <c r="F55" s="1304">
        <v>0</v>
      </c>
      <c r="M55" s="1304">
        <f>(1.32+1.68)*2</f>
        <v>6</v>
      </c>
    </row>
    <row r="56" spans="1:13">
      <c r="C56" s="1304" t="s">
        <v>1763</v>
      </c>
      <c r="F56" s="1305">
        <f>(F54/3*0.3)</f>
        <v>0</v>
      </c>
    </row>
    <row r="57" spans="1:13">
      <c r="A57" s="1306"/>
      <c r="C57" s="1304" t="s">
        <v>1518</v>
      </c>
      <c r="F57" s="1305">
        <f>(F54-F55)</f>
        <v>0</v>
      </c>
    </row>
    <row r="58" spans="1:13">
      <c r="B58" s="1307"/>
    </row>
    <row r="59" spans="1:13">
      <c r="B59" s="1304" t="s">
        <v>1767</v>
      </c>
      <c r="C59" s="1304" t="s">
        <v>1765</v>
      </c>
      <c r="F59" s="1304">
        <v>0</v>
      </c>
    </row>
    <row r="60" spans="1:13">
      <c r="C60" s="1304" t="s">
        <v>1764</v>
      </c>
      <c r="F60" s="1304">
        <v>0</v>
      </c>
    </row>
    <row r="61" spans="1:13">
      <c r="C61" s="1304" t="s">
        <v>1763</v>
      </c>
      <c r="F61" s="1305">
        <f>(F59/3*0.3)</f>
        <v>0</v>
      </c>
    </row>
    <row r="62" spans="1:13">
      <c r="A62" s="1306"/>
      <c r="C62" s="1304" t="s">
        <v>1518</v>
      </c>
      <c r="F62" s="1305">
        <f>F59-F60</f>
        <v>0</v>
      </c>
    </row>
    <row r="63" spans="1:13">
      <c r="B63" s="1307"/>
    </row>
    <row r="64" spans="1:13">
      <c r="B64" s="1304" t="s">
        <v>1766</v>
      </c>
      <c r="C64" s="1304" t="s">
        <v>1765</v>
      </c>
      <c r="F64" s="1304">
        <v>0</v>
      </c>
    </row>
    <row r="65" spans="1:10">
      <c r="C65" s="1304" t="s">
        <v>1764</v>
      </c>
      <c r="F65" s="1304">
        <v>0</v>
      </c>
    </row>
    <row r="66" spans="1:10">
      <c r="C66" s="1304" t="s">
        <v>1763</v>
      </c>
      <c r="F66" s="1305">
        <f>(F64/3*0.3)</f>
        <v>0</v>
      </c>
    </row>
    <row r="67" spans="1:10">
      <c r="A67" s="1306"/>
      <c r="C67" s="1304" t="s">
        <v>1518</v>
      </c>
      <c r="F67" s="1305">
        <f>F64-F65</f>
        <v>0</v>
      </c>
    </row>
    <row r="69" spans="1:10">
      <c r="A69" s="1304" t="s">
        <v>1010</v>
      </c>
      <c r="B69" s="1304" t="s">
        <v>1770</v>
      </c>
      <c r="C69" s="1304" t="s">
        <v>1765</v>
      </c>
      <c r="F69" s="1304">
        <f>(6.3+3)*3.05</f>
        <v>28.365000000000002</v>
      </c>
      <c r="H69" s="1304" t="s">
        <v>1519</v>
      </c>
      <c r="J69" s="1304" t="s">
        <v>1769</v>
      </c>
    </row>
    <row r="70" spans="1:10">
      <c r="C70" s="1304" t="s">
        <v>1764</v>
      </c>
      <c r="F70" s="1304" t="e">
        <f>HIT.PINTU!#REF!+HIT.PINTU!#REF!</f>
        <v>#REF!</v>
      </c>
      <c r="H70" s="1308" t="e">
        <f>F72+F77+F82+F87</f>
        <v>#REF!</v>
      </c>
      <c r="J70" s="1308">
        <f>F71+F76+F81+F86</f>
        <v>2.9857894736842105</v>
      </c>
    </row>
    <row r="71" spans="1:10">
      <c r="C71" s="1304" t="s">
        <v>1763</v>
      </c>
      <c r="F71" s="1305">
        <f>F69/2.85*0.3</f>
        <v>2.9857894736842105</v>
      </c>
    </row>
    <row r="72" spans="1:10">
      <c r="A72" s="1306"/>
      <c r="C72" s="1304" t="s">
        <v>1518</v>
      </c>
      <c r="F72" s="1305" t="e">
        <f>F69-F70</f>
        <v>#REF!</v>
      </c>
    </row>
    <row r="74" spans="1:10">
      <c r="B74" s="1304" t="s">
        <v>1768</v>
      </c>
      <c r="C74" s="1304" t="s">
        <v>1765</v>
      </c>
      <c r="F74" s="1304">
        <v>0</v>
      </c>
    </row>
    <row r="75" spans="1:10">
      <c r="C75" s="1304" t="s">
        <v>1764</v>
      </c>
      <c r="F75" s="1304">
        <v>0</v>
      </c>
    </row>
    <row r="76" spans="1:10">
      <c r="C76" s="1304" t="s">
        <v>1763</v>
      </c>
      <c r="F76" s="1305">
        <f>F74/2.05*0.3</f>
        <v>0</v>
      </c>
    </row>
    <row r="77" spans="1:10">
      <c r="A77" s="1306"/>
      <c r="C77" s="1304" t="s">
        <v>1518</v>
      </c>
      <c r="F77" s="1305">
        <f>F74-F75</f>
        <v>0</v>
      </c>
    </row>
    <row r="78" spans="1:10">
      <c r="B78" s="1307"/>
    </row>
    <row r="79" spans="1:10">
      <c r="B79" s="1304" t="s">
        <v>1767</v>
      </c>
      <c r="C79" s="1304" t="s">
        <v>1765</v>
      </c>
      <c r="F79" s="1304">
        <v>0</v>
      </c>
    </row>
    <row r="80" spans="1:10">
      <c r="C80" s="1304" t="s">
        <v>1764</v>
      </c>
      <c r="F80" s="1304">
        <v>0</v>
      </c>
    </row>
    <row r="81" spans="1:10">
      <c r="C81" s="1304" t="s">
        <v>1763</v>
      </c>
      <c r="F81" s="1305">
        <f>F79/2.05*0.3</f>
        <v>0</v>
      </c>
    </row>
    <row r="82" spans="1:10">
      <c r="A82" s="1306"/>
      <c r="C82" s="1304" t="s">
        <v>1518</v>
      </c>
      <c r="F82" s="1305">
        <f>F79-F80</f>
        <v>0</v>
      </c>
    </row>
    <row r="83" spans="1:10">
      <c r="B83" s="1307"/>
    </row>
    <row r="84" spans="1:10">
      <c r="B84" s="1304" t="s">
        <v>1766</v>
      </c>
      <c r="C84" s="1304" t="s">
        <v>1765</v>
      </c>
      <c r="F84" s="1304">
        <v>0</v>
      </c>
    </row>
    <row r="85" spans="1:10">
      <c r="C85" s="1304" t="s">
        <v>1764</v>
      </c>
      <c r="F85" s="1304">
        <v>0</v>
      </c>
    </row>
    <row r="86" spans="1:10">
      <c r="C86" s="1304" t="s">
        <v>1763</v>
      </c>
      <c r="F86" s="1305">
        <f>F84/2.85*0.3</f>
        <v>0</v>
      </c>
    </row>
    <row r="87" spans="1:10">
      <c r="A87" s="1306"/>
      <c r="C87" s="1304" t="s">
        <v>1518</v>
      </c>
      <c r="F87" s="1305">
        <f>F84-F85</f>
        <v>0</v>
      </c>
    </row>
    <row r="88" spans="1:10">
      <c r="B88" s="1299"/>
      <c r="C88" s="1299"/>
      <c r="D88" s="1299"/>
      <c r="E88" s="1299"/>
    </row>
    <row r="90" spans="1:10">
      <c r="A90" s="1304" t="s">
        <v>1010</v>
      </c>
      <c r="B90" s="1304" t="s">
        <v>1770</v>
      </c>
      <c r="C90" s="1304" t="s">
        <v>1765</v>
      </c>
      <c r="F90" s="1304">
        <f>1.85*3.05</f>
        <v>5.6425000000000001</v>
      </c>
      <c r="H90" s="1304" t="s">
        <v>1519</v>
      </c>
      <c r="J90" s="1304" t="s">
        <v>1769</v>
      </c>
    </row>
    <row r="91" spans="1:10">
      <c r="C91" s="1304" t="s">
        <v>1764</v>
      </c>
      <c r="F91" s="1304" t="e">
        <f>HIT.PINTU!#REF!+HIT.PINTU!#REF!</f>
        <v>#REF!</v>
      </c>
      <c r="H91" s="1308" t="e">
        <f>F93+F98+F103+F108</f>
        <v>#REF!</v>
      </c>
      <c r="J91" s="1308">
        <f>F92+F97+F102+F107</f>
        <v>0.59394736842105267</v>
      </c>
    </row>
    <row r="92" spans="1:10">
      <c r="C92" s="1304" t="s">
        <v>1763</v>
      </c>
      <c r="F92" s="1305">
        <f>F90/2.85*0.3</f>
        <v>0.59394736842105267</v>
      </c>
    </row>
    <row r="93" spans="1:10">
      <c r="A93" s="1306"/>
      <c r="C93" s="1304" t="s">
        <v>1518</v>
      </c>
      <c r="F93" s="1305" t="e">
        <f>F90-F91</f>
        <v>#REF!</v>
      </c>
    </row>
  </sheetData>
  <mergeCells count="9">
    <mergeCell ref="H35:J35"/>
    <mergeCell ref="P17:S17"/>
    <mergeCell ref="P2:S2"/>
    <mergeCell ref="P5:S5"/>
    <mergeCell ref="P8:S8"/>
    <mergeCell ref="P11:S11"/>
    <mergeCell ref="P14:S14"/>
    <mergeCell ref="P20:S20"/>
    <mergeCell ref="P23:S23"/>
  </mergeCells>
  <hyperlinks>
    <hyperlink ref="E5" location="HIT.PINTU!C21" display="HIT.PINTU!C21" xr:uid="{00000000-0004-0000-0F00-000000000000}"/>
    <hyperlink ref="E7" location="HIT.PINTU!C22" display="HIT.PINTU!C22" xr:uid="{00000000-0004-0000-0F00-000001000000}"/>
    <hyperlink ref="E13" location="HIT.PINTU!C45" display="HIT.PINTU!C45" xr:uid="{00000000-0004-0000-0F00-000002000000}"/>
    <hyperlink ref="E15" location="HIT.PINTU!C46" display="HIT.PINTU!C46" xr:uid="{00000000-0004-0000-0F00-000003000000}"/>
    <hyperlink ref="E21" location="HIT.PINTU!C67" display="HIT.PINTU!C67" xr:uid="{00000000-0004-0000-0F00-000004000000}"/>
    <hyperlink ref="E23" location="HIT.PINTU!C68" display="HIT.PINTU!C68" xr:uid="{00000000-0004-0000-0F00-000005000000}"/>
    <hyperlink ref="E29" location="HIT.PINTU!C67" display="HIT.PINTU!C67" xr:uid="{00000000-0004-0000-0F00-000006000000}"/>
    <hyperlink ref="E31" location="HIT.PINTU!C68" display="HIT.PINTU!C68" xr:uid="{00000000-0004-0000-0F00-000007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5">
    <tabColor rgb="FF7030A0"/>
  </sheetPr>
  <dimension ref="A1:J72"/>
  <sheetViews>
    <sheetView showGridLines="0" zoomScaleNormal="100" workbookViewId="0">
      <selection activeCell="J10" sqref="J10"/>
    </sheetView>
  </sheetViews>
  <sheetFormatPr defaultRowHeight="20.100000000000001" customHeight="1"/>
  <cols>
    <col min="1" max="1" width="13.85546875" style="1221" bestFit="1" customWidth="1"/>
    <col min="2" max="5" width="9.85546875" style="1221" bestFit="1" customWidth="1"/>
    <col min="6" max="9" width="9.140625" style="1221"/>
    <col min="10" max="10" width="17.85546875" style="1221" customWidth="1"/>
    <col min="11" max="16384" width="9.140625" style="1221"/>
  </cols>
  <sheetData>
    <row r="1" spans="1:7" ht="20.100000000000001" customHeight="1">
      <c r="A1" s="2414"/>
      <c r="B1" s="2414" t="s">
        <v>2946</v>
      </c>
      <c r="C1" s="2414" t="s">
        <v>2947</v>
      </c>
      <c r="D1" s="2414" t="s">
        <v>2948</v>
      </c>
      <c r="E1" s="2414" t="s">
        <v>2949</v>
      </c>
      <c r="F1" s="2414" t="s">
        <v>2950</v>
      </c>
      <c r="G1" s="2414" t="s">
        <v>2951</v>
      </c>
    </row>
    <row r="2" spans="1:7" ht="20.100000000000001" customHeight="1">
      <c r="A2" s="2415" t="s">
        <v>2678</v>
      </c>
      <c r="B2" s="2416">
        <f>D12+E17</f>
        <v>1134.0500000000002</v>
      </c>
      <c r="C2" s="2416">
        <f>D23+D28</f>
        <v>0</v>
      </c>
      <c r="D2" s="2416">
        <f>D34+F39</f>
        <v>0</v>
      </c>
      <c r="E2" s="2416">
        <f>D45+D50</f>
        <v>0</v>
      </c>
      <c r="F2" s="2416">
        <f>D56+D61</f>
        <v>0</v>
      </c>
      <c r="G2" s="2416">
        <f>D67+D72</f>
        <v>0</v>
      </c>
    </row>
    <row r="3" spans="1:7" ht="20.100000000000001" customHeight="1">
      <c r="A3" s="2415" t="s">
        <v>2679</v>
      </c>
      <c r="B3" s="2416">
        <f>B2*2-B4-B5</f>
        <v>1356.4880000000003</v>
      </c>
      <c r="C3" s="2416">
        <f>C2*2-C4-C5</f>
        <v>0</v>
      </c>
      <c r="D3" s="2416">
        <f>15.45*D6</f>
        <v>0</v>
      </c>
      <c r="E3" s="2416">
        <f>D45</f>
        <v>0</v>
      </c>
      <c r="F3" s="2416">
        <f>F2*2-F4-F5</f>
        <v>0</v>
      </c>
      <c r="G3" s="2416">
        <v>0</v>
      </c>
    </row>
    <row r="4" spans="1:7" ht="20.100000000000001" customHeight="1">
      <c r="A4" s="2415" t="s">
        <v>2680</v>
      </c>
      <c r="B4" s="2416">
        <f>28.08*B6+E17</f>
        <v>425.11199999999997</v>
      </c>
      <c r="C4" s="2416">
        <f>21.78*C6</f>
        <v>0</v>
      </c>
      <c r="D4" s="2416">
        <v>0</v>
      </c>
      <c r="E4" s="2416"/>
      <c r="F4" s="2416"/>
      <c r="G4" s="2416"/>
    </row>
    <row r="5" spans="1:7" ht="20.100000000000001" customHeight="1">
      <c r="A5" s="2415" t="s">
        <v>2681</v>
      </c>
      <c r="B5" s="2416">
        <f>40*B6+A17</f>
        <v>486.5</v>
      </c>
      <c r="C5" s="2416">
        <f>34.62*C6</f>
        <v>0</v>
      </c>
      <c r="D5" s="2416">
        <v>0</v>
      </c>
      <c r="E5" s="2416"/>
      <c r="F5" s="2416"/>
      <c r="G5" s="2416"/>
    </row>
    <row r="6" spans="1:7" ht="20.100000000000001" customHeight="1">
      <c r="A6" s="2415" t="s">
        <v>1608</v>
      </c>
      <c r="B6" s="2416">
        <v>5.15</v>
      </c>
      <c r="C6" s="2416">
        <v>0</v>
      </c>
      <c r="D6" s="2416">
        <v>0</v>
      </c>
      <c r="E6" s="2416"/>
      <c r="F6" s="2416"/>
      <c r="G6" s="2416"/>
    </row>
    <row r="8" spans="1:7" ht="20.100000000000001" customHeight="1">
      <c r="A8" s="2414" t="str">
        <f>B1</f>
        <v>LT. 1</v>
      </c>
      <c r="B8" s="2418"/>
      <c r="C8" s="2418"/>
      <c r="D8" s="2418"/>
    </row>
    <row r="9" spans="1:7" ht="20.100000000000001" customHeight="1">
      <c r="A9" s="2417" t="s">
        <v>2682</v>
      </c>
      <c r="B9" s="2419">
        <f>B6</f>
        <v>5.15</v>
      </c>
      <c r="C9" s="2418" t="s">
        <v>129</v>
      </c>
      <c r="D9" s="2418"/>
    </row>
    <row r="10" spans="1:7" ht="20.100000000000001" customHeight="1">
      <c r="A10" s="2420" t="s">
        <v>2683</v>
      </c>
      <c r="B10" s="2421">
        <v>161</v>
      </c>
      <c r="C10" s="2418" t="s">
        <v>147</v>
      </c>
      <c r="D10" s="2418"/>
    </row>
    <row r="11" spans="1:7" ht="20.100000000000001" customHeight="1">
      <c r="A11" s="2418">
        <v>1</v>
      </c>
      <c r="B11" s="2418">
        <v>2</v>
      </c>
      <c r="C11" s="2418">
        <v>3</v>
      </c>
      <c r="D11" s="2418" t="s">
        <v>1791</v>
      </c>
    </row>
    <row r="12" spans="1:7" ht="20.100000000000001" customHeight="1">
      <c r="A12" s="2421">
        <v>197</v>
      </c>
      <c r="B12" s="2421"/>
      <c r="C12" s="2421"/>
      <c r="D12" s="2421">
        <f>SUM(A12:C12)*B9-B10</f>
        <v>853.55000000000007</v>
      </c>
      <c r="F12" s="1221" t="s">
        <v>2945</v>
      </c>
    </row>
    <row r="13" spans="1:7" ht="20.100000000000001" customHeight="1">
      <c r="A13" s="2418"/>
      <c r="B13" s="2418"/>
      <c r="C13" s="2418"/>
      <c r="D13" s="2418"/>
    </row>
    <row r="14" spans="1:7" ht="20.100000000000001" customHeight="1">
      <c r="A14" s="2418">
        <v>1</v>
      </c>
      <c r="B14" s="2418">
        <v>2</v>
      </c>
      <c r="C14" s="2418">
        <v>3</v>
      </c>
      <c r="D14" s="2418">
        <v>4</v>
      </c>
    </row>
    <row r="15" spans="1:7" ht="20.100000000000001" customHeight="1">
      <c r="A15" s="2421">
        <v>165</v>
      </c>
      <c r="B15" s="2421"/>
      <c r="C15" s="2421"/>
      <c r="D15" s="2421"/>
    </row>
    <row r="16" spans="1:7" ht="20.100000000000001" customHeight="1">
      <c r="A16" s="2421">
        <v>1.7</v>
      </c>
      <c r="B16" s="2421"/>
      <c r="C16" s="2421"/>
      <c r="D16" s="2421"/>
      <c r="E16" s="2418" t="s">
        <v>1615</v>
      </c>
    </row>
    <row r="17" spans="1:6" ht="20.100000000000001" customHeight="1">
      <c r="A17" s="2421">
        <f>A15*A16</f>
        <v>280.5</v>
      </c>
      <c r="B17" s="2421">
        <f>B15*B16</f>
        <v>0</v>
      </c>
      <c r="C17" s="2421">
        <f>C15*C16</f>
        <v>0</v>
      </c>
      <c r="D17" s="2421">
        <f>D15*D16/2</f>
        <v>0</v>
      </c>
      <c r="E17" s="2421">
        <f>SUM(A17:D17)</f>
        <v>280.5</v>
      </c>
    </row>
    <row r="19" spans="1:6" ht="20.100000000000001" customHeight="1">
      <c r="A19" s="2414" t="str">
        <f>C1</f>
        <v>LT. 2</v>
      </c>
      <c r="B19" s="2418"/>
      <c r="C19" s="2418"/>
      <c r="D19" s="2418"/>
    </row>
    <row r="20" spans="1:6" ht="20.100000000000001" customHeight="1">
      <c r="A20" s="2417" t="s">
        <v>2682</v>
      </c>
      <c r="B20" s="2422">
        <f>C6</f>
        <v>0</v>
      </c>
      <c r="C20" s="2418" t="s">
        <v>129</v>
      </c>
      <c r="D20" s="2418"/>
    </row>
    <row r="21" spans="1:6" ht="20.100000000000001" customHeight="1">
      <c r="A21" s="2418"/>
      <c r="B21" s="2418"/>
      <c r="C21" s="2418"/>
      <c r="D21" s="2418"/>
    </row>
    <row r="22" spans="1:6" ht="20.100000000000001" customHeight="1">
      <c r="A22" s="2418" t="s">
        <v>2296</v>
      </c>
      <c r="B22" s="2418" t="s">
        <v>2214</v>
      </c>
      <c r="C22" s="2418" t="s">
        <v>2322</v>
      </c>
      <c r="D22" s="2418" t="s">
        <v>1791</v>
      </c>
    </row>
    <row r="23" spans="1:6" ht="20.100000000000001" customHeight="1">
      <c r="A23" s="2421"/>
      <c r="B23" s="2421"/>
      <c r="C23" s="2421"/>
      <c r="D23" s="2421">
        <f>SUM(A23:C23)*B20-B21</f>
        <v>0</v>
      </c>
    </row>
    <row r="24" spans="1:6" ht="20.100000000000001" customHeight="1">
      <c r="A24" s="2418"/>
      <c r="B24" s="2418"/>
      <c r="C24" s="2418"/>
      <c r="D24" s="2418"/>
    </row>
    <row r="25" spans="1:6" ht="20.100000000000001" customHeight="1">
      <c r="A25" s="2418" t="s">
        <v>2212</v>
      </c>
      <c r="B25" s="2418" t="s">
        <v>2214</v>
      </c>
      <c r="C25" s="2418" t="s">
        <v>2215</v>
      </c>
      <c r="D25" s="2418"/>
    </row>
    <row r="26" spans="1:6" ht="20.100000000000001" customHeight="1">
      <c r="A26" s="2421"/>
      <c r="B26" s="2421"/>
      <c r="C26" s="2421"/>
      <c r="D26" s="2418"/>
    </row>
    <row r="27" spans="1:6" ht="20.100000000000001" customHeight="1">
      <c r="A27" s="2421"/>
      <c r="B27" s="2421"/>
      <c r="C27" s="2421"/>
      <c r="D27" s="2418" t="s">
        <v>1615</v>
      </c>
    </row>
    <row r="28" spans="1:6" ht="20.100000000000001" customHeight="1">
      <c r="A28" s="2421">
        <f>A26*A27</f>
        <v>0</v>
      </c>
      <c r="B28" s="2421">
        <f>B26*B27</f>
        <v>0</v>
      </c>
      <c r="C28" s="2421">
        <f>C26*C27</f>
        <v>0</v>
      </c>
      <c r="D28" s="2421">
        <f>SUM(A28:C28)</f>
        <v>0</v>
      </c>
    </row>
    <row r="30" spans="1:6" ht="20.100000000000001" customHeight="1">
      <c r="A30" s="2414" t="str">
        <f>D1</f>
        <v>LT. 3</v>
      </c>
      <c r="B30" s="2418"/>
      <c r="C30" s="2418"/>
      <c r="D30" s="2418"/>
      <c r="F30" s="1221" t="s">
        <v>2952</v>
      </c>
    </row>
    <row r="31" spans="1:6" ht="20.100000000000001" customHeight="1">
      <c r="A31" s="2417" t="s">
        <v>2682</v>
      </c>
      <c r="B31" s="2421">
        <f>D6</f>
        <v>0</v>
      </c>
      <c r="C31" s="2418" t="s">
        <v>129</v>
      </c>
      <c r="D31" s="2418"/>
    </row>
    <row r="32" spans="1:6" ht="20.100000000000001" customHeight="1">
      <c r="A32" s="2418"/>
      <c r="B32" s="2418"/>
      <c r="C32" s="2418"/>
      <c r="D32" s="2418"/>
    </row>
    <row r="33" spans="1:10" ht="20.100000000000001" customHeight="1">
      <c r="A33" s="2418" t="s">
        <v>2296</v>
      </c>
      <c r="B33" s="2418" t="s">
        <v>2321</v>
      </c>
      <c r="C33" s="2418" t="s">
        <v>2322</v>
      </c>
      <c r="D33" s="2418" t="s">
        <v>1791</v>
      </c>
    </row>
    <row r="34" spans="1:10" ht="20.100000000000001" customHeight="1">
      <c r="A34" s="2421">
        <v>23.5</v>
      </c>
      <c r="B34" s="2421"/>
      <c r="C34" s="2421"/>
      <c r="D34" s="2421">
        <f>SUM(A34:C34)*B31-B32</f>
        <v>0</v>
      </c>
    </row>
    <row r="35" spans="1:10" ht="20.100000000000001" customHeight="1">
      <c r="A35" s="2418"/>
      <c r="B35" s="2418"/>
      <c r="C35" s="2418"/>
      <c r="D35" s="2418"/>
    </row>
    <row r="36" spans="1:10" ht="20.100000000000001" customHeight="1">
      <c r="A36" s="2418" t="s">
        <v>2212</v>
      </c>
      <c r="B36" s="2418" t="s">
        <v>2213</v>
      </c>
      <c r="C36" s="2418" t="s">
        <v>2215</v>
      </c>
      <c r="D36" s="2418"/>
    </row>
    <row r="37" spans="1:10" ht="20.100000000000001" customHeight="1">
      <c r="A37" s="2421"/>
      <c r="B37" s="2421"/>
      <c r="C37" s="2421"/>
      <c r="D37" s="2421"/>
      <c r="E37" s="2421"/>
      <c r="F37" s="2418"/>
    </row>
    <row r="38" spans="1:10" ht="20.100000000000001" customHeight="1">
      <c r="A38" s="2421"/>
      <c r="B38" s="2421"/>
      <c r="C38" s="2421"/>
      <c r="D38" s="2421"/>
      <c r="E38" s="2421"/>
      <c r="F38" s="2418" t="s">
        <v>1615</v>
      </c>
    </row>
    <row r="39" spans="1:10" ht="20.100000000000001" customHeight="1">
      <c r="A39" s="2421">
        <f>A37*A38</f>
        <v>0</v>
      </c>
      <c r="B39" s="2421">
        <f>B37*B38</f>
        <v>0</v>
      </c>
      <c r="C39" s="2421">
        <f>C37*C38</f>
        <v>0</v>
      </c>
      <c r="D39" s="2421">
        <f>D37*D38</f>
        <v>0</v>
      </c>
      <c r="E39" s="2421">
        <f>E37*E38</f>
        <v>0</v>
      </c>
      <c r="F39" s="2421">
        <f>SUM(A39:C39)</f>
        <v>0</v>
      </c>
    </row>
    <row r="41" spans="1:10" ht="20.100000000000001" customHeight="1">
      <c r="A41" s="2414" t="str">
        <f>E1</f>
        <v>LT. 4</v>
      </c>
      <c r="B41" s="2418"/>
      <c r="C41" s="2418"/>
      <c r="D41" s="2418"/>
    </row>
    <row r="42" spans="1:10" ht="20.100000000000001" customHeight="1">
      <c r="A42" s="2417" t="s">
        <v>2682</v>
      </c>
      <c r="B42" s="2421">
        <f>E6</f>
        <v>0</v>
      </c>
      <c r="C42" s="2418" t="s">
        <v>129</v>
      </c>
      <c r="D42" s="2418"/>
    </row>
    <row r="43" spans="1:10" ht="20.100000000000001" customHeight="1">
      <c r="A43" s="2418"/>
      <c r="B43" s="2418"/>
      <c r="C43" s="2418"/>
      <c r="D43" s="2418"/>
    </row>
    <row r="44" spans="1:10" ht="20.100000000000001" customHeight="1">
      <c r="A44" s="2418" t="s">
        <v>2296</v>
      </c>
      <c r="B44" s="2418" t="s">
        <v>2321</v>
      </c>
      <c r="C44" s="2418" t="s">
        <v>2322</v>
      </c>
      <c r="D44" s="2418" t="s">
        <v>1791</v>
      </c>
    </row>
    <row r="45" spans="1:10" ht="20.100000000000001" customHeight="1">
      <c r="A45" s="2421"/>
      <c r="B45" s="2421"/>
      <c r="C45" s="2421"/>
      <c r="D45" s="2421">
        <f>SUM(A45:C45)*B42-B43</f>
        <v>0</v>
      </c>
    </row>
    <row r="46" spans="1:10" ht="20.100000000000001" customHeight="1">
      <c r="A46" s="2418"/>
      <c r="B46" s="2418"/>
      <c r="C46" s="2418"/>
      <c r="D46" s="2418"/>
      <c r="I46" s="2570"/>
    </row>
    <row r="47" spans="1:10" ht="20.100000000000001" customHeight="1">
      <c r="A47" s="2418" t="s">
        <v>2212</v>
      </c>
      <c r="B47" s="2418" t="s">
        <v>2213</v>
      </c>
      <c r="C47" s="2418" t="s">
        <v>2215</v>
      </c>
      <c r="D47" s="2418"/>
      <c r="I47" s="2570"/>
    </row>
    <row r="48" spans="1:10" ht="20.100000000000001" customHeight="1">
      <c r="A48" s="2421"/>
      <c r="B48" s="2421"/>
      <c r="C48" s="2421"/>
      <c r="D48" s="2418"/>
      <c r="I48" s="2570"/>
      <c r="J48" s="2260"/>
    </row>
    <row r="49" spans="1:9" ht="20.100000000000001" customHeight="1">
      <c r="A49" s="2421"/>
      <c r="B49" s="2421"/>
      <c r="C49" s="2421"/>
      <c r="D49" s="2418" t="s">
        <v>1615</v>
      </c>
      <c r="I49" s="2570"/>
    </row>
    <row r="50" spans="1:9" ht="20.100000000000001" customHeight="1">
      <c r="A50" s="2421">
        <f>A48*A49</f>
        <v>0</v>
      </c>
      <c r="B50" s="2421">
        <f>B48*B49</f>
        <v>0</v>
      </c>
      <c r="C50" s="2421">
        <f>C48*C49</f>
        <v>0</v>
      </c>
      <c r="D50" s="2421">
        <f>SUM(A50:C50)</f>
        <v>0</v>
      </c>
    </row>
    <row r="52" spans="1:9" ht="20.100000000000001" customHeight="1">
      <c r="A52" s="2414" t="str">
        <f>F1</f>
        <v>LT. 5</v>
      </c>
      <c r="B52" s="2418"/>
      <c r="C52" s="2418"/>
      <c r="D52" s="2418"/>
    </row>
    <row r="53" spans="1:9" ht="20.100000000000001" customHeight="1">
      <c r="A53" s="2417" t="s">
        <v>2682</v>
      </c>
      <c r="B53" s="2421">
        <f>F6</f>
        <v>0</v>
      </c>
      <c r="C53" s="2418" t="s">
        <v>129</v>
      </c>
      <c r="D53" s="2418"/>
    </row>
    <row r="54" spans="1:9" ht="20.100000000000001" customHeight="1">
      <c r="A54" s="2418"/>
      <c r="B54" s="2418"/>
      <c r="C54" s="2418"/>
      <c r="D54" s="2418"/>
    </row>
    <row r="55" spans="1:9" ht="20.100000000000001" customHeight="1">
      <c r="A55" s="2418" t="s">
        <v>2296</v>
      </c>
      <c r="B55" s="2418" t="s">
        <v>2321</v>
      </c>
      <c r="C55" s="2418" t="s">
        <v>2322</v>
      </c>
      <c r="D55" s="2418" t="s">
        <v>1791</v>
      </c>
    </row>
    <row r="56" spans="1:9" ht="20.100000000000001" customHeight="1">
      <c r="A56" s="2421"/>
      <c r="B56" s="2421"/>
      <c r="C56" s="2421"/>
      <c r="D56" s="2421">
        <f>SUM(A56:C56)*B53-B54</f>
        <v>0</v>
      </c>
    </row>
    <row r="57" spans="1:9" ht="20.100000000000001" customHeight="1">
      <c r="A57" s="2418"/>
      <c r="B57" s="2418"/>
      <c r="C57" s="2418"/>
      <c r="D57" s="2418"/>
    </row>
    <row r="58" spans="1:9" ht="20.100000000000001" customHeight="1">
      <c r="A58" s="2418" t="s">
        <v>2212</v>
      </c>
      <c r="B58" s="2418" t="s">
        <v>2213</v>
      </c>
      <c r="C58" s="2418" t="s">
        <v>2215</v>
      </c>
      <c r="D58" s="2418"/>
    </row>
    <row r="59" spans="1:9" ht="20.100000000000001" customHeight="1">
      <c r="A59" s="2421"/>
      <c r="B59" s="2421"/>
      <c r="C59" s="2421"/>
      <c r="D59" s="2418"/>
    </row>
    <row r="60" spans="1:9" ht="20.100000000000001" customHeight="1">
      <c r="A60" s="2421"/>
      <c r="B60" s="2421"/>
      <c r="C60" s="2421"/>
      <c r="D60" s="2418" t="s">
        <v>1615</v>
      </c>
    </row>
    <row r="61" spans="1:9" ht="20.100000000000001" customHeight="1">
      <c r="A61" s="2421">
        <f>A59*A60</f>
        <v>0</v>
      </c>
      <c r="B61" s="2421">
        <f>B59*B60</f>
        <v>0</v>
      </c>
      <c r="C61" s="2421">
        <f>C59*C60</f>
        <v>0</v>
      </c>
      <c r="D61" s="2421">
        <f>SUM(A61:C61)</f>
        <v>0</v>
      </c>
    </row>
    <row r="63" spans="1:9" ht="20.100000000000001" customHeight="1">
      <c r="A63" s="2414" t="str">
        <f>G1</f>
        <v>LT. 6</v>
      </c>
      <c r="B63" s="2418"/>
      <c r="C63" s="2418"/>
      <c r="D63" s="2418"/>
    </row>
    <row r="64" spans="1:9" ht="20.100000000000001" customHeight="1">
      <c r="A64" s="2417" t="s">
        <v>2682</v>
      </c>
      <c r="B64" s="2421">
        <f>G6</f>
        <v>0</v>
      </c>
      <c r="C64" s="2418" t="s">
        <v>129</v>
      </c>
      <c r="D64" s="2418"/>
    </row>
    <row r="65" spans="1:4" ht="20.100000000000001" customHeight="1">
      <c r="A65" s="2418"/>
      <c r="B65" s="2418"/>
      <c r="C65" s="2418"/>
      <c r="D65" s="2418"/>
    </row>
    <row r="66" spans="1:4" ht="20.100000000000001" customHeight="1">
      <c r="A66" s="2418" t="s">
        <v>2296</v>
      </c>
      <c r="B66" s="2418" t="s">
        <v>2321</v>
      </c>
      <c r="C66" s="2418" t="s">
        <v>2322</v>
      </c>
      <c r="D66" s="2418" t="s">
        <v>1791</v>
      </c>
    </row>
    <row r="67" spans="1:4" ht="20.100000000000001" customHeight="1">
      <c r="A67" s="2421"/>
      <c r="B67" s="2421"/>
      <c r="C67" s="2421"/>
      <c r="D67" s="2421">
        <f>SUM(A67:C67)*B64-B65</f>
        <v>0</v>
      </c>
    </row>
    <row r="68" spans="1:4" ht="20.100000000000001" customHeight="1">
      <c r="A68" s="2418"/>
      <c r="B68" s="2418"/>
      <c r="C68" s="2418"/>
      <c r="D68" s="2418"/>
    </row>
    <row r="69" spans="1:4" ht="20.100000000000001" customHeight="1">
      <c r="A69" s="2418" t="s">
        <v>2212</v>
      </c>
      <c r="B69" s="2418" t="s">
        <v>2213</v>
      </c>
      <c r="C69" s="2418" t="s">
        <v>2215</v>
      </c>
      <c r="D69" s="2418"/>
    </row>
    <row r="70" spans="1:4" ht="20.100000000000001" customHeight="1">
      <c r="A70" s="2421"/>
      <c r="B70" s="2421"/>
      <c r="C70" s="2421"/>
      <c r="D70" s="2418"/>
    </row>
    <row r="71" spans="1:4" ht="20.100000000000001" customHeight="1">
      <c r="A71" s="2421"/>
      <c r="B71" s="2421"/>
      <c r="C71" s="2421"/>
      <c r="D71" s="2418" t="s">
        <v>1615</v>
      </c>
    </row>
    <row r="72" spans="1:4" ht="20.100000000000001" customHeight="1">
      <c r="A72" s="2421">
        <f>A70*A71</f>
        <v>0</v>
      </c>
      <c r="B72" s="2421">
        <f>B70*B71</f>
        <v>0</v>
      </c>
      <c r="C72" s="2421">
        <f>C70*C71</f>
        <v>0</v>
      </c>
      <c r="D72" s="2421">
        <f>SUM(A72:C72)</f>
        <v>0</v>
      </c>
    </row>
  </sheetData>
  <pageMargins left="0.7" right="0.7" top="0.75" bottom="0.75" header="0.3" footer="0.3"/>
  <pageSetup orientation="portrait" r:id="rId1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4">
    <tabColor theme="5" tint="-0.249977111117893"/>
  </sheetPr>
  <dimension ref="A1:BH107"/>
  <sheetViews>
    <sheetView showGridLines="0" topLeftCell="A25" zoomScaleNormal="100" workbookViewId="0">
      <pane xSplit="1" topLeftCell="B1" activePane="topRight" state="frozen"/>
      <selection pane="topRight" activeCell="G44" sqref="G44"/>
    </sheetView>
  </sheetViews>
  <sheetFormatPr defaultColWidth="9.140625" defaultRowHeight="15"/>
  <cols>
    <col min="1" max="1" width="5.85546875" style="1406" customWidth="1"/>
    <col min="2" max="2" width="30.7109375" style="1406" bestFit="1" customWidth="1"/>
    <col min="3" max="12" width="5.7109375" style="1406" customWidth="1"/>
    <col min="13" max="13" width="2.7109375" style="1406" customWidth="1"/>
    <col min="14" max="26" width="3.7109375" style="1406" customWidth="1"/>
    <col min="27" max="27" width="5.7109375" style="1406" customWidth="1"/>
    <col min="28" max="40" width="2.7109375" style="1406" customWidth="1"/>
    <col min="41" max="41" width="21.28515625" style="1406" customWidth="1"/>
    <col min="42" max="42" width="12.140625" style="1406" customWidth="1"/>
    <col min="43" max="43" width="2.7109375" style="1406" customWidth="1"/>
    <col min="44" max="46" width="5.7109375" style="1406" customWidth="1"/>
    <col min="47" max="47" width="2.7109375" style="1406" customWidth="1"/>
    <col min="48" max="49" width="9.85546875" style="1406" hidden="1" customWidth="1"/>
    <col min="50" max="50" width="0" style="1406" hidden="1" customWidth="1"/>
    <col min="51" max="51" width="2.7109375" style="1406" hidden="1" customWidth="1"/>
    <col min="52" max="52" width="9.85546875" style="1406" hidden="1" customWidth="1"/>
    <col min="53" max="56" width="0" style="1406" hidden="1" customWidth="1"/>
    <col min="57" max="57" width="15.140625" style="1406" customWidth="1"/>
    <col min="58" max="58" width="14" style="1406" customWidth="1"/>
    <col min="59" max="59" width="2.7109375" style="1406" customWidth="1"/>
    <col min="60" max="60" width="33" style="1406" customWidth="1"/>
    <col min="61" max="16384" width="9.140625" style="1406"/>
  </cols>
  <sheetData>
    <row r="1" spans="4:45">
      <c r="AN1" s="2624" t="s">
        <v>12</v>
      </c>
      <c r="AO1" s="2620" t="s">
        <v>2689</v>
      </c>
      <c r="AP1" s="2620" t="s">
        <v>1544</v>
      </c>
    </row>
    <row r="2" spans="4:45">
      <c r="AN2" s="2582">
        <v>1</v>
      </c>
      <c r="AO2" s="2618" t="s">
        <v>2989</v>
      </c>
      <c r="AP2" s="2619">
        <f>'HARGA SATUAN PEKERJAAN'!$F$191</f>
        <v>105337</v>
      </c>
    </row>
    <row r="3" spans="4:45">
      <c r="AN3" s="2582">
        <v>2</v>
      </c>
      <c r="AO3" s="2618" t="s">
        <v>2990</v>
      </c>
      <c r="AP3" s="2619">
        <f>'HARGA SATUAN PEKERJAAN'!$F$196</f>
        <v>159700</v>
      </c>
    </row>
    <row r="4" spans="4:45">
      <c r="AN4" s="2582">
        <v>3</v>
      </c>
      <c r="AO4" s="2618" t="s">
        <v>2991</v>
      </c>
      <c r="AP4" s="2619">
        <f>'HARGA SATUAN PEKERJAAN'!$F$195</f>
        <v>137405</v>
      </c>
      <c r="AR4" s="1946"/>
      <c r="AS4" s="1946"/>
    </row>
    <row r="5" spans="4:45">
      <c r="AN5" s="2582">
        <v>4</v>
      </c>
      <c r="AO5" s="2618" t="s">
        <v>2817</v>
      </c>
      <c r="AP5" s="2619">
        <f>BAHAN!$E$191</f>
        <v>759050</v>
      </c>
      <c r="AR5" s="1946"/>
      <c r="AS5" s="1946"/>
    </row>
    <row r="6" spans="4:45">
      <c r="AN6" s="2582">
        <v>5</v>
      </c>
      <c r="AO6" s="2618" t="s">
        <v>2238</v>
      </c>
      <c r="AP6" s="2619">
        <f>'HARGA SATUAN PEKERJAAN'!$F$193</f>
        <v>259337</v>
      </c>
      <c r="AR6" s="1946"/>
      <c r="AS6" s="1946"/>
    </row>
    <row r="7" spans="4:45">
      <c r="AN7" s="2582">
        <v>6</v>
      </c>
      <c r="AO7" s="2618" t="s">
        <v>2728</v>
      </c>
      <c r="AP7" s="2619">
        <f>'HARGA SATUAN PEKERJAAN'!$F$194</f>
        <v>528305</v>
      </c>
      <c r="AR7" s="1946"/>
      <c r="AS7" s="1946"/>
    </row>
    <row r="8" spans="4:45">
      <c r="AN8" s="2582">
        <v>7</v>
      </c>
      <c r="AO8" s="2618" t="s">
        <v>2729</v>
      </c>
      <c r="AP8" s="2619">
        <f>'HARGA SATUAN PEKERJAAN'!$F$194</f>
        <v>528305</v>
      </c>
      <c r="AR8" s="1946"/>
      <c r="AS8" s="1946"/>
    </row>
    <row r="9" spans="4:45">
      <c r="AN9" s="2582">
        <v>8</v>
      </c>
      <c r="AO9" s="2618" t="s">
        <v>2730</v>
      </c>
      <c r="AP9" s="2619">
        <f>BAHAN!$E$190</f>
        <v>900000</v>
      </c>
      <c r="AR9" s="1946"/>
      <c r="AS9" s="1946"/>
    </row>
    <row r="10" spans="4:45">
      <c r="AN10" s="2582">
        <v>9</v>
      </c>
      <c r="AO10" s="2618" t="s">
        <v>2731</v>
      </c>
      <c r="AP10" s="2619">
        <f>'HARGA SATUAN PEKERJAAN'!$F$170*0.005</f>
        <v>103386.66500000001</v>
      </c>
      <c r="AQ10" s="2443"/>
      <c r="AR10" s="1946"/>
      <c r="AS10" s="1946"/>
    </row>
    <row r="11" spans="4:45">
      <c r="AN11" s="2582">
        <v>10</v>
      </c>
      <c r="AO11" s="2618" t="s">
        <v>2808</v>
      </c>
      <c r="AP11" s="2619">
        <f>'HARGA SATUAN PEKERJAAN'!$F$171</f>
        <v>1195283</v>
      </c>
      <c r="AR11" s="1946"/>
      <c r="AS11" s="1946"/>
    </row>
    <row r="12" spans="4:45">
      <c r="AN12" s="2582">
        <v>11</v>
      </c>
      <c r="AO12" s="2618" t="s">
        <v>2800</v>
      </c>
      <c r="AP12" s="2619">
        <f>'HARGA SATUAN PEKERJAAN'!$F$180</f>
        <v>196898.00666666689</v>
      </c>
      <c r="AR12" s="1946"/>
      <c r="AS12" s="1946"/>
    </row>
    <row r="13" spans="4:45">
      <c r="AN13" s="2582">
        <v>12</v>
      </c>
      <c r="AO13" s="2618" t="s">
        <v>2732</v>
      </c>
      <c r="AP13" s="2619">
        <f>'HARGA SATUAN PEKERJAAN'!$F$172</f>
        <v>853394</v>
      </c>
      <c r="AR13" s="1946"/>
      <c r="AS13" s="1946"/>
    </row>
    <row r="14" spans="4:45" ht="15.75" thickBot="1">
      <c r="AN14" s="2582">
        <v>13</v>
      </c>
      <c r="AO14" s="2618" t="s">
        <v>2815</v>
      </c>
      <c r="AP14" s="2619">
        <f>BAHAN!$E$194</f>
        <v>5070000</v>
      </c>
      <c r="AR14" s="1946"/>
      <c r="AS14" s="1946"/>
    </row>
    <row r="15" spans="4:45" ht="16.5" thickTop="1" thickBot="1">
      <c r="D15" s="2645"/>
      <c r="AN15" s="2582">
        <v>14</v>
      </c>
      <c r="AO15" s="2618" t="s">
        <v>2690</v>
      </c>
      <c r="AP15" s="2619">
        <f>BAHAN!$E$189</f>
        <v>400000</v>
      </c>
      <c r="AR15" s="1946"/>
      <c r="AS15" s="1946"/>
    </row>
    <row r="16" spans="4:45" ht="15.75" thickTop="1">
      <c r="AN16" s="2582">
        <v>15</v>
      </c>
      <c r="AO16" s="2621" t="str">
        <f>BAHAN!C193</f>
        <v>Pintu Kasa Nyamuk Besi Hollow</v>
      </c>
      <c r="AP16" s="2622">
        <f>BAHAN!E193</f>
        <v>2150000</v>
      </c>
      <c r="AR16" s="1946"/>
      <c r="AS16" s="1946"/>
    </row>
    <row r="17" spans="1:60">
      <c r="AN17" s="2582">
        <v>16</v>
      </c>
      <c r="AO17" s="2621" t="str">
        <f>BAHAN!$C$195</f>
        <v>Jalusi Allumunium</v>
      </c>
      <c r="AP17" s="2623">
        <f>BAHAN!$E$195</f>
        <v>1350000</v>
      </c>
      <c r="AR17" s="1946"/>
      <c r="AS17" s="1946"/>
    </row>
    <row r="18" spans="1:60">
      <c r="AN18" s="2582">
        <v>17</v>
      </c>
      <c r="AO18" s="2621"/>
      <c r="AP18" s="2622"/>
      <c r="AR18" s="1946"/>
      <c r="AS18" s="1946"/>
    </row>
    <row r="19" spans="1:60">
      <c r="AN19" s="2582">
        <v>99</v>
      </c>
      <c r="AO19" s="2620"/>
      <c r="AP19" s="2620"/>
      <c r="AR19" s="1946"/>
      <c r="AS19" s="1946"/>
    </row>
    <row r="20" spans="1:60">
      <c r="AN20" s="2582">
        <v>90</v>
      </c>
      <c r="AO20" s="2618" t="s">
        <v>2733</v>
      </c>
      <c r="AP20" s="2619">
        <f>'HARGA SATUAN PEKERJAAN'!$F$219</f>
        <v>149975</v>
      </c>
      <c r="AR20" s="1946"/>
      <c r="AS20" s="1946"/>
    </row>
    <row r="21" spans="1:60">
      <c r="AN21" s="2582">
        <v>91</v>
      </c>
      <c r="AO21" s="2618" t="s">
        <v>2734</v>
      </c>
      <c r="AP21" s="2619">
        <f>'HARGA SATUAN PEKERJAAN'!$F$221</f>
        <v>413434</v>
      </c>
      <c r="AR21" s="1946"/>
      <c r="AS21" s="1946"/>
    </row>
    <row r="22" spans="1:60">
      <c r="AN22" s="2582"/>
      <c r="AO22" s="2618" t="s">
        <v>156</v>
      </c>
      <c r="AP22" s="2619">
        <v>250000</v>
      </c>
      <c r="AR22" s="1946"/>
      <c r="AS22" s="1946"/>
    </row>
    <row r="23" spans="1:60">
      <c r="AN23" s="1946"/>
      <c r="AO23" s="1946"/>
      <c r="AP23" s="1946"/>
      <c r="AR23" s="1946"/>
      <c r="AS23" s="1946"/>
    </row>
    <row r="24" spans="1:60">
      <c r="AN24" s="1946"/>
      <c r="AO24" s="1946"/>
      <c r="AP24" s="1946"/>
      <c r="AR24" s="1946"/>
      <c r="AS24" s="1946"/>
    </row>
    <row r="25" spans="1:60">
      <c r="AN25" s="1946"/>
      <c r="AO25" s="1946"/>
      <c r="AP25" s="1946"/>
      <c r="AR25" s="1946"/>
      <c r="AS25" s="1946"/>
    </row>
    <row r="26" spans="1:60" ht="22.5" customHeight="1">
      <c r="AN26" s="1946"/>
      <c r="AO26" s="1946"/>
      <c r="AP26" s="1946"/>
      <c r="AR26" s="1946"/>
      <c r="AS26" s="1946"/>
    </row>
    <row r="27" spans="1:60" s="2228" customFormat="1" ht="66" customHeight="1">
      <c r="A27" s="2444" t="s">
        <v>2240</v>
      </c>
      <c r="M27" s="2234"/>
      <c r="N27" s="2445">
        <v>180000</v>
      </c>
      <c r="O27" s="2445">
        <v>93000</v>
      </c>
      <c r="P27" s="2445">
        <v>55000</v>
      </c>
      <c r="Q27" s="2445">
        <v>13500</v>
      </c>
      <c r="R27" s="2445">
        <v>39500</v>
      </c>
      <c r="S27" s="2445">
        <v>46500</v>
      </c>
      <c r="T27" s="2445">
        <v>133000</v>
      </c>
      <c r="U27" s="2445">
        <v>20000</v>
      </c>
      <c r="V27" s="2445">
        <v>274000</v>
      </c>
      <c r="W27" s="2445">
        <v>120000</v>
      </c>
      <c r="X27" s="2445">
        <v>165000</v>
      </c>
      <c r="Y27" s="2445">
        <v>210000</v>
      </c>
      <c r="Z27" s="2446">
        <v>465000</v>
      </c>
      <c r="AA27" s="2234"/>
      <c r="AB27" s="2234"/>
      <c r="AC27" s="2234"/>
      <c r="AD27" s="2234"/>
      <c r="AE27" s="2234"/>
      <c r="AJ27" s="2229"/>
      <c r="AK27" s="2229"/>
      <c r="AL27" s="2230"/>
    </row>
    <row r="28" spans="1:60" s="2228" customFormat="1" ht="134.25" customHeight="1">
      <c r="A28" s="2447" t="s">
        <v>908</v>
      </c>
      <c r="B28" s="2447"/>
      <c r="C28" s="2450" t="s">
        <v>1796</v>
      </c>
      <c r="D28" s="2449" t="s">
        <v>2691</v>
      </c>
      <c r="E28" s="2450" t="s">
        <v>2057</v>
      </c>
      <c r="F28" s="2449" t="s">
        <v>2058</v>
      </c>
      <c r="G28" s="2450" t="s">
        <v>1792</v>
      </c>
      <c r="H28" s="2449" t="s">
        <v>1834</v>
      </c>
      <c r="I28" s="2450" t="s">
        <v>1835</v>
      </c>
      <c r="J28" s="2449" t="s">
        <v>2270</v>
      </c>
      <c r="K28" s="2450" t="s">
        <v>2332</v>
      </c>
      <c r="L28" s="2449" t="s">
        <v>2333</v>
      </c>
      <c r="M28" s="2448"/>
      <c r="N28" s="2449" t="s">
        <v>1528</v>
      </c>
      <c r="O28" s="2450" t="s">
        <v>1529</v>
      </c>
      <c r="P28" s="2449" t="s">
        <v>611</v>
      </c>
      <c r="Q28" s="2450" t="s">
        <v>2992</v>
      </c>
      <c r="R28" s="2449" t="s">
        <v>2066</v>
      </c>
      <c r="S28" s="2450" t="s">
        <v>2113</v>
      </c>
      <c r="T28" s="2449" t="s">
        <v>1457</v>
      </c>
      <c r="U28" s="2450" t="s">
        <v>1530</v>
      </c>
      <c r="V28" s="2449" t="s">
        <v>2224</v>
      </c>
      <c r="W28" s="2450" t="s">
        <v>2225</v>
      </c>
      <c r="X28" s="2449" t="s">
        <v>1700</v>
      </c>
      <c r="Y28" s="2450" t="s">
        <v>1644</v>
      </c>
      <c r="Z28" s="2449" t="s">
        <v>1467</v>
      </c>
      <c r="AA28" s="2451"/>
      <c r="AB28" s="2452" t="s">
        <v>1528</v>
      </c>
      <c r="AC28" s="2452" t="s">
        <v>1529</v>
      </c>
      <c r="AD28" s="2452" t="s">
        <v>611</v>
      </c>
      <c r="AE28" s="2452" t="s">
        <v>2992</v>
      </c>
      <c r="AF28" s="2452" t="s">
        <v>2066</v>
      </c>
      <c r="AG28" s="2452" t="s">
        <v>2113</v>
      </c>
      <c r="AH28" s="2452" t="s">
        <v>1457</v>
      </c>
      <c r="AI28" s="2452" t="s">
        <v>1530</v>
      </c>
      <c r="AJ28" s="2452" t="s">
        <v>2224</v>
      </c>
      <c r="AK28" s="2452" t="s">
        <v>2225</v>
      </c>
      <c r="AL28" s="2452" t="s">
        <v>1700</v>
      </c>
      <c r="AM28" s="2452" t="s">
        <v>1644</v>
      </c>
      <c r="AN28" s="2453" t="s">
        <v>1467</v>
      </c>
      <c r="AO28" s="2454" t="s">
        <v>2692</v>
      </c>
      <c r="AP28" s="2454" t="s">
        <v>2693</v>
      </c>
      <c r="AR28" s="2449" t="s">
        <v>1795</v>
      </c>
      <c r="AS28" s="2449" t="s">
        <v>2057</v>
      </c>
      <c r="AT28" s="2449" t="s">
        <v>2058</v>
      </c>
      <c r="AV28" s="2452" t="s">
        <v>2694</v>
      </c>
      <c r="AW28" s="2452" t="s">
        <v>2695</v>
      </c>
      <c r="AX28" s="2452" t="s">
        <v>2696</v>
      </c>
      <c r="AY28" s="2455"/>
      <c r="AZ28" s="2452" t="s">
        <v>2697</v>
      </c>
      <c r="BA28" s="2452" t="s">
        <v>2698</v>
      </c>
      <c r="BB28" s="2452" t="s">
        <v>2699</v>
      </c>
      <c r="BC28" s="2452" t="s">
        <v>2700</v>
      </c>
      <c r="BD28" s="2452" t="s">
        <v>2701</v>
      </c>
      <c r="BE28" s="2456" t="s">
        <v>2702</v>
      </c>
      <c r="BF28" s="2456" t="s">
        <v>2703</v>
      </c>
      <c r="BH28" s="2449" t="s">
        <v>2692</v>
      </c>
    </row>
    <row r="29" spans="1:60" s="2464" customFormat="1">
      <c r="A29" s="2457" t="str">
        <f>C29</f>
        <v>P1</v>
      </c>
      <c r="B29" s="2457" t="str">
        <f t="shared" ref="B29:B57" si="0">LEFT(C29,1)</f>
        <v>P</v>
      </c>
      <c r="C29" s="2457" t="s">
        <v>153</v>
      </c>
      <c r="D29" s="2459">
        <v>14.5</v>
      </c>
      <c r="E29" s="2457">
        <v>3.92</v>
      </c>
      <c r="F29" s="2459">
        <v>11.2</v>
      </c>
      <c r="G29" s="2457"/>
      <c r="H29" s="2459">
        <v>1.8720000000000001</v>
      </c>
      <c r="I29" s="2457"/>
      <c r="J29" s="2459"/>
      <c r="K29" s="2457"/>
      <c r="L29" s="2459"/>
      <c r="M29" s="2458"/>
      <c r="N29" s="2459">
        <v>1</v>
      </c>
      <c r="O29" s="2457"/>
      <c r="P29" s="2459">
        <v>2</v>
      </c>
      <c r="Q29" s="2457"/>
      <c r="R29" s="2459"/>
      <c r="S29" s="2457"/>
      <c r="T29" s="2459">
        <v>4</v>
      </c>
      <c r="U29" s="2457"/>
      <c r="V29" s="2459"/>
      <c r="W29" s="2457"/>
      <c r="X29" s="2459"/>
      <c r="Y29" s="2457"/>
      <c r="Z29" s="2459">
        <v>2</v>
      </c>
      <c r="AA29" s="2460"/>
      <c r="AB29" s="2461">
        <f>N29*N$27</f>
        <v>180000</v>
      </c>
      <c r="AC29" s="2461">
        <f t="shared" ref="AC29:AN44" si="1">O29*O$27</f>
        <v>0</v>
      </c>
      <c r="AD29" s="2461">
        <f t="shared" si="1"/>
        <v>110000</v>
      </c>
      <c r="AE29" s="2461">
        <f t="shared" si="1"/>
        <v>0</v>
      </c>
      <c r="AF29" s="2461">
        <f t="shared" si="1"/>
        <v>0</v>
      </c>
      <c r="AG29" s="2461">
        <f t="shared" si="1"/>
        <v>0</v>
      </c>
      <c r="AH29" s="2461">
        <f t="shared" si="1"/>
        <v>532000</v>
      </c>
      <c r="AI29" s="2461">
        <f t="shared" si="1"/>
        <v>0</v>
      </c>
      <c r="AJ29" s="2461">
        <f t="shared" si="1"/>
        <v>0</v>
      </c>
      <c r="AK29" s="2461">
        <f t="shared" si="1"/>
        <v>0</v>
      </c>
      <c r="AL29" s="2461">
        <f t="shared" si="1"/>
        <v>0</v>
      </c>
      <c r="AM29" s="2461">
        <f t="shared" si="1"/>
        <v>0</v>
      </c>
      <c r="AN29" s="2461">
        <f t="shared" si="1"/>
        <v>930000</v>
      </c>
      <c r="AO29" s="2462" t="str">
        <f>IF(B29="P","1 Unit Pek. Pintu ( "&amp;C29&amp;" )","1 Unit Pek. Jendela ( "&amp;C29&amp;" )")</f>
        <v>1 Unit Pek. Pintu ( P1 )</v>
      </c>
      <c r="AP29" s="2473">
        <f t="shared" ref="AP29:AP57" si="2">SUM(AB29:AN29)</f>
        <v>1752000</v>
      </c>
      <c r="AR29" s="2625">
        <v>10</v>
      </c>
      <c r="AS29" s="2465">
        <v>10</v>
      </c>
      <c r="AT29" s="2465">
        <v>11</v>
      </c>
      <c r="AV29" s="2466">
        <f t="shared" ref="AV29:AV57" si="3">IF(AR29=0,"0",VLOOKUP(AR29,$AN$2:$AP$21,3,TRUE))</f>
        <v>1195283</v>
      </c>
      <c r="AW29" s="2466">
        <f t="shared" ref="AW29:AW57" si="4">IF(AS29=0,"0",VLOOKUP(AS29,$AN$2:$AP$21,3,TRUE))</f>
        <v>1195283</v>
      </c>
      <c r="AX29" s="2466">
        <f t="shared" ref="AX29:AX57" si="5">IF(AT29=0,"0",VLOOKUP(AT29,$AN$2:$AP$21,3,TRUE))</f>
        <v>196898.00666666689</v>
      </c>
      <c r="AY29" s="2466"/>
      <c r="AZ29" s="2466">
        <f>D29*AV29</f>
        <v>17331603.5</v>
      </c>
      <c r="BA29" s="2466">
        <f t="shared" ref="BA29:BB44" si="6">E29*AW29</f>
        <v>4685509.3600000003</v>
      </c>
      <c r="BB29" s="2466">
        <f t="shared" si="6"/>
        <v>2205257.6746666688</v>
      </c>
      <c r="BC29" s="2466">
        <f>G29*$AP$20</f>
        <v>0</v>
      </c>
      <c r="BD29" s="2466">
        <f>H29*$AP$21</f>
        <v>773948.44800000009</v>
      </c>
      <c r="BE29" s="2467">
        <f>SUM(AZ29:BD29)</f>
        <v>24996318.982666668</v>
      </c>
      <c r="BF29" s="2467">
        <f>ROUNDUP(SUM(AZ29:BD29)+$AP$22,0)</f>
        <v>25246319</v>
      </c>
      <c r="BH29" s="2468" t="str">
        <f t="shared" ref="BH29:BH57" si="7">VLOOKUP(AR29,$AN$2:$AO$21,2,TRUE)&amp;
VLOOKUP(AS29,$AN$2:$AO$21,2,TRUE)&amp;
VLOOKUP(AT29,$AN$2:$AO$21,2,TRUE)&amp;
IF(BC29=0,"",$AO$20)&amp;
IF(BD29=0,"",$AO$21)</f>
        <v>, Pintu Kayu Kamper Samarinda, Pintu Kayu Kamper Samarinda dan Jendela Kayu Kamper Samarinda, Kaca Tempered 8 mm</v>
      </c>
    </row>
    <row r="30" spans="1:60" s="1914" customFormat="1">
      <c r="A30" s="2469" t="str">
        <f t="shared" ref="A30:A57" si="8">C30</f>
        <v>P2</v>
      </c>
      <c r="B30" s="2457" t="str">
        <f t="shared" si="0"/>
        <v>P</v>
      </c>
      <c r="C30" s="2457" t="s">
        <v>155</v>
      </c>
      <c r="D30" s="2459">
        <v>14.5</v>
      </c>
      <c r="E30" s="2457">
        <v>3.43</v>
      </c>
      <c r="F30" s="2459">
        <v>12</v>
      </c>
      <c r="G30" s="2457"/>
      <c r="H30" s="2459">
        <v>4.8099999999999996</v>
      </c>
      <c r="I30" s="2457"/>
      <c r="J30" s="2459"/>
      <c r="K30" s="2457"/>
      <c r="L30" s="2459"/>
      <c r="M30" s="2458"/>
      <c r="N30" s="2459">
        <v>1</v>
      </c>
      <c r="O30" s="2457"/>
      <c r="P30" s="2459">
        <v>2</v>
      </c>
      <c r="Q30" s="2457"/>
      <c r="R30" s="2459"/>
      <c r="S30" s="2457"/>
      <c r="T30" s="2459">
        <v>4</v>
      </c>
      <c r="U30" s="2457"/>
      <c r="V30" s="2459"/>
      <c r="W30" s="2457"/>
      <c r="X30" s="2459"/>
      <c r="Y30" s="2457"/>
      <c r="Z30" s="2459">
        <v>2</v>
      </c>
      <c r="AA30" s="2471"/>
      <c r="AB30" s="2472">
        <f t="shared" ref="AB30:AN57" si="9">N30*N$27</f>
        <v>180000</v>
      </c>
      <c r="AC30" s="2472">
        <f t="shared" si="1"/>
        <v>0</v>
      </c>
      <c r="AD30" s="2472">
        <f t="shared" si="1"/>
        <v>110000</v>
      </c>
      <c r="AE30" s="2472">
        <f t="shared" si="1"/>
        <v>0</v>
      </c>
      <c r="AF30" s="2472">
        <f t="shared" si="1"/>
        <v>0</v>
      </c>
      <c r="AG30" s="2472">
        <f t="shared" si="1"/>
        <v>0</v>
      </c>
      <c r="AH30" s="2472">
        <f t="shared" si="1"/>
        <v>532000</v>
      </c>
      <c r="AI30" s="2472">
        <f t="shared" si="1"/>
        <v>0</v>
      </c>
      <c r="AJ30" s="2472">
        <f t="shared" si="1"/>
        <v>0</v>
      </c>
      <c r="AK30" s="2472">
        <f t="shared" si="1"/>
        <v>0</v>
      </c>
      <c r="AL30" s="2472">
        <f t="shared" si="1"/>
        <v>0</v>
      </c>
      <c r="AM30" s="2472">
        <f t="shared" si="1"/>
        <v>0</v>
      </c>
      <c r="AN30" s="2472">
        <f t="shared" si="1"/>
        <v>930000</v>
      </c>
      <c r="AO30" s="2462" t="str">
        <f t="shared" ref="AO30:AO57" si="10">IF(B30="P","1 Unit Pek. Pintu ( "&amp;C30&amp;" )","1 Unit Pek. Jendela ( "&amp;C30&amp;" )")</f>
        <v>1 Unit Pek. Pintu ( P2 )</v>
      </c>
      <c r="AP30" s="2473">
        <f t="shared" si="2"/>
        <v>1752000</v>
      </c>
      <c r="AR30" s="2465">
        <v>5</v>
      </c>
      <c r="AS30" s="2465">
        <v>6</v>
      </c>
      <c r="AT30" s="2465">
        <v>7</v>
      </c>
      <c r="AV30" s="2475">
        <f t="shared" si="3"/>
        <v>259337</v>
      </c>
      <c r="AW30" s="2475">
        <f t="shared" si="4"/>
        <v>528305</v>
      </c>
      <c r="AX30" s="2475">
        <f t="shared" si="5"/>
        <v>528305</v>
      </c>
      <c r="AY30" s="2475"/>
      <c r="AZ30" s="2475">
        <f t="shared" ref="AZ30:BB57" si="11">D30*AV30</f>
        <v>3760386.5</v>
      </c>
      <c r="BA30" s="2475">
        <f t="shared" si="6"/>
        <v>1812086.1500000001</v>
      </c>
      <c r="BB30" s="2475">
        <f t="shared" si="6"/>
        <v>6339660</v>
      </c>
      <c r="BC30" s="2475">
        <f t="shared" ref="BC30:BC57" si="12">G30*$AP$20</f>
        <v>0</v>
      </c>
      <c r="BD30" s="2475">
        <f t="shared" ref="BD30:BD57" si="13">H30*$AP$21</f>
        <v>1988617.5399999998</v>
      </c>
      <c r="BE30" s="2476">
        <f t="shared" ref="BE30:BE57" si="14">SUM(AZ30:BD30)</f>
        <v>13900750.189999999</v>
      </c>
      <c r="BF30" s="2467">
        <f t="shared" ref="BF30:BF57" si="15">ROUNDUP(SUM(AZ30:BD30)+$AP$22,0)</f>
        <v>14150751</v>
      </c>
      <c r="BH30" s="1404" t="str">
        <f t="shared" si="7"/>
        <v>Kusen UPVC, Pintu UPVC, Jendela UPVC, Kaca Tempered 8 mm</v>
      </c>
    </row>
    <row r="31" spans="1:60" s="2464" customFormat="1">
      <c r="A31" s="2457" t="str">
        <f t="shared" si="8"/>
        <v>P3</v>
      </c>
      <c r="B31" s="2457" t="str">
        <f t="shared" si="0"/>
        <v>P</v>
      </c>
      <c r="C31" s="2457" t="s">
        <v>178</v>
      </c>
      <c r="D31" s="2459">
        <v>8.9</v>
      </c>
      <c r="E31" s="2457">
        <v>36.6</v>
      </c>
      <c r="F31" s="2459">
        <v>12.3</v>
      </c>
      <c r="G31" s="2457"/>
      <c r="H31" s="2459">
        <v>6.3339999999999996</v>
      </c>
      <c r="I31" s="2457"/>
      <c r="J31" s="2459"/>
      <c r="K31" s="2457"/>
      <c r="L31" s="2459"/>
      <c r="M31" s="2470"/>
      <c r="N31" s="2459">
        <v>1</v>
      </c>
      <c r="O31" s="2457"/>
      <c r="P31" s="2459">
        <v>6</v>
      </c>
      <c r="Q31" s="2457"/>
      <c r="R31" s="2459"/>
      <c r="S31" s="2457"/>
      <c r="T31" s="2459"/>
      <c r="U31" s="2457"/>
      <c r="V31" s="2459"/>
      <c r="W31" s="2457"/>
      <c r="X31" s="2459"/>
      <c r="Y31" s="2457"/>
      <c r="Z31" s="2469">
        <v>2</v>
      </c>
      <c r="AA31" s="2460"/>
      <c r="AB31" s="2461">
        <f t="shared" si="9"/>
        <v>180000</v>
      </c>
      <c r="AC31" s="2461">
        <f t="shared" si="1"/>
        <v>0</v>
      </c>
      <c r="AD31" s="2461">
        <f t="shared" si="1"/>
        <v>330000</v>
      </c>
      <c r="AE31" s="2461">
        <f t="shared" si="1"/>
        <v>0</v>
      </c>
      <c r="AF31" s="2461">
        <f t="shared" si="1"/>
        <v>0</v>
      </c>
      <c r="AG31" s="2461">
        <f t="shared" si="1"/>
        <v>0</v>
      </c>
      <c r="AH31" s="2461">
        <f t="shared" si="1"/>
        <v>0</v>
      </c>
      <c r="AI31" s="2461">
        <f t="shared" si="1"/>
        <v>0</v>
      </c>
      <c r="AJ31" s="2461">
        <f t="shared" si="1"/>
        <v>0</v>
      </c>
      <c r="AK31" s="2461">
        <f t="shared" si="1"/>
        <v>0</v>
      </c>
      <c r="AL31" s="2461">
        <f t="shared" si="1"/>
        <v>0</v>
      </c>
      <c r="AM31" s="2461">
        <f t="shared" si="1"/>
        <v>0</v>
      </c>
      <c r="AN31" s="2461">
        <f t="shared" si="1"/>
        <v>930000</v>
      </c>
      <c r="AO31" s="2462" t="str">
        <f t="shared" si="10"/>
        <v>1 Unit Pek. Pintu ( P3 )</v>
      </c>
      <c r="AP31" s="2463">
        <f t="shared" si="2"/>
        <v>1440000</v>
      </c>
      <c r="AR31" s="2465">
        <v>5</v>
      </c>
      <c r="AS31" s="2465">
        <v>6</v>
      </c>
      <c r="AT31" s="2465">
        <v>7</v>
      </c>
      <c r="AV31" s="2466">
        <f t="shared" si="3"/>
        <v>259337</v>
      </c>
      <c r="AW31" s="2466">
        <f t="shared" si="4"/>
        <v>528305</v>
      </c>
      <c r="AX31" s="2466">
        <f t="shared" si="5"/>
        <v>528305</v>
      </c>
      <c r="AY31" s="2466"/>
      <c r="AZ31" s="2466">
        <f t="shared" si="11"/>
        <v>2308099.3000000003</v>
      </c>
      <c r="BA31" s="2466">
        <f t="shared" si="6"/>
        <v>19335963</v>
      </c>
      <c r="BB31" s="2466">
        <f t="shared" si="6"/>
        <v>6498151.5</v>
      </c>
      <c r="BC31" s="2466">
        <f t="shared" si="12"/>
        <v>0</v>
      </c>
      <c r="BD31" s="2466">
        <f t="shared" si="13"/>
        <v>2618690.9559999998</v>
      </c>
      <c r="BE31" s="2467">
        <f t="shared" si="14"/>
        <v>30760904.756000001</v>
      </c>
      <c r="BF31" s="2467">
        <f t="shared" si="15"/>
        <v>31010905</v>
      </c>
      <c r="BH31" s="2468" t="str">
        <f t="shared" si="7"/>
        <v>Kusen UPVC, Pintu UPVC, Jendela UPVC, Kaca Tempered 8 mm</v>
      </c>
    </row>
    <row r="32" spans="1:60" s="1914" customFormat="1">
      <c r="A32" s="2469" t="str">
        <f t="shared" si="8"/>
        <v>P4</v>
      </c>
      <c r="B32" s="2457" t="str">
        <f t="shared" si="0"/>
        <v>P</v>
      </c>
      <c r="C32" s="2457" t="s">
        <v>1912</v>
      </c>
      <c r="D32" s="2459">
        <v>9.1</v>
      </c>
      <c r="E32" s="2457">
        <v>7.3</v>
      </c>
      <c r="F32" s="2459">
        <v>11.1</v>
      </c>
      <c r="G32" s="2457"/>
      <c r="H32" s="2459">
        <v>0.78</v>
      </c>
      <c r="I32" s="2457"/>
      <c r="J32" s="2459"/>
      <c r="K32" s="2457"/>
      <c r="L32" s="2459"/>
      <c r="M32" s="2458"/>
      <c r="N32" s="2459">
        <v>1</v>
      </c>
      <c r="O32" s="2457"/>
      <c r="P32" s="2459"/>
      <c r="Q32" s="2457"/>
      <c r="R32" s="2459"/>
      <c r="S32" s="2457"/>
      <c r="T32" s="2459">
        <v>2</v>
      </c>
      <c r="U32" s="2457"/>
      <c r="V32" s="2459"/>
      <c r="W32" s="2457"/>
      <c r="X32" s="2459"/>
      <c r="Y32" s="2457">
        <v>1</v>
      </c>
      <c r="Z32" s="2459"/>
      <c r="AA32" s="2471"/>
      <c r="AB32" s="2472">
        <f t="shared" si="9"/>
        <v>180000</v>
      </c>
      <c r="AC32" s="2472">
        <f t="shared" si="1"/>
        <v>0</v>
      </c>
      <c r="AD32" s="2472">
        <f t="shared" si="1"/>
        <v>0</v>
      </c>
      <c r="AE32" s="2472">
        <f t="shared" si="1"/>
        <v>0</v>
      </c>
      <c r="AF32" s="2472">
        <f t="shared" si="1"/>
        <v>0</v>
      </c>
      <c r="AG32" s="2472">
        <f t="shared" si="1"/>
        <v>0</v>
      </c>
      <c r="AH32" s="2472">
        <f t="shared" si="1"/>
        <v>266000</v>
      </c>
      <c r="AI32" s="2472">
        <f t="shared" si="1"/>
        <v>0</v>
      </c>
      <c r="AJ32" s="2472">
        <f t="shared" si="1"/>
        <v>0</v>
      </c>
      <c r="AK32" s="2472">
        <f t="shared" si="1"/>
        <v>0</v>
      </c>
      <c r="AL32" s="2472">
        <f t="shared" si="1"/>
        <v>0</v>
      </c>
      <c r="AM32" s="2472">
        <f t="shared" si="1"/>
        <v>210000</v>
      </c>
      <c r="AN32" s="2472">
        <f t="shared" si="1"/>
        <v>0</v>
      </c>
      <c r="AO32" s="2462" t="str">
        <f t="shared" si="10"/>
        <v>1 Unit Pek. Pintu ( P4 )</v>
      </c>
      <c r="AP32" s="2473">
        <f t="shared" si="2"/>
        <v>656000</v>
      </c>
      <c r="AR32" s="2465">
        <v>5</v>
      </c>
      <c r="AS32" s="2465">
        <v>6</v>
      </c>
      <c r="AT32" s="2465">
        <v>7</v>
      </c>
      <c r="AV32" s="2475">
        <f t="shared" si="3"/>
        <v>259337</v>
      </c>
      <c r="AW32" s="2475">
        <f t="shared" si="4"/>
        <v>528305</v>
      </c>
      <c r="AX32" s="2475">
        <f t="shared" si="5"/>
        <v>528305</v>
      </c>
      <c r="AY32" s="2475"/>
      <c r="AZ32" s="2475">
        <f t="shared" si="11"/>
        <v>2359966.6999999997</v>
      </c>
      <c r="BA32" s="2475">
        <f t="shared" si="6"/>
        <v>3856626.5</v>
      </c>
      <c r="BB32" s="2475">
        <f t="shared" si="6"/>
        <v>5864185.5</v>
      </c>
      <c r="BC32" s="2475">
        <f t="shared" si="12"/>
        <v>0</v>
      </c>
      <c r="BD32" s="2475">
        <f t="shared" si="13"/>
        <v>322478.52</v>
      </c>
      <c r="BE32" s="2476">
        <f t="shared" si="14"/>
        <v>12403257.219999999</v>
      </c>
      <c r="BF32" s="2467">
        <f t="shared" si="15"/>
        <v>12653258</v>
      </c>
      <c r="BH32" s="1404" t="str">
        <f t="shared" si="7"/>
        <v>Kusen UPVC, Pintu UPVC, Jendela UPVC, Kaca Tempered 8 mm</v>
      </c>
    </row>
    <row r="33" spans="1:60" s="2464" customFormat="1">
      <c r="A33" s="2457" t="str">
        <f t="shared" si="8"/>
        <v>P5</v>
      </c>
      <c r="B33" s="2457" t="str">
        <f t="shared" si="0"/>
        <v>P</v>
      </c>
      <c r="C33" s="2457" t="s">
        <v>1913</v>
      </c>
      <c r="D33" s="2469">
        <v>8.1999999999999993</v>
      </c>
      <c r="E33" s="2457">
        <v>16</v>
      </c>
      <c r="F33" s="2469"/>
      <c r="G33" s="2457"/>
      <c r="H33" s="2469"/>
      <c r="I33" s="2457"/>
      <c r="J33" s="2469"/>
      <c r="K33" s="2457"/>
      <c r="L33" s="2469"/>
      <c r="M33" s="2470"/>
      <c r="N33" s="2459">
        <v>1</v>
      </c>
      <c r="O33" s="2457"/>
      <c r="P33" s="2459"/>
      <c r="Q33" s="2457"/>
      <c r="R33" s="2459">
        <v>2</v>
      </c>
      <c r="S33" s="2457"/>
      <c r="T33" s="2459">
        <v>2</v>
      </c>
      <c r="U33" s="2457"/>
      <c r="V33" s="2459"/>
      <c r="W33" s="2457"/>
      <c r="X33" s="2459"/>
      <c r="Y33" s="2457"/>
      <c r="Z33" s="2459">
        <v>2</v>
      </c>
      <c r="AA33" s="2460"/>
      <c r="AB33" s="2461">
        <f t="shared" si="9"/>
        <v>180000</v>
      </c>
      <c r="AC33" s="2461">
        <f t="shared" si="1"/>
        <v>0</v>
      </c>
      <c r="AD33" s="2461">
        <f t="shared" si="1"/>
        <v>0</v>
      </c>
      <c r="AE33" s="2461">
        <f t="shared" si="1"/>
        <v>0</v>
      </c>
      <c r="AF33" s="2461">
        <f t="shared" si="1"/>
        <v>79000</v>
      </c>
      <c r="AG33" s="2461">
        <f t="shared" si="1"/>
        <v>0</v>
      </c>
      <c r="AH33" s="2461">
        <f t="shared" si="1"/>
        <v>266000</v>
      </c>
      <c r="AI33" s="2461">
        <f t="shared" si="1"/>
        <v>0</v>
      </c>
      <c r="AJ33" s="2461">
        <f t="shared" si="1"/>
        <v>0</v>
      </c>
      <c r="AK33" s="2461">
        <f t="shared" si="1"/>
        <v>0</v>
      </c>
      <c r="AL33" s="2461">
        <f t="shared" si="1"/>
        <v>0</v>
      </c>
      <c r="AM33" s="2461">
        <f t="shared" si="1"/>
        <v>0</v>
      </c>
      <c r="AN33" s="2461">
        <f t="shared" si="1"/>
        <v>930000</v>
      </c>
      <c r="AO33" s="2462" t="str">
        <f t="shared" si="10"/>
        <v>1 Unit Pek. Pintu ( P5 )</v>
      </c>
      <c r="AP33" s="2463">
        <f t="shared" si="2"/>
        <v>1455000</v>
      </c>
      <c r="AR33" s="2474">
        <v>1</v>
      </c>
      <c r="AS33" s="2474">
        <v>99</v>
      </c>
      <c r="AT33" s="2474">
        <v>99</v>
      </c>
      <c r="AV33" s="2466">
        <f t="shared" si="3"/>
        <v>105337</v>
      </c>
      <c r="AW33" s="2466">
        <f t="shared" si="4"/>
        <v>0</v>
      </c>
      <c r="AX33" s="2466">
        <f t="shared" si="5"/>
        <v>0</v>
      </c>
      <c r="AY33" s="2466"/>
      <c r="AZ33" s="2466">
        <f t="shared" si="11"/>
        <v>863763.39999999991</v>
      </c>
      <c r="BA33" s="2466">
        <f t="shared" si="6"/>
        <v>0</v>
      </c>
      <c r="BB33" s="2466">
        <f t="shared" si="6"/>
        <v>0</v>
      </c>
      <c r="BC33" s="2466">
        <f t="shared" si="12"/>
        <v>0</v>
      </c>
      <c r="BD33" s="2466">
        <f t="shared" si="13"/>
        <v>0</v>
      </c>
      <c r="BE33" s="2467">
        <f t="shared" si="14"/>
        <v>863763.39999999991</v>
      </c>
      <c r="BF33" s="2467">
        <f t="shared" si="15"/>
        <v>1113764</v>
      </c>
      <c r="BH33" s="2468" t="str">
        <f t="shared" si="7"/>
        <v>Kusen Aluminium 4"</v>
      </c>
    </row>
    <row r="34" spans="1:60" s="2634" customFormat="1">
      <c r="A34" s="2628" t="str">
        <f t="shared" si="8"/>
        <v>P6</v>
      </c>
      <c r="B34" s="2457" t="str">
        <f t="shared" si="0"/>
        <v>P</v>
      </c>
      <c r="C34" s="2457" t="s">
        <v>2660</v>
      </c>
      <c r="D34" s="2629">
        <v>6.7</v>
      </c>
      <c r="E34" s="2457">
        <v>13</v>
      </c>
      <c r="F34" s="2629"/>
      <c r="G34" s="2457"/>
      <c r="H34" s="2629"/>
      <c r="I34" s="2457"/>
      <c r="J34" s="2629"/>
      <c r="K34" s="2457"/>
      <c r="L34" s="2629"/>
      <c r="M34" s="2630"/>
      <c r="N34" s="2629">
        <v>1</v>
      </c>
      <c r="O34" s="2457"/>
      <c r="P34" s="2629"/>
      <c r="Q34" s="2457"/>
      <c r="R34" s="2629"/>
      <c r="S34" s="2457"/>
      <c r="T34" s="2629">
        <v>4</v>
      </c>
      <c r="U34" s="2457"/>
      <c r="V34" s="2629"/>
      <c r="W34" s="2457"/>
      <c r="X34" s="2629"/>
      <c r="Y34" s="2457"/>
      <c r="Z34" s="2629">
        <v>2</v>
      </c>
      <c r="AA34" s="2631"/>
      <c r="AB34" s="2632">
        <f t="shared" si="9"/>
        <v>180000</v>
      </c>
      <c r="AC34" s="2632">
        <f t="shared" si="1"/>
        <v>0</v>
      </c>
      <c r="AD34" s="2632">
        <f t="shared" si="1"/>
        <v>0</v>
      </c>
      <c r="AE34" s="2632">
        <f t="shared" si="1"/>
        <v>0</v>
      </c>
      <c r="AF34" s="2632">
        <f t="shared" si="1"/>
        <v>0</v>
      </c>
      <c r="AG34" s="2632">
        <f t="shared" si="1"/>
        <v>0</v>
      </c>
      <c r="AH34" s="2632">
        <f t="shared" si="1"/>
        <v>532000</v>
      </c>
      <c r="AI34" s="2632">
        <f t="shared" si="1"/>
        <v>0</v>
      </c>
      <c r="AJ34" s="2632">
        <f t="shared" si="1"/>
        <v>0</v>
      </c>
      <c r="AK34" s="2632">
        <f t="shared" si="1"/>
        <v>0</v>
      </c>
      <c r="AL34" s="2632">
        <f t="shared" si="1"/>
        <v>0</v>
      </c>
      <c r="AM34" s="2632">
        <f t="shared" si="1"/>
        <v>0</v>
      </c>
      <c r="AN34" s="2632">
        <f t="shared" si="1"/>
        <v>930000</v>
      </c>
      <c r="AO34" s="2462" t="str">
        <f t="shared" si="10"/>
        <v>1 Unit Pek. Pintu ( P6 )</v>
      </c>
      <c r="AP34" s="2633">
        <f t="shared" si="2"/>
        <v>1642000</v>
      </c>
      <c r="AR34" s="2625">
        <v>5</v>
      </c>
      <c r="AS34" s="2625">
        <v>12</v>
      </c>
      <c r="AT34" s="2625">
        <v>99</v>
      </c>
      <c r="AV34" s="2635">
        <f t="shared" si="3"/>
        <v>259337</v>
      </c>
      <c r="AW34" s="2635">
        <f t="shared" si="4"/>
        <v>853394</v>
      </c>
      <c r="AX34" s="2635">
        <f t="shared" si="5"/>
        <v>0</v>
      </c>
      <c r="AY34" s="2635"/>
      <c r="AZ34" s="2635">
        <f t="shared" si="11"/>
        <v>1737557.9000000001</v>
      </c>
      <c r="BA34" s="2635">
        <f t="shared" si="6"/>
        <v>11094122</v>
      </c>
      <c r="BB34" s="2635">
        <f t="shared" si="6"/>
        <v>0</v>
      </c>
      <c r="BC34" s="2635">
        <f t="shared" si="12"/>
        <v>0</v>
      </c>
      <c r="BD34" s="2635">
        <f t="shared" si="13"/>
        <v>0</v>
      </c>
      <c r="BE34" s="2636">
        <f t="shared" si="14"/>
        <v>12831679.9</v>
      </c>
      <c r="BF34" s="2467">
        <f t="shared" si="15"/>
        <v>13081680</v>
      </c>
      <c r="BH34" s="2637" t="str">
        <f t="shared" si="7"/>
        <v>Kusen UPVC, Pintu Panel Teakwood</v>
      </c>
    </row>
    <row r="35" spans="1:60" s="2464" customFormat="1">
      <c r="A35" s="2457" t="str">
        <f t="shared" si="8"/>
        <v>P7</v>
      </c>
      <c r="B35" s="2457" t="str">
        <f t="shared" si="0"/>
        <v>P</v>
      </c>
      <c r="C35" s="2457" t="s">
        <v>2866</v>
      </c>
      <c r="D35" s="2469">
        <v>6</v>
      </c>
      <c r="E35" s="2457">
        <v>6.7</v>
      </c>
      <c r="F35" s="2469"/>
      <c r="G35" s="2457"/>
      <c r="H35" s="2469"/>
      <c r="I35" s="2457"/>
      <c r="J35" s="2469"/>
      <c r="K35" s="2457"/>
      <c r="L35" s="2469"/>
      <c r="M35" s="2470"/>
      <c r="N35" s="2459">
        <v>1</v>
      </c>
      <c r="O35" s="2457"/>
      <c r="P35" s="2459"/>
      <c r="Q35" s="2457"/>
      <c r="R35" s="2459"/>
      <c r="S35" s="2457"/>
      <c r="T35" s="2459">
        <v>2</v>
      </c>
      <c r="U35" s="2457"/>
      <c r="V35" s="2459"/>
      <c r="W35" s="2457"/>
      <c r="X35" s="2459"/>
      <c r="Y35" s="2457">
        <v>1</v>
      </c>
      <c r="Z35" s="2469"/>
      <c r="AA35" s="2460"/>
      <c r="AB35" s="2461">
        <f t="shared" si="9"/>
        <v>180000</v>
      </c>
      <c r="AC35" s="2461">
        <f t="shared" si="1"/>
        <v>0</v>
      </c>
      <c r="AD35" s="2472">
        <f t="shared" si="1"/>
        <v>0</v>
      </c>
      <c r="AE35" s="2461">
        <f t="shared" si="1"/>
        <v>0</v>
      </c>
      <c r="AF35" s="2461">
        <f t="shared" si="1"/>
        <v>0</v>
      </c>
      <c r="AG35" s="2461">
        <f t="shared" si="1"/>
        <v>0</v>
      </c>
      <c r="AH35" s="2461">
        <f t="shared" si="1"/>
        <v>266000</v>
      </c>
      <c r="AI35" s="2461">
        <f t="shared" si="1"/>
        <v>0</v>
      </c>
      <c r="AJ35" s="2461">
        <f t="shared" si="1"/>
        <v>0</v>
      </c>
      <c r="AK35" s="2461">
        <f t="shared" si="1"/>
        <v>0</v>
      </c>
      <c r="AL35" s="2461">
        <f t="shared" si="1"/>
        <v>0</v>
      </c>
      <c r="AM35" s="2461">
        <f t="shared" si="1"/>
        <v>210000</v>
      </c>
      <c r="AN35" s="2461">
        <f t="shared" si="1"/>
        <v>0</v>
      </c>
      <c r="AO35" s="2462" t="str">
        <f t="shared" si="10"/>
        <v>1 Unit Pek. Pintu ( P7 )</v>
      </c>
      <c r="AP35" s="2463">
        <f t="shared" si="2"/>
        <v>656000</v>
      </c>
      <c r="AR35" s="2474">
        <v>1</v>
      </c>
      <c r="AS35" s="2474">
        <v>12</v>
      </c>
      <c r="AT35" s="2474">
        <v>99</v>
      </c>
      <c r="AV35" s="2466">
        <f t="shared" si="3"/>
        <v>105337</v>
      </c>
      <c r="AW35" s="2466">
        <f t="shared" si="4"/>
        <v>853394</v>
      </c>
      <c r="AX35" s="2466">
        <f t="shared" si="5"/>
        <v>0</v>
      </c>
      <c r="AY35" s="2466"/>
      <c r="AZ35" s="2466">
        <f t="shared" si="11"/>
        <v>632022</v>
      </c>
      <c r="BA35" s="2466">
        <f t="shared" si="6"/>
        <v>5717739.7999999998</v>
      </c>
      <c r="BB35" s="2466">
        <f t="shared" si="6"/>
        <v>0</v>
      </c>
      <c r="BC35" s="2466">
        <f t="shared" si="12"/>
        <v>0</v>
      </c>
      <c r="BD35" s="2466">
        <f t="shared" si="13"/>
        <v>0</v>
      </c>
      <c r="BE35" s="2467">
        <f t="shared" si="14"/>
        <v>6349761.7999999998</v>
      </c>
      <c r="BF35" s="2467">
        <f t="shared" si="15"/>
        <v>6599762</v>
      </c>
      <c r="BH35" s="2468" t="str">
        <f t="shared" si="7"/>
        <v>Kusen Aluminium 4", Pintu Panel Teakwood</v>
      </c>
    </row>
    <row r="36" spans="1:60" s="1914" customFormat="1">
      <c r="A36" s="2469" t="str">
        <f t="shared" si="8"/>
        <v>P8</v>
      </c>
      <c r="B36" s="2457" t="str">
        <f t="shared" si="0"/>
        <v>P</v>
      </c>
      <c r="C36" s="2457" t="s">
        <v>2976</v>
      </c>
      <c r="D36" s="2459">
        <v>5.9</v>
      </c>
      <c r="E36" s="2457">
        <v>6.5</v>
      </c>
      <c r="F36" s="2459"/>
      <c r="G36" s="2457"/>
      <c r="H36" s="2459"/>
      <c r="I36" s="2457"/>
      <c r="J36" s="2459"/>
      <c r="K36" s="2457"/>
      <c r="L36" s="2459"/>
      <c r="M36" s="2458"/>
      <c r="N36" s="2459">
        <v>1</v>
      </c>
      <c r="O36" s="2457"/>
      <c r="P36" s="2459"/>
      <c r="Q36" s="2457"/>
      <c r="R36" s="2459"/>
      <c r="S36" s="2457"/>
      <c r="T36" s="2459">
        <v>2</v>
      </c>
      <c r="U36" s="2457"/>
      <c r="V36" s="2459"/>
      <c r="W36" s="2457"/>
      <c r="X36" s="2459"/>
      <c r="Y36" s="2457">
        <v>1</v>
      </c>
      <c r="Z36" s="2459"/>
      <c r="AA36" s="2471"/>
      <c r="AB36" s="2472">
        <f t="shared" si="9"/>
        <v>180000</v>
      </c>
      <c r="AC36" s="2472">
        <f t="shared" si="1"/>
        <v>0</v>
      </c>
      <c r="AD36" s="2472">
        <f t="shared" si="1"/>
        <v>0</v>
      </c>
      <c r="AE36" s="2472">
        <f t="shared" si="1"/>
        <v>0</v>
      </c>
      <c r="AF36" s="2472">
        <f t="shared" si="1"/>
        <v>0</v>
      </c>
      <c r="AG36" s="2472">
        <f t="shared" si="1"/>
        <v>0</v>
      </c>
      <c r="AH36" s="2472">
        <f t="shared" si="1"/>
        <v>266000</v>
      </c>
      <c r="AI36" s="2472">
        <f t="shared" si="1"/>
        <v>0</v>
      </c>
      <c r="AJ36" s="2472">
        <f t="shared" si="1"/>
        <v>0</v>
      </c>
      <c r="AK36" s="2472">
        <f t="shared" si="1"/>
        <v>0</v>
      </c>
      <c r="AL36" s="2472">
        <f t="shared" si="1"/>
        <v>0</v>
      </c>
      <c r="AM36" s="2472">
        <f t="shared" si="1"/>
        <v>210000</v>
      </c>
      <c r="AN36" s="2472">
        <f t="shared" si="1"/>
        <v>0</v>
      </c>
      <c r="AO36" s="2462" t="str">
        <f t="shared" si="10"/>
        <v>1 Unit Pek. Pintu ( P8 )</v>
      </c>
      <c r="AP36" s="2473">
        <f t="shared" si="2"/>
        <v>656000</v>
      </c>
      <c r="AR36" s="2474">
        <v>1</v>
      </c>
      <c r="AS36" s="2474">
        <v>12</v>
      </c>
      <c r="AT36" s="2474">
        <v>99</v>
      </c>
      <c r="AV36" s="2475">
        <f t="shared" si="3"/>
        <v>105337</v>
      </c>
      <c r="AW36" s="2475">
        <f t="shared" si="4"/>
        <v>853394</v>
      </c>
      <c r="AX36" s="2475">
        <f t="shared" si="5"/>
        <v>0</v>
      </c>
      <c r="AY36" s="2475"/>
      <c r="AZ36" s="2475">
        <f t="shared" si="11"/>
        <v>621488.30000000005</v>
      </c>
      <c r="BA36" s="2475">
        <f t="shared" si="6"/>
        <v>5547061</v>
      </c>
      <c r="BB36" s="2475">
        <f t="shared" si="6"/>
        <v>0</v>
      </c>
      <c r="BC36" s="2475">
        <f t="shared" si="12"/>
        <v>0</v>
      </c>
      <c r="BD36" s="2475">
        <f t="shared" si="13"/>
        <v>0</v>
      </c>
      <c r="BE36" s="2476">
        <f t="shared" si="14"/>
        <v>6168549.2999999998</v>
      </c>
      <c r="BF36" s="2467">
        <f t="shared" si="15"/>
        <v>6418550</v>
      </c>
      <c r="BH36" s="1404" t="str">
        <f t="shared" si="7"/>
        <v>Kusen Aluminium 4", Pintu Panel Teakwood</v>
      </c>
    </row>
    <row r="37" spans="1:60" s="2464" customFormat="1">
      <c r="A37" s="2457" t="str">
        <f t="shared" si="8"/>
        <v>P9</v>
      </c>
      <c r="B37" s="2457" t="str">
        <f t="shared" si="0"/>
        <v>P</v>
      </c>
      <c r="C37" s="2457" t="s">
        <v>2977</v>
      </c>
      <c r="D37" s="2459">
        <v>5.2</v>
      </c>
      <c r="E37" s="2457">
        <v>5.7</v>
      </c>
      <c r="F37" s="2459"/>
      <c r="G37" s="2457"/>
      <c r="H37" s="2459"/>
      <c r="I37" s="2457"/>
      <c r="J37" s="2459"/>
      <c r="K37" s="2457"/>
      <c r="L37" s="2459"/>
      <c r="M37" s="2458"/>
      <c r="N37" s="2469">
        <v>1</v>
      </c>
      <c r="O37" s="2457"/>
      <c r="P37" s="2469"/>
      <c r="Q37" s="2457"/>
      <c r="R37" s="2469"/>
      <c r="S37" s="2457"/>
      <c r="T37" s="2469">
        <v>2</v>
      </c>
      <c r="U37" s="2457"/>
      <c r="V37" s="2469"/>
      <c r="W37" s="2457"/>
      <c r="X37" s="2469"/>
      <c r="Y37" s="2457">
        <v>1</v>
      </c>
      <c r="Z37" s="2459"/>
      <c r="AA37" s="2460"/>
      <c r="AB37" s="2461">
        <f t="shared" si="9"/>
        <v>180000</v>
      </c>
      <c r="AC37" s="2461">
        <f t="shared" si="1"/>
        <v>0</v>
      </c>
      <c r="AD37" s="2461">
        <f t="shared" si="1"/>
        <v>0</v>
      </c>
      <c r="AE37" s="2461">
        <f t="shared" si="1"/>
        <v>0</v>
      </c>
      <c r="AF37" s="2461">
        <f t="shared" si="1"/>
        <v>0</v>
      </c>
      <c r="AG37" s="2461">
        <f t="shared" si="1"/>
        <v>0</v>
      </c>
      <c r="AH37" s="2461">
        <f t="shared" si="1"/>
        <v>266000</v>
      </c>
      <c r="AI37" s="2461">
        <f t="shared" si="1"/>
        <v>0</v>
      </c>
      <c r="AJ37" s="2461">
        <f t="shared" si="1"/>
        <v>0</v>
      </c>
      <c r="AK37" s="2461">
        <f t="shared" si="1"/>
        <v>0</v>
      </c>
      <c r="AL37" s="2461">
        <f t="shared" si="1"/>
        <v>0</v>
      </c>
      <c r="AM37" s="2461">
        <f t="shared" si="1"/>
        <v>210000</v>
      </c>
      <c r="AN37" s="2461">
        <f t="shared" si="1"/>
        <v>0</v>
      </c>
      <c r="AO37" s="2462" t="str">
        <f t="shared" si="10"/>
        <v>1 Unit Pek. Pintu ( P9 )</v>
      </c>
      <c r="AP37" s="2463">
        <f t="shared" si="2"/>
        <v>656000</v>
      </c>
      <c r="AR37" s="2474">
        <v>5</v>
      </c>
      <c r="AS37" s="2474">
        <v>6</v>
      </c>
      <c r="AT37" s="2474">
        <v>99</v>
      </c>
      <c r="AV37" s="2466">
        <f t="shared" si="3"/>
        <v>259337</v>
      </c>
      <c r="AW37" s="2466">
        <f t="shared" si="4"/>
        <v>528305</v>
      </c>
      <c r="AX37" s="2466">
        <f t="shared" si="5"/>
        <v>0</v>
      </c>
      <c r="AY37" s="2466"/>
      <c r="AZ37" s="2466">
        <f t="shared" si="11"/>
        <v>1348552.4000000001</v>
      </c>
      <c r="BA37" s="2466">
        <f t="shared" si="6"/>
        <v>3011338.5</v>
      </c>
      <c r="BB37" s="2466">
        <f t="shared" si="6"/>
        <v>0</v>
      </c>
      <c r="BC37" s="2466">
        <f t="shared" si="12"/>
        <v>0</v>
      </c>
      <c r="BD37" s="2466">
        <f t="shared" si="13"/>
        <v>0</v>
      </c>
      <c r="BE37" s="2467">
        <f t="shared" si="14"/>
        <v>4359890.9000000004</v>
      </c>
      <c r="BF37" s="2467">
        <f t="shared" si="15"/>
        <v>4609891</v>
      </c>
      <c r="BH37" s="2468" t="str">
        <f t="shared" si="7"/>
        <v>Kusen UPVC, Pintu UPVC</v>
      </c>
    </row>
    <row r="38" spans="1:60" s="1914" customFormat="1">
      <c r="A38" s="2469" t="str">
        <f t="shared" si="8"/>
        <v>P10</v>
      </c>
      <c r="B38" s="2457" t="str">
        <f t="shared" si="0"/>
        <v>P</v>
      </c>
      <c r="C38" s="2457" t="s">
        <v>2978</v>
      </c>
      <c r="D38" s="2469"/>
      <c r="E38" s="2457"/>
      <c r="F38" s="2469"/>
      <c r="G38" s="2457"/>
      <c r="H38" s="2469"/>
      <c r="I38" s="2457"/>
      <c r="J38" s="2469"/>
      <c r="K38" s="2457"/>
      <c r="L38" s="2469"/>
      <c r="M38" s="2470"/>
      <c r="N38" s="2459"/>
      <c r="O38" s="2457"/>
      <c r="P38" s="2459"/>
      <c r="Q38" s="2457"/>
      <c r="R38" s="2459"/>
      <c r="S38" s="2457"/>
      <c r="T38" s="2459"/>
      <c r="U38" s="2457"/>
      <c r="V38" s="2459"/>
      <c r="W38" s="2457"/>
      <c r="X38" s="2459"/>
      <c r="Y38" s="2457"/>
      <c r="Z38" s="2469"/>
      <c r="AA38" s="2471"/>
      <c r="AB38" s="2472">
        <f t="shared" si="9"/>
        <v>0</v>
      </c>
      <c r="AC38" s="2472">
        <f t="shared" si="1"/>
        <v>0</v>
      </c>
      <c r="AD38" s="2472">
        <f t="shared" si="1"/>
        <v>0</v>
      </c>
      <c r="AE38" s="2472">
        <f t="shared" si="1"/>
        <v>0</v>
      </c>
      <c r="AF38" s="2472">
        <f t="shared" si="1"/>
        <v>0</v>
      </c>
      <c r="AG38" s="2472">
        <f t="shared" si="1"/>
        <v>0</v>
      </c>
      <c r="AH38" s="2472">
        <f t="shared" si="1"/>
        <v>0</v>
      </c>
      <c r="AI38" s="2472">
        <f t="shared" si="1"/>
        <v>0</v>
      </c>
      <c r="AJ38" s="2472">
        <f t="shared" si="1"/>
        <v>0</v>
      </c>
      <c r="AK38" s="2472">
        <f t="shared" si="1"/>
        <v>0</v>
      </c>
      <c r="AL38" s="2472">
        <f t="shared" si="1"/>
        <v>0</v>
      </c>
      <c r="AM38" s="2472">
        <f t="shared" si="1"/>
        <v>0</v>
      </c>
      <c r="AN38" s="2472">
        <f t="shared" si="1"/>
        <v>0</v>
      </c>
      <c r="AO38" s="2462" t="str">
        <f t="shared" si="10"/>
        <v>1 Unit Pek. Pintu ( P10 )</v>
      </c>
      <c r="AP38" s="2473">
        <f t="shared" si="2"/>
        <v>0</v>
      </c>
      <c r="AR38" s="2474">
        <v>99</v>
      </c>
      <c r="AS38" s="2474">
        <v>99</v>
      </c>
      <c r="AT38" s="2474">
        <v>99</v>
      </c>
      <c r="AV38" s="2475">
        <f t="shared" si="3"/>
        <v>0</v>
      </c>
      <c r="AW38" s="2475">
        <f t="shared" si="4"/>
        <v>0</v>
      </c>
      <c r="AX38" s="2475">
        <f t="shared" si="5"/>
        <v>0</v>
      </c>
      <c r="AY38" s="2475"/>
      <c r="AZ38" s="2475">
        <f t="shared" si="11"/>
        <v>0</v>
      </c>
      <c r="BA38" s="2475">
        <f t="shared" si="6"/>
        <v>0</v>
      </c>
      <c r="BB38" s="2475">
        <f t="shared" si="6"/>
        <v>0</v>
      </c>
      <c r="BC38" s="2475">
        <f t="shared" si="12"/>
        <v>0</v>
      </c>
      <c r="BD38" s="2475">
        <f t="shared" si="13"/>
        <v>0</v>
      </c>
      <c r="BE38" s="2476">
        <f t="shared" si="14"/>
        <v>0</v>
      </c>
      <c r="BF38" s="2467">
        <f t="shared" si="15"/>
        <v>250000</v>
      </c>
      <c r="BH38" s="1404" t="str">
        <f t="shared" si="7"/>
        <v/>
      </c>
    </row>
    <row r="39" spans="1:60" s="2464" customFormat="1">
      <c r="A39" s="2457" t="str">
        <f t="shared" si="8"/>
        <v>P11</v>
      </c>
      <c r="B39" s="2457" t="str">
        <f t="shared" si="0"/>
        <v>P</v>
      </c>
      <c r="C39" s="2457" t="s">
        <v>2979</v>
      </c>
      <c r="D39" s="2459"/>
      <c r="E39" s="2457"/>
      <c r="F39" s="2459"/>
      <c r="G39" s="2457"/>
      <c r="H39" s="2459"/>
      <c r="I39" s="2457"/>
      <c r="J39" s="2459"/>
      <c r="K39" s="2457"/>
      <c r="L39" s="2459"/>
      <c r="M39" s="2458"/>
      <c r="N39" s="2459"/>
      <c r="O39" s="2457"/>
      <c r="P39" s="2459"/>
      <c r="Q39" s="2457"/>
      <c r="R39" s="2459"/>
      <c r="S39" s="2457"/>
      <c r="T39" s="2459"/>
      <c r="U39" s="2457"/>
      <c r="V39" s="2459"/>
      <c r="W39" s="2457"/>
      <c r="X39" s="2459"/>
      <c r="Y39" s="2457"/>
      <c r="Z39" s="2459"/>
      <c r="AA39" s="2460"/>
      <c r="AB39" s="2461">
        <f t="shared" si="9"/>
        <v>0</v>
      </c>
      <c r="AC39" s="2461">
        <f t="shared" si="1"/>
        <v>0</v>
      </c>
      <c r="AD39" s="2461">
        <f t="shared" si="1"/>
        <v>0</v>
      </c>
      <c r="AE39" s="2461">
        <f t="shared" si="1"/>
        <v>0</v>
      </c>
      <c r="AF39" s="2461">
        <f t="shared" si="1"/>
        <v>0</v>
      </c>
      <c r="AG39" s="2461">
        <f t="shared" si="1"/>
        <v>0</v>
      </c>
      <c r="AH39" s="2461">
        <f t="shared" si="1"/>
        <v>0</v>
      </c>
      <c r="AI39" s="2461">
        <f t="shared" si="1"/>
        <v>0</v>
      </c>
      <c r="AJ39" s="2461">
        <f t="shared" si="1"/>
        <v>0</v>
      </c>
      <c r="AK39" s="2461">
        <f t="shared" si="1"/>
        <v>0</v>
      </c>
      <c r="AL39" s="2461">
        <f t="shared" si="1"/>
        <v>0</v>
      </c>
      <c r="AM39" s="2461">
        <f t="shared" si="1"/>
        <v>0</v>
      </c>
      <c r="AN39" s="2461">
        <f t="shared" si="1"/>
        <v>0</v>
      </c>
      <c r="AO39" s="2462" t="str">
        <f t="shared" si="10"/>
        <v>1 Unit Pek. Pintu ( P11 )</v>
      </c>
      <c r="AP39" s="2463">
        <f t="shared" si="2"/>
        <v>0</v>
      </c>
      <c r="AR39" s="2474">
        <v>99</v>
      </c>
      <c r="AS39" s="2474">
        <v>99</v>
      </c>
      <c r="AT39" s="2474">
        <v>99</v>
      </c>
      <c r="AV39" s="2466">
        <f t="shared" si="3"/>
        <v>0</v>
      </c>
      <c r="AW39" s="2466">
        <f t="shared" si="4"/>
        <v>0</v>
      </c>
      <c r="AX39" s="2466">
        <f t="shared" si="5"/>
        <v>0</v>
      </c>
      <c r="AY39" s="2466"/>
      <c r="AZ39" s="2466">
        <f t="shared" si="11"/>
        <v>0</v>
      </c>
      <c r="BA39" s="2466">
        <f t="shared" si="6"/>
        <v>0</v>
      </c>
      <c r="BB39" s="2466">
        <f t="shared" si="6"/>
        <v>0</v>
      </c>
      <c r="BC39" s="2466">
        <f t="shared" si="12"/>
        <v>0</v>
      </c>
      <c r="BD39" s="2466">
        <f t="shared" si="13"/>
        <v>0</v>
      </c>
      <c r="BE39" s="2467">
        <f t="shared" si="14"/>
        <v>0</v>
      </c>
      <c r="BF39" s="2467">
        <f t="shared" si="15"/>
        <v>250000</v>
      </c>
      <c r="BH39" s="2468" t="str">
        <f t="shared" si="7"/>
        <v/>
      </c>
    </row>
    <row r="40" spans="1:60" s="1914" customFormat="1">
      <c r="A40" s="2469" t="str">
        <f t="shared" si="8"/>
        <v>J1</v>
      </c>
      <c r="B40" s="2457" t="str">
        <f t="shared" si="0"/>
        <v>J</v>
      </c>
      <c r="C40" s="2457" t="s">
        <v>2980</v>
      </c>
      <c r="D40" s="2469">
        <v>17.2</v>
      </c>
      <c r="E40" s="2457"/>
      <c r="F40" s="2469">
        <v>20.239999999999998</v>
      </c>
      <c r="G40" s="2457"/>
      <c r="H40" s="2469">
        <v>3.5840000000000001</v>
      </c>
      <c r="I40" s="2457"/>
      <c r="J40" s="2469"/>
      <c r="K40" s="2457"/>
      <c r="L40" s="2469"/>
      <c r="M40" s="2470"/>
      <c r="N40" s="2469"/>
      <c r="O40" s="2457"/>
      <c r="P40" s="2469">
        <v>4</v>
      </c>
      <c r="Q40" s="2457"/>
      <c r="R40" s="2459">
        <v>8</v>
      </c>
      <c r="S40" s="2457"/>
      <c r="T40" s="2469"/>
      <c r="U40" s="2457"/>
      <c r="V40" s="2469"/>
      <c r="W40" s="2457"/>
      <c r="X40" s="2469"/>
      <c r="Y40" s="2457"/>
      <c r="Z40" s="2469"/>
      <c r="AA40" s="2471"/>
      <c r="AB40" s="2472">
        <f t="shared" si="9"/>
        <v>0</v>
      </c>
      <c r="AC40" s="2472">
        <f t="shared" si="1"/>
        <v>0</v>
      </c>
      <c r="AD40" s="2472">
        <f t="shared" si="1"/>
        <v>220000</v>
      </c>
      <c r="AE40" s="2472">
        <f t="shared" si="1"/>
        <v>0</v>
      </c>
      <c r="AF40" s="2472">
        <f t="shared" si="1"/>
        <v>316000</v>
      </c>
      <c r="AG40" s="2472">
        <f t="shared" si="1"/>
        <v>0</v>
      </c>
      <c r="AH40" s="2472">
        <f t="shared" si="1"/>
        <v>0</v>
      </c>
      <c r="AI40" s="2472">
        <f t="shared" si="1"/>
        <v>0</v>
      </c>
      <c r="AJ40" s="2472">
        <f t="shared" si="1"/>
        <v>0</v>
      </c>
      <c r="AK40" s="2472">
        <f t="shared" si="1"/>
        <v>0</v>
      </c>
      <c r="AL40" s="2472">
        <f t="shared" si="1"/>
        <v>0</v>
      </c>
      <c r="AM40" s="2472">
        <f t="shared" si="1"/>
        <v>0</v>
      </c>
      <c r="AN40" s="2472">
        <f t="shared" si="1"/>
        <v>0</v>
      </c>
      <c r="AO40" s="2462" t="str">
        <f t="shared" si="10"/>
        <v>1 Unit Pek. Jendela ( J1 )</v>
      </c>
      <c r="AP40" s="2473">
        <f t="shared" si="2"/>
        <v>536000</v>
      </c>
      <c r="AR40" s="2474">
        <v>5</v>
      </c>
      <c r="AS40" s="2474">
        <v>99</v>
      </c>
      <c r="AT40" s="2474">
        <v>7</v>
      </c>
      <c r="AV40" s="2475">
        <f t="shared" si="3"/>
        <v>259337</v>
      </c>
      <c r="AW40" s="2475">
        <f t="shared" si="4"/>
        <v>0</v>
      </c>
      <c r="AX40" s="2475">
        <f t="shared" si="5"/>
        <v>528305</v>
      </c>
      <c r="AY40" s="2475"/>
      <c r="AZ40" s="2475">
        <f t="shared" si="11"/>
        <v>4460596.3999999994</v>
      </c>
      <c r="BA40" s="2475">
        <f t="shared" si="6"/>
        <v>0</v>
      </c>
      <c r="BB40" s="2475">
        <f t="shared" si="6"/>
        <v>10692893.199999999</v>
      </c>
      <c r="BC40" s="2475">
        <f t="shared" si="12"/>
        <v>0</v>
      </c>
      <c r="BD40" s="2475">
        <f t="shared" si="13"/>
        <v>1481747.456</v>
      </c>
      <c r="BE40" s="2476">
        <f t="shared" si="14"/>
        <v>16635237.055999998</v>
      </c>
      <c r="BF40" s="2467">
        <f t="shared" si="15"/>
        <v>16885238</v>
      </c>
      <c r="BH40" s="1404" t="str">
        <f t="shared" si="7"/>
        <v>Kusen UPVC, Jendela UPVC, Kaca Tempered 8 mm</v>
      </c>
    </row>
    <row r="41" spans="1:60" s="2464" customFormat="1">
      <c r="A41" s="2457" t="str">
        <f t="shared" si="8"/>
        <v>J2</v>
      </c>
      <c r="B41" s="2457" t="str">
        <f t="shared" si="0"/>
        <v>J</v>
      </c>
      <c r="C41" s="2457" t="s">
        <v>2981</v>
      </c>
      <c r="D41" s="2459">
        <v>14.7</v>
      </c>
      <c r="E41" s="2457"/>
      <c r="F41" s="2459">
        <v>21.6</v>
      </c>
      <c r="G41" s="2457"/>
      <c r="H41" s="2459">
        <v>2.75</v>
      </c>
      <c r="I41" s="2457"/>
      <c r="J41" s="2459"/>
      <c r="K41" s="2457"/>
      <c r="L41" s="2459"/>
      <c r="M41" s="2458"/>
      <c r="N41" s="2459"/>
      <c r="O41" s="2457"/>
      <c r="P41" s="2459">
        <v>6</v>
      </c>
      <c r="Q41" s="2457"/>
      <c r="R41" s="2459">
        <v>12</v>
      </c>
      <c r="S41" s="2457"/>
      <c r="T41" s="2459"/>
      <c r="U41" s="2457"/>
      <c r="V41" s="2459"/>
      <c r="W41" s="2457"/>
      <c r="X41" s="2459"/>
      <c r="Y41" s="2457"/>
      <c r="Z41" s="2459"/>
      <c r="AA41" s="2460"/>
      <c r="AB41" s="2461">
        <f t="shared" si="9"/>
        <v>0</v>
      </c>
      <c r="AC41" s="2461">
        <f t="shared" si="1"/>
        <v>0</v>
      </c>
      <c r="AD41" s="2461">
        <f t="shared" si="1"/>
        <v>330000</v>
      </c>
      <c r="AE41" s="2461">
        <f t="shared" si="1"/>
        <v>0</v>
      </c>
      <c r="AF41" s="2461">
        <f t="shared" si="1"/>
        <v>474000</v>
      </c>
      <c r="AG41" s="2461">
        <f t="shared" si="1"/>
        <v>0</v>
      </c>
      <c r="AH41" s="2461">
        <f t="shared" si="1"/>
        <v>0</v>
      </c>
      <c r="AI41" s="2461">
        <f t="shared" si="1"/>
        <v>0</v>
      </c>
      <c r="AJ41" s="2461">
        <f t="shared" si="1"/>
        <v>0</v>
      </c>
      <c r="AK41" s="2461">
        <f t="shared" si="1"/>
        <v>0</v>
      </c>
      <c r="AL41" s="2461">
        <f t="shared" si="1"/>
        <v>0</v>
      </c>
      <c r="AM41" s="2461">
        <f t="shared" si="1"/>
        <v>0</v>
      </c>
      <c r="AN41" s="2461">
        <f t="shared" si="1"/>
        <v>0</v>
      </c>
      <c r="AO41" s="2462" t="str">
        <f t="shared" si="10"/>
        <v>1 Unit Pek. Jendela ( J2 )</v>
      </c>
      <c r="AP41" s="2463">
        <f t="shared" si="2"/>
        <v>804000</v>
      </c>
      <c r="AR41" s="2474">
        <v>5</v>
      </c>
      <c r="AS41" s="2474">
        <v>99</v>
      </c>
      <c r="AT41" s="2474">
        <v>7</v>
      </c>
      <c r="AV41" s="2466">
        <f t="shared" si="3"/>
        <v>259337</v>
      </c>
      <c r="AW41" s="2466">
        <f t="shared" si="4"/>
        <v>0</v>
      </c>
      <c r="AX41" s="2466">
        <f t="shared" si="5"/>
        <v>528305</v>
      </c>
      <c r="AY41" s="2466"/>
      <c r="AZ41" s="2466">
        <f t="shared" si="11"/>
        <v>3812253.9</v>
      </c>
      <c r="BA41" s="2466">
        <f t="shared" si="6"/>
        <v>0</v>
      </c>
      <c r="BB41" s="2466">
        <f t="shared" si="6"/>
        <v>11411388</v>
      </c>
      <c r="BC41" s="2466">
        <f t="shared" si="12"/>
        <v>0</v>
      </c>
      <c r="BD41" s="2466">
        <f t="shared" si="13"/>
        <v>1136943.5</v>
      </c>
      <c r="BE41" s="2467">
        <f t="shared" si="14"/>
        <v>16360585.4</v>
      </c>
      <c r="BF41" s="2467">
        <f t="shared" si="15"/>
        <v>16610586</v>
      </c>
      <c r="BH41" s="2468" t="str">
        <f t="shared" si="7"/>
        <v>Kusen UPVC, Jendela UPVC, Kaca Tempered 8 mm</v>
      </c>
    </row>
    <row r="42" spans="1:60" s="1914" customFormat="1">
      <c r="A42" s="2469" t="str">
        <f t="shared" si="8"/>
        <v>J3</v>
      </c>
      <c r="B42" s="2457" t="str">
        <f t="shared" si="0"/>
        <v>J</v>
      </c>
      <c r="C42" s="2457" t="s">
        <v>2982</v>
      </c>
      <c r="D42" s="2469">
        <v>12.1</v>
      </c>
      <c r="E42" s="2457"/>
      <c r="F42" s="2469">
        <v>15</v>
      </c>
      <c r="G42" s="2457"/>
      <c r="H42" s="2469">
        <v>1.8839999999999999</v>
      </c>
      <c r="I42" s="2457"/>
      <c r="J42" s="2469"/>
      <c r="K42" s="2457"/>
      <c r="L42" s="2469"/>
      <c r="M42" s="2470"/>
      <c r="N42" s="2469"/>
      <c r="O42" s="2457"/>
      <c r="P42" s="2469">
        <v>4</v>
      </c>
      <c r="Q42" s="2457"/>
      <c r="R42" s="2459">
        <v>8</v>
      </c>
      <c r="S42" s="2457"/>
      <c r="T42" s="2469"/>
      <c r="U42" s="2457"/>
      <c r="V42" s="2469"/>
      <c r="W42" s="2457"/>
      <c r="X42" s="2469"/>
      <c r="Y42" s="2457"/>
      <c r="Z42" s="2469"/>
      <c r="AA42" s="2471"/>
      <c r="AB42" s="2472">
        <f t="shared" si="9"/>
        <v>0</v>
      </c>
      <c r="AC42" s="2472">
        <f t="shared" si="1"/>
        <v>0</v>
      </c>
      <c r="AD42" s="2472">
        <f t="shared" si="1"/>
        <v>220000</v>
      </c>
      <c r="AE42" s="2472">
        <f t="shared" si="1"/>
        <v>0</v>
      </c>
      <c r="AF42" s="2472">
        <f t="shared" si="1"/>
        <v>316000</v>
      </c>
      <c r="AG42" s="2472">
        <f t="shared" si="1"/>
        <v>0</v>
      </c>
      <c r="AH42" s="2472">
        <f t="shared" si="1"/>
        <v>0</v>
      </c>
      <c r="AI42" s="2472">
        <f t="shared" si="1"/>
        <v>0</v>
      </c>
      <c r="AJ42" s="2472">
        <f t="shared" si="1"/>
        <v>0</v>
      </c>
      <c r="AK42" s="2472">
        <f t="shared" si="1"/>
        <v>0</v>
      </c>
      <c r="AL42" s="2472">
        <f t="shared" si="1"/>
        <v>0</v>
      </c>
      <c r="AM42" s="2472">
        <f t="shared" si="1"/>
        <v>0</v>
      </c>
      <c r="AN42" s="2472">
        <f t="shared" si="1"/>
        <v>0</v>
      </c>
      <c r="AO42" s="2462" t="str">
        <f t="shared" si="10"/>
        <v>1 Unit Pek. Jendela ( J3 )</v>
      </c>
      <c r="AP42" s="2473">
        <f t="shared" si="2"/>
        <v>536000</v>
      </c>
      <c r="AR42" s="2474">
        <v>5</v>
      </c>
      <c r="AS42" s="2474">
        <v>99</v>
      </c>
      <c r="AT42" s="2474">
        <v>7</v>
      </c>
      <c r="AV42" s="2475">
        <f t="shared" si="3"/>
        <v>259337</v>
      </c>
      <c r="AW42" s="2475">
        <f t="shared" si="4"/>
        <v>0</v>
      </c>
      <c r="AX42" s="2475">
        <f t="shared" si="5"/>
        <v>528305</v>
      </c>
      <c r="AY42" s="2475"/>
      <c r="AZ42" s="2475">
        <f t="shared" si="11"/>
        <v>3137977.6999999997</v>
      </c>
      <c r="BA42" s="2475">
        <f t="shared" si="6"/>
        <v>0</v>
      </c>
      <c r="BB42" s="2475">
        <f t="shared" si="6"/>
        <v>7924575</v>
      </c>
      <c r="BC42" s="2475">
        <f t="shared" si="12"/>
        <v>0</v>
      </c>
      <c r="BD42" s="2475">
        <f t="shared" si="13"/>
        <v>778909.65599999996</v>
      </c>
      <c r="BE42" s="2476">
        <f t="shared" si="14"/>
        <v>11841462.355999999</v>
      </c>
      <c r="BF42" s="2467">
        <f t="shared" si="15"/>
        <v>12091463</v>
      </c>
      <c r="BH42" s="1404" t="str">
        <f t="shared" si="7"/>
        <v>Kusen UPVC, Jendela UPVC, Kaca Tempered 8 mm</v>
      </c>
    </row>
    <row r="43" spans="1:60" s="2464" customFormat="1">
      <c r="A43" s="2457" t="str">
        <f t="shared" si="8"/>
        <v>J4</v>
      </c>
      <c r="B43" s="2457" t="str">
        <f t="shared" si="0"/>
        <v>J</v>
      </c>
      <c r="C43" s="2457" t="s">
        <v>2983</v>
      </c>
      <c r="D43" s="2459">
        <v>5</v>
      </c>
      <c r="E43" s="2457"/>
      <c r="F43" s="2459">
        <v>4.5999999999999996</v>
      </c>
      <c r="G43" s="2457"/>
      <c r="H43" s="2459">
        <v>0.66</v>
      </c>
      <c r="I43" s="2457"/>
      <c r="J43" s="2459"/>
      <c r="K43" s="2457"/>
      <c r="L43" s="2459"/>
      <c r="M43" s="2458"/>
      <c r="N43" s="2459"/>
      <c r="O43" s="2457"/>
      <c r="P43" s="2459">
        <v>2</v>
      </c>
      <c r="Q43" s="2457"/>
      <c r="R43" s="2459">
        <v>4</v>
      </c>
      <c r="S43" s="2457"/>
      <c r="T43" s="2459"/>
      <c r="U43" s="2457"/>
      <c r="V43" s="2459"/>
      <c r="W43" s="2457"/>
      <c r="X43" s="2459"/>
      <c r="Y43" s="2457"/>
      <c r="Z43" s="2459"/>
      <c r="AA43" s="2460"/>
      <c r="AB43" s="2461">
        <f t="shared" si="9"/>
        <v>0</v>
      </c>
      <c r="AC43" s="2461">
        <f t="shared" si="1"/>
        <v>0</v>
      </c>
      <c r="AD43" s="2461">
        <f t="shared" si="1"/>
        <v>110000</v>
      </c>
      <c r="AE43" s="2461">
        <f t="shared" si="1"/>
        <v>0</v>
      </c>
      <c r="AF43" s="2461">
        <f t="shared" si="1"/>
        <v>158000</v>
      </c>
      <c r="AG43" s="2461">
        <f t="shared" si="1"/>
        <v>0</v>
      </c>
      <c r="AH43" s="2461">
        <f t="shared" si="1"/>
        <v>0</v>
      </c>
      <c r="AI43" s="2461">
        <f t="shared" si="1"/>
        <v>0</v>
      </c>
      <c r="AJ43" s="2461">
        <f t="shared" si="1"/>
        <v>0</v>
      </c>
      <c r="AK43" s="2461">
        <f t="shared" si="1"/>
        <v>0</v>
      </c>
      <c r="AL43" s="2461">
        <f t="shared" si="1"/>
        <v>0</v>
      </c>
      <c r="AM43" s="2461">
        <f t="shared" si="1"/>
        <v>0</v>
      </c>
      <c r="AN43" s="2461">
        <f t="shared" si="1"/>
        <v>0</v>
      </c>
      <c r="AO43" s="2462" t="str">
        <f t="shared" si="10"/>
        <v>1 Unit Pek. Jendela ( J4 )</v>
      </c>
      <c r="AP43" s="2463">
        <f t="shared" si="2"/>
        <v>268000</v>
      </c>
      <c r="AR43" s="2474">
        <v>5</v>
      </c>
      <c r="AS43" s="2474">
        <v>99</v>
      </c>
      <c r="AT43" s="2474">
        <v>7</v>
      </c>
      <c r="AV43" s="2466">
        <f t="shared" si="3"/>
        <v>259337</v>
      </c>
      <c r="AW43" s="2466">
        <f t="shared" si="4"/>
        <v>0</v>
      </c>
      <c r="AX43" s="2466">
        <f t="shared" si="5"/>
        <v>528305</v>
      </c>
      <c r="AY43" s="2466"/>
      <c r="AZ43" s="2466">
        <f t="shared" si="11"/>
        <v>1296685</v>
      </c>
      <c r="BA43" s="2466">
        <f t="shared" si="6"/>
        <v>0</v>
      </c>
      <c r="BB43" s="2466">
        <f t="shared" si="6"/>
        <v>2430203</v>
      </c>
      <c r="BC43" s="2466">
        <f t="shared" si="12"/>
        <v>0</v>
      </c>
      <c r="BD43" s="2466">
        <f t="shared" si="13"/>
        <v>272866.44</v>
      </c>
      <c r="BE43" s="2467">
        <f t="shared" si="14"/>
        <v>3999754.44</v>
      </c>
      <c r="BF43" s="2467">
        <f t="shared" si="15"/>
        <v>4249755</v>
      </c>
      <c r="BH43" s="2468" t="str">
        <f t="shared" si="7"/>
        <v>Kusen UPVC, Jendela UPVC, Kaca Tempered 8 mm</v>
      </c>
    </row>
    <row r="44" spans="1:60" s="1914" customFormat="1">
      <c r="A44" s="2469" t="s">
        <v>2984</v>
      </c>
      <c r="B44" s="2457" t="str">
        <f t="shared" si="0"/>
        <v>J</v>
      </c>
      <c r="C44" s="2457" t="s">
        <v>2984</v>
      </c>
      <c r="D44" s="2469">
        <v>0</v>
      </c>
      <c r="E44" s="2457"/>
      <c r="F44" s="2469">
        <v>0</v>
      </c>
      <c r="G44" s="2457"/>
      <c r="H44" s="2469">
        <v>0</v>
      </c>
      <c r="I44" s="2457"/>
      <c r="J44" s="2469"/>
      <c r="K44" s="2457"/>
      <c r="L44" s="2469"/>
      <c r="M44" s="2470"/>
      <c r="N44" s="2469"/>
      <c r="O44" s="2457"/>
      <c r="P44" s="2469">
        <v>1</v>
      </c>
      <c r="Q44" s="2457"/>
      <c r="R44" s="2469">
        <v>2</v>
      </c>
      <c r="S44" s="2457"/>
      <c r="T44" s="2469"/>
      <c r="U44" s="2457"/>
      <c r="V44" s="2469"/>
      <c r="W44" s="2457"/>
      <c r="X44" s="2469"/>
      <c r="Y44" s="2457"/>
      <c r="Z44" s="2469"/>
      <c r="AA44" s="2471"/>
      <c r="AB44" s="2472">
        <f t="shared" si="9"/>
        <v>0</v>
      </c>
      <c r="AC44" s="2472">
        <f t="shared" si="1"/>
        <v>0</v>
      </c>
      <c r="AD44" s="2472">
        <f t="shared" si="1"/>
        <v>55000</v>
      </c>
      <c r="AE44" s="2472">
        <f t="shared" si="1"/>
        <v>0</v>
      </c>
      <c r="AF44" s="2472">
        <f t="shared" si="1"/>
        <v>79000</v>
      </c>
      <c r="AG44" s="2472">
        <f t="shared" si="1"/>
        <v>0</v>
      </c>
      <c r="AH44" s="2472">
        <f t="shared" si="1"/>
        <v>0</v>
      </c>
      <c r="AI44" s="2472">
        <f t="shared" si="1"/>
        <v>0</v>
      </c>
      <c r="AJ44" s="2472">
        <f t="shared" si="1"/>
        <v>0</v>
      </c>
      <c r="AK44" s="2472">
        <f t="shared" si="1"/>
        <v>0</v>
      </c>
      <c r="AL44" s="2472">
        <f t="shared" si="1"/>
        <v>0</v>
      </c>
      <c r="AM44" s="2472">
        <f t="shared" si="1"/>
        <v>0</v>
      </c>
      <c r="AN44" s="2472">
        <f t="shared" si="1"/>
        <v>0</v>
      </c>
      <c r="AO44" s="2462" t="str">
        <f t="shared" si="10"/>
        <v>1 Unit Pek. Jendela ( J5 )</v>
      </c>
      <c r="AP44" s="2473">
        <f t="shared" si="2"/>
        <v>134000</v>
      </c>
      <c r="AR44" s="2474">
        <v>1</v>
      </c>
      <c r="AS44" s="2474">
        <v>99</v>
      </c>
      <c r="AT44" s="2474">
        <v>7</v>
      </c>
      <c r="AV44" s="2475">
        <f t="shared" si="3"/>
        <v>105337</v>
      </c>
      <c r="AW44" s="2475">
        <f t="shared" si="4"/>
        <v>0</v>
      </c>
      <c r="AX44" s="2475">
        <f t="shared" si="5"/>
        <v>528305</v>
      </c>
      <c r="AY44" s="2475"/>
      <c r="AZ44" s="2475">
        <f t="shared" si="11"/>
        <v>0</v>
      </c>
      <c r="BA44" s="2475">
        <f t="shared" si="6"/>
        <v>0</v>
      </c>
      <c r="BB44" s="2475">
        <f t="shared" si="6"/>
        <v>0</v>
      </c>
      <c r="BC44" s="2475">
        <f t="shared" si="12"/>
        <v>0</v>
      </c>
      <c r="BD44" s="2475">
        <f t="shared" si="13"/>
        <v>0</v>
      </c>
      <c r="BE44" s="2476">
        <f t="shared" si="14"/>
        <v>0</v>
      </c>
      <c r="BF44" s="2467">
        <f t="shared" si="15"/>
        <v>250000</v>
      </c>
      <c r="BH44" s="1404" t="str">
        <f t="shared" si="7"/>
        <v>Kusen Aluminium 4", Jendela UPVC</v>
      </c>
    </row>
    <row r="45" spans="1:60" s="2464" customFormat="1">
      <c r="A45" s="2457" t="str">
        <f t="shared" si="8"/>
        <v>J6</v>
      </c>
      <c r="B45" s="2457" t="str">
        <f t="shared" si="0"/>
        <v>J</v>
      </c>
      <c r="C45" s="2457" t="s">
        <v>2985</v>
      </c>
      <c r="D45" s="2459">
        <v>0</v>
      </c>
      <c r="E45" s="2457"/>
      <c r="F45" s="2459">
        <v>0</v>
      </c>
      <c r="G45" s="2457"/>
      <c r="H45" s="2459">
        <v>0</v>
      </c>
      <c r="I45" s="2457"/>
      <c r="J45" s="2459"/>
      <c r="K45" s="2457"/>
      <c r="L45" s="2459"/>
      <c r="M45" s="2458"/>
      <c r="N45" s="2459"/>
      <c r="O45" s="2457"/>
      <c r="P45" s="2459"/>
      <c r="Q45" s="2457"/>
      <c r="R45" s="2459"/>
      <c r="S45" s="2457"/>
      <c r="T45" s="2459"/>
      <c r="U45" s="2457"/>
      <c r="V45" s="2459"/>
      <c r="W45" s="2457"/>
      <c r="X45" s="2459"/>
      <c r="Y45" s="2457"/>
      <c r="Z45" s="2459"/>
      <c r="AA45" s="2460"/>
      <c r="AB45" s="2461">
        <f t="shared" si="9"/>
        <v>0</v>
      </c>
      <c r="AC45" s="2461">
        <f t="shared" si="9"/>
        <v>0</v>
      </c>
      <c r="AD45" s="2461">
        <f t="shared" si="9"/>
        <v>0</v>
      </c>
      <c r="AE45" s="2461">
        <f t="shared" si="9"/>
        <v>0</v>
      </c>
      <c r="AF45" s="2461">
        <f t="shared" si="9"/>
        <v>0</v>
      </c>
      <c r="AG45" s="2461">
        <f t="shared" si="9"/>
        <v>0</v>
      </c>
      <c r="AH45" s="2461">
        <f t="shared" si="9"/>
        <v>0</v>
      </c>
      <c r="AI45" s="2461">
        <f t="shared" si="9"/>
        <v>0</v>
      </c>
      <c r="AJ45" s="2461">
        <f t="shared" si="9"/>
        <v>0</v>
      </c>
      <c r="AK45" s="2461">
        <f t="shared" si="9"/>
        <v>0</v>
      </c>
      <c r="AL45" s="2461">
        <f t="shared" si="9"/>
        <v>0</v>
      </c>
      <c r="AM45" s="2461">
        <f t="shared" si="9"/>
        <v>0</v>
      </c>
      <c r="AN45" s="2461">
        <f t="shared" si="9"/>
        <v>0</v>
      </c>
      <c r="AO45" s="2462" t="str">
        <f t="shared" si="10"/>
        <v>1 Unit Pek. Jendela ( J6 )</v>
      </c>
      <c r="AP45" s="2463">
        <f t="shared" si="2"/>
        <v>0</v>
      </c>
      <c r="AR45" s="2474">
        <v>1</v>
      </c>
      <c r="AS45" s="2474">
        <v>99</v>
      </c>
      <c r="AT45" s="2474">
        <v>3</v>
      </c>
      <c r="AV45" s="2466">
        <f t="shared" si="3"/>
        <v>105337</v>
      </c>
      <c r="AW45" s="2466">
        <f t="shared" si="4"/>
        <v>0</v>
      </c>
      <c r="AX45" s="2466">
        <f t="shared" si="5"/>
        <v>137405</v>
      </c>
      <c r="AY45" s="2466"/>
      <c r="AZ45" s="2466">
        <f t="shared" si="11"/>
        <v>0</v>
      </c>
      <c r="BA45" s="2466">
        <f t="shared" si="11"/>
        <v>0</v>
      </c>
      <c r="BB45" s="2466">
        <f t="shared" si="11"/>
        <v>0</v>
      </c>
      <c r="BC45" s="2466">
        <f t="shared" si="12"/>
        <v>0</v>
      </c>
      <c r="BD45" s="2466">
        <f t="shared" si="13"/>
        <v>0</v>
      </c>
      <c r="BE45" s="2467">
        <f t="shared" si="14"/>
        <v>0</v>
      </c>
      <c r="BF45" s="2467">
        <f t="shared" si="15"/>
        <v>250000</v>
      </c>
      <c r="BH45" s="2468" t="str">
        <f t="shared" si="7"/>
        <v xml:space="preserve">Kusen Aluminium 4", Jendela Aluminium 3" </v>
      </c>
    </row>
    <row r="46" spans="1:60" s="1914" customFormat="1">
      <c r="A46" s="2469" t="str">
        <f t="shared" si="8"/>
        <v>J7</v>
      </c>
      <c r="B46" s="2457" t="str">
        <f t="shared" si="0"/>
        <v>J</v>
      </c>
      <c r="C46" s="2457" t="s">
        <v>2986</v>
      </c>
      <c r="D46" s="2469">
        <v>0</v>
      </c>
      <c r="E46" s="2457"/>
      <c r="F46" s="2469">
        <v>0</v>
      </c>
      <c r="G46" s="2457"/>
      <c r="H46" s="2469">
        <v>0</v>
      </c>
      <c r="I46" s="2457"/>
      <c r="J46" s="2469"/>
      <c r="K46" s="2457"/>
      <c r="L46" s="2469"/>
      <c r="M46" s="2470"/>
      <c r="N46" s="2469"/>
      <c r="O46" s="2457"/>
      <c r="P46" s="2469"/>
      <c r="Q46" s="2457"/>
      <c r="R46" s="2469"/>
      <c r="S46" s="2457"/>
      <c r="T46" s="2469"/>
      <c r="U46" s="2457"/>
      <c r="V46" s="2469"/>
      <c r="W46" s="2457"/>
      <c r="X46" s="2469"/>
      <c r="Y46" s="2457"/>
      <c r="Z46" s="2469"/>
      <c r="AA46" s="2471"/>
      <c r="AB46" s="2472">
        <f t="shared" si="9"/>
        <v>0</v>
      </c>
      <c r="AC46" s="2472">
        <f t="shared" si="9"/>
        <v>0</v>
      </c>
      <c r="AD46" s="2472">
        <f t="shared" si="9"/>
        <v>0</v>
      </c>
      <c r="AE46" s="2472">
        <f t="shared" si="9"/>
        <v>0</v>
      </c>
      <c r="AF46" s="2472">
        <f t="shared" si="9"/>
        <v>0</v>
      </c>
      <c r="AG46" s="2472">
        <f t="shared" si="9"/>
        <v>0</v>
      </c>
      <c r="AH46" s="2472">
        <f t="shared" si="9"/>
        <v>0</v>
      </c>
      <c r="AI46" s="2472">
        <f t="shared" si="9"/>
        <v>0</v>
      </c>
      <c r="AJ46" s="2472">
        <f t="shared" si="9"/>
        <v>0</v>
      </c>
      <c r="AK46" s="2472">
        <f t="shared" si="9"/>
        <v>0</v>
      </c>
      <c r="AL46" s="2472">
        <f t="shared" si="9"/>
        <v>0</v>
      </c>
      <c r="AM46" s="2472">
        <f t="shared" si="9"/>
        <v>0</v>
      </c>
      <c r="AN46" s="2472">
        <f t="shared" si="9"/>
        <v>0</v>
      </c>
      <c r="AO46" s="2462" t="str">
        <f t="shared" si="10"/>
        <v>1 Unit Pek. Jendela ( J7 )</v>
      </c>
      <c r="AP46" s="2473">
        <f t="shared" si="2"/>
        <v>0</v>
      </c>
      <c r="AR46" s="2474">
        <v>1</v>
      </c>
      <c r="AS46" s="2474">
        <v>99</v>
      </c>
      <c r="AT46" s="2474">
        <v>3</v>
      </c>
      <c r="AV46" s="2475">
        <f t="shared" si="3"/>
        <v>105337</v>
      </c>
      <c r="AW46" s="2475">
        <f t="shared" si="4"/>
        <v>0</v>
      </c>
      <c r="AX46" s="2475">
        <f t="shared" si="5"/>
        <v>137405</v>
      </c>
      <c r="AY46" s="2475"/>
      <c r="AZ46" s="2475">
        <f t="shared" si="11"/>
        <v>0</v>
      </c>
      <c r="BA46" s="2475">
        <f t="shared" si="11"/>
        <v>0</v>
      </c>
      <c r="BB46" s="2475">
        <f t="shared" si="11"/>
        <v>0</v>
      </c>
      <c r="BC46" s="2475">
        <f t="shared" si="12"/>
        <v>0</v>
      </c>
      <c r="BD46" s="2475">
        <f t="shared" si="13"/>
        <v>0</v>
      </c>
      <c r="BE46" s="2476">
        <f t="shared" si="14"/>
        <v>0</v>
      </c>
      <c r="BF46" s="2467">
        <f t="shared" si="15"/>
        <v>250000</v>
      </c>
      <c r="BH46" s="1404" t="str">
        <f t="shared" si="7"/>
        <v xml:space="preserve">Kusen Aluminium 4", Jendela Aluminium 3" </v>
      </c>
    </row>
    <row r="47" spans="1:60" s="2464" customFormat="1">
      <c r="A47" s="2457" t="str">
        <f t="shared" si="8"/>
        <v>J8</v>
      </c>
      <c r="B47" s="2457" t="str">
        <f t="shared" si="0"/>
        <v>J</v>
      </c>
      <c r="C47" s="2457" t="s">
        <v>2987</v>
      </c>
      <c r="D47" s="2459">
        <v>0</v>
      </c>
      <c r="E47" s="2457"/>
      <c r="F47" s="2459">
        <v>0</v>
      </c>
      <c r="G47" s="2457"/>
      <c r="H47" s="2459">
        <v>0</v>
      </c>
      <c r="I47" s="2457"/>
      <c r="J47" s="2459"/>
      <c r="K47" s="2457"/>
      <c r="L47" s="2459"/>
      <c r="M47" s="2458"/>
      <c r="N47" s="2459"/>
      <c r="O47" s="2457"/>
      <c r="P47" s="2459"/>
      <c r="Q47" s="2457"/>
      <c r="R47" s="2459"/>
      <c r="S47" s="2457"/>
      <c r="T47" s="2459"/>
      <c r="U47" s="2457"/>
      <c r="V47" s="2459"/>
      <c r="W47" s="2457"/>
      <c r="X47" s="2459"/>
      <c r="Y47" s="2457"/>
      <c r="Z47" s="2459"/>
      <c r="AA47" s="2460"/>
      <c r="AB47" s="2461">
        <f t="shared" si="9"/>
        <v>0</v>
      </c>
      <c r="AC47" s="2461">
        <f t="shared" si="9"/>
        <v>0</v>
      </c>
      <c r="AD47" s="2461">
        <f t="shared" si="9"/>
        <v>0</v>
      </c>
      <c r="AE47" s="2461">
        <f t="shared" si="9"/>
        <v>0</v>
      </c>
      <c r="AF47" s="2461">
        <f t="shared" si="9"/>
        <v>0</v>
      </c>
      <c r="AG47" s="2461">
        <f t="shared" si="9"/>
        <v>0</v>
      </c>
      <c r="AH47" s="2461">
        <f t="shared" si="9"/>
        <v>0</v>
      </c>
      <c r="AI47" s="2461">
        <f t="shared" si="9"/>
        <v>0</v>
      </c>
      <c r="AJ47" s="2461">
        <f t="shared" si="9"/>
        <v>0</v>
      </c>
      <c r="AK47" s="2461">
        <f t="shared" si="9"/>
        <v>0</v>
      </c>
      <c r="AL47" s="2461">
        <f t="shared" si="9"/>
        <v>0</v>
      </c>
      <c r="AM47" s="2461">
        <f t="shared" si="9"/>
        <v>0</v>
      </c>
      <c r="AN47" s="2461">
        <f t="shared" si="9"/>
        <v>0</v>
      </c>
      <c r="AO47" s="2462" t="str">
        <f t="shared" si="10"/>
        <v>1 Unit Pek. Jendela ( J8 )</v>
      </c>
      <c r="AP47" s="2463">
        <f t="shared" si="2"/>
        <v>0</v>
      </c>
      <c r="AR47" s="2474">
        <v>1</v>
      </c>
      <c r="AS47" s="2474">
        <v>99</v>
      </c>
      <c r="AT47" s="2474">
        <v>3</v>
      </c>
      <c r="AV47" s="2466">
        <f t="shared" si="3"/>
        <v>105337</v>
      </c>
      <c r="AW47" s="2466">
        <f t="shared" si="4"/>
        <v>0</v>
      </c>
      <c r="AX47" s="2466">
        <f t="shared" si="5"/>
        <v>137405</v>
      </c>
      <c r="AY47" s="2466"/>
      <c r="AZ47" s="2466">
        <f t="shared" si="11"/>
        <v>0</v>
      </c>
      <c r="BA47" s="2466">
        <f t="shared" si="11"/>
        <v>0</v>
      </c>
      <c r="BB47" s="2466">
        <f t="shared" si="11"/>
        <v>0</v>
      </c>
      <c r="BC47" s="2466">
        <f t="shared" si="12"/>
        <v>0</v>
      </c>
      <c r="BD47" s="2466">
        <f t="shared" si="13"/>
        <v>0</v>
      </c>
      <c r="BE47" s="2467">
        <f t="shared" si="14"/>
        <v>0</v>
      </c>
      <c r="BF47" s="2467">
        <f t="shared" si="15"/>
        <v>250000</v>
      </c>
      <c r="BH47" s="2468" t="str">
        <f t="shared" si="7"/>
        <v xml:space="preserve">Kusen Aluminium 4", Jendela Aluminium 3" </v>
      </c>
    </row>
    <row r="48" spans="1:60" s="1914" customFormat="1">
      <c r="A48" s="2469" t="str">
        <f>C48</f>
        <v>BV1</v>
      </c>
      <c r="B48" s="2469" t="str">
        <f t="shared" si="0"/>
        <v>B</v>
      </c>
      <c r="C48" s="2457" t="s">
        <v>3015</v>
      </c>
      <c r="D48" s="2469">
        <v>0.56000000000000005</v>
      </c>
      <c r="E48" s="2457"/>
      <c r="F48" s="2469">
        <v>0.4</v>
      </c>
      <c r="G48" s="2457"/>
      <c r="H48" s="2469">
        <v>9.6000000000000002E-2</v>
      </c>
      <c r="I48" s="2457"/>
      <c r="J48" s="2469"/>
      <c r="K48" s="2457"/>
      <c r="L48" s="2469"/>
      <c r="M48" s="2470"/>
      <c r="N48" s="2469"/>
      <c r="O48" s="2457"/>
      <c r="P48" s="2469">
        <v>1</v>
      </c>
      <c r="Q48" s="2457"/>
      <c r="R48" s="2469">
        <v>2</v>
      </c>
      <c r="S48" s="2457"/>
      <c r="T48" s="2469"/>
      <c r="U48" s="2457"/>
      <c r="V48" s="2469"/>
      <c r="W48" s="2457"/>
      <c r="X48" s="2469"/>
      <c r="Y48" s="2457"/>
      <c r="Z48" s="2469"/>
      <c r="AA48" s="2471"/>
      <c r="AB48" s="2472">
        <f t="shared" si="9"/>
        <v>0</v>
      </c>
      <c r="AC48" s="2472">
        <f t="shared" si="9"/>
        <v>0</v>
      </c>
      <c r="AD48" s="2472">
        <f t="shared" si="9"/>
        <v>55000</v>
      </c>
      <c r="AE48" s="2472">
        <f t="shared" si="9"/>
        <v>0</v>
      </c>
      <c r="AF48" s="2472">
        <f t="shared" si="9"/>
        <v>79000</v>
      </c>
      <c r="AG48" s="2472">
        <f t="shared" si="9"/>
        <v>0</v>
      </c>
      <c r="AH48" s="2472">
        <f t="shared" si="9"/>
        <v>0</v>
      </c>
      <c r="AI48" s="2472">
        <f t="shared" si="9"/>
        <v>0</v>
      </c>
      <c r="AJ48" s="2472">
        <f t="shared" si="9"/>
        <v>0</v>
      </c>
      <c r="AK48" s="2472">
        <f t="shared" si="9"/>
        <v>0</v>
      </c>
      <c r="AL48" s="2472">
        <f t="shared" si="9"/>
        <v>0</v>
      </c>
      <c r="AM48" s="2472">
        <f t="shared" si="9"/>
        <v>0</v>
      </c>
      <c r="AN48" s="2472">
        <f t="shared" si="9"/>
        <v>0</v>
      </c>
      <c r="AO48" s="2462" t="str">
        <f t="shared" si="10"/>
        <v>1 Unit Pek. Jendela ( BV1 )</v>
      </c>
      <c r="AP48" s="2473">
        <f t="shared" si="2"/>
        <v>134000</v>
      </c>
      <c r="AR48" s="2474">
        <v>1</v>
      </c>
      <c r="AS48" s="2474">
        <v>99</v>
      </c>
      <c r="AT48" s="2474">
        <v>3</v>
      </c>
      <c r="AV48" s="2475">
        <f t="shared" si="3"/>
        <v>105337</v>
      </c>
      <c r="AW48" s="2475">
        <f t="shared" si="4"/>
        <v>0</v>
      </c>
      <c r="AX48" s="2475">
        <f t="shared" si="5"/>
        <v>137405</v>
      </c>
      <c r="AY48" s="2475"/>
      <c r="AZ48" s="2475">
        <f t="shared" si="11"/>
        <v>58988.720000000008</v>
      </c>
      <c r="BA48" s="2475">
        <f t="shared" si="11"/>
        <v>0</v>
      </c>
      <c r="BB48" s="2475">
        <f t="shared" si="11"/>
        <v>54962</v>
      </c>
      <c r="BC48" s="2475">
        <f t="shared" si="12"/>
        <v>0</v>
      </c>
      <c r="BD48" s="2475">
        <f t="shared" si="13"/>
        <v>39689.664000000004</v>
      </c>
      <c r="BE48" s="2476">
        <f t="shared" si="14"/>
        <v>153640.38400000002</v>
      </c>
      <c r="BF48" s="2467">
        <f t="shared" si="15"/>
        <v>403641</v>
      </c>
      <c r="BH48" s="1404" t="str">
        <f t="shared" si="7"/>
        <v>Kusen Aluminium 4", Jendela Aluminium 3" , Kaca Tempered 8 mm</v>
      </c>
    </row>
    <row r="49" spans="1:60" s="2464" customFormat="1">
      <c r="A49" s="2457" t="s">
        <v>2988</v>
      </c>
      <c r="B49" s="2469" t="s">
        <v>60</v>
      </c>
      <c r="C49" s="2457" t="s">
        <v>3016</v>
      </c>
      <c r="D49" s="2459">
        <v>1.1200000000000001</v>
      </c>
      <c r="E49" s="2457"/>
      <c r="F49" s="2459">
        <v>0.8</v>
      </c>
      <c r="G49" s="2457"/>
      <c r="H49" s="2459">
        <v>0.192</v>
      </c>
      <c r="I49" s="2457"/>
      <c r="J49" s="2459"/>
      <c r="K49" s="2457"/>
      <c r="L49" s="2459"/>
      <c r="M49" s="2458"/>
      <c r="N49" s="2459"/>
      <c r="O49" s="2457"/>
      <c r="P49" s="2459">
        <v>2</v>
      </c>
      <c r="Q49" s="2457"/>
      <c r="R49" s="2459">
        <v>4</v>
      </c>
      <c r="S49" s="2457"/>
      <c r="T49" s="2459"/>
      <c r="U49" s="2457"/>
      <c r="V49" s="2459"/>
      <c r="W49" s="2457"/>
      <c r="X49" s="2459"/>
      <c r="Y49" s="2457"/>
      <c r="Z49" s="2459"/>
      <c r="AA49" s="2460"/>
      <c r="AB49" s="2461">
        <f t="shared" si="9"/>
        <v>0</v>
      </c>
      <c r="AC49" s="2461">
        <f t="shared" si="9"/>
        <v>0</v>
      </c>
      <c r="AD49" s="2461">
        <f t="shared" si="9"/>
        <v>110000</v>
      </c>
      <c r="AE49" s="2461">
        <f t="shared" si="9"/>
        <v>0</v>
      </c>
      <c r="AF49" s="2461">
        <f t="shared" si="9"/>
        <v>158000</v>
      </c>
      <c r="AG49" s="2461">
        <f t="shared" si="9"/>
        <v>0</v>
      </c>
      <c r="AH49" s="2461">
        <f t="shared" si="9"/>
        <v>0</v>
      </c>
      <c r="AI49" s="2461">
        <f t="shared" si="9"/>
        <v>0</v>
      </c>
      <c r="AJ49" s="2461">
        <f t="shared" si="9"/>
        <v>0</v>
      </c>
      <c r="AK49" s="2461">
        <f t="shared" si="9"/>
        <v>0</v>
      </c>
      <c r="AL49" s="2461">
        <f t="shared" si="9"/>
        <v>0</v>
      </c>
      <c r="AM49" s="2461">
        <f t="shared" si="9"/>
        <v>0</v>
      </c>
      <c r="AN49" s="2461">
        <f t="shared" si="9"/>
        <v>0</v>
      </c>
      <c r="AO49" s="2462" t="str">
        <f t="shared" si="10"/>
        <v>1 Unit Pek. Jendela ( BV2 )</v>
      </c>
      <c r="AP49" s="2463">
        <f t="shared" si="2"/>
        <v>268000</v>
      </c>
      <c r="AR49" s="2474">
        <v>1</v>
      </c>
      <c r="AS49" s="2474">
        <v>99</v>
      </c>
      <c r="AT49" s="2474">
        <v>3</v>
      </c>
      <c r="AV49" s="2466">
        <f t="shared" si="3"/>
        <v>105337</v>
      </c>
      <c r="AW49" s="2466">
        <f t="shared" si="4"/>
        <v>0</v>
      </c>
      <c r="AX49" s="2466">
        <f t="shared" si="5"/>
        <v>137405</v>
      </c>
      <c r="AY49" s="2466"/>
      <c r="AZ49" s="2466">
        <f t="shared" si="11"/>
        <v>117977.44000000002</v>
      </c>
      <c r="BA49" s="2466">
        <f t="shared" si="11"/>
        <v>0</v>
      </c>
      <c r="BB49" s="2466">
        <f t="shared" si="11"/>
        <v>109924</v>
      </c>
      <c r="BC49" s="2466">
        <f t="shared" si="12"/>
        <v>0</v>
      </c>
      <c r="BD49" s="2466">
        <f t="shared" si="13"/>
        <v>79379.328000000009</v>
      </c>
      <c r="BE49" s="2467">
        <f t="shared" si="14"/>
        <v>307280.76800000004</v>
      </c>
      <c r="BF49" s="2467">
        <f t="shared" si="15"/>
        <v>557281</v>
      </c>
      <c r="BH49" s="2468" t="str">
        <f t="shared" si="7"/>
        <v>Kusen Aluminium 4", Jendela Aluminium 3" , Kaca Tempered 8 mm</v>
      </c>
    </row>
    <row r="50" spans="1:60" s="1914" customFormat="1">
      <c r="A50" s="2469">
        <f t="shared" si="8"/>
        <v>0</v>
      </c>
      <c r="B50" s="2469" t="str">
        <f t="shared" si="0"/>
        <v/>
      </c>
      <c r="C50" s="2457"/>
      <c r="D50" s="2469"/>
      <c r="E50" s="2457"/>
      <c r="F50" s="2469"/>
      <c r="G50" s="2457"/>
      <c r="H50" s="2469"/>
      <c r="I50" s="2457"/>
      <c r="J50" s="2469"/>
      <c r="K50" s="2457"/>
      <c r="L50" s="2469"/>
      <c r="M50" s="2470"/>
      <c r="N50" s="2469"/>
      <c r="O50" s="2457"/>
      <c r="P50" s="2469"/>
      <c r="Q50" s="2457"/>
      <c r="R50" s="2469"/>
      <c r="S50" s="2457"/>
      <c r="T50" s="2469"/>
      <c r="U50" s="2457"/>
      <c r="V50" s="2469"/>
      <c r="W50" s="2457"/>
      <c r="X50" s="2469"/>
      <c r="Y50" s="2457"/>
      <c r="Z50" s="2469"/>
      <c r="AA50" s="2471"/>
      <c r="AB50" s="2472">
        <f t="shared" si="9"/>
        <v>0</v>
      </c>
      <c r="AC50" s="2472">
        <f t="shared" si="9"/>
        <v>0</v>
      </c>
      <c r="AD50" s="2472">
        <f t="shared" si="9"/>
        <v>0</v>
      </c>
      <c r="AE50" s="2472">
        <f t="shared" si="9"/>
        <v>0</v>
      </c>
      <c r="AF50" s="2472">
        <f t="shared" si="9"/>
        <v>0</v>
      </c>
      <c r="AG50" s="2472">
        <f t="shared" si="9"/>
        <v>0</v>
      </c>
      <c r="AH50" s="2472">
        <f t="shared" si="9"/>
        <v>0</v>
      </c>
      <c r="AI50" s="2472">
        <f t="shared" si="9"/>
        <v>0</v>
      </c>
      <c r="AJ50" s="2472">
        <f t="shared" si="9"/>
        <v>0</v>
      </c>
      <c r="AK50" s="2472">
        <f t="shared" si="9"/>
        <v>0</v>
      </c>
      <c r="AL50" s="2472">
        <f t="shared" si="9"/>
        <v>0</v>
      </c>
      <c r="AM50" s="2472">
        <f t="shared" si="9"/>
        <v>0</v>
      </c>
      <c r="AN50" s="2472">
        <f t="shared" si="9"/>
        <v>0</v>
      </c>
      <c r="AO50" s="2462" t="str">
        <f t="shared" si="10"/>
        <v>1 Unit Pek. Jendela (  )</v>
      </c>
      <c r="AP50" s="2473">
        <f t="shared" si="2"/>
        <v>0</v>
      </c>
      <c r="AR50" s="2474"/>
      <c r="AS50" s="2474"/>
      <c r="AT50" s="2474"/>
      <c r="AV50" s="2475" t="str">
        <f t="shared" si="3"/>
        <v>0</v>
      </c>
      <c r="AW50" s="2475" t="str">
        <f t="shared" si="4"/>
        <v>0</v>
      </c>
      <c r="AX50" s="2475" t="str">
        <f t="shared" si="5"/>
        <v>0</v>
      </c>
      <c r="AY50" s="2475"/>
      <c r="AZ50" s="2475">
        <f t="shared" si="11"/>
        <v>0</v>
      </c>
      <c r="BA50" s="2475">
        <f t="shared" si="11"/>
        <v>0</v>
      </c>
      <c r="BB50" s="2475">
        <f t="shared" si="11"/>
        <v>0</v>
      </c>
      <c r="BC50" s="2475">
        <f t="shared" si="12"/>
        <v>0</v>
      </c>
      <c r="BD50" s="2475">
        <f t="shared" si="13"/>
        <v>0</v>
      </c>
      <c r="BE50" s="2476">
        <f t="shared" si="14"/>
        <v>0</v>
      </c>
      <c r="BF50" s="2467">
        <f t="shared" si="15"/>
        <v>250000</v>
      </c>
      <c r="BH50" s="1404" t="e">
        <f t="shared" si="7"/>
        <v>#N/A</v>
      </c>
    </row>
    <row r="51" spans="1:60" s="2464" customFormat="1">
      <c r="A51" s="2457">
        <f t="shared" si="8"/>
        <v>0</v>
      </c>
      <c r="B51" s="2469" t="str">
        <f t="shared" si="0"/>
        <v/>
      </c>
      <c r="C51" s="2457"/>
      <c r="D51" s="2459"/>
      <c r="E51" s="2457"/>
      <c r="F51" s="2459"/>
      <c r="G51" s="2457"/>
      <c r="H51" s="2459"/>
      <c r="I51" s="2457"/>
      <c r="J51" s="2459"/>
      <c r="K51" s="2457"/>
      <c r="L51" s="2459"/>
      <c r="M51" s="2458"/>
      <c r="N51" s="2459"/>
      <c r="O51" s="2457"/>
      <c r="P51" s="2459"/>
      <c r="Q51" s="2457"/>
      <c r="R51" s="2459"/>
      <c r="S51" s="2457"/>
      <c r="T51" s="2459"/>
      <c r="U51" s="2457"/>
      <c r="V51" s="2459"/>
      <c r="W51" s="2457"/>
      <c r="X51" s="2459"/>
      <c r="Y51" s="2457"/>
      <c r="Z51" s="2459"/>
      <c r="AA51" s="2460"/>
      <c r="AB51" s="2461">
        <f t="shared" si="9"/>
        <v>0</v>
      </c>
      <c r="AC51" s="2461">
        <f t="shared" si="9"/>
        <v>0</v>
      </c>
      <c r="AD51" s="2461">
        <f t="shared" si="9"/>
        <v>0</v>
      </c>
      <c r="AE51" s="2461">
        <f t="shared" si="9"/>
        <v>0</v>
      </c>
      <c r="AF51" s="2461">
        <f t="shared" si="9"/>
        <v>0</v>
      </c>
      <c r="AG51" s="2461">
        <f t="shared" si="9"/>
        <v>0</v>
      </c>
      <c r="AH51" s="2461">
        <f t="shared" si="9"/>
        <v>0</v>
      </c>
      <c r="AI51" s="2461">
        <f t="shared" si="9"/>
        <v>0</v>
      </c>
      <c r="AJ51" s="2461">
        <f t="shared" si="9"/>
        <v>0</v>
      </c>
      <c r="AK51" s="2461">
        <f t="shared" si="9"/>
        <v>0</v>
      </c>
      <c r="AL51" s="2461">
        <f t="shared" si="9"/>
        <v>0</v>
      </c>
      <c r="AM51" s="2461">
        <f t="shared" si="9"/>
        <v>0</v>
      </c>
      <c r="AN51" s="2461">
        <f t="shared" si="9"/>
        <v>0</v>
      </c>
      <c r="AO51" s="2462" t="str">
        <f t="shared" si="10"/>
        <v>1 Unit Pek. Jendela (  )</v>
      </c>
      <c r="AP51" s="2463">
        <f t="shared" si="2"/>
        <v>0</v>
      </c>
      <c r="AR51" s="2474"/>
      <c r="AS51" s="2474"/>
      <c r="AT51" s="2474"/>
      <c r="AV51" s="2466" t="str">
        <f t="shared" si="3"/>
        <v>0</v>
      </c>
      <c r="AW51" s="2466" t="str">
        <f t="shared" si="4"/>
        <v>0</v>
      </c>
      <c r="AX51" s="2466" t="str">
        <f t="shared" si="5"/>
        <v>0</v>
      </c>
      <c r="AY51" s="2466"/>
      <c r="AZ51" s="2466">
        <f t="shared" si="11"/>
        <v>0</v>
      </c>
      <c r="BA51" s="2466">
        <f t="shared" si="11"/>
        <v>0</v>
      </c>
      <c r="BB51" s="2466">
        <f t="shared" si="11"/>
        <v>0</v>
      </c>
      <c r="BC51" s="2466">
        <f t="shared" si="12"/>
        <v>0</v>
      </c>
      <c r="BD51" s="2466">
        <f t="shared" si="13"/>
        <v>0</v>
      </c>
      <c r="BE51" s="2467">
        <f t="shared" si="14"/>
        <v>0</v>
      </c>
      <c r="BF51" s="2467">
        <f t="shared" si="15"/>
        <v>250000</v>
      </c>
      <c r="BH51" s="2468" t="e">
        <f t="shared" si="7"/>
        <v>#N/A</v>
      </c>
    </row>
    <row r="52" spans="1:60" s="1914" customFormat="1">
      <c r="A52" s="2469">
        <f t="shared" si="8"/>
        <v>0</v>
      </c>
      <c r="B52" s="2469" t="str">
        <f t="shared" si="0"/>
        <v/>
      </c>
      <c r="C52" s="2457"/>
      <c r="D52" s="2469"/>
      <c r="E52" s="2457"/>
      <c r="F52" s="2469"/>
      <c r="G52" s="2457"/>
      <c r="H52" s="2469"/>
      <c r="I52" s="2457"/>
      <c r="J52" s="2469"/>
      <c r="K52" s="2457"/>
      <c r="L52" s="2469"/>
      <c r="M52" s="2470"/>
      <c r="N52" s="2469"/>
      <c r="O52" s="2457"/>
      <c r="P52" s="2469"/>
      <c r="Q52" s="2457"/>
      <c r="R52" s="2469"/>
      <c r="S52" s="2457"/>
      <c r="T52" s="2469"/>
      <c r="U52" s="2457"/>
      <c r="V52" s="2469"/>
      <c r="W52" s="2457"/>
      <c r="X52" s="2469"/>
      <c r="Y52" s="2457"/>
      <c r="Z52" s="2469"/>
      <c r="AA52" s="2471"/>
      <c r="AB52" s="2472">
        <f t="shared" si="9"/>
        <v>0</v>
      </c>
      <c r="AC52" s="2472">
        <f t="shared" si="9"/>
        <v>0</v>
      </c>
      <c r="AD52" s="2472">
        <f t="shared" si="9"/>
        <v>0</v>
      </c>
      <c r="AE52" s="2472">
        <f t="shared" si="9"/>
        <v>0</v>
      </c>
      <c r="AF52" s="2472">
        <f t="shared" si="9"/>
        <v>0</v>
      </c>
      <c r="AG52" s="2472">
        <f t="shared" si="9"/>
        <v>0</v>
      </c>
      <c r="AH52" s="2472">
        <f t="shared" si="9"/>
        <v>0</v>
      </c>
      <c r="AI52" s="2472">
        <f t="shared" si="9"/>
        <v>0</v>
      </c>
      <c r="AJ52" s="2472">
        <f t="shared" si="9"/>
        <v>0</v>
      </c>
      <c r="AK52" s="2472">
        <f t="shared" si="9"/>
        <v>0</v>
      </c>
      <c r="AL52" s="2472">
        <f t="shared" si="9"/>
        <v>0</v>
      </c>
      <c r="AM52" s="2472">
        <f t="shared" si="9"/>
        <v>0</v>
      </c>
      <c r="AN52" s="2472">
        <f t="shared" si="9"/>
        <v>0</v>
      </c>
      <c r="AO52" s="2462" t="str">
        <f t="shared" si="10"/>
        <v>1 Unit Pek. Jendela (  )</v>
      </c>
      <c r="AP52" s="2473">
        <f t="shared" si="2"/>
        <v>0</v>
      </c>
      <c r="AR52" s="2474"/>
      <c r="AS52" s="2474"/>
      <c r="AT52" s="2474"/>
      <c r="AV52" s="2475" t="str">
        <f t="shared" si="3"/>
        <v>0</v>
      </c>
      <c r="AW52" s="2475" t="str">
        <f t="shared" si="4"/>
        <v>0</v>
      </c>
      <c r="AX52" s="2475" t="str">
        <f t="shared" si="5"/>
        <v>0</v>
      </c>
      <c r="AY52" s="2475"/>
      <c r="AZ52" s="2475">
        <f t="shared" si="11"/>
        <v>0</v>
      </c>
      <c r="BA52" s="2475">
        <f t="shared" si="11"/>
        <v>0</v>
      </c>
      <c r="BB52" s="2475">
        <f t="shared" si="11"/>
        <v>0</v>
      </c>
      <c r="BC52" s="2475">
        <f t="shared" si="12"/>
        <v>0</v>
      </c>
      <c r="BD52" s="2475">
        <f t="shared" si="13"/>
        <v>0</v>
      </c>
      <c r="BE52" s="2476">
        <f t="shared" si="14"/>
        <v>0</v>
      </c>
      <c r="BF52" s="2467">
        <f t="shared" si="15"/>
        <v>250000</v>
      </c>
      <c r="BH52" s="1404" t="e">
        <f t="shared" si="7"/>
        <v>#N/A</v>
      </c>
    </row>
    <row r="53" spans="1:60" s="2464" customFormat="1">
      <c r="A53" s="2457">
        <f t="shared" si="8"/>
        <v>0</v>
      </c>
      <c r="B53" s="2469" t="str">
        <f t="shared" si="0"/>
        <v/>
      </c>
      <c r="C53" s="2457"/>
      <c r="D53" s="2459"/>
      <c r="E53" s="2457"/>
      <c r="F53" s="2459"/>
      <c r="G53" s="2457"/>
      <c r="H53" s="2459"/>
      <c r="I53" s="2457"/>
      <c r="J53" s="2459"/>
      <c r="K53" s="2457"/>
      <c r="L53" s="2459"/>
      <c r="M53" s="2458"/>
      <c r="N53" s="2459"/>
      <c r="O53" s="2457"/>
      <c r="P53" s="2459"/>
      <c r="Q53" s="2457"/>
      <c r="R53" s="2459"/>
      <c r="S53" s="2457"/>
      <c r="T53" s="2459"/>
      <c r="U53" s="2457"/>
      <c r="V53" s="2459"/>
      <c r="W53" s="2457"/>
      <c r="X53" s="2459"/>
      <c r="Y53" s="2457"/>
      <c r="Z53" s="2459"/>
      <c r="AA53" s="2460"/>
      <c r="AB53" s="2461">
        <f t="shared" si="9"/>
        <v>0</v>
      </c>
      <c r="AC53" s="2461">
        <f t="shared" si="9"/>
        <v>0</v>
      </c>
      <c r="AD53" s="2461">
        <f t="shared" si="9"/>
        <v>0</v>
      </c>
      <c r="AE53" s="2461">
        <f t="shared" si="9"/>
        <v>0</v>
      </c>
      <c r="AF53" s="2461">
        <f t="shared" si="9"/>
        <v>0</v>
      </c>
      <c r="AG53" s="2461">
        <f t="shared" si="9"/>
        <v>0</v>
      </c>
      <c r="AH53" s="2461">
        <f t="shared" si="9"/>
        <v>0</v>
      </c>
      <c r="AI53" s="2461">
        <f t="shared" si="9"/>
        <v>0</v>
      </c>
      <c r="AJ53" s="2461">
        <f t="shared" si="9"/>
        <v>0</v>
      </c>
      <c r="AK53" s="2461">
        <f t="shared" si="9"/>
        <v>0</v>
      </c>
      <c r="AL53" s="2461">
        <f t="shared" si="9"/>
        <v>0</v>
      </c>
      <c r="AM53" s="2461">
        <f t="shared" si="9"/>
        <v>0</v>
      </c>
      <c r="AN53" s="2461">
        <f t="shared" si="9"/>
        <v>0</v>
      </c>
      <c r="AO53" s="2462" t="str">
        <f t="shared" si="10"/>
        <v>1 Unit Pek. Jendela (  )</v>
      </c>
      <c r="AP53" s="2463">
        <f t="shared" si="2"/>
        <v>0</v>
      </c>
      <c r="AR53" s="2465"/>
      <c r="AS53" s="2465"/>
      <c r="AT53" s="2465"/>
      <c r="AV53" s="2466" t="str">
        <f t="shared" si="3"/>
        <v>0</v>
      </c>
      <c r="AW53" s="2466" t="str">
        <f t="shared" si="4"/>
        <v>0</v>
      </c>
      <c r="AX53" s="2466" t="str">
        <f t="shared" si="5"/>
        <v>0</v>
      </c>
      <c r="AY53" s="2466"/>
      <c r="AZ53" s="2466">
        <f t="shared" si="11"/>
        <v>0</v>
      </c>
      <c r="BA53" s="2466">
        <f t="shared" si="11"/>
        <v>0</v>
      </c>
      <c r="BB53" s="2466">
        <f t="shared" si="11"/>
        <v>0</v>
      </c>
      <c r="BC53" s="2466">
        <f t="shared" si="12"/>
        <v>0</v>
      </c>
      <c r="BD53" s="2466">
        <f t="shared" si="13"/>
        <v>0</v>
      </c>
      <c r="BE53" s="2467">
        <f t="shared" si="14"/>
        <v>0</v>
      </c>
      <c r="BF53" s="2467">
        <f t="shared" si="15"/>
        <v>250000</v>
      </c>
      <c r="BH53" s="2468" t="e">
        <f t="shared" si="7"/>
        <v>#N/A</v>
      </c>
    </row>
    <row r="54" spans="1:60" s="1914" customFormat="1">
      <c r="A54" s="2469">
        <f t="shared" si="8"/>
        <v>0</v>
      </c>
      <c r="B54" s="2469" t="str">
        <f t="shared" si="0"/>
        <v/>
      </c>
      <c r="C54" s="2457"/>
      <c r="D54" s="2469"/>
      <c r="E54" s="2457"/>
      <c r="F54" s="2469"/>
      <c r="G54" s="2457"/>
      <c r="H54" s="2469"/>
      <c r="I54" s="2457"/>
      <c r="J54" s="2469"/>
      <c r="K54" s="2457"/>
      <c r="L54" s="2469"/>
      <c r="M54" s="2470"/>
      <c r="N54" s="2469"/>
      <c r="O54" s="2457"/>
      <c r="P54" s="2469"/>
      <c r="Q54" s="2457"/>
      <c r="R54" s="2469"/>
      <c r="S54" s="2457"/>
      <c r="T54" s="2469"/>
      <c r="U54" s="2457"/>
      <c r="V54" s="2469"/>
      <c r="W54" s="2457"/>
      <c r="X54" s="2469"/>
      <c r="Y54" s="2457"/>
      <c r="Z54" s="2469"/>
      <c r="AA54" s="2471"/>
      <c r="AB54" s="2472">
        <f t="shared" si="9"/>
        <v>0</v>
      </c>
      <c r="AC54" s="2472">
        <f t="shared" si="9"/>
        <v>0</v>
      </c>
      <c r="AD54" s="2472">
        <f t="shared" si="9"/>
        <v>0</v>
      </c>
      <c r="AE54" s="2472">
        <f t="shared" si="9"/>
        <v>0</v>
      </c>
      <c r="AF54" s="2472">
        <f t="shared" si="9"/>
        <v>0</v>
      </c>
      <c r="AG54" s="2472">
        <f t="shared" si="9"/>
        <v>0</v>
      </c>
      <c r="AH54" s="2472">
        <f t="shared" si="9"/>
        <v>0</v>
      </c>
      <c r="AI54" s="2472">
        <f t="shared" si="9"/>
        <v>0</v>
      </c>
      <c r="AJ54" s="2472">
        <f t="shared" si="9"/>
        <v>0</v>
      </c>
      <c r="AK54" s="2472">
        <f t="shared" si="9"/>
        <v>0</v>
      </c>
      <c r="AL54" s="2472">
        <f t="shared" si="9"/>
        <v>0</v>
      </c>
      <c r="AM54" s="2472">
        <f t="shared" si="9"/>
        <v>0</v>
      </c>
      <c r="AN54" s="2472">
        <f t="shared" si="9"/>
        <v>0</v>
      </c>
      <c r="AO54" s="2462" t="str">
        <f t="shared" si="10"/>
        <v>1 Unit Pek. Jendela (  )</v>
      </c>
      <c r="AP54" s="2473">
        <f t="shared" si="2"/>
        <v>0</v>
      </c>
      <c r="AR54" s="2474"/>
      <c r="AS54" s="2474"/>
      <c r="AT54" s="2474"/>
      <c r="AV54" s="2475" t="str">
        <f t="shared" si="3"/>
        <v>0</v>
      </c>
      <c r="AW54" s="2475" t="str">
        <f t="shared" si="4"/>
        <v>0</v>
      </c>
      <c r="AX54" s="2475" t="str">
        <f t="shared" si="5"/>
        <v>0</v>
      </c>
      <c r="AY54" s="2475"/>
      <c r="AZ54" s="2475">
        <f t="shared" si="11"/>
        <v>0</v>
      </c>
      <c r="BA54" s="2475">
        <f t="shared" si="11"/>
        <v>0</v>
      </c>
      <c r="BB54" s="2475">
        <f t="shared" si="11"/>
        <v>0</v>
      </c>
      <c r="BC54" s="2475">
        <f t="shared" si="12"/>
        <v>0</v>
      </c>
      <c r="BD54" s="2475">
        <f t="shared" si="13"/>
        <v>0</v>
      </c>
      <c r="BE54" s="2476">
        <f t="shared" si="14"/>
        <v>0</v>
      </c>
      <c r="BF54" s="2467">
        <f t="shared" si="15"/>
        <v>250000</v>
      </c>
      <c r="BH54" s="1404" t="e">
        <f t="shared" si="7"/>
        <v>#N/A</v>
      </c>
    </row>
    <row r="55" spans="1:60" s="2464" customFormat="1">
      <c r="A55" s="2457">
        <f t="shared" si="8"/>
        <v>0</v>
      </c>
      <c r="B55" s="2469" t="str">
        <f t="shared" si="0"/>
        <v/>
      </c>
      <c r="C55" s="2457"/>
      <c r="D55" s="2469"/>
      <c r="E55" s="2457"/>
      <c r="F55" s="2459"/>
      <c r="G55" s="2457"/>
      <c r="H55" s="2459"/>
      <c r="I55" s="2457"/>
      <c r="J55" s="2459"/>
      <c r="K55" s="2457"/>
      <c r="L55" s="2459"/>
      <c r="M55" s="2458"/>
      <c r="N55" s="2459"/>
      <c r="O55" s="2457"/>
      <c r="P55" s="2459"/>
      <c r="Q55" s="2457"/>
      <c r="R55" s="2459"/>
      <c r="S55" s="2457"/>
      <c r="T55" s="2459"/>
      <c r="U55" s="2457"/>
      <c r="V55" s="2459"/>
      <c r="W55" s="2457"/>
      <c r="X55" s="2459"/>
      <c r="Y55" s="2457"/>
      <c r="Z55" s="2459"/>
      <c r="AA55" s="2460"/>
      <c r="AB55" s="2461">
        <f t="shared" si="9"/>
        <v>0</v>
      </c>
      <c r="AC55" s="2461">
        <f t="shared" si="9"/>
        <v>0</v>
      </c>
      <c r="AD55" s="2461">
        <f t="shared" si="9"/>
        <v>0</v>
      </c>
      <c r="AE55" s="2461">
        <f t="shared" si="9"/>
        <v>0</v>
      </c>
      <c r="AF55" s="2461">
        <f t="shared" si="9"/>
        <v>0</v>
      </c>
      <c r="AG55" s="2461">
        <f t="shared" si="9"/>
        <v>0</v>
      </c>
      <c r="AH55" s="2461">
        <f t="shared" si="9"/>
        <v>0</v>
      </c>
      <c r="AI55" s="2461">
        <f t="shared" si="9"/>
        <v>0</v>
      </c>
      <c r="AJ55" s="2461">
        <f t="shared" si="9"/>
        <v>0</v>
      </c>
      <c r="AK55" s="2461">
        <f t="shared" si="9"/>
        <v>0</v>
      </c>
      <c r="AL55" s="2461">
        <f t="shared" si="9"/>
        <v>0</v>
      </c>
      <c r="AM55" s="2461">
        <f t="shared" si="9"/>
        <v>0</v>
      </c>
      <c r="AN55" s="2461">
        <f t="shared" si="9"/>
        <v>0</v>
      </c>
      <c r="AO55" s="2462" t="str">
        <f t="shared" si="10"/>
        <v>1 Unit Pek. Jendela (  )</v>
      </c>
      <c r="AP55" s="2463">
        <f t="shared" si="2"/>
        <v>0</v>
      </c>
      <c r="AR55" s="2474"/>
      <c r="AS55" s="2474"/>
      <c r="AT55" s="2474"/>
      <c r="AV55" s="2466" t="str">
        <f t="shared" si="3"/>
        <v>0</v>
      </c>
      <c r="AW55" s="2466" t="str">
        <f t="shared" si="4"/>
        <v>0</v>
      </c>
      <c r="AX55" s="2466" t="str">
        <f t="shared" si="5"/>
        <v>0</v>
      </c>
      <c r="AY55" s="2466"/>
      <c r="AZ55" s="2466">
        <f t="shared" si="11"/>
        <v>0</v>
      </c>
      <c r="BA55" s="2466">
        <f t="shared" si="11"/>
        <v>0</v>
      </c>
      <c r="BB55" s="2466">
        <f t="shared" si="11"/>
        <v>0</v>
      </c>
      <c r="BC55" s="2466">
        <f t="shared" si="12"/>
        <v>0</v>
      </c>
      <c r="BD55" s="2466">
        <f t="shared" si="13"/>
        <v>0</v>
      </c>
      <c r="BE55" s="2467">
        <f t="shared" si="14"/>
        <v>0</v>
      </c>
      <c r="BF55" s="2467">
        <f t="shared" si="15"/>
        <v>250000</v>
      </c>
      <c r="BH55" s="2468" t="e">
        <f t="shared" si="7"/>
        <v>#N/A</v>
      </c>
    </row>
    <row r="56" spans="1:60" s="1914" customFormat="1">
      <c r="A56" s="2469">
        <f t="shared" si="8"/>
        <v>0</v>
      </c>
      <c r="B56" s="2469" t="str">
        <f t="shared" si="0"/>
        <v/>
      </c>
      <c r="C56" s="2457"/>
      <c r="D56" s="2469"/>
      <c r="E56" s="2457"/>
      <c r="F56" s="2469"/>
      <c r="G56" s="2457"/>
      <c r="H56" s="2469"/>
      <c r="I56" s="2457"/>
      <c r="J56" s="2469"/>
      <c r="K56" s="2457"/>
      <c r="L56" s="2469"/>
      <c r="M56" s="2470"/>
      <c r="N56" s="2469"/>
      <c r="O56" s="2457"/>
      <c r="P56" s="2469"/>
      <c r="Q56" s="2457"/>
      <c r="R56" s="2469"/>
      <c r="S56" s="2457"/>
      <c r="T56" s="2469"/>
      <c r="U56" s="2457"/>
      <c r="V56" s="2469"/>
      <c r="W56" s="2457"/>
      <c r="X56" s="2469"/>
      <c r="Y56" s="2457"/>
      <c r="Z56" s="2469"/>
      <c r="AA56" s="2471"/>
      <c r="AB56" s="2472">
        <f t="shared" si="9"/>
        <v>0</v>
      </c>
      <c r="AC56" s="2472">
        <f t="shared" si="9"/>
        <v>0</v>
      </c>
      <c r="AD56" s="2472">
        <f t="shared" si="9"/>
        <v>0</v>
      </c>
      <c r="AE56" s="2472">
        <f t="shared" si="9"/>
        <v>0</v>
      </c>
      <c r="AF56" s="2472">
        <f t="shared" si="9"/>
        <v>0</v>
      </c>
      <c r="AG56" s="2472">
        <f t="shared" si="9"/>
        <v>0</v>
      </c>
      <c r="AH56" s="2472">
        <f t="shared" si="9"/>
        <v>0</v>
      </c>
      <c r="AI56" s="2472">
        <f t="shared" si="9"/>
        <v>0</v>
      </c>
      <c r="AJ56" s="2472">
        <f t="shared" si="9"/>
        <v>0</v>
      </c>
      <c r="AK56" s="2472">
        <f t="shared" si="9"/>
        <v>0</v>
      </c>
      <c r="AL56" s="2472">
        <f t="shared" si="9"/>
        <v>0</v>
      </c>
      <c r="AM56" s="2472">
        <f t="shared" si="9"/>
        <v>0</v>
      </c>
      <c r="AN56" s="2472">
        <f t="shared" si="9"/>
        <v>0</v>
      </c>
      <c r="AO56" s="2462" t="str">
        <f t="shared" si="10"/>
        <v>1 Unit Pek. Jendela (  )</v>
      </c>
      <c r="AP56" s="2473">
        <f t="shared" si="2"/>
        <v>0</v>
      </c>
      <c r="AR56" s="2474"/>
      <c r="AS56" s="2474"/>
      <c r="AT56" s="2474"/>
      <c r="AV56" s="2475" t="str">
        <f t="shared" si="3"/>
        <v>0</v>
      </c>
      <c r="AW56" s="2475" t="str">
        <f t="shared" si="4"/>
        <v>0</v>
      </c>
      <c r="AX56" s="2475" t="str">
        <f t="shared" si="5"/>
        <v>0</v>
      </c>
      <c r="AY56" s="2475"/>
      <c r="AZ56" s="2475">
        <f t="shared" si="11"/>
        <v>0</v>
      </c>
      <c r="BA56" s="2475">
        <f t="shared" si="11"/>
        <v>0</v>
      </c>
      <c r="BB56" s="2475">
        <f t="shared" si="11"/>
        <v>0</v>
      </c>
      <c r="BC56" s="2475">
        <f t="shared" si="12"/>
        <v>0</v>
      </c>
      <c r="BD56" s="2475">
        <f t="shared" si="13"/>
        <v>0</v>
      </c>
      <c r="BE56" s="2476">
        <f t="shared" si="14"/>
        <v>0</v>
      </c>
      <c r="BF56" s="2467">
        <f t="shared" si="15"/>
        <v>250000</v>
      </c>
      <c r="BH56" s="1404" t="e">
        <f t="shared" si="7"/>
        <v>#N/A</v>
      </c>
    </row>
    <row r="57" spans="1:60" s="2464" customFormat="1">
      <c r="A57" s="2457">
        <f t="shared" si="8"/>
        <v>0</v>
      </c>
      <c r="B57" s="2469" t="str">
        <f t="shared" si="0"/>
        <v/>
      </c>
      <c r="C57" s="2457"/>
      <c r="D57" s="2459"/>
      <c r="E57" s="2457"/>
      <c r="F57" s="2459"/>
      <c r="G57" s="2457"/>
      <c r="H57" s="2459"/>
      <c r="I57" s="2457"/>
      <c r="J57" s="2459"/>
      <c r="K57" s="2457"/>
      <c r="L57" s="2459"/>
      <c r="M57" s="2458"/>
      <c r="N57" s="2459"/>
      <c r="O57" s="2457"/>
      <c r="P57" s="2459"/>
      <c r="Q57" s="2457"/>
      <c r="R57" s="2459"/>
      <c r="S57" s="2457"/>
      <c r="T57" s="2459"/>
      <c r="U57" s="2457"/>
      <c r="V57" s="2459"/>
      <c r="W57" s="2457"/>
      <c r="X57" s="2459"/>
      <c r="Y57" s="2457"/>
      <c r="Z57" s="2459"/>
      <c r="AA57" s="2460"/>
      <c r="AB57" s="2461">
        <f t="shared" si="9"/>
        <v>0</v>
      </c>
      <c r="AC57" s="2461">
        <f t="shared" si="9"/>
        <v>0</v>
      </c>
      <c r="AD57" s="2461">
        <f t="shared" si="9"/>
        <v>0</v>
      </c>
      <c r="AE57" s="2461">
        <f t="shared" si="9"/>
        <v>0</v>
      </c>
      <c r="AF57" s="2461">
        <f t="shared" si="9"/>
        <v>0</v>
      </c>
      <c r="AG57" s="2461">
        <f t="shared" si="9"/>
        <v>0</v>
      </c>
      <c r="AH57" s="2461">
        <f t="shared" si="9"/>
        <v>0</v>
      </c>
      <c r="AI57" s="2461">
        <f t="shared" si="9"/>
        <v>0</v>
      </c>
      <c r="AJ57" s="2461">
        <f t="shared" si="9"/>
        <v>0</v>
      </c>
      <c r="AK57" s="2461">
        <f t="shared" si="9"/>
        <v>0</v>
      </c>
      <c r="AL57" s="2461">
        <f t="shared" si="9"/>
        <v>0</v>
      </c>
      <c r="AM57" s="2461">
        <f t="shared" si="9"/>
        <v>0</v>
      </c>
      <c r="AN57" s="2461">
        <f t="shared" si="9"/>
        <v>0</v>
      </c>
      <c r="AO57" s="2462" t="str">
        <f t="shared" si="10"/>
        <v>1 Unit Pek. Jendela (  )</v>
      </c>
      <c r="AP57" s="2463">
        <f t="shared" si="2"/>
        <v>0</v>
      </c>
      <c r="AR57" s="2474"/>
      <c r="AS57" s="2474"/>
      <c r="AT57" s="2474"/>
      <c r="AV57" s="2466" t="str">
        <f t="shared" si="3"/>
        <v>0</v>
      </c>
      <c r="AW57" s="2466" t="str">
        <f t="shared" si="4"/>
        <v>0</v>
      </c>
      <c r="AX57" s="2466" t="str">
        <f t="shared" si="5"/>
        <v>0</v>
      </c>
      <c r="AY57" s="2466"/>
      <c r="AZ57" s="2466">
        <f t="shared" si="11"/>
        <v>0</v>
      </c>
      <c r="BA57" s="2466">
        <f t="shared" si="11"/>
        <v>0</v>
      </c>
      <c r="BB57" s="2466">
        <f t="shared" si="11"/>
        <v>0</v>
      </c>
      <c r="BC57" s="2466">
        <f t="shared" si="12"/>
        <v>0</v>
      </c>
      <c r="BD57" s="2466">
        <f t="shared" si="13"/>
        <v>0</v>
      </c>
      <c r="BE57" s="2467">
        <f t="shared" si="14"/>
        <v>0</v>
      </c>
      <c r="BF57" s="2467">
        <f t="shared" si="15"/>
        <v>250000</v>
      </c>
      <c r="BH57" s="2468" t="e">
        <f t="shared" si="7"/>
        <v>#N/A</v>
      </c>
    </row>
    <row r="58" spans="1:60" s="1914" customFormat="1" ht="12.75"/>
    <row r="60" spans="1:60" s="1914" customFormat="1">
      <c r="A60" s="1404" t="s">
        <v>1797</v>
      </c>
      <c r="D60" s="1406"/>
      <c r="E60" s="1946"/>
      <c r="H60" s="1406"/>
      <c r="I60" s="1406"/>
      <c r="J60" s="1406"/>
      <c r="K60" s="1406"/>
      <c r="L60" s="1406"/>
      <c r="M60" s="1406"/>
      <c r="N60" s="1406"/>
      <c r="O60" s="1406"/>
      <c r="P60" s="1406"/>
      <c r="Q60" s="1406"/>
      <c r="R60" s="1406"/>
      <c r="S60" s="1406"/>
      <c r="T60" s="1406"/>
      <c r="U60" s="1406"/>
      <c r="V60" s="1406"/>
      <c r="W60" s="1406"/>
      <c r="X60" s="1406"/>
      <c r="Y60" s="1406"/>
      <c r="Z60" s="1406"/>
      <c r="AA60" s="1406"/>
      <c r="AB60" s="1406"/>
      <c r="AC60" s="1406"/>
      <c r="AD60" s="1406"/>
      <c r="AE60" s="1406"/>
      <c r="AF60" s="1406"/>
      <c r="AG60" s="1406"/>
      <c r="AH60" s="1406"/>
      <c r="AI60" s="1406"/>
      <c r="AJ60" s="1406"/>
      <c r="AK60" s="1406"/>
      <c r="AL60" s="1406"/>
      <c r="AM60" s="1406"/>
    </row>
    <row r="61" spans="1:60" s="2228" customFormat="1" ht="93">
      <c r="A61" s="2477" t="s">
        <v>908</v>
      </c>
      <c r="B61" s="2477" t="s">
        <v>1796</v>
      </c>
      <c r="C61" s="2478"/>
      <c r="D61" s="2477" t="s">
        <v>1797</v>
      </c>
      <c r="E61" s="2477" t="s">
        <v>1613</v>
      </c>
      <c r="F61" s="2477" t="s">
        <v>2399</v>
      </c>
      <c r="G61" s="2477" t="s">
        <v>2620</v>
      </c>
      <c r="H61" s="2479" t="s">
        <v>1568</v>
      </c>
      <c r="I61" s="2478" t="s">
        <v>2334</v>
      </c>
      <c r="J61" s="2478" t="s">
        <v>2335</v>
      </c>
      <c r="K61" s="2234"/>
      <c r="L61" s="2234"/>
      <c r="M61" s="2234"/>
      <c r="N61" s="2480" t="s">
        <v>1528</v>
      </c>
      <c r="O61" s="2480" t="s">
        <v>1529</v>
      </c>
      <c r="P61" s="2480" t="s">
        <v>611</v>
      </c>
      <c r="Q61" s="2480" t="s">
        <v>2992</v>
      </c>
      <c r="R61" s="2480" t="s">
        <v>2066</v>
      </c>
      <c r="S61" s="2480" t="s">
        <v>2113</v>
      </c>
      <c r="T61" s="2480" t="s">
        <v>1457</v>
      </c>
      <c r="U61" s="2480" t="s">
        <v>1530</v>
      </c>
      <c r="V61" s="2480" t="s">
        <v>2224</v>
      </c>
      <c r="W61" s="2480" t="s">
        <v>2225</v>
      </c>
      <c r="X61" s="2480" t="s">
        <v>1700</v>
      </c>
      <c r="Y61" s="2480" t="s">
        <v>1644</v>
      </c>
      <c r="Z61" s="2481" t="s">
        <v>1467</v>
      </c>
      <c r="AA61" s="2234"/>
      <c r="AB61" s="2234"/>
      <c r="AC61" s="2234"/>
      <c r="AD61" s="2234"/>
      <c r="AE61" s="2234"/>
      <c r="AF61" s="2234"/>
      <c r="AG61" s="2234"/>
      <c r="AH61" s="2234"/>
      <c r="AI61" s="2234"/>
      <c r="AJ61" s="2234"/>
      <c r="AK61" s="2234"/>
      <c r="AL61" s="2234"/>
      <c r="AM61" s="2234"/>
    </row>
    <row r="62" spans="1:60" s="1914" customFormat="1">
      <c r="A62" s="2482">
        <v>1</v>
      </c>
      <c r="B62" s="2483" t="str">
        <f t="shared" ref="B62:B90" si="16">$B$93&amp;C29&amp;" "&amp;$C$93</f>
        <v>Pemasangan P1 (Full Aksesoris)</v>
      </c>
      <c r="D62" s="2482">
        <v>1</v>
      </c>
      <c r="E62" s="2482"/>
      <c r="F62" s="2482"/>
      <c r="G62" s="2482"/>
      <c r="H62" s="2482">
        <f>SUM(D62:G62)</f>
        <v>1</v>
      </c>
      <c r="I62" s="1914">
        <f t="shared" ref="I62:I90" si="17">H62*K29</f>
        <v>0</v>
      </c>
      <c r="J62" s="1914">
        <f t="shared" ref="J62:J90" si="18">H62*L29</f>
        <v>0</v>
      </c>
      <c r="K62" s="1578"/>
      <c r="L62" s="1578"/>
      <c r="M62" s="1406"/>
      <c r="N62" s="2484">
        <f>$H62*N29</f>
        <v>1</v>
      </c>
      <c r="O62" s="2484">
        <f t="shared" ref="O62:Z62" si="19">$H62*O29</f>
        <v>0</v>
      </c>
      <c r="P62" s="2484">
        <f t="shared" si="19"/>
        <v>2</v>
      </c>
      <c r="Q62" s="2484">
        <f t="shared" si="19"/>
        <v>0</v>
      </c>
      <c r="R62" s="2484">
        <f t="shared" si="19"/>
        <v>0</v>
      </c>
      <c r="S62" s="2484">
        <f t="shared" si="19"/>
        <v>0</v>
      </c>
      <c r="T62" s="2484">
        <f t="shared" si="19"/>
        <v>4</v>
      </c>
      <c r="U62" s="2484">
        <f t="shared" si="19"/>
        <v>0</v>
      </c>
      <c r="V62" s="2484">
        <f t="shared" si="19"/>
        <v>0</v>
      </c>
      <c r="W62" s="2484">
        <f t="shared" si="19"/>
        <v>0</v>
      </c>
      <c r="X62" s="2484">
        <f t="shared" si="19"/>
        <v>0</v>
      </c>
      <c r="Y62" s="2484">
        <f t="shared" si="19"/>
        <v>0</v>
      </c>
      <c r="Z62" s="2484">
        <f t="shared" si="19"/>
        <v>2</v>
      </c>
      <c r="AA62" s="1406"/>
      <c r="AB62" s="1406"/>
      <c r="AC62" s="1406"/>
      <c r="AD62" s="1406"/>
      <c r="AE62" s="1406"/>
      <c r="AF62" s="1406"/>
      <c r="AG62" s="1406"/>
      <c r="AH62" s="1406"/>
      <c r="AI62" s="1406"/>
      <c r="AJ62" s="1406"/>
      <c r="AK62" s="1406"/>
      <c r="AL62" s="1406"/>
      <c r="AM62" s="1406"/>
    </row>
    <row r="63" spans="1:60" s="1914" customFormat="1">
      <c r="A63" s="2469">
        <f>A62+1</f>
        <v>2</v>
      </c>
      <c r="B63" s="2485" t="str">
        <f t="shared" si="16"/>
        <v>Pemasangan P2 (Full Aksesoris)</v>
      </c>
      <c r="D63" s="2482">
        <v>2</v>
      </c>
      <c r="E63" s="2482"/>
      <c r="F63" s="2482"/>
      <c r="G63" s="2482"/>
      <c r="H63" s="2482">
        <f t="shared" ref="H63:H90" si="20">SUM(D63:G63)</f>
        <v>2</v>
      </c>
      <c r="I63" s="1914">
        <f t="shared" si="17"/>
        <v>0</v>
      </c>
      <c r="J63" s="1914">
        <f t="shared" si="18"/>
        <v>0</v>
      </c>
      <c r="K63" s="1578"/>
      <c r="L63" s="1578"/>
      <c r="M63" s="1406"/>
      <c r="N63" s="2484">
        <f t="shared" ref="N63:Z78" si="21">$H63*N30</f>
        <v>2</v>
      </c>
      <c r="O63" s="2484">
        <f t="shared" si="21"/>
        <v>0</v>
      </c>
      <c r="P63" s="2484">
        <f t="shared" si="21"/>
        <v>4</v>
      </c>
      <c r="Q63" s="2484">
        <f t="shared" si="21"/>
        <v>0</v>
      </c>
      <c r="R63" s="2484">
        <f t="shared" si="21"/>
        <v>0</v>
      </c>
      <c r="S63" s="2484">
        <f t="shared" si="21"/>
        <v>0</v>
      </c>
      <c r="T63" s="2484">
        <f t="shared" si="21"/>
        <v>8</v>
      </c>
      <c r="U63" s="2484">
        <f t="shared" si="21"/>
        <v>0</v>
      </c>
      <c r="V63" s="2484">
        <f t="shared" si="21"/>
        <v>0</v>
      </c>
      <c r="W63" s="2484">
        <f t="shared" si="21"/>
        <v>0</v>
      </c>
      <c r="X63" s="2484">
        <f t="shared" si="21"/>
        <v>0</v>
      </c>
      <c r="Y63" s="2484">
        <f t="shared" si="21"/>
        <v>0</v>
      </c>
      <c r="Z63" s="2484">
        <f t="shared" si="21"/>
        <v>4</v>
      </c>
      <c r="AA63" s="1406"/>
      <c r="AB63" s="1406"/>
      <c r="AC63" s="1406"/>
      <c r="AD63" s="1406"/>
      <c r="AE63" s="1406"/>
      <c r="AF63" s="1406"/>
      <c r="AG63" s="1406"/>
      <c r="AH63" s="1406"/>
      <c r="AI63" s="1406"/>
      <c r="AJ63" s="1406"/>
      <c r="AK63" s="1406"/>
      <c r="AL63" s="1406"/>
      <c r="AM63" s="1406"/>
    </row>
    <row r="64" spans="1:60" s="1914" customFormat="1">
      <c r="A64" s="2482">
        <f t="shared" ref="A64:A90" si="22">A63+1</f>
        <v>3</v>
      </c>
      <c r="B64" s="2483" t="str">
        <f t="shared" si="16"/>
        <v>Pemasangan P3 (Full Aksesoris)</v>
      </c>
      <c r="D64" s="2469">
        <v>1</v>
      </c>
      <c r="E64" s="2469"/>
      <c r="F64" s="2469"/>
      <c r="G64" s="2469"/>
      <c r="H64" s="2482">
        <f t="shared" si="20"/>
        <v>1</v>
      </c>
      <c r="I64" s="1914">
        <f t="shared" si="17"/>
        <v>0</v>
      </c>
      <c r="J64" s="1914">
        <f t="shared" si="18"/>
        <v>0</v>
      </c>
      <c r="K64" s="1578"/>
      <c r="L64" s="1578"/>
      <c r="M64" s="1406"/>
      <c r="N64" s="2484">
        <f t="shared" si="21"/>
        <v>1</v>
      </c>
      <c r="O64" s="2484">
        <f t="shared" si="21"/>
        <v>0</v>
      </c>
      <c r="P64" s="2484">
        <f t="shared" si="21"/>
        <v>6</v>
      </c>
      <c r="Q64" s="2484">
        <f t="shared" si="21"/>
        <v>0</v>
      </c>
      <c r="R64" s="2484">
        <f t="shared" si="21"/>
        <v>0</v>
      </c>
      <c r="S64" s="2484">
        <f t="shared" si="21"/>
        <v>0</v>
      </c>
      <c r="T64" s="2484">
        <f t="shared" si="21"/>
        <v>0</v>
      </c>
      <c r="U64" s="2484">
        <f t="shared" si="21"/>
        <v>0</v>
      </c>
      <c r="V64" s="2484">
        <f t="shared" si="21"/>
        <v>0</v>
      </c>
      <c r="W64" s="2484">
        <f t="shared" si="21"/>
        <v>0</v>
      </c>
      <c r="X64" s="2484">
        <f t="shared" si="21"/>
        <v>0</v>
      </c>
      <c r="Y64" s="2484">
        <f t="shared" si="21"/>
        <v>0</v>
      </c>
      <c r="Z64" s="2484">
        <f t="shared" si="21"/>
        <v>2</v>
      </c>
      <c r="AA64" s="1406"/>
      <c r="AB64" s="1406"/>
      <c r="AC64" s="1406"/>
      <c r="AD64" s="1406"/>
      <c r="AE64" s="1406"/>
      <c r="AF64" s="1406"/>
      <c r="AG64" s="1406"/>
      <c r="AH64" s="1406"/>
      <c r="AI64" s="1406"/>
      <c r="AJ64" s="1406"/>
      <c r="AK64" s="1406"/>
      <c r="AL64" s="1406"/>
      <c r="AM64" s="1406"/>
    </row>
    <row r="65" spans="1:39" s="1914" customFormat="1">
      <c r="A65" s="2469">
        <f t="shared" si="22"/>
        <v>4</v>
      </c>
      <c r="B65" s="2485" t="str">
        <f t="shared" si="16"/>
        <v>Pemasangan P4 (Full Aksesoris)</v>
      </c>
      <c r="D65" s="2482">
        <v>1</v>
      </c>
      <c r="E65" s="2482"/>
      <c r="F65" s="2482"/>
      <c r="G65" s="2482"/>
      <c r="H65" s="2482">
        <f t="shared" si="20"/>
        <v>1</v>
      </c>
      <c r="I65" s="1914">
        <f t="shared" si="17"/>
        <v>0</v>
      </c>
      <c r="J65" s="1914">
        <f t="shared" si="18"/>
        <v>0</v>
      </c>
      <c r="K65" s="1578"/>
      <c r="L65" s="1578"/>
      <c r="M65" s="1406"/>
      <c r="N65" s="2484">
        <f t="shared" si="21"/>
        <v>1</v>
      </c>
      <c r="O65" s="2484">
        <f t="shared" si="21"/>
        <v>0</v>
      </c>
      <c r="P65" s="2484">
        <f t="shared" si="21"/>
        <v>0</v>
      </c>
      <c r="Q65" s="2484">
        <f t="shared" si="21"/>
        <v>0</v>
      </c>
      <c r="R65" s="2484">
        <f t="shared" si="21"/>
        <v>0</v>
      </c>
      <c r="S65" s="2484">
        <f t="shared" si="21"/>
        <v>0</v>
      </c>
      <c r="T65" s="2484">
        <f t="shared" si="21"/>
        <v>2</v>
      </c>
      <c r="U65" s="2484">
        <f t="shared" si="21"/>
        <v>0</v>
      </c>
      <c r="V65" s="2484">
        <f t="shared" si="21"/>
        <v>0</v>
      </c>
      <c r="W65" s="2484">
        <f t="shared" si="21"/>
        <v>0</v>
      </c>
      <c r="X65" s="2484">
        <f t="shared" si="21"/>
        <v>0</v>
      </c>
      <c r="Y65" s="2484">
        <f t="shared" si="21"/>
        <v>1</v>
      </c>
      <c r="Z65" s="2484">
        <f t="shared" si="21"/>
        <v>0</v>
      </c>
      <c r="AA65" s="1406"/>
      <c r="AB65" s="1406"/>
      <c r="AC65" s="1406"/>
      <c r="AD65" s="1406"/>
      <c r="AE65" s="1406"/>
      <c r="AF65" s="1406"/>
      <c r="AG65" s="1406"/>
      <c r="AH65" s="1406"/>
      <c r="AI65" s="1406"/>
      <c r="AJ65" s="1406"/>
      <c r="AK65" s="1406"/>
      <c r="AL65" s="1406"/>
      <c r="AM65" s="1406"/>
    </row>
    <row r="66" spans="1:39" s="1914" customFormat="1">
      <c r="A66" s="2482">
        <f t="shared" si="22"/>
        <v>5</v>
      </c>
      <c r="B66" s="2483" t="str">
        <f t="shared" si="16"/>
        <v>Pemasangan P5 (Full Aksesoris)</v>
      </c>
      <c r="D66" s="2469">
        <v>1</v>
      </c>
      <c r="E66" s="2469"/>
      <c r="F66" s="2469"/>
      <c r="G66" s="2469"/>
      <c r="H66" s="2482">
        <f t="shared" si="20"/>
        <v>1</v>
      </c>
      <c r="I66" s="1914">
        <f t="shared" si="17"/>
        <v>0</v>
      </c>
      <c r="J66" s="1914">
        <f t="shared" si="18"/>
        <v>0</v>
      </c>
      <c r="K66" s="1578"/>
      <c r="L66" s="1578"/>
      <c r="M66" s="1406"/>
      <c r="N66" s="2484">
        <f t="shared" si="21"/>
        <v>1</v>
      </c>
      <c r="O66" s="2484">
        <f t="shared" si="21"/>
        <v>0</v>
      </c>
      <c r="P66" s="2484">
        <f t="shared" si="21"/>
        <v>0</v>
      </c>
      <c r="Q66" s="2484">
        <f t="shared" si="21"/>
        <v>0</v>
      </c>
      <c r="R66" s="2484">
        <f t="shared" si="21"/>
        <v>2</v>
      </c>
      <c r="S66" s="2484">
        <f t="shared" si="21"/>
        <v>0</v>
      </c>
      <c r="T66" s="2484">
        <f t="shared" si="21"/>
        <v>2</v>
      </c>
      <c r="U66" s="2484">
        <f t="shared" si="21"/>
        <v>0</v>
      </c>
      <c r="V66" s="2484">
        <f t="shared" si="21"/>
        <v>0</v>
      </c>
      <c r="W66" s="2484">
        <f t="shared" si="21"/>
        <v>0</v>
      </c>
      <c r="X66" s="2484">
        <f t="shared" si="21"/>
        <v>0</v>
      </c>
      <c r="Y66" s="2484">
        <f t="shared" si="21"/>
        <v>0</v>
      </c>
      <c r="Z66" s="2484">
        <f t="shared" si="21"/>
        <v>2</v>
      </c>
      <c r="AA66" s="1406"/>
      <c r="AB66" s="1406"/>
      <c r="AC66" s="1406"/>
      <c r="AD66" s="1406"/>
      <c r="AE66" s="1406"/>
      <c r="AF66" s="1406"/>
      <c r="AG66" s="1406"/>
      <c r="AH66" s="1406"/>
      <c r="AI66" s="1406"/>
      <c r="AJ66" s="1406"/>
      <c r="AK66" s="1406"/>
      <c r="AL66" s="1406"/>
      <c r="AM66" s="1406"/>
    </row>
    <row r="67" spans="1:39" s="1914" customFormat="1">
      <c r="A67" s="2469">
        <f t="shared" si="22"/>
        <v>6</v>
      </c>
      <c r="B67" s="2485" t="str">
        <f t="shared" si="16"/>
        <v>Pemasangan P6 (Full Aksesoris)</v>
      </c>
      <c r="D67" s="2482">
        <v>1</v>
      </c>
      <c r="E67" s="2482"/>
      <c r="F67" s="2482"/>
      <c r="G67" s="2482"/>
      <c r="H67" s="2482">
        <f t="shared" si="20"/>
        <v>1</v>
      </c>
      <c r="I67" s="1914">
        <f t="shared" si="17"/>
        <v>0</v>
      </c>
      <c r="J67" s="1914">
        <f t="shared" si="18"/>
        <v>0</v>
      </c>
      <c r="K67" s="1578"/>
      <c r="L67" s="1578"/>
      <c r="M67" s="1406"/>
      <c r="N67" s="2484">
        <f t="shared" si="21"/>
        <v>1</v>
      </c>
      <c r="O67" s="2484">
        <f t="shared" si="21"/>
        <v>0</v>
      </c>
      <c r="P67" s="2484">
        <f t="shared" si="21"/>
        <v>0</v>
      </c>
      <c r="Q67" s="2484">
        <f t="shared" si="21"/>
        <v>0</v>
      </c>
      <c r="R67" s="2484">
        <f t="shared" si="21"/>
        <v>0</v>
      </c>
      <c r="S67" s="2484">
        <f t="shared" si="21"/>
        <v>0</v>
      </c>
      <c r="T67" s="2484">
        <f t="shared" si="21"/>
        <v>4</v>
      </c>
      <c r="U67" s="2484">
        <f t="shared" si="21"/>
        <v>0</v>
      </c>
      <c r="V67" s="2484">
        <f t="shared" si="21"/>
        <v>0</v>
      </c>
      <c r="W67" s="2484">
        <f t="shared" si="21"/>
        <v>0</v>
      </c>
      <c r="X67" s="2484">
        <f t="shared" si="21"/>
        <v>0</v>
      </c>
      <c r="Y67" s="2484">
        <f t="shared" si="21"/>
        <v>0</v>
      </c>
      <c r="Z67" s="2484">
        <f t="shared" si="21"/>
        <v>2</v>
      </c>
      <c r="AA67" s="1406"/>
      <c r="AB67" s="1406"/>
      <c r="AC67" s="1406"/>
      <c r="AD67" s="1406"/>
      <c r="AE67" s="1406"/>
      <c r="AF67" s="1406"/>
      <c r="AG67" s="1406"/>
      <c r="AH67" s="1406"/>
      <c r="AI67" s="1406"/>
      <c r="AJ67" s="1406"/>
      <c r="AK67" s="1406"/>
      <c r="AL67" s="1406"/>
      <c r="AM67" s="1406"/>
    </row>
    <row r="68" spans="1:39" s="1914" customFormat="1">
      <c r="A68" s="2482">
        <f t="shared" si="22"/>
        <v>7</v>
      </c>
      <c r="B68" s="2483" t="str">
        <f t="shared" si="16"/>
        <v>Pemasangan P7 (Full Aksesoris)</v>
      </c>
      <c r="D68" s="2469">
        <v>6</v>
      </c>
      <c r="E68" s="2469"/>
      <c r="F68" s="2469"/>
      <c r="G68" s="2469"/>
      <c r="H68" s="2482">
        <f t="shared" si="20"/>
        <v>6</v>
      </c>
      <c r="I68" s="1914">
        <f t="shared" si="17"/>
        <v>0</v>
      </c>
      <c r="J68" s="1914">
        <f t="shared" si="18"/>
        <v>0</v>
      </c>
      <c r="K68" s="1578"/>
      <c r="L68" s="1578"/>
      <c r="M68" s="1406"/>
      <c r="N68" s="2484">
        <f t="shared" si="21"/>
        <v>6</v>
      </c>
      <c r="O68" s="2484">
        <f t="shared" si="21"/>
        <v>0</v>
      </c>
      <c r="P68" s="2484">
        <f t="shared" si="21"/>
        <v>0</v>
      </c>
      <c r="Q68" s="2484">
        <f t="shared" si="21"/>
        <v>0</v>
      </c>
      <c r="R68" s="2484">
        <f t="shared" si="21"/>
        <v>0</v>
      </c>
      <c r="S68" s="2484">
        <f t="shared" si="21"/>
        <v>0</v>
      </c>
      <c r="T68" s="2484">
        <f t="shared" si="21"/>
        <v>12</v>
      </c>
      <c r="U68" s="2484">
        <f t="shared" si="21"/>
        <v>0</v>
      </c>
      <c r="V68" s="2484">
        <f t="shared" si="21"/>
        <v>0</v>
      </c>
      <c r="W68" s="2484">
        <f t="shared" si="21"/>
        <v>0</v>
      </c>
      <c r="X68" s="2484">
        <f t="shared" si="21"/>
        <v>0</v>
      </c>
      <c r="Y68" s="2484">
        <f t="shared" si="21"/>
        <v>6</v>
      </c>
      <c r="Z68" s="2484">
        <f t="shared" si="21"/>
        <v>0</v>
      </c>
      <c r="AA68" s="1406"/>
      <c r="AB68" s="1406"/>
      <c r="AC68" s="1406"/>
      <c r="AD68" s="1406"/>
      <c r="AE68" s="1406"/>
      <c r="AF68" s="1406"/>
      <c r="AG68" s="1406"/>
      <c r="AH68" s="1406"/>
      <c r="AI68" s="1406"/>
      <c r="AJ68" s="1406"/>
      <c r="AK68" s="1406"/>
      <c r="AL68" s="1406"/>
      <c r="AM68" s="1406"/>
    </row>
    <row r="69" spans="1:39" s="1914" customFormat="1">
      <c r="A69" s="2469">
        <f t="shared" si="22"/>
        <v>8</v>
      </c>
      <c r="B69" s="2485" t="str">
        <f t="shared" si="16"/>
        <v>Pemasangan P8 (Full Aksesoris)</v>
      </c>
      <c r="D69" s="2482">
        <v>3</v>
      </c>
      <c r="E69" s="2482"/>
      <c r="F69" s="2482"/>
      <c r="G69" s="2482"/>
      <c r="H69" s="2482">
        <f t="shared" si="20"/>
        <v>3</v>
      </c>
      <c r="I69" s="1914">
        <f t="shared" si="17"/>
        <v>0</v>
      </c>
      <c r="J69" s="1914">
        <f t="shared" si="18"/>
        <v>0</v>
      </c>
      <c r="K69" s="1578"/>
      <c r="L69" s="1578"/>
      <c r="M69" s="1406"/>
      <c r="N69" s="2484">
        <f t="shared" si="21"/>
        <v>3</v>
      </c>
      <c r="O69" s="2484">
        <f t="shared" si="21"/>
        <v>0</v>
      </c>
      <c r="P69" s="2484">
        <f t="shared" si="21"/>
        <v>0</v>
      </c>
      <c r="Q69" s="2484">
        <f t="shared" si="21"/>
        <v>0</v>
      </c>
      <c r="R69" s="2484">
        <f t="shared" si="21"/>
        <v>0</v>
      </c>
      <c r="S69" s="2484">
        <f t="shared" si="21"/>
        <v>0</v>
      </c>
      <c r="T69" s="2484">
        <f t="shared" si="21"/>
        <v>6</v>
      </c>
      <c r="U69" s="2484">
        <f t="shared" si="21"/>
        <v>0</v>
      </c>
      <c r="V69" s="2484">
        <f t="shared" si="21"/>
        <v>0</v>
      </c>
      <c r="W69" s="2484">
        <f t="shared" si="21"/>
        <v>0</v>
      </c>
      <c r="X69" s="2484">
        <f t="shared" si="21"/>
        <v>0</v>
      </c>
      <c r="Y69" s="2484">
        <f t="shared" si="21"/>
        <v>3</v>
      </c>
      <c r="Z69" s="2484">
        <f t="shared" si="21"/>
        <v>0</v>
      </c>
      <c r="AA69" s="1406"/>
      <c r="AB69" s="1406"/>
      <c r="AC69" s="1406"/>
      <c r="AD69" s="1406"/>
      <c r="AE69" s="1406"/>
      <c r="AF69" s="1406"/>
      <c r="AG69" s="1406"/>
      <c r="AH69" s="1406"/>
      <c r="AI69" s="1406"/>
      <c r="AJ69" s="1406"/>
      <c r="AK69" s="1406"/>
      <c r="AL69" s="1406"/>
      <c r="AM69" s="1406"/>
    </row>
    <row r="70" spans="1:39" s="1914" customFormat="1">
      <c r="A70" s="2482">
        <f t="shared" si="22"/>
        <v>9</v>
      </c>
      <c r="B70" s="2483" t="str">
        <f t="shared" si="16"/>
        <v>Pemasangan P9 (Full Aksesoris)</v>
      </c>
      <c r="D70" s="2482">
        <v>9</v>
      </c>
      <c r="E70" s="2482"/>
      <c r="F70" s="2482"/>
      <c r="G70" s="2482"/>
      <c r="H70" s="2482">
        <f t="shared" si="20"/>
        <v>9</v>
      </c>
      <c r="I70" s="1914">
        <f t="shared" si="17"/>
        <v>0</v>
      </c>
      <c r="J70" s="1914">
        <f t="shared" si="18"/>
        <v>0</v>
      </c>
      <c r="K70" s="1578"/>
      <c r="L70" s="1578"/>
      <c r="M70" s="1406"/>
      <c r="N70" s="2484">
        <f t="shared" si="21"/>
        <v>9</v>
      </c>
      <c r="O70" s="2484">
        <f t="shared" si="21"/>
        <v>0</v>
      </c>
      <c r="P70" s="2484">
        <f t="shared" si="21"/>
        <v>0</v>
      </c>
      <c r="Q70" s="2484">
        <f t="shared" si="21"/>
        <v>0</v>
      </c>
      <c r="R70" s="2484">
        <f t="shared" si="21"/>
        <v>0</v>
      </c>
      <c r="S70" s="2484">
        <f t="shared" si="21"/>
        <v>0</v>
      </c>
      <c r="T70" s="2484">
        <f t="shared" si="21"/>
        <v>18</v>
      </c>
      <c r="U70" s="2484">
        <f t="shared" si="21"/>
        <v>0</v>
      </c>
      <c r="V70" s="2484">
        <f t="shared" si="21"/>
        <v>0</v>
      </c>
      <c r="W70" s="2484">
        <f t="shared" si="21"/>
        <v>0</v>
      </c>
      <c r="X70" s="2484">
        <f t="shared" si="21"/>
        <v>0</v>
      </c>
      <c r="Y70" s="2484">
        <f t="shared" si="21"/>
        <v>9</v>
      </c>
      <c r="Z70" s="2484">
        <f t="shared" si="21"/>
        <v>0</v>
      </c>
      <c r="AA70" s="1406"/>
      <c r="AB70" s="1406"/>
      <c r="AC70" s="1406"/>
      <c r="AD70" s="1406"/>
      <c r="AE70" s="1406"/>
      <c r="AF70" s="1406"/>
      <c r="AG70" s="1406"/>
      <c r="AH70" s="1406"/>
      <c r="AI70" s="1406"/>
      <c r="AJ70" s="1406"/>
      <c r="AK70" s="1406"/>
      <c r="AL70" s="1406"/>
      <c r="AM70" s="1406"/>
    </row>
    <row r="71" spans="1:39" s="1914" customFormat="1">
      <c r="A71" s="2469">
        <f t="shared" si="22"/>
        <v>10</v>
      </c>
      <c r="B71" s="2485" t="str">
        <f t="shared" si="16"/>
        <v>Pemasangan P10 (Full Aksesoris)</v>
      </c>
      <c r="D71" s="2469"/>
      <c r="E71" s="2469"/>
      <c r="F71" s="2469"/>
      <c r="G71" s="2469"/>
      <c r="H71" s="2482">
        <f t="shared" si="20"/>
        <v>0</v>
      </c>
      <c r="I71" s="1914">
        <f t="shared" si="17"/>
        <v>0</v>
      </c>
      <c r="J71" s="1914">
        <f t="shared" si="18"/>
        <v>0</v>
      </c>
      <c r="K71" s="1578"/>
      <c r="L71" s="1578"/>
      <c r="M71" s="1406"/>
      <c r="N71" s="2484">
        <f t="shared" si="21"/>
        <v>0</v>
      </c>
      <c r="O71" s="2484">
        <f t="shared" si="21"/>
        <v>0</v>
      </c>
      <c r="P71" s="2484">
        <f t="shared" si="21"/>
        <v>0</v>
      </c>
      <c r="Q71" s="2484">
        <f t="shared" si="21"/>
        <v>0</v>
      </c>
      <c r="R71" s="2484">
        <f t="shared" si="21"/>
        <v>0</v>
      </c>
      <c r="S71" s="2484">
        <f t="shared" si="21"/>
        <v>0</v>
      </c>
      <c r="T71" s="2484">
        <f t="shared" si="21"/>
        <v>0</v>
      </c>
      <c r="U71" s="2484">
        <f t="shared" si="21"/>
        <v>0</v>
      </c>
      <c r="V71" s="2484">
        <f t="shared" si="21"/>
        <v>0</v>
      </c>
      <c r="W71" s="2484">
        <f t="shared" si="21"/>
        <v>0</v>
      </c>
      <c r="X71" s="2484">
        <f t="shared" si="21"/>
        <v>0</v>
      </c>
      <c r="Y71" s="2484">
        <f t="shared" si="21"/>
        <v>0</v>
      </c>
      <c r="Z71" s="2484">
        <f t="shared" si="21"/>
        <v>0</v>
      </c>
      <c r="AA71" s="1406"/>
      <c r="AB71" s="1406"/>
      <c r="AC71" s="1406"/>
      <c r="AD71" s="1406"/>
      <c r="AE71" s="1406"/>
      <c r="AF71" s="1406"/>
      <c r="AG71" s="1406"/>
      <c r="AH71" s="1406"/>
      <c r="AI71" s="1406"/>
      <c r="AJ71" s="1406"/>
      <c r="AK71" s="1406"/>
      <c r="AL71" s="1406"/>
      <c r="AM71" s="1406"/>
    </row>
    <row r="72" spans="1:39" s="1914" customFormat="1">
      <c r="A72" s="2482">
        <f t="shared" si="22"/>
        <v>11</v>
      </c>
      <c r="B72" s="2483" t="str">
        <f t="shared" si="16"/>
        <v>Pemasangan P11 (Full Aksesoris)</v>
      </c>
      <c r="D72" s="2482"/>
      <c r="E72" s="2482"/>
      <c r="F72" s="2482"/>
      <c r="G72" s="2482"/>
      <c r="H72" s="2482">
        <f t="shared" si="20"/>
        <v>0</v>
      </c>
      <c r="I72" s="1914">
        <f t="shared" si="17"/>
        <v>0</v>
      </c>
      <c r="J72" s="1914">
        <f t="shared" si="18"/>
        <v>0</v>
      </c>
      <c r="K72" s="1578"/>
      <c r="L72" s="1578"/>
      <c r="M72" s="1406"/>
      <c r="N72" s="2484">
        <f t="shared" si="21"/>
        <v>0</v>
      </c>
      <c r="O72" s="2484">
        <f t="shared" si="21"/>
        <v>0</v>
      </c>
      <c r="P72" s="2484">
        <f t="shared" si="21"/>
        <v>0</v>
      </c>
      <c r="Q72" s="2484">
        <f t="shared" si="21"/>
        <v>0</v>
      </c>
      <c r="R72" s="2484">
        <f t="shared" si="21"/>
        <v>0</v>
      </c>
      <c r="S72" s="2484">
        <f t="shared" si="21"/>
        <v>0</v>
      </c>
      <c r="T72" s="2484">
        <f t="shared" si="21"/>
        <v>0</v>
      </c>
      <c r="U72" s="2484">
        <f t="shared" si="21"/>
        <v>0</v>
      </c>
      <c r="V72" s="2484">
        <f t="shared" si="21"/>
        <v>0</v>
      </c>
      <c r="W72" s="2484">
        <f t="shared" si="21"/>
        <v>0</v>
      </c>
      <c r="X72" s="2484">
        <f t="shared" si="21"/>
        <v>0</v>
      </c>
      <c r="Y72" s="2484">
        <f t="shared" si="21"/>
        <v>0</v>
      </c>
      <c r="Z72" s="2484">
        <f t="shared" si="21"/>
        <v>0</v>
      </c>
      <c r="AA72" s="1406"/>
      <c r="AB72" s="1406"/>
      <c r="AC72" s="1406"/>
      <c r="AD72" s="1406"/>
      <c r="AE72" s="1406"/>
      <c r="AF72" s="1406"/>
      <c r="AG72" s="1406"/>
      <c r="AH72" s="1406"/>
      <c r="AI72" s="1406"/>
      <c r="AJ72" s="1406"/>
      <c r="AK72" s="1406"/>
      <c r="AL72" s="1406"/>
      <c r="AM72" s="1406"/>
    </row>
    <row r="73" spans="1:39" s="1914" customFormat="1">
      <c r="A73" s="2469">
        <f t="shared" si="22"/>
        <v>12</v>
      </c>
      <c r="B73" s="2485" t="str">
        <f t="shared" si="16"/>
        <v>Pemasangan J1 (Full Aksesoris)</v>
      </c>
      <c r="D73" s="2469">
        <v>2</v>
      </c>
      <c r="E73" s="2469"/>
      <c r="F73" s="2469"/>
      <c r="G73" s="2469"/>
      <c r="H73" s="2482">
        <f t="shared" si="20"/>
        <v>2</v>
      </c>
      <c r="I73" s="1914">
        <f t="shared" si="17"/>
        <v>0</v>
      </c>
      <c r="J73" s="1914">
        <f t="shared" si="18"/>
        <v>0</v>
      </c>
      <c r="K73" s="1578"/>
      <c r="L73" s="1578"/>
      <c r="M73" s="1406"/>
      <c r="N73" s="2484">
        <f t="shared" si="21"/>
        <v>0</v>
      </c>
      <c r="O73" s="2484">
        <f t="shared" si="21"/>
        <v>0</v>
      </c>
      <c r="P73" s="2484">
        <f t="shared" si="21"/>
        <v>8</v>
      </c>
      <c r="Q73" s="2484">
        <f t="shared" si="21"/>
        <v>0</v>
      </c>
      <c r="R73" s="2484">
        <f t="shared" si="21"/>
        <v>16</v>
      </c>
      <c r="S73" s="2484">
        <f t="shared" si="21"/>
        <v>0</v>
      </c>
      <c r="T73" s="2484">
        <f t="shared" si="21"/>
        <v>0</v>
      </c>
      <c r="U73" s="2484">
        <f t="shared" si="21"/>
        <v>0</v>
      </c>
      <c r="V73" s="2484">
        <f t="shared" si="21"/>
        <v>0</v>
      </c>
      <c r="W73" s="2484">
        <f t="shared" si="21"/>
        <v>0</v>
      </c>
      <c r="X73" s="2484">
        <f t="shared" si="21"/>
        <v>0</v>
      </c>
      <c r="Y73" s="2484">
        <f t="shared" si="21"/>
        <v>0</v>
      </c>
      <c r="Z73" s="2484">
        <f t="shared" si="21"/>
        <v>0</v>
      </c>
      <c r="AA73" s="1406"/>
      <c r="AB73" s="1406"/>
      <c r="AC73" s="1406"/>
      <c r="AD73" s="1406"/>
      <c r="AE73" s="1406"/>
      <c r="AF73" s="1406"/>
      <c r="AG73" s="1406"/>
      <c r="AH73" s="1406"/>
      <c r="AI73" s="1406"/>
      <c r="AJ73" s="1406"/>
      <c r="AK73" s="1406"/>
      <c r="AL73" s="1406"/>
      <c r="AM73" s="1406"/>
    </row>
    <row r="74" spans="1:39" s="1914" customFormat="1">
      <c r="A74" s="2482">
        <f t="shared" si="22"/>
        <v>13</v>
      </c>
      <c r="B74" s="2483" t="str">
        <f t="shared" si="16"/>
        <v>Pemasangan J2 (Full Aksesoris)</v>
      </c>
      <c r="D74" s="2482">
        <v>4</v>
      </c>
      <c r="E74" s="2482"/>
      <c r="F74" s="2482"/>
      <c r="G74" s="2482"/>
      <c r="H74" s="2482">
        <f t="shared" si="20"/>
        <v>4</v>
      </c>
      <c r="I74" s="1914">
        <f t="shared" si="17"/>
        <v>0</v>
      </c>
      <c r="J74" s="1914">
        <f t="shared" si="18"/>
        <v>0</v>
      </c>
      <c r="K74" s="1578"/>
      <c r="L74" s="1578"/>
      <c r="M74" s="1406"/>
      <c r="N74" s="2484">
        <f t="shared" si="21"/>
        <v>0</v>
      </c>
      <c r="O74" s="2484">
        <f t="shared" si="21"/>
        <v>0</v>
      </c>
      <c r="P74" s="2484">
        <f t="shared" si="21"/>
        <v>24</v>
      </c>
      <c r="Q74" s="2484">
        <f t="shared" si="21"/>
        <v>0</v>
      </c>
      <c r="R74" s="2484">
        <f t="shared" si="21"/>
        <v>48</v>
      </c>
      <c r="S74" s="2484">
        <f t="shared" si="21"/>
        <v>0</v>
      </c>
      <c r="T74" s="2484">
        <f t="shared" si="21"/>
        <v>0</v>
      </c>
      <c r="U74" s="2484">
        <f t="shared" si="21"/>
        <v>0</v>
      </c>
      <c r="V74" s="2484">
        <f t="shared" si="21"/>
        <v>0</v>
      </c>
      <c r="W74" s="2484">
        <f t="shared" si="21"/>
        <v>0</v>
      </c>
      <c r="X74" s="2484">
        <f t="shared" si="21"/>
        <v>0</v>
      </c>
      <c r="Y74" s="2484">
        <f t="shared" si="21"/>
        <v>0</v>
      </c>
      <c r="Z74" s="2484">
        <f t="shared" si="21"/>
        <v>0</v>
      </c>
      <c r="AA74" s="1406"/>
      <c r="AB74" s="1406"/>
      <c r="AC74" s="1406"/>
      <c r="AD74" s="1406"/>
      <c r="AE74" s="1406"/>
      <c r="AF74" s="1406"/>
      <c r="AG74" s="1406"/>
      <c r="AH74" s="1406"/>
      <c r="AI74" s="1406"/>
      <c r="AJ74" s="1406"/>
      <c r="AK74" s="1406"/>
      <c r="AL74" s="1406"/>
      <c r="AM74" s="1406"/>
    </row>
    <row r="75" spans="1:39" s="1914" customFormat="1">
      <c r="A75" s="2469">
        <f t="shared" si="22"/>
        <v>14</v>
      </c>
      <c r="B75" s="2485" t="str">
        <f t="shared" si="16"/>
        <v>Pemasangan J3 (Full Aksesoris)</v>
      </c>
      <c r="D75" s="2469">
        <v>1</v>
      </c>
      <c r="E75" s="2469"/>
      <c r="F75" s="2469"/>
      <c r="G75" s="2469"/>
      <c r="H75" s="2482">
        <f t="shared" si="20"/>
        <v>1</v>
      </c>
      <c r="I75" s="1914">
        <f t="shared" si="17"/>
        <v>0</v>
      </c>
      <c r="J75" s="1914">
        <f t="shared" si="18"/>
        <v>0</v>
      </c>
      <c r="K75" s="1578"/>
      <c r="L75" s="1578"/>
      <c r="M75" s="1406"/>
      <c r="N75" s="2484">
        <f t="shared" si="21"/>
        <v>0</v>
      </c>
      <c r="O75" s="2484">
        <f t="shared" si="21"/>
        <v>0</v>
      </c>
      <c r="P75" s="2484">
        <f t="shared" si="21"/>
        <v>4</v>
      </c>
      <c r="Q75" s="2484">
        <f t="shared" si="21"/>
        <v>0</v>
      </c>
      <c r="R75" s="2484">
        <f t="shared" si="21"/>
        <v>8</v>
      </c>
      <c r="S75" s="2484">
        <f t="shared" si="21"/>
        <v>0</v>
      </c>
      <c r="T75" s="2484">
        <f t="shared" si="21"/>
        <v>0</v>
      </c>
      <c r="U75" s="2484">
        <f t="shared" si="21"/>
        <v>0</v>
      </c>
      <c r="V75" s="2484">
        <f t="shared" si="21"/>
        <v>0</v>
      </c>
      <c r="W75" s="2484">
        <f t="shared" si="21"/>
        <v>0</v>
      </c>
      <c r="X75" s="2484">
        <f t="shared" si="21"/>
        <v>0</v>
      </c>
      <c r="Y75" s="2484">
        <f t="shared" si="21"/>
        <v>0</v>
      </c>
      <c r="Z75" s="2484">
        <f t="shared" si="21"/>
        <v>0</v>
      </c>
      <c r="AA75" s="1406"/>
      <c r="AB75" s="1406"/>
      <c r="AC75" s="1406"/>
      <c r="AD75" s="1406"/>
      <c r="AE75" s="1406"/>
      <c r="AF75" s="1406"/>
      <c r="AG75" s="1406"/>
      <c r="AH75" s="1406"/>
      <c r="AI75" s="1406"/>
      <c r="AJ75" s="1406"/>
      <c r="AK75" s="1406"/>
      <c r="AL75" s="1406"/>
      <c r="AM75" s="1406"/>
    </row>
    <row r="76" spans="1:39" s="1914" customFormat="1">
      <c r="A76" s="2482">
        <f t="shared" si="22"/>
        <v>15</v>
      </c>
      <c r="B76" s="2483" t="str">
        <f t="shared" si="16"/>
        <v>Pemasangan J4 (Full Aksesoris)</v>
      </c>
      <c r="D76" s="2482">
        <v>3</v>
      </c>
      <c r="E76" s="2482"/>
      <c r="F76" s="2482"/>
      <c r="G76" s="2482"/>
      <c r="H76" s="2482">
        <f t="shared" si="20"/>
        <v>3</v>
      </c>
      <c r="I76" s="1914">
        <f t="shared" si="17"/>
        <v>0</v>
      </c>
      <c r="J76" s="1914">
        <f t="shared" si="18"/>
        <v>0</v>
      </c>
      <c r="K76" s="1578"/>
      <c r="L76" s="1578"/>
      <c r="M76" s="1406"/>
      <c r="N76" s="2484">
        <f t="shared" si="21"/>
        <v>0</v>
      </c>
      <c r="O76" s="2484">
        <f t="shared" si="21"/>
        <v>0</v>
      </c>
      <c r="P76" s="2484">
        <f t="shared" si="21"/>
        <v>6</v>
      </c>
      <c r="Q76" s="2484">
        <f t="shared" si="21"/>
        <v>0</v>
      </c>
      <c r="R76" s="2484">
        <f t="shared" si="21"/>
        <v>12</v>
      </c>
      <c r="S76" s="2484">
        <f t="shared" si="21"/>
        <v>0</v>
      </c>
      <c r="T76" s="2484">
        <f t="shared" si="21"/>
        <v>0</v>
      </c>
      <c r="U76" s="2484">
        <f t="shared" si="21"/>
        <v>0</v>
      </c>
      <c r="V76" s="2484">
        <f t="shared" si="21"/>
        <v>0</v>
      </c>
      <c r="W76" s="2484">
        <f t="shared" si="21"/>
        <v>0</v>
      </c>
      <c r="X76" s="2484">
        <f t="shared" si="21"/>
        <v>0</v>
      </c>
      <c r="Y76" s="2484">
        <f t="shared" si="21"/>
        <v>0</v>
      </c>
      <c r="Z76" s="2484">
        <f t="shared" si="21"/>
        <v>0</v>
      </c>
      <c r="AA76" s="1406"/>
      <c r="AB76" s="1406"/>
      <c r="AC76" s="1406"/>
      <c r="AD76" s="1406"/>
      <c r="AE76" s="1406"/>
      <c r="AF76" s="1406"/>
      <c r="AG76" s="1406"/>
      <c r="AH76" s="1406"/>
      <c r="AI76" s="1406"/>
      <c r="AJ76" s="1406"/>
      <c r="AK76" s="1406"/>
      <c r="AL76" s="1406"/>
      <c r="AM76" s="1406"/>
    </row>
    <row r="77" spans="1:39" s="1914" customFormat="1">
      <c r="A77" s="2469">
        <f t="shared" si="22"/>
        <v>16</v>
      </c>
      <c r="B77" s="2485" t="str">
        <f t="shared" si="16"/>
        <v>Pemasangan J5 (Full Aksesoris)</v>
      </c>
      <c r="D77" s="2469"/>
      <c r="E77" s="2469"/>
      <c r="F77" s="2469"/>
      <c r="G77" s="2469"/>
      <c r="H77" s="2482">
        <f t="shared" si="20"/>
        <v>0</v>
      </c>
      <c r="I77" s="1914">
        <f t="shared" si="17"/>
        <v>0</v>
      </c>
      <c r="J77" s="1914">
        <f t="shared" si="18"/>
        <v>0</v>
      </c>
      <c r="K77" s="1578"/>
      <c r="L77" s="1578"/>
      <c r="M77" s="1406"/>
      <c r="N77" s="2484">
        <f t="shared" si="21"/>
        <v>0</v>
      </c>
      <c r="O77" s="2484">
        <f t="shared" si="21"/>
        <v>0</v>
      </c>
      <c r="P77" s="2484">
        <f t="shared" si="21"/>
        <v>0</v>
      </c>
      <c r="Q77" s="2484">
        <f t="shared" si="21"/>
        <v>0</v>
      </c>
      <c r="R77" s="2484">
        <f t="shared" si="21"/>
        <v>0</v>
      </c>
      <c r="S77" s="2484">
        <f t="shared" si="21"/>
        <v>0</v>
      </c>
      <c r="T77" s="2484">
        <f t="shared" si="21"/>
        <v>0</v>
      </c>
      <c r="U77" s="2484">
        <f t="shared" si="21"/>
        <v>0</v>
      </c>
      <c r="V77" s="2484">
        <f t="shared" si="21"/>
        <v>0</v>
      </c>
      <c r="W77" s="2484">
        <f t="shared" si="21"/>
        <v>0</v>
      </c>
      <c r="X77" s="2484">
        <f t="shared" si="21"/>
        <v>0</v>
      </c>
      <c r="Y77" s="2484">
        <f t="shared" si="21"/>
        <v>0</v>
      </c>
      <c r="Z77" s="2484">
        <f t="shared" si="21"/>
        <v>0</v>
      </c>
      <c r="AA77" s="1406"/>
      <c r="AB77" s="1406"/>
      <c r="AC77" s="1406"/>
      <c r="AD77" s="1406"/>
      <c r="AE77" s="1406"/>
      <c r="AF77" s="1406"/>
      <c r="AG77" s="1406"/>
      <c r="AH77" s="1406"/>
      <c r="AI77" s="1406"/>
      <c r="AJ77" s="1406"/>
      <c r="AK77" s="1406"/>
      <c r="AL77" s="1406"/>
      <c r="AM77" s="1406"/>
    </row>
    <row r="78" spans="1:39" s="1914" customFormat="1">
      <c r="A78" s="2482">
        <f t="shared" si="22"/>
        <v>17</v>
      </c>
      <c r="B78" s="2483" t="str">
        <f t="shared" si="16"/>
        <v>Pemasangan J6 (Full Aksesoris)</v>
      </c>
      <c r="D78" s="2482"/>
      <c r="E78" s="2482"/>
      <c r="F78" s="2482"/>
      <c r="G78" s="2482"/>
      <c r="H78" s="2482">
        <f t="shared" si="20"/>
        <v>0</v>
      </c>
      <c r="I78" s="1914">
        <f t="shared" si="17"/>
        <v>0</v>
      </c>
      <c r="J78" s="1914">
        <f t="shared" si="18"/>
        <v>0</v>
      </c>
      <c r="K78" s="1578"/>
      <c r="L78" s="1578"/>
      <c r="M78" s="1406"/>
      <c r="N78" s="2484">
        <f t="shared" si="21"/>
        <v>0</v>
      </c>
      <c r="O78" s="2484">
        <f t="shared" si="21"/>
        <v>0</v>
      </c>
      <c r="P78" s="2484">
        <f t="shared" si="21"/>
        <v>0</v>
      </c>
      <c r="Q78" s="2484">
        <f t="shared" si="21"/>
        <v>0</v>
      </c>
      <c r="R78" s="2484">
        <f t="shared" si="21"/>
        <v>0</v>
      </c>
      <c r="S78" s="2484">
        <f t="shared" si="21"/>
        <v>0</v>
      </c>
      <c r="T78" s="2484">
        <f t="shared" si="21"/>
        <v>0</v>
      </c>
      <c r="U78" s="2484">
        <f t="shared" si="21"/>
        <v>0</v>
      </c>
      <c r="V78" s="2484">
        <f t="shared" si="21"/>
        <v>0</v>
      </c>
      <c r="W78" s="2484">
        <f t="shared" si="21"/>
        <v>0</v>
      </c>
      <c r="X78" s="2484">
        <f t="shared" si="21"/>
        <v>0</v>
      </c>
      <c r="Y78" s="2484">
        <f t="shared" si="21"/>
        <v>0</v>
      </c>
      <c r="Z78" s="2484">
        <f t="shared" si="21"/>
        <v>0</v>
      </c>
      <c r="AA78" s="1406"/>
      <c r="AB78" s="1406"/>
      <c r="AC78" s="1406"/>
      <c r="AD78" s="1406"/>
      <c r="AE78" s="1406"/>
      <c r="AF78" s="1406"/>
      <c r="AG78" s="1406"/>
      <c r="AH78" s="1406"/>
      <c r="AI78" s="1406"/>
      <c r="AJ78" s="1406"/>
      <c r="AK78" s="1406"/>
      <c r="AL78" s="1406"/>
      <c r="AM78" s="1406"/>
    </row>
    <row r="79" spans="1:39" s="1914" customFormat="1">
      <c r="A79" s="2469">
        <f t="shared" si="22"/>
        <v>18</v>
      </c>
      <c r="B79" s="2485" t="str">
        <f t="shared" si="16"/>
        <v>Pemasangan J7 (Full Aksesoris)</v>
      </c>
      <c r="D79" s="2469"/>
      <c r="E79" s="2469"/>
      <c r="F79" s="2469"/>
      <c r="G79" s="2469"/>
      <c r="H79" s="2482">
        <f t="shared" si="20"/>
        <v>0</v>
      </c>
      <c r="I79" s="1914">
        <f t="shared" si="17"/>
        <v>0</v>
      </c>
      <c r="J79" s="1914">
        <f t="shared" si="18"/>
        <v>0</v>
      </c>
      <c r="K79" s="1578"/>
      <c r="L79" s="1578"/>
      <c r="M79" s="1406"/>
      <c r="N79" s="2484">
        <f t="shared" ref="N79:Z90" si="23">$H79*N46</f>
        <v>0</v>
      </c>
      <c r="O79" s="2484">
        <f t="shared" si="23"/>
        <v>0</v>
      </c>
      <c r="P79" s="2484">
        <f t="shared" si="23"/>
        <v>0</v>
      </c>
      <c r="Q79" s="2484">
        <f t="shared" si="23"/>
        <v>0</v>
      </c>
      <c r="R79" s="2484">
        <f t="shared" si="23"/>
        <v>0</v>
      </c>
      <c r="S79" s="2484">
        <f t="shared" si="23"/>
        <v>0</v>
      </c>
      <c r="T79" s="2484">
        <f t="shared" si="23"/>
        <v>0</v>
      </c>
      <c r="U79" s="2484">
        <f t="shared" si="23"/>
        <v>0</v>
      </c>
      <c r="V79" s="2484">
        <f t="shared" si="23"/>
        <v>0</v>
      </c>
      <c r="W79" s="2484">
        <f t="shared" si="23"/>
        <v>0</v>
      </c>
      <c r="X79" s="2484">
        <f t="shared" si="23"/>
        <v>0</v>
      </c>
      <c r="Y79" s="2484">
        <f t="shared" si="23"/>
        <v>0</v>
      </c>
      <c r="Z79" s="2484">
        <f t="shared" si="23"/>
        <v>0</v>
      </c>
      <c r="AA79" s="1406"/>
      <c r="AB79" s="1406"/>
      <c r="AC79" s="1406"/>
      <c r="AD79" s="1406"/>
      <c r="AE79" s="1406"/>
      <c r="AF79" s="1406"/>
      <c r="AG79" s="1406"/>
      <c r="AH79" s="1406"/>
      <c r="AI79" s="1406"/>
      <c r="AJ79" s="1406"/>
      <c r="AK79" s="1406"/>
      <c r="AL79" s="1406"/>
      <c r="AM79" s="1406"/>
    </row>
    <row r="80" spans="1:39" s="1914" customFormat="1">
      <c r="A80" s="2482">
        <f t="shared" si="22"/>
        <v>19</v>
      </c>
      <c r="B80" s="2483" t="str">
        <f t="shared" si="16"/>
        <v>Pemasangan J8 (Full Aksesoris)</v>
      </c>
      <c r="D80" s="2482"/>
      <c r="E80" s="2482"/>
      <c r="F80" s="2482"/>
      <c r="G80" s="2482"/>
      <c r="H80" s="2482">
        <f t="shared" si="20"/>
        <v>0</v>
      </c>
      <c r="I80" s="1914">
        <f t="shared" si="17"/>
        <v>0</v>
      </c>
      <c r="J80" s="1914">
        <f t="shared" si="18"/>
        <v>0</v>
      </c>
      <c r="K80" s="1578"/>
      <c r="L80" s="1578"/>
      <c r="M80" s="1406"/>
      <c r="N80" s="2484">
        <f t="shared" si="23"/>
        <v>0</v>
      </c>
      <c r="O80" s="2484">
        <f t="shared" si="23"/>
        <v>0</v>
      </c>
      <c r="P80" s="2484">
        <f t="shared" si="23"/>
        <v>0</v>
      </c>
      <c r="Q80" s="2484">
        <f t="shared" si="23"/>
        <v>0</v>
      </c>
      <c r="R80" s="2484">
        <f t="shared" si="23"/>
        <v>0</v>
      </c>
      <c r="S80" s="2484">
        <f t="shared" si="23"/>
        <v>0</v>
      </c>
      <c r="T80" s="2484">
        <f t="shared" si="23"/>
        <v>0</v>
      </c>
      <c r="U80" s="2484">
        <f t="shared" si="23"/>
        <v>0</v>
      </c>
      <c r="V80" s="2484">
        <f t="shared" si="23"/>
        <v>0</v>
      </c>
      <c r="W80" s="2484">
        <f t="shared" si="23"/>
        <v>0</v>
      </c>
      <c r="X80" s="2484">
        <f t="shared" si="23"/>
        <v>0</v>
      </c>
      <c r="Y80" s="2484">
        <f t="shared" si="23"/>
        <v>0</v>
      </c>
      <c r="Z80" s="2484">
        <f t="shared" si="23"/>
        <v>0</v>
      </c>
      <c r="AA80" s="1406"/>
      <c r="AB80" s="1406"/>
      <c r="AC80" s="1406"/>
      <c r="AD80" s="1406"/>
      <c r="AE80" s="1406"/>
      <c r="AF80" s="1406"/>
      <c r="AG80" s="1406"/>
      <c r="AH80" s="1406"/>
      <c r="AI80" s="1406"/>
      <c r="AJ80" s="1406"/>
      <c r="AK80" s="1406"/>
      <c r="AL80" s="1406"/>
      <c r="AM80" s="1406"/>
    </row>
    <row r="81" spans="1:39" s="1914" customFormat="1">
      <c r="A81" s="2469">
        <f t="shared" si="22"/>
        <v>20</v>
      </c>
      <c r="B81" s="2485" t="str">
        <f t="shared" si="16"/>
        <v>Pemasangan BV1 (Full Aksesoris)</v>
      </c>
      <c r="D81" s="2469">
        <v>4</v>
      </c>
      <c r="E81" s="2469"/>
      <c r="F81" s="2469"/>
      <c r="G81" s="2469"/>
      <c r="H81" s="2482">
        <f t="shared" si="20"/>
        <v>4</v>
      </c>
      <c r="I81" s="1914">
        <f t="shared" si="17"/>
        <v>0</v>
      </c>
      <c r="J81" s="1914">
        <f t="shared" si="18"/>
        <v>0</v>
      </c>
      <c r="K81" s="1578"/>
      <c r="L81" s="1578"/>
      <c r="M81" s="1406"/>
      <c r="N81" s="2484">
        <f t="shared" si="23"/>
        <v>0</v>
      </c>
      <c r="O81" s="2484">
        <f t="shared" si="23"/>
        <v>0</v>
      </c>
      <c r="P81" s="2484">
        <f t="shared" si="23"/>
        <v>4</v>
      </c>
      <c r="Q81" s="2484">
        <f t="shared" si="23"/>
        <v>0</v>
      </c>
      <c r="R81" s="2484">
        <f t="shared" si="23"/>
        <v>8</v>
      </c>
      <c r="S81" s="2484">
        <f t="shared" si="23"/>
        <v>0</v>
      </c>
      <c r="T81" s="2484">
        <f t="shared" si="23"/>
        <v>0</v>
      </c>
      <c r="U81" s="2484">
        <f t="shared" si="23"/>
        <v>0</v>
      </c>
      <c r="V81" s="2484">
        <f t="shared" si="23"/>
        <v>0</v>
      </c>
      <c r="W81" s="2484">
        <f t="shared" si="23"/>
        <v>0</v>
      </c>
      <c r="X81" s="2484">
        <f t="shared" si="23"/>
        <v>0</v>
      </c>
      <c r="Y81" s="2484">
        <f t="shared" si="23"/>
        <v>0</v>
      </c>
      <c r="Z81" s="2484">
        <f t="shared" si="23"/>
        <v>0</v>
      </c>
      <c r="AA81" s="1406"/>
      <c r="AB81" s="1406"/>
      <c r="AC81" s="1406"/>
      <c r="AD81" s="1406"/>
      <c r="AE81" s="1406"/>
      <c r="AF81" s="1406"/>
      <c r="AG81" s="1406"/>
      <c r="AH81" s="1406"/>
      <c r="AI81" s="1406"/>
      <c r="AJ81" s="1406"/>
      <c r="AK81" s="1406"/>
      <c r="AL81" s="1406"/>
      <c r="AM81" s="1406"/>
    </row>
    <row r="82" spans="1:39" s="1914" customFormat="1">
      <c r="A82" s="2482">
        <f t="shared" si="22"/>
        <v>21</v>
      </c>
      <c r="B82" s="2483" t="str">
        <f t="shared" si="16"/>
        <v>Pemasangan BV2 (Full Aksesoris)</v>
      </c>
      <c r="D82" s="2482">
        <v>2</v>
      </c>
      <c r="E82" s="2482"/>
      <c r="F82" s="2482"/>
      <c r="G82" s="2482"/>
      <c r="H82" s="2482">
        <f t="shared" si="20"/>
        <v>2</v>
      </c>
      <c r="I82" s="1914">
        <f t="shared" si="17"/>
        <v>0</v>
      </c>
      <c r="J82" s="1914">
        <f t="shared" si="18"/>
        <v>0</v>
      </c>
      <c r="K82" s="1578"/>
      <c r="L82" s="1578"/>
      <c r="M82" s="1406"/>
      <c r="N82" s="2484">
        <f t="shared" si="23"/>
        <v>0</v>
      </c>
      <c r="O82" s="2484">
        <f t="shared" si="23"/>
        <v>0</v>
      </c>
      <c r="P82" s="2484">
        <f t="shared" si="23"/>
        <v>4</v>
      </c>
      <c r="Q82" s="2484">
        <f t="shared" si="23"/>
        <v>0</v>
      </c>
      <c r="R82" s="2484">
        <f t="shared" si="23"/>
        <v>8</v>
      </c>
      <c r="S82" s="2484">
        <f t="shared" si="23"/>
        <v>0</v>
      </c>
      <c r="T82" s="2484">
        <f t="shared" si="23"/>
        <v>0</v>
      </c>
      <c r="U82" s="2484">
        <f t="shared" si="23"/>
        <v>0</v>
      </c>
      <c r="V82" s="2484">
        <f t="shared" si="23"/>
        <v>0</v>
      </c>
      <c r="W82" s="2484">
        <f t="shared" si="23"/>
        <v>0</v>
      </c>
      <c r="X82" s="2484">
        <f t="shared" si="23"/>
        <v>0</v>
      </c>
      <c r="Y82" s="2484">
        <f t="shared" si="23"/>
        <v>0</v>
      </c>
      <c r="Z82" s="2484">
        <f t="shared" si="23"/>
        <v>0</v>
      </c>
      <c r="AA82" s="1406"/>
      <c r="AB82" s="1406"/>
      <c r="AC82" s="1406"/>
      <c r="AD82" s="1406"/>
      <c r="AE82" s="1406"/>
      <c r="AF82" s="1406"/>
      <c r="AG82" s="1406"/>
      <c r="AH82" s="1406"/>
      <c r="AI82" s="1406"/>
      <c r="AJ82" s="1406"/>
      <c r="AK82" s="1406"/>
      <c r="AL82" s="1406"/>
      <c r="AM82" s="1406"/>
    </row>
    <row r="83" spans="1:39" s="1914" customFormat="1">
      <c r="A83" s="2469">
        <f t="shared" si="22"/>
        <v>22</v>
      </c>
      <c r="B83" s="2485" t="str">
        <f t="shared" si="16"/>
        <v>Pemasangan  (Full Aksesoris)</v>
      </c>
      <c r="D83" s="2469"/>
      <c r="E83" s="2469"/>
      <c r="F83" s="2469"/>
      <c r="G83" s="2469"/>
      <c r="H83" s="2482">
        <f t="shared" si="20"/>
        <v>0</v>
      </c>
      <c r="I83" s="1914">
        <f t="shared" si="17"/>
        <v>0</v>
      </c>
      <c r="J83" s="1914">
        <f t="shared" si="18"/>
        <v>0</v>
      </c>
      <c r="K83" s="1578"/>
      <c r="L83" s="1578"/>
      <c r="M83" s="1406"/>
      <c r="N83" s="2484">
        <f t="shared" si="23"/>
        <v>0</v>
      </c>
      <c r="O83" s="2484">
        <f t="shared" si="23"/>
        <v>0</v>
      </c>
      <c r="P83" s="2484">
        <f t="shared" si="23"/>
        <v>0</v>
      </c>
      <c r="Q83" s="2484">
        <f t="shared" si="23"/>
        <v>0</v>
      </c>
      <c r="R83" s="2484">
        <f t="shared" si="23"/>
        <v>0</v>
      </c>
      <c r="S83" s="2484">
        <f t="shared" si="23"/>
        <v>0</v>
      </c>
      <c r="T83" s="2484">
        <f t="shared" si="23"/>
        <v>0</v>
      </c>
      <c r="U83" s="2484">
        <f t="shared" si="23"/>
        <v>0</v>
      </c>
      <c r="V83" s="2484">
        <f t="shared" si="23"/>
        <v>0</v>
      </c>
      <c r="W83" s="2484">
        <f t="shared" si="23"/>
        <v>0</v>
      </c>
      <c r="X83" s="2484">
        <f t="shared" si="23"/>
        <v>0</v>
      </c>
      <c r="Y83" s="2484">
        <f t="shared" si="23"/>
        <v>0</v>
      </c>
      <c r="Z83" s="2484">
        <f t="shared" si="23"/>
        <v>0</v>
      </c>
      <c r="AA83" s="1406"/>
      <c r="AB83" s="1406"/>
      <c r="AC83" s="1406"/>
      <c r="AD83" s="1406"/>
      <c r="AE83" s="1406"/>
      <c r="AF83" s="1406"/>
      <c r="AG83" s="1406"/>
      <c r="AH83" s="1406"/>
      <c r="AI83" s="1406"/>
      <c r="AJ83" s="1406"/>
      <c r="AK83" s="1406"/>
      <c r="AL83" s="1406"/>
      <c r="AM83" s="1406"/>
    </row>
    <row r="84" spans="1:39" s="1914" customFormat="1">
      <c r="A84" s="2482">
        <f t="shared" si="22"/>
        <v>23</v>
      </c>
      <c r="B84" s="2483" t="str">
        <f t="shared" si="16"/>
        <v>Pemasangan  (Full Aksesoris)</v>
      </c>
      <c r="D84" s="2482"/>
      <c r="E84" s="2482"/>
      <c r="F84" s="2482"/>
      <c r="G84" s="2482"/>
      <c r="H84" s="2482">
        <f t="shared" si="20"/>
        <v>0</v>
      </c>
      <c r="I84" s="1914">
        <f t="shared" si="17"/>
        <v>0</v>
      </c>
      <c r="J84" s="1914">
        <f t="shared" si="18"/>
        <v>0</v>
      </c>
      <c r="K84" s="1578"/>
      <c r="L84" s="1578"/>
      <c r="M84" s="1406"/>
      <c r="N84" s="2484">
        <f t="shared" si="23"/>
        <v>0</v>
      </c>
      <c r="O84" s="2484">
        <f t="shared" si="23"/>
        <v>0</v>
      </c>
      <c r="P84" s="2484">
        <f t="shared" si="23"/>
        <v>0</v>
      </c>
      <c r="Q84" s="2484">
        <f t="shared" si="23"/>
        <v>0</v>
      </c>
      <c r="R84" s="2484">
        <f t="shared" si="23"/>
        <v>0</v>
      </c>
      <c r="S84" s="2484">
        <f t="shared" si="23"/>
        <v>0</v>
      </c>
      <c r="T84" s="2484">
        <f t="shared" si="23"/>
        <v>0</v>
      </c>
      <c r="U84" s="2484">
        <f t="shared" si="23"/>
        <v>0</v>
      </c>
      <c r="V84" s="2484">
        <f t="shared" si="23"/>
        <v>0</v>
      </c>
      <c r="W84" s="2484">
        <f t="shared" si="23"/>
        <v>0</v>
      </c>
      <c r="X84" s="2484">
        <f t="shared" si="23"/>
        <v>0</v>
      </c>
      <c r="Y84" s="2484">
        <f t="shared" si="23"/>
        <v>0</v>
      </c>
      <c r="Z84" s="2484">
        <f t="shared" si="23"/>
        <v>0</v>
      </c>
      <c r="AA84" s="1406"/>
      <c r="AB84" s="1406"/>
      <c r="AC84" s="1406"/>
      <c r="AD84" s="1406"/>
      <c r="AE84" s="1406"/>
      <c r="AF84" s="1406"/>
      <c r="AG84" s="1406"/>
      <c r="AH84" s="1406"/>
      <c r="AI84" s="1406"/>
      <c r="AJ84" s="1406"/>
      <c r="AK84" s="1406"/>
      <c r="AL84" s="1406"/>
      <c r="AM84" s="1406"/>
    </row>
    <row r="85" spans="1:39" s="1914" customFormat="1">
      <c r="A85" s="2469">
        <f t="shared" si="22"/>
        <v>24</v>
      </c>
      <c r="B85" s="2485" t="str">
        <f t="shared" si="16"/>
        <v>Pemasangan  (Full Aksesoris)</v>
      </c>
      <c r="D85" s="2469"/>
      <c r="E85" s="2469"/>
      <c r="F85" s="2469"/>
      <c r="G85" s="2469"/>
      <c r="H85" s="2482">
        <f t="shared" si="20"/>
        <v>0</v>
      </c>
      <c r="I85" s="1914">
        <f t="shared" si="17"/>
        <v>0</v>
      </c>
      <c r="J85" s="1914">
        <f t="shared" si="18"/>
        <v>0</v>
      </c>
      <c r="K85" s="1578"/>
      <c r="L85" s="1578"/>
      <c r="M85" s="1406"/>
      <c r="N85" s="2484">
        <f t="shared" si="23"/>
        <v>0</v>
      </c>
      <c r="O85" s="2484">
        <f t="shared" si="23"/>
        <v>0</v>
      </c>
      <c r="P85" s="2484">
        <f t="shared" si="23"/>
        <v>0</v>
      </c>
      <c r="Q85" s="2484">
        <f t="shared" si="23"/>
        <v>0</v>
      </c>
      <c r="R85" s="2484">
        <f t="shared" si="23"/>
        <v>0</v>
      </c>
      <c r="S85" s="2484">
        <f t="shared" si="23"/>
        <v>0</v>
      </c>
      <c r="T85" s="2484">
        <f t="shared" si="23"/>
        <v>0</v>
      </c>
      <c r="U85" s="2484">
        <f t="shared" si="23"/>
        <v>0</v>
      </c>
      <c r="V85" s="2484">
        <f t="shared" si="23"/>
        <v>0</v>
      </c>
      <c r="W85" s="2484">
        <f t="shared" si="23"/>
        <v>0</v>
      </c>
      <c r="X85" s="2484">
        <f t="shared" si="23"/>
        <v>0</v>
      </c>
      <c r="Y85" s="2484">
        <f t="shared" si="23"/>
        <v>0</v>
      </c>
      <c r="Z85" s="2484">
        <f t="shared" si="23"/>
        <v>0</v>
      </c>
      <c r="AA85" s="1406"/>
      <c r="AB85" s="1406"/>
      <c r="AC85" s="1406"/>
      <c r="AD85" s="1406"/>
      <c r="AE85" s="1406"/>
      <c r="AF85" s="1406"/>
      <c r="AG85" s="1406"/>
      <c r="AH85" s="1406"/>
      <c r="AI85" s="1406"/>
      <c r="AJ85" s="1406"/>
      <c r="AK85" s="1406"/>
      <c r="AL85" s="1406"/>
      <c r="AM85" s="1406"/>
    </row>
    <row r="86" spans="1:39" s="1914" customFormat="1">
      <c r="A86" s="2482">
        <f t="shared" si="22"/>
        <v>25</v>
      </c>
      <c r="B86" s="2483" t="str">
        <f t="shared" si="16"/>
        <v>Pemasangan  (Full Aksesoris)</v>
      </c>
      <c r="D86" s="2482"/>
      <c r="E86" s="2482"/>
      <c r="F86" s="2482"/>
      <c r="G86" s="2482"/>
      <c r="H86" s="2482">
        <f t="shared" si="20"/>
        <v>0</v>
      </c>
      <c r="I86" s="1914">
        <f t="shared" si="17"/>
        <v>0</v>
      </c>
      <c r="J86" s="1914">
        <f t="shared" si="18"/>
        <v>0</v>
      </c>
      <c r="K86" s="1578"/>
      <c r="L86" s="1578"/>
      <c r="M86" s="1406"/>
      <c r="N86" s="2484">
        <f t="shared" si="23"/>
        <v>0</v>
      </c>
      <c r="O86" s="2484">
        <f t="shared" si="23"/>
        <v>0</v>
      </c>
      <c r="P86" s="2484">
        <f t="shared" si="23"/>
        <v>0</v>
      </c>
      <c r="Q86" s="2484">
        <f t="shared" si="23"/>
        <v>0</v>
      </c>
      <c r="R86" s="2484">
        <f t="shared" si="23"/>
        <v>0</v>
      </c>
      <c r="S86" s="2484">
        <f t="shared" si="23"/>
        <v>0</v>
      </c>
      <c r="T86" s="2484">
        <f t="shared" si="23"/>
        <v>0</v>
      </c>
      <c r="U86" s="2484">
        <f t="shared" si="23"/>
        <v>0</v>
      </c>
      <c r="V86" s="2484">
        <f t="shared" si="23"/>
        <v>0</v>
      </c>
      <c r="W86" s="2484">
        <f t="shared" si="23"/>
        <v>0</v>
      </c>
      <c r="X86" s="2484">
        <f t="shared" si="23"/>
        <v>0</v>
      </c>
      <c r="Y86" s="2484">
        <f t="shared" si="23"/>
        <v>0</v>
      </c>
      <c r="Z86" s="2484">
        <f t="shared" si="23"/>
        <v>0</v>
      </c>
      <c r="AA86" s="1406"/>
      <c r="AB86" s="1406"/>
      <c r="AC86" s="1406"/>
      <c r="AD86" s="1406"/>
      <c r="AE86" s="1406"/>
      <c r="AF86" s="1406"/>
      <c r="AG86" s="1406"/>
      <c r="AH86" s="1406"/>
      <c r="AI86" s="1406"/>
      <c r="AJ86" s="1406"/>
      <c r="AK86" s="1406"/>
      <c r="AL86" s="1406"/>
      <c r="AM86" s="1406"/>
    </row>
    <row r="87" spans="1:39" s="1914" customFormat="1">
      <c r="A87" s="2469">
        <f t="shared" si="22"/>
        <v>26</v>
      </c>
      <c r="B87" s="2485" t="str">
        <f t="shared" si="16"/>
        <v>Pemasangan  (Full Aksesoris)</v>
      </c>
      <c r="D87" s="2469"/>
      <c r="E87" s="2469"/>
      <c r="F87" s="2469"/>
      <c r="G87" s="2469"/>
      <c r="H87" s="2482">
        <f t="shared" si="20"/>
        <v>0</v>
      </c>
      <c r="I87" s="1914">
        <f t="shared" si="17"/>
        <v>0</v>
      </c>
      <c r="J87" s="1914">
        <f t="shared" si="18"/>
        <v>0</v>
      </c>
      <c r="K87" s="1578"/>
      <c r="L87" s="1578"/>
      <c r="M87" s="1406"/>
      <c r="N87" s="2484">
        <f t="shared" si="23"/>
        <v>0</v>
      </c>
      <c r="O87" s="2484">
        <f t="shared" si="23"/>
        <v>0</v>
      </c>
      <c r="P87" s="2484">
        <f t="shared" si="23"/>
        <v>0</v>
      </c>
      <c r="Q87" s="2484">
        <f t="shared" si="23"/>
        <v>0</v>
      </c>
      <c r="R87" s="2484">
        <f t="shared" si="23"/>
        <v>0</v>
      </c>
      <c r="S87" s="2484">
        <f t="shared" si="23"/>
        <v>0</v>
      </c>
      <c r="T87" s="2484">
        <f t="shared" si="23"/>
        <v>0</v>
      </c>
      <c r="U87" s="2484">
        <f t="shared" si="23"/>
        <v>0</v>
      </c>
      <c r="V87" s="2484">
        <f t="shared" si="23"/>
        <v>0</v>
      </c>
      <c r="W87" s="2484">
        <f t="shared" si="23"/>
        <v>0</v>
      </c>
      <c r="X87" s="2484">
        <f t="shared" si="23"/>
        <v>0</v>
      </c>
      <c r="Y87" s="2484">
        <f t="shared" si="23"/>
        <v>0</v>
      </c>
      <c r="Z87" s="2484">
        <f t="shared" si="23"/>
        <v>0</v>
      </c>
      <c r="AA87" s="1406"/>
      <c r="AB87" s="1406"/>
      <c r="AC87" s="1406"/>
      <c r="AD87" s="1406"/>
      <c r="AE87" s="1406"/>
      <c r="AF87" s="1406"/>
      <c r="AG87" s="1406"/>
      <c r="AH87" s="1406"/>
      <c r="AI87" s="1406"/>
      <c r="AJ87" s="1406"/>
      <c r="AK87" s="1406"/>
      <c r="AL87" s="1406"/>
      <c r="AM87" s="1406"/>
    </row>
    <row r="88" spans="1:39" s="1914" customFormat="1">
      <c r="A88" s="2482">
        <f t="shared" si="22"/>
        <v>27</v>
      </c>
      <c r="B88" s="2483" t="str">
        <f t="shared" si="16"/>
        <v>Pemasangan  (Full Aksesoris)</v>
      </c>
      <c r="D88" s="2482"/>
      <c r="E88" s="2482"/>
      <c r="F88" s="2482"/>
      <c r="G88" s="2482"/>
      <c r="H88" s="2482">
        <f t="shared" si="20"/>
        <v>0</v>
      </c>
      <c r="I88" s="1914">
        <f t="shared" si="17"/>
        <v>0</v>
      </c>
      <c r="J88" s="1914">
        <f t="shared" si="18"/>
        <v>0</v>
      </c>
      <c r="K88" s="1578"/>
      <c r="L88" s="1578"/>
      <c r="M88" s="1406"/>
      <c r="N88" s="2484">
        <f t="shared" si="23"/>
        <v>0</v>
      </c>
      <c r="O88" s="2484">
        <f t="shared" si="23"/>
        <v>0</v>
      </c>
      <c r="P88" s="2484">
        <f t="shared" si="23"/>
        <v>0</v>
      </c>
      <c r="Q88" s="2484">
        <f t="shared" si="23"/>
        <v>0</v>
      </c>
      <c r="R88" s="2484">
        <f t="shared" si="23"/>
        <v>0</v>
      </c>
      <c r="S88" s="2484">
        <f t="shared" si="23"/>
        <v>0</v>
      </c>
      <c r="T88" s="2484">
        <f t="shared" si="23"/>
        <v>0</v>
      </c>
      <c r="U88" s="2484">
        <f t="shared" si="23"/>
        <v>0</v>
      </c>
      <c r="V88" s="2484">
        <f t="shared" si="23"/>
        <v>0</v>
      </c>
      <c r="W88" s="2484">
        <f t="shared" si="23"/>
        <v>0</v>
      </c>
      <c r="X88" s="2484">
        <f t="shared" si="23"/>
        <v>0</v>
      </c>
      <c r="Y88" s="2484">
        <f t="shared" si="23"/>
        <v>0</v>
      </c>
      <c r="Z88" s="2484">
        <f t="shared" si="23"/>
        <v>0</v>
      </c>
      <c r="AA88" s="1406"/>
      <c r="AB88" s="1406"/>
      <c r="AC88" s="1406"/>
      <c r="AD88" s="1406"/>
      <c r="AE88" s="1406"/>
      <c r="AF88" s="1406"/>
      <c r="AG88" s="1406"/>
      <c r="AH88" s="1406"/>
      <c r="AI88" s="1406"/>
      <c r="AJ88" s="1406"/>
      <c r="AK88" s="1406"/>
      <c r="AL88" s="1406"/>
      <c r="AM88" s="1406"/>
    </row>
    <row r="89" spans="1:39" s="1914" customFormat="1">
      <c r="A89" s="2469">
        <f t="shared" si="22"/>
        <v>28</v>
      </c>
      <c r="B89" s="2485" t="str">
        <f t="shared" si="16"/>
        <v>Pemasangan  (Full Aksesoris)</v>
      </c>
      <c r="D89" s="2469"/>
      <c r="E89" s="2469"/>
      <c r="F89" s="2469"/>
      <c r="G89" s="2469"/>
      <c r="H89" s="2482">
        <f t="shared" si="20"/>
        <v>0</v>
      </c>
      <c r="I89" s="1914">
        <f t="shared" si="17"/>
        <v>0</v>
      </c>
      <c r="J89" s="1914">
        <f t="shared" si="18"/>
        <v>0</v>
      </c>
      <c r="K89" s="1578"/>
      <c r="L89" s="1578"/>
      <c r="M89" s="1406"/>
      <c r="N89" s="2484">
        <f t="shared" si="23"/>
        <v>0</v>
      </c>
      <c r="O89" s="2484">
        <f t="shared" si="23"/>
        <v>0</v>
      </c>
      <c r="P89" s="2484">
        <f t="shared" si="23"/>
        <v>0</v>
      </c>
      <c r="Q89" s="2484">
        <f t="shared" si="23"/>
        <v>0</v>
      </c>
      <c r="R89" s="2484">
        <f t="shared" si="23"/>
        <v>0</v>
      </c>
      <c r="S89" s="2484">
        <f t="shared" si="23"/>
        <v>0</v>
      </c>
      <c r="T89" s="2484">
        <f t="shared" si="23"/>
        <v>0</v>
      </c>
      <c r="U89" s="2484">
        <f t="shared" si="23"/>
        <v>0</v>
      </c>
      <c r="V89" s="2484">
        <f t="shared" si="23"/>
        <v>0</v>
      </c>
      <c r="W89" s="2484">
        <f t="shared" si="23"/>
        <v>0</v>
      </c>
      <c r="X89" s="2484">
        <f t="shared" si="23"/>
        <v>0</v>
      </c>
      <c r="Y89" s="2484">
        <f t="shared" si="23"/>
        <v>0</v>
      </c>
      <c r="Z89" s="2484">
        <f t="shared" si="23"/>
        <v>0</v>
      </c>
      <c r="AA89" s="1406"/>
      <c r="AB89" s="1406"/>
      <c r="AC89" s="1406"/>
      <c r="AD89" s="1406"/>
      <c r="AE89" s="1406"/>
      <c r="AF89" s="1406"/>
      <c r="AG89" s="1406"/>
      <c r="AH89" s="1406"/>
      <c r="AI89" s="1406"/>
      <c r="AJ89" s="1406"/>
      <c r="AK89" s="1406"/>
      <c r="AL89" s="1406"/>
      <c r="AM89" s="1406"/>
    </row>
    <row r="90" spans="1:39" s="1914" customFormat="1">
      <c r="A90" s="2482">
        <f t="shared" si="22"/>
        <v>29</v>
      </c>
      <c r="B90" s="2483" t="str">
        <f t="shared" si="16"/>
        <v>Pemasangan  (Full Aksesoris)</v>
      </c>
      <c r="D90" s="2482"/>
      <c r="E90" s="2482"/>
      <c r="F90" s="2482"/>
      <c r="G90" s="2482"/>
      <c r="H90" s="2482">
        <f t="shared" si="20"/>
        <v>0</v>
      </c>
      <c r="I90" s="1914">
        <f t="shared" si="17"/>
        <v>0</v>
      </c>
      <c r="J90" s="1914">
        <f t="shared" si="18"/>
        <v>0</v>
      </c>
      <c r="K90" s="1578"/>
      <c r="L90" s="1578"/>
      <c r="M90" s="1406"/>
      <c r="N90" s="2484">
        <f t="shared" si="23"/>
        <v>0</v>
      </c>
      <c r="O90" s="2484">
        <f t="shared" si="23"/>
        <v>0</v>
      </c>
      <c r="P90" s="2484">
        <f t="shared" si="23"/>
        <v>0</v>
      </c>
      <c r="Q90" s="2484">
        <f t="shared" si="23"/>
        <v>0</v>
      </c>
      <c r="R90" s="2484">
        <f t="shared" si="23"/>
        <v>0</v>
      </c>
      <c r="S90" s="2484">
        <f t="shared" si="23"/>
        <v>0</v>
      </c>
      <c r="T90" s="2484">
        <f t="shared" si="23"/>
        <v>0</v>
      </c>
      <c r="U90" s="2484">
        <f t="shared" si="23"/>
        <v>0</v>
      </c>
      <c r="V90" s="2484">
        <f t="shared" si="23"/>
        <v>0</v>
      </c>
      <c r="W90" s="2484">
        <f t="shared" si="23"/>
        <v>0</v>
      </c>
      <c r="X90" s="2484">
        <f t="shared" si="23"/>
        <v>0</v>
      </c>
      <c r="Y90" s="2484">
        <f t="shared" si="23"/>
        <v>0</v>
      </c>
      <c r="Z90" s="2484">
        <f t="shared" si="23"/>
        <v>0</v>
      </c>
      <c r="AA90" s="1406"/>
      <c r="AB90" s="1406"/>
      <c r="AC90" s="1406"/>
      <c r="AD90" s="1406"/>
      <c r="AE90" s="1406"/>
      <c r="AF90" s="1406"/>
      <c r="AG90" s="1406"/>
      <c r="AH90" s="1406"/>
      <c r="AI90" s="1406"/>
      <c r="AJ90" s="1406"/>
      <c r="AK90" s="1406"/>
      <c r="AL90" s="1406"/>
      <c r="AM90" s="1406"/>
    </row>
    <row r="91" spans="1:39">
      <c r="E91" s="1946"/>
      <c r="H91" s="1946"/>
      <c r="I91" s="2486">
        <f>SUM(I62:I90)</f>
        <v>0</v>
      </c>
      <c r="J91" s="2486">
        <f>SUM(J62:J90)</f>
        <v>0</v>
      </c>
      <c r="N91" s="2487">
        <f>SUM(N62:N90)</f>
        <v>25</v>
      </c>
      <c r="O91" s="2487">
        <f t="shared" ref="O91:Z91" si="24">SUM(O62:O90)</f>
        <v>0</v>
      </c>
      <c r="P91" s="2487">
        <f t="shared" si="24"/>
        <v>62</v>
      </c>
      <c r="Q91" s="2487">
        <f t="shared" si="24"/>
        <v>0</v>
      </c>
      <c r="R91" s="2487">
        <f t="shared" si="24"/>
        <v>102</v>
      </c>
      <c r="S91" s="2487">
        <f t="shared" si="24"/>
        <v>0</v>
      </c>
      <c r="T91" s="2487">
        <f t="shared" si="24"/>
        <v>56</v>
      </c>
      <c r="U91" s="2487">
        <f t="shared" si="24"/>
        <v>0</v>
      </c>
      <c r="V91" s="2487">
        <f t="shared" si="24"/>
        <v>0</v>
      </c>
      <c r="W91" s="2487">
        <f t="shared" si="24"/>
        <v>0</v>
      </c>
      <c r="X91" s="2487">
        <f t="shared" si="24"/>
        <v>0</v>
      </c>
      <c r="Y91" s="2487">
        <f t="shared" si="24"/>
        <v>19</v>
      </c>
      <c r="Z91" s="2487">
        <f t="shared" si="24"/>
        <v>12</v>
      </c>
    </row>
    <row r="93" spans="1:39">
      <c r="B93" s="1406" t="s">
        <v>2241</v>
      </c>
      <c r="C93" s="1406" t="s">
        <v>2242</v>
      </c>
    </row>
    <row r="94" spans="1:39">
      <c r="B94" s="1406" t="s">
        <v>2704</v>
      </c>
    </row>
    <row r="95" spans="1:39">
      <c r="B95" s="2488" t="s">
        <v>1528</v>
      </c>
      <c r="C95" s="2469">
        <f>$N$91</f>
        <v>25</v>
      </c>
    </row>
    <row r="96" spans="1:39">
      <c r="B96" s="2488" t="s">
        <v>1529</v>
      </c>
      <c r="C96" s="2469">
        <f>$O$91</f>
        <v>0</v>
      </c>
    </row>
    <row r="97" spans="2:3">
      <c r="B97" s="2488" t="s">
        <v>611</v>
      </c>
      <c r="C97" s="2469">
        <f>$P$91</f>
        <v>62</v>
      </c>
    </row>
    <row r="98" spans="2:3">
      <c r="B98" s="2488" t="s">
        <v>2992</v>
      </c>
      <c r="C98" s="2469">
        <f>$Q$91</f>
        <v>0</v>
      </c>
    </row>
    <row r="99" spans="2:3">
      <c r="B99" s="2488" t="s">
        <v>2066</v>
      </c>
      <c r="C99" s="2469">
        <f>$R$91</f>
        <v>102</v>
      </c>
    </row>
    <row r="100" spans="2:3">
      <c r="B100" s="2488" t="s">
        <v>2113</v>
      </c>
      <c r="C100" s="2469">
        <f>$S$91</f>
        <v>0</v>
      </c>
    </row>
    <row r="101" spans="2:3">
      <c r="B101" s="2488" t="s">
        <v>1457</v>
      </c>
      <c r="C101" s="2469">
        <f>$T$91</f>
        <v>56</v>
      </c>
    </row>
    <row r="102" spans="2:3">
      <c r="B102" s="2488" t="s">
        <v>1530</v>
      </c>
      <c r="C102" s="2469">
        <f>$U$91</f>
        <v>0</v>
      </c>
    </row>
    <row r="103" spans="2:3">
      <c r="B103" s="2488" t="s">
        <v>2224</v>
      </c>
      <c r="C103" s="2469">
        <f>$V$91</f>
        <v>0</v>
      </c>
    </row>
    <row r="104" spans="2:3">
      <c r="B104" s="2488" t="s">
        <v>2225</v>
      </c>
      <c r="C104" s="2469">
        <f>$W$91</f>
        <v>0</v>
      </c>
    </row>
    <row r="105" spans="2:3">
      <c r="B105" s="2488" t="s">
        <v>1700</v>
      </c>
      <c r="C105" s="2469">
        <f>$X$91</f>
        <v>0</v>
      </c>
    </row>
    <row r="106" spans="2:3">
      <c r="B106" s="2488" t="s">
        <v>1644</v>
      </c>
      <c r="C106" s="2469">
        <f>$Y$91</f>
        <v>19</v>
      </c>
    </row>
    <row r="107" spans="2:3">
      <c r="B107" s="2488" t="s">
        <v>1467</v>
      </c>
      <c r="C107" s="2469">
        <f>$Z$91</f>
        <v>12</v>
      </c>
    </row>
  </sheetData>
  <hyperlinks>
    <hyperlink ref="N27" location="L!I7" display="L!I7" xr:uid="{00000000-0004-0000-1100-000000000000}"/>
    <hyperlink ref="O27" location="L!I15" display="L!I15" xr:uid="{00000000-0004-0000-1100-000001000000}"/>
    <hyperlink ref="Q27" location="L!I151" display="L!I151" xr:uid="{00000000-0004-0000-1100-000002000000}"/>
    <hyperlink ref="S27" location="L!I39" display="L!I39" xr:uid="{00000000-0004-0000-1100-000003000000}"/>
    <hyperlink ref="T27" location="L!I47" display="L!I47" xr:uid="{00000000-0004-0000-1100-000004000000}"/>
    <hyperlink ref="U27" location="L!I55" display="L!I55" xr:uid="{00000000-0004-0000-1100-000005000000}"/>
    <hyperlink ref="X27" location="L!I143" display="L!I143" xr:uid="{00000000-0004-0000-1100-000006000000}"/>
    <hyperlink ref="Y27" location="L!I127" display="L!I127" xr:uid="{00000000-0004-0000-1100-000007000000}"/>
    <hyperlink ref="Z27" location="L!I135" display="L!I135" xr:uid="{00000000-0004-0000-1100-000008000000}"/>
  </hyperlinks>
  <pageMargins left="0.7" right="0.7" top="0.75" bottom="0.75" header="0.3" footer="0.3"/>
  <pageSetup orientation="portrait" r:id="rId1"/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4" tint="-0.499984740745262"/>
  </sheetPr>
  <dimension ref="A1:C6"/>
  <sheetViews>
    <sheetView showGridLines="0" zoomScaleNormal="100" workbookViewId="0">
      <selection activeCell="H13" sqref="H13"/>
    </sheetView>
  </sheetViews>
  <sheetFormatPr defaultRowHeight="15"/>
  <cols>
    <col min="1" max="1" width="34.7109375" bestFit="1" customWidth="1"/>
    <col min="2" max="2" width="8.42578125" bestFit="1" customWidth="1"/>
  </cols>
  <sheetData>
    <row r="1" spans="1:3" ht="31.5">
      <c r="A1" s="2505" t="s">
        <v>2736</v>
      </c>
      <c r="B1" s="2506">
        <v>4.45</v>
      </c>
      <c r="C1" s="2500"/>
    </row>
    <row r="2" spans="1:3" ht="31.5">
      <c r="A2" s="2505" t="s">
        <v>2735</v>
      </c>
      <c r="B2" s="2506">
        <v>3.8</v>
      </c>
      <c r="C2" s="2500"/>
    </row>
    <row r="3" spans="1:3" ht="31.5">
      <c r="A3" s="2500"/>
      <c r="B3" s="2500"/>
      <c r="C3" s="2500"/>
    </row>
    <row r="4" spans="1:3" ht="31.5">
      <c r="A4" s="2500"/>
      <c r="B4" s="2507">
        <f>B1-B2</f>
        <v>0.65000000000000036</v>
      </c>
      <c r="C4" s="2500"/>
    </row>
    <row r="5" spans="1:3" ht="31.5">
      <c r="A5" s="2500"/>
      <c r="B5" s="2507">
        <f>B2-0.8</f>
        <v>3</v>
      </c>
      <c r="C5" s="2500"/>
    </row>
    <row r="6" spans="1:3" ht="31.5">
      <c r="A6" s="2500"/>
      <c r="B6" s="2507">
        <f>B1+0.2</f>
        <v>4.6500000000000004</v>
      </c>
      <c r="C6" s="2500"/>
    </row>
  </sheetData>
  <pageMargins left="0.7" right="0.7" top="0.75" bottom="0.75" header="0.3" footer="0.3"/>
  <pageSetup orientation="portrait" r:id="rId1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6"/>
  <dimension ref="A1:BA31"/>
  <sheetViews>
    <sheetView zoomScale="115" zoomScaleNormal="115" workbookViewId="0">
      <pane xSplit="1" topLeftCell="V1" activePane="topRight" state="frozen"/>
      <selection activeCell="G12" sqref="G12"/>
      <selection pane="topRight" activeCell="AV21" sqref="AV21"/>
    </sheetView>
  </sheetViews>
  <sheetFormatPr defaultRowHeight="15"/>
  <cols>
    <col min="1" max="1" width="9.140625" style="1221"/>
    <col min="19" max="35" width="2.7109375" customWidth="1"/>
    <col min="41" max="42" width="8.42578125" customWidth="1"/>
    <col min="43" max="43" width="9.140625" customWidth="1"/>
    <col min="45" max="50" width="9.28515625" customWidth="1"/>
    <col min="52" max="52" width="9.140625" customWidth="1"/>
    <col min="53" max="53" width="8.7109375" customWidth="1"/>
  </cols>
  <sheetData>
    <row r="1" spans="1:53">
      <c r="H1" t="s">
        <v>2476</v>
      </c>
      <c r="I1" t="s">
        <v>2477</v>
      </c>
    </row>
    <row r="2" spans="1:53">
      <c r="B2">
        <v>18</v>
      </c>
      <c r="C2">
        <v>12</v>
      </c>
      <c r="D2">
        <v>5</v>
      </c>
      <c r="E2">
        <v>200</v>
      </c>
      <c r="G2">
        <v>40</v>
      </c>
      <c r="H2">
        <v>735.5</v>
      </c>
      <c r="I2">
        <v>0</v>
      </c>
      <c r="J2">
        <v>8</v>
      </c>
      <c r="K2">
        <v>9</v>
      </c>
      <c r="L2">
        <v>16</v>
      </c>
      <c r="M2">
        <v>25</v>
      </c>
      <c r="N2">
        <v>27</v>
      </c>
      <c r="O2">
        <v>48</v>
      </c>
      <c r="P2">
        <v>16</v>
      </c>
      <c r="Q2">
        <v>5</v>
      </c>
      <c r="R2">
        <v>17</v>
      </c>
    </row>
    <row r="3" spans="1:53" ht="45" customHeight="1" thickBot="1">
      <c r="AJ3" t="s">
        <v>2062</v>
      </c>
      <c r="AK3" t="s">
        <v>2478</v>
      </c>
      <c r="AP3">
        <v>1</v>
      </c>
      <c r="AQ3" t="s">
        <v>2518</v>
      </c>
      <c r="AS3" t="s">
        <v>2953</v>
      </c>
      <c r="AT3" t="s">
        <v>2954</v>
      </c>
      <c r="AU3" t="s">
        <v>2955</v>
      </c>
      <c r="AV3" t="s">
        <v>2956</v>
      </c>
      <c r="AW3" t="s">
        <v>2488</v>
      </c>
      <c r="AX3" t="s">
        <v>2489</v>
      </c>
      <c r="AZ3" t="s">
        <v>2490</v>
      </c>
      <c r="BA3" t="s">
        <v>2491</v>
      </c>
    </row>
    <row r="4" spans="1:53">
      <c r="A4" s="1221" t="s">
        <v>1797</v>
      </c>
      <c r="B4" s="2583"/>
      <c r="C4" s="2583"/>
      <c r="D4" s="2583"/>
      <c r="E4" s="2583">
        <v>42</v>
      </c>
      <c r="F4" s="2583">
        <v>6</v>
      </c>
      <c r="G4" s="2583"/>
      <c r="H4" s="2583"/>
      <c r="I4" s="2583"/>
      <c r="J4" s="2583"/>
      <c r="K4" s="2583"/>
      <c r="L4" s="2583"/>
      <c r="M4" s="2583"/>
      <c r="N4" s="2583"/>
      <c r="O4" s="2583"/>
      <c r="P4" s="2583"/>
      <c r="Q4" s="2583"/>
      <c r="R4" s="2583"/>
      <c r="S4" s="2260">
        <f>B4*B$2</f>
        <v>0</v>
      </c>
      <c r="T4" s="2260">
        <f t="shared" ref="T4:AI4" si="0">C4*C$2</f>
        <v>0</v>
      </c>
      <c r="U4" s="2260">
        <f t="shared" si="0"/>
        <v>0</v>
      </c>
      <c r="V4" s="2260">
        <f t="shared" si="0"/>
        <v>8400</v>
      </c>
      <c r="W4" s="2260">
        <f t="shared" si="0"/>
        <v>0</v>
      </c>
      <c r="X4" s="2260">
        <f t="shared" si="0"/>
        <v>0</v>
      </c>
      <c r="Y4" s="2260">
        <f t="shared" si="0"/>
        <v>0</v>
      </c>
      <c r="Z4" s="2260">
        <f t="shared" si="0"/>
        <v>0</v>
      </c>
      <c r="AA4" s="2260">
        <f t="shared" si="0"/>
        <v>0</v>
      </c>
      <c r="AB4" s="2260">
        <f t="shared" si="0"/>
        <v>0</v>
      </c>
      <c r="AC4" s="2260">
        <f t="shared" si="0"/>
        <v>0</v>
      </c>
      <c r="AD4" s="2260">
        <f t="shared" si="0"/>
        <v>0</v>
      </c>
      <c r="AE4" s="2260">
        <f t="shared" si="0"/>
        <v>0</v>
      </c>
      <c r="AF4" s="2260">
        <f t="shared" si="0"/>
        <v>0</v>
      </c>
      <c r="AG4" s="2260">
        <f t="shared" si="0"/>
        <v>0</v>
      </c>
      <c r="AH4" s="2260">
        <f t="shared" si="0"/>
        <v>0</v>
      </c>
      <c r="AI4" s="2260">
        <f t="shared" si="0"/>
        <v>0</v>
      </c>
      <c r="AJ4" s="2260">
        <f t="shared" ref="AJ4:AJ14" si="1">SUM(S4:AI4)</f>
        <v>8400</v>
      </c>
      <c r="AK4" s="2260" t="str">
        <f>VLOOKUP(AJ4,$AP$3:$AQ$14,2,TRUE)</f>
        <v>50A</v>
      </c>
      <c r="AL4" s="1221"/>
      <c r="AM4" s="2261">
        <v>440</v>
      </c>
      <c r="AN4" s="2262">
        <v>2</v>
      </c>
      <c r="AP4" s="1576">
        <v>450</v>
      </c>
      <c r="AQ4" s="1576" t="s">
        <v>2479</v>
      </c>
      <c r="AR4">
        <v>1</v>
      </c>
      <c r="AS4" s="2525">
        <v>6</v>
      </c>
      <c r="AT4" s="2525">
        <v>13</v>
      </c>
      <c r="AU4" s="2525">
        <v>13</v>
      </c>
      <c r="AV4" s="2525">
        <v>10</v>
      </c>
      <c r="AW4" s="2525">
        <v>0</v>
      </c>
      <c r="AX4" s="2265"/>
      <c r="AY4">
        <f>AS4+AT4*2+AU4*3+AV4*4+AW4+AX4*2</f>
        <v>111</v>
      </c>
      <c r="AZ4" s="2530">
        <v>35</v>
      </c>
      <c r="BA4">
        <v>90</v>
      </c>
    </row>
    <row r="5" spans="1:53">
      <c r="B5" s="2583">
        <v>10</v>
      </c>
      <c r="C5" s="2583" t="s">
        <v>2994</v>
      </c>
      <c r="D5" s="2583">
        <v>21</v>
      </c>
      <c r="E5" s="2583"/>
      <c r="F5" s="2583"/>
      <c r="G5" s="2583">
        <v>1</v>
      </c>
      <c r="H5" s="2583"/>
      <c r="I5" s="2583"/>
      <c r="J5" s="2583">
        <v>25</v>
      </c>
      <c r="K5" s="2583">
        <v>3</v>
      </c>
      <c r="L5" s="2583"/>
      <c r="M5" s="2583">
        <v>2</v>
      </c>
      <c r="N5" s="2583"/>
      <c r="O5" s="2583"/>
      <c r="P5" s="2583">
        <v>3</v>
      </c>
      <c r="Q5" s="2583">
        <v>2</v>
      </c>
      <c r="R5" s="2583"/>
      <c r="S5" s="2260">
        <f t="shared" ref="S5:S13" si="2">B5*B$2</f>
        <v>180</v>
      </c>
      <c r="T5" s="2260"/>
      <c r="U5" s="2260">
        <f t="shared" ref="U5:U13" si="3">D5*D$2</f>
        <v>105</v>
      </c>
      <c r="V5" s="2260">
        <f t="shared" ref="V5:V13" si="4">E5*E$2</f>
        <v>0</v>
      </c>
      <c r="W5" s="2260">
        <f t="shared" ref="W5:W13" si="5">F5*F$2</f>
        <v>0</v>
      </c>
      <c r="X5" s="2260">
        <f t="shared" ref="X5:X13" si="6">G5*G$2</f>
        <v>40</v>
      </c>
      <c r="Y5" s="2260">
        <f t="shared" ref="Y5:Y13" si="7">H5*H$2</f>
        <v>0</v>
      </c>
      <c r="Z5" s="2260">
        <f t="shared" ref="Z5:Z13" si="8">I5*I$2</f>
        <v>0</v>
      </c>
      <c r="AA5" s="2260">
        <f t="shared" ref="AA5:AA13" si="9">J5*J$2</f>
        <v>200</v>
      </c>
      <c r="AB5" s="2260">
        <f t="shared" ref="AB5:AB13" si="10">K5*K$2</f>
        <v>27</v>
      </c>
      <c r="AC5" s="2260">
        <f t="shared" ref="AC5:AC13" si="11">L5*L$2</f>
        <v>0</v>
      </c>
      <c r="AD5" s="2260">
        <f t="shared" ref="AD5:AD12" si="12">M5*M$2</f>
        <v>50</v>
      </c>
      <c r="AE5" s="2260">
        <f t="shared" ref="AE5:AE13" si="13">N5*N$2</f>
        <v>0</v>
      </c>
      <c r="AF5" s="2260">
        <f t="shared" ref="AF5:AF13" si="14">O5*O$2</f>
        <v>0</v>
      </c>
      <c r="AG5" s="2260">
        <f t="shared" ref="AG5:AG13" si="15">P5*P$2</f>
        <v>48</v>
      </c>
      <c r="AH5" s="2260">
        <f t="shared" ref="AH5:AH13" si="16">Q5*Q$2</f>
        <v>10</v>
      </c>
      <c r="AI5" s="2260">
        <f t="shared" ref="AI5:AI13" si="17">R5*R$2</f>
        <v>0</v>
      </c>
      <c r="AJ5" s="2260">
        <f>SUM(S5:AI5)</f>
        <v>660</v>
      </c>
      <c r="AK5" s="2260" t="str">
        <f t="shared" ref="AK5:AK21" si="18">VLOOKUP(AJ5,$AP$3:$AQ$14,2,TRUE)</f>
        <v>4A</v>
      </c>
      <c r="AL5" s="1221"/>
      <c r="AM5" s="2263">
        <v>880</v>
      </c>
      <c r="AN5" s="2264">
        <v>4</v>
      </c>
      <c r="AP5" s="1576">
        <v>900</v>
      </c>
      <c r="AQ5" s="1576" t="s">
        <v>2480</v>
      </c>
      <c r="AR5">
        <v>2</v>
      </c>
      <c r="AS5" s="2525">
        <v>0</v>
      </c>
      <c r="AT5" s="2525">
        <v>0</v>
      </c>
      <c r="AU5" s="2525">
        <v>0</v>
      </c>
      <c r="AV5" s="2525">
        <v>0</v>
      </c>
      <c r="AW5" s="2525">
        <v>0</v>
      </c>
      <c r="AX5" s="2265"/>
      <c r="AY5" s="2516">
        <f>AS5+AT5*2+AU5*3+AV5*4+AW5+AX5*2</f>
        <v>0</v>
      </c>
      <c r="AZ5" s="2513">
        <v>0</v>
      </c>
      <c r="BA5" s="1221">
        <f>AY5-AZ5</f>
        <v>0</v>
      </c>
    </row>
    <row r="6" spans="1:53">
      <c r="B6" s="2583"/>
      <c r="C6" s="2583"/>
      <c r="D6" s="2583"/>
      <c r="E6" s="2583"/>
      <c r="F6" s="2583"/>
      <c r="G6" s="2583"/>
      <c r="H6" s="2583">
        <v>5.5</v>
      </c>
      <c r="I6" s="2583">
        <v>4</v>
      </c>
      <c r="J6" s="2583"/>
      <c r="K6" s="2583"/>
      <c r="L6" s="2583"/>
      <c r="M6" s="2583"/>
      <c r="N6" s="2583"/>
      <c r="O6" s="2583"/>
      <c r="P6" s="2583"/>
      <c r="Q6" s="2583"/>
      <c r="R6" s="2583"/>
      <c r="S6" s="2260">
        <f t="shared" si="2"/>
        <v>0</v>
      </c>
      <c r="T6" s="2260">
        <f t="shared" ref="T6:T13" si="19">C6*C$2</f>
        <v>0</v>
      </c>
      <c r="U6" s="2260">
        <f t="shared" si="3"/>
        <v>0</v>
      </c>
      <c r="V6" s="2260">
        <f t="shared" si="4"/>
        <v>0</v>
      </c>
      <c r="W6" s="2260">
        <f t="shared" si="5"/>
        <v>0</v>
      </c>
      <c r="X6" s="2260">
        <f t="shared" si="6"/>
        <v>0</v>
      </c>
      <c r="Y6" s="2260">
        <f t="shared" si="7"/>
        <v>4045.25</v>
      </c>
      <c r="Z6" s="2260">
        <f t="shared" si="8"/>
        <v>0</v>
      </c>
      <c r="AA6" s="2260">
        <f t="shared" si="9"/>
        <v>0</v>
      </c>
      <c r="AB6" s="2260">
        <f t="shared" si="10"/>
        <v>0</v>
      </c>
      <c r="AC6" s="2260">
        <f t="shared" si="11"/>
        <v>0</v>
      </c>
      <c r="AD6" s="2260">
        <f t="shared" si="12"/>
        <v>0</v>
      </c>
      <c r="AE6" s="2260">
        <f t="shared" si="13"/>
        <v>0</v>
      </c>
      <c r="AF6" s="2260">
        <f t="shared" si="14"/>
        <v>0</v>
      </c>
      <c r="AG6" s="2260">
        <f t="shared" si="15"/>
        <v>0</v>
      </c>
      <c r="AH6" s="2260">
        <f t="shared" si="16"/>
        <v>0</v>
      </c>
      <c r="AI6" s="2260">
        <f t="shared" si="17"/>
        <v>0</v>
      </c>
      <c r="AJ6" s="2260">
        <f t="shared" si="1"/>
        <v>4045.25</v>
      </c>
      <c r="AK6" s="2260" t="str">
        <f t="shared" si="18"/>
        <v>20A</v>
      </c>
      <c r="AL6" s="1221"/>
      <c r="AM6" s="2263">
        <v>1320</v>
      </c>
      <c r="AN6" s="2264">
        <v>6</v>
      </c>
      <c r="AP6" s="1576">
        <v>1300</v>
      </c>
      <c r="AQ6" s="1576" t="s">
        <v>2481</v>
      </c>
      <c r="AR6">
        <v>3</v>
      </c>
      <c r="AS6" s="2525">
        <v>0</v>
      </c>
      <c r="AT6" s="2525">
        <v>0</v>
      </c>
      <c r="AU6" s="2525">
        <v>0</v>
      </c>
      <c r="AV6" s="2525">
        <v>0</v>
      </c>
      <c r="AW6" s="2525">
        <v>0</v>
      </c>
      <c r="AX6" s="2265"/>
      <c r="AY6" s="2516">
        <v>0</v>
      </c>
      <c r="AZ6" s="2513">
        <v>0</v>
      </c>
      <c r="BA6" s="1221">
        <f>AY6-AZ6</f>
        <v>0</v>
      </c>
    </row>
    <row r="7" spans="1:53">
      <c r="A7" s="1583"/>
      <c r="B7" s="2583"/>
      <c r="C7" s="2583"/>
      <c r="D7" s="2583"/>
      <c r="E7" s="2583"/>
      <c r="F7" s="2583"/>
      <c r="G7" s="2583"/>
      <c r="H7" s="2583"/>
      <c r="I7" s="2583"/>
      <c r="J7" s="2583"/>
      <c r="K7" s="2583"/>
      <c r="L7" s="2583"/>
      <c r="M7" s="2583"/>
      <c r="N7" s="2583"/>
      <c r="O7" s="2583"/>
      <c r="P7" s="2583"/>
      <c r="Q7" s="2583"/>
      <c r="R7" s="2583"/>
      <c r="S7" s="2260">
        <f t="shared" si="2"/>
        <v>0</v>
      </c>
      <c r="T7" s="2260">
        <f t="shared" si="19"/>
        <v>0</v>
      </c>
      <c r="U7" s="2260">
        <f t="shared" si="3"/>
        <v>0</v>
      </c>
      <c r="V7" s="2260">
        <f t="shared" si="4"/>
        <v>0</v>
      </c>
      <c r="W7" s="2260">
        <f t="shared" si="5"/>
        <v>0</v>
      </c>
      <c r="X7" s="2260">
        <f t="shared" si="6"/>
        <v>0</v>
      </c>
      <c r="Y7" s="2260">
        <f t="shared" si="7"/>
        <v>0</v>
      </c>
      <c r="Z7" s="2260">
        <f t="shared" si="8"/>
        <v>0</v>
      </c>
      <c r="AA7" s="2260">
        <f t="shared" si="9"/>
        <v>0</v>
      </c>
      <c r="AB7" s="2260">
        <f t="shared" si="10"/>
        <v>0</v>
      </c>
      <c r="AC7" s="2260">
        <f t="shared" si="11"/>
        <v>0</v>
      </c>
      <c r="AD7" s="2260">
        <f t="shared" si="12"/>
        <v>0</v>
      </c>
      <c r="AE7" s="2260">
        <f t="shared" si="13"/>
        <v>0</v>
      </c>
      <c r="AF7" s="2260">
        <f t="shared" si="14"/>
        <v>0</v>
      </c>
      <c r="AG7" s="2260">
        <f t="shared" si="15"/>
        <v>0</v>
      </c>
      <c r="AH7" s="2260">
        <f t="shared" si="16"/>
        <v>0</v>
      </c>
      <c r="AI7" s="2260">
        <f t="shared" si="17"/>
        <v>0</v>
      </c>
      <c r="AJ7" s="2260">
        <f t="shared" si="1"/>
        <v>0</v>
      </c>
      <c r="AK7" s="2260" t="e">
        <f t="shared" si="18"/>
        <v>#N/A</v>
      </c>
      <c r="AL7" s="1221"/>
      <c r="AM7" s="2263">
        <v>2200</v>
      </c>
      <c r="AN7" s="2264">
        <v>10</v>
      </c>
      <c r="AP7" s="1576">
        <v>2200</v>
      </c>
      <c r="AQ7" s="1576" t="s">
        <v>2482</v>
      </c>
      <c r="AR7" s="1221">
        <v>4</v>
      </c>
      <c r="AS7" s="2265"/>
      <c r="AT7" s="2265"/>
      <c r="AU7" s="2265"/>
      <c r="AV7" s="2265"/>
      <c r="AW7" s="2265"/>
      <c r="AX7" s="2265"/>
      <c r="AY7" s="2516">
        <f>AS7+AT7*2+AU7*3+AV7*4+AW7+AX7*2</f>
        <v>0</v>
      </c>
      <c r="AZ7" s="1579"/>
      <c r="BA7" s="1221">
        <f>AY7-AZ7</f>
        <v>0</v>
      </c>
    </row>
    <row r="8" spans="1:53" s="1583" customFormat="1">
      <c r="A8" s="1583">
        <v>2</v>
      </c>
      <c r="B8" s="2583"/>
      <c r="C8" s="2583"/>
      <c r="D8" s="2583"/>
      <c r="E8" s="2583"/>
      <c r="F8" s="2583"/>
      <c r="G8" s="2583"/>
      <c r="H8" s="2583"/>
      <c r="I8" s="2583"/>
      <c r="J8" s="2583"/>
      <c r="K8" s="2583"/>
      <c r="L8" s="2583"/>
      <c r="M8" s="2583"/>
      <c r="N8" s="2583"/>
      <c r="O8" s="2583"/>
      <c r="P8" s="2583"/>
      <c r="Q8" s="2583"/>
      <c r="R8" s="2583"/>
      <c r="S8" s="2288">
        <f t="shared" si="2"/>
        <v>0</v>
      </c>
      <c r="T8" s="2288">
        <f t="shared" si="19"/>
        <v>0</v>
      </c>
      <c r="U8" s="2288">
        <f t="shared" si="3"/>
        <v>0</v>
      </c>
      <c r="V8" s="2288">
        <f t="shared" si="4"/>
        <v>0</v>
      </c>
      <c r="W8" s="2288">
        <f t="shared" si="5"/>
        <v>0</v>
      </c>
      <c r="X8" s="2288">
        <f t="shared" si="6"/>
        <v>0</v>
      </c>
      <c r="Y8" s="2288">
        <f t="shared" si="7"/>
        <v>0</v>
      </c>
      <c r="Z8" s="2288">
        <f t="shared" si="8"/>
        <v>0</v>
      </c>
      <c r="AA8" s="2288">
        <f t="shared" si="9"/>
        <v>0</v>
      </c>
      <c r="AB8" s="2288">
        <f t="shared" si="10"/>
        <v>0</v>
      </c>
      <c r="AC8" s="2288">
        <f t="shared" si="11"/>
        <v>0</v>
      </c>
      <c r="AD8" s="2288">
        <f t="shared" si="12"/>
        <v>0</v>
      </c>
      <c r="AE8" s="2288">
        <f t="shared" si="13"/>
        <v>0</v>
      </c>
      <c r="AF8" s="2288">
        <f t="shared" si="14"/>
        <v>0</v>
      </c>
      <c r="AG8" s="2288">
        <f t="shared" si="15"/>
        <v>0</v>
      </c>
      <c r="AH8" s="2288">
        <f t="shared" si="16"/>
        <v>0</v>
      </c>
      <c r="AI8" s="2288">
        <f t="shared" si="17"/>
        <v>0</v>
      </c>
      <c r="AJ8" s="2260">
        <f t="shared" si="1"/>
        <v>0</v>
      </c>
      <c r="AK8" s="2288" t="e">
        <f t="shared" si="18"/>
        <v>#N/A</v>
      </c>
      <c r="AM8" s="2289">
        <v>3520</v>
      </c>
      <c r="AN8" s="2290">
        <v>16</v>
      </c>
      <c r="AP8" s="1579">
        <v>3500</v>
      </c>
      <c r="AQ8" s="1579" t="s">
        <v>2483</v>
      </c>
      <c r="AR8" s="1221">
        <v>5</v>
      </c>
      <c r="AS8" s="2265"/>
      <c r="AT8" s="2265"/>
      <c r="AU8" s="2265"/>
      <c r="AV8" s="2265"/>
      <c r="AW8" s="2265"/>
      <c r="AX8" s="2265"/>
      <c r="AY8" s="2516">
        <f>AS8+AT8*2+AU8*3+AV8*4+AW8+AX8*2</f>
        <v>0</v>
      </c>
      <c r="AZ8" s="1579"/>
      <c r="BA8" s="1221">
        <f>AY8-AZ8</f>
        <v>0</v>
      </c>
    </row>
    <row r="9" spans="1:53" s="1583" customFormat="1">
      <c r="B9" s="2583"/>
      <c r="C9" s="2583">
        <v>1</v>
      </c>
      <c r="D9" s="2583"/>
      <c r="E9" s="2583"/>
      <c r="F9" s="2583"/>
      <c r="G9" s="2583"/>
      <c r="H9" s="2583"/>
      <c r="I9" s="2583"/>
      <c r="J9" s="2583"/>
      <c r="K9" s="2583"/>
      <c r="L9" s="2583"/>
      <c r="M9" s="2583"/>
      <c r="N9" s="2583"/>
      <c r="O9" s="2583"/>
      <c r="P9" s="2583"/>
      <c r="Q9" s="2583"/>
      <c r="R9" s="2583"/>
      <c r="S9" s="2288">
        <f t="shared" si="2"/>
        <v>0</v>
      </c>
      <c r="T9" s="2288">
        <f t="shared" si="19"/>
        <v>12</v>
      </c>
      <c r="U9" s="2288">
        <f t="shared" si="3"/>
        <v>0</v>
      </c>
      <c r="V9" s="2288">
        <f t="shared" si="4"/>
        <v>0</v>
      </c>
      <c r="W9" s="2288">
        <f t="shared" si="5"/>
        <v>0</v>
      </c>
      <c r="X9" s="2288">
        <f t="shared" si="6"/>
        <v>0</v>
      </c>
      <c r="Y9" s="2288">
        <f t="shared" si="7"/>
        <v>0</v>
      </c>
      <c r="Z9" s="2288">
        <f t="shared" si="8"/>
        <v>0</v>
      </c>
      <c r="AA9" s="2288">
        <f t="shared" si="9"/>
        <v>0</v>
      </c>
      <c r="AB9" s="2288">
        <f t="shared" si="10"/>
        <v>0</v>
      </c>
      <c r="AC9" s="2288">
        <f t="shared" si="11"/>
        <v>0</v>
      </c>
      <c r="AD9" s="2288">
        <f t="shared" si="12"/>
        <v>0</v>
      </c>
      <c r="AE9" s="2288">
        <f t="shared" si="13"/>
        <v>0</v>
      </c>
      <c r="AF9" s="2288">
        <f t="shared" si="14"/>
        <v>0</v>
      </c>
      <c r="AG9" s="2288">
        <f t="shared" si="15"/>
        <v>0</v>
      </c>
      <c r="AH9" s="2288">
        <f t="shared" si="16"/>
        <v>0</v>
      </c>
      <c r="AI9" s="2288">
        <f t="shared" si="17"/>
        <v>0</v>
      </c>
      <c r="AJ9" s="2288">
        <f t="shared" si="1"/>
        <v>12</v>
      </c>
      <c r="AK9" s="2288" t="str">
        <f t="shared" si="18"/>
        <v>2A</v>
      </c>
      <c r="AM9" s="2289">
        <v>4400</v>
      </c>
      <c r="AN9" s="2290">
        <v>20</v>
      </c>
      <c r="AP9" s="1579">
        <v>4400</v>
      </c>
      <c r="AQ9" s="1579" t="s">
        <v>2484</v>
      </c>
      <c r="AT9" s="2516"/>
      <c r="AU9" s="2516"/>
      <c r="AV9" s="2516"/>
      <c r="AW9" s="2516"/>
      <c r="AX9" s="2516"/>
      <c r="AY9" s="2516"/>
    </row>
    <row r="10" spans="1:53" s="1583" customFormat="1">
      <c r="B10" s="2583"/>
      <c r="C10" s="2583"/>
      <c r="D10" s="2583"/>
      <c r="E10" s="2583"/>
      <c r="F10" s="2583"/>
      <c r="G10" s="2583"/>
      <c r="H10" s="2583"/>
      <c r="I10" s="2583"/>
      <c r="J10" s="2583"/>
      <c r="K10" s="2583"/>
      <c r="L10" s="2583"/>
      <c r="M10" s="2583"/>
      <c r="N10" s="2583"/>
      <c r="O10" s="2583"/>
      <c r="P10" s="2583"/>
      <c r="Q10" s="2583"/>
      <c r="R10" s="2583"/>
      <c r="S10" s="2288">
        <f t="shared" si="2"/>
        <v>0</v>
      </c>
      <c r="T10" s="2288">
        <f t="shared" si="19"/>
        <v>0</v>
      </c>
      <c r="U10" s="2288">
        <f t="shared" si="3"/>
        <v>0</v>
      </c>
      <c r="V10" s="2288">
        <f t="shared" si="4"/>
        <v>0</v>
      </c>
      <c r="W10" s="2288">
        <f t="shared" si="5"/>
        <v>0</v>
      </c>
      <c r="X10" s="2288">
        <f t="shared" si="6"/>
        <v>0</v>
      </c>
      <c r="Y10" s="2288">
        <f t="shared" si="7"/>
        <v>0</v>
      </c>
      <c r="Z10" s="2288">
        <f t="shared" si="8"/>
        <v>0</v>
      </c>
      <c r="AA10" s="2288">
        <f t="shared" si="9"/>
        <v>0</v>
      </c>
      <c r="AB10" s="2288">
        <f t="shared" si="10"/>
        <v>0</v>
      </c>
      <c r="AC10" s="2288">
        <f t="shared" si="11"/>
        <v>0</v>
      </c>
      <c r="AD10" s="2288">
        <f t="shared" si="12"/>
        <v>0</v>
      </c>
      <c r="AE10" s="2288">
        <f t="shared" si="13"/>
        <v>0</v>
      </c>
      <c r="AF10" s="2288">
        <f t="shared" si="14"/>
        <v>0</v>
      </c>
      <c r="AG10" s="2288">
        <f t="shared" si="15"/>
        <v>0</v>
      </c>
      <c r="AH10" s="2288">
        <f t="shared" si="16"/>
        <v>0</v>
      </c>
      <c r="AI10" s="2288">
        <f t="shared" si="17"/>
        <v>0</v>
      </c>
      <c r="AJ10" s="2260">
        <f t="shared" si="1"/>
        <v>0</v>
      </c>
      <c r="AK10" s="2288" t="e">
        <f t="shared" si="18"/>
        <v>#N/A</v>
      </c>
      <c r="AM10" s="2289">
        <v>5500</v>
      </c>
      <c r="AN10" s="2290">
        <v>25</v>
      </c>
      <c r="AP10" s="1579">
        <v>5500</v>
      </c>
      <c r="AQ10" s="1579" t="s">
        <v>2485</v>
      </c>
      <c r="AR10" s="1583" t="s">
        <v>2806</v>
      </c>
      <c r="AS10" s="1583" t="s">
        <v>2519</v>
      </c>
      <c r="AT10" s="1583" t="s">
        <v>2520</v>
      </c>
      <c r="AU10" s="1583" t="s">
        <v>2521</v>
      </c>
      <c r="AW10" s="1583" t="s">
        <v>2807</v>
      </c>
      <c r="AX10" s="2508" t="s">
        <v>2957</v>
      </c>
      <c r="AY10" s="2508" t="s">
        <v>2958</v>
      </c>
      <c r="AZ10" s="2508" t="s">
        <v>2959</v>
      </c>
    </row>
    <row r="11" spans="1:53" s="1583" customFormat="1" ht="18.75">
      <c r="B11" s="2583"/>
      <c r="C11" s="2583"/>
      <c r="D11" s="2583"/>
      <c r="E11" s="2583"/>
      <c r="F11" s="2583"/>
      <c r="G11" s="2583"/>
      <c r="H11" s="2583"/>
      <c r="I11" s="2583"/>
      <c r="J11" s="2583"/>
      <c r="K11" s="2583"/>
      <c r="L11" s="2584"/>
      <c r="M11" s="2583"/>
      <c r="N11" s="2583"/>
      <c r="O11" s="2583"/>
      <c r="P11" s="2583"/>
      <c r="Q11" s="2583"/>
      <c r="R11" s="2583"/>
      <c r="S11" s="2288">
        <f t="shared" si="2"/>
        <v>0</v>
      </c>
      <c r="T11" s="2288">
        <f t="shared" si="19"/>
        <v>0</v>
      </c>
      <c r="U11" s="2288">
        <f t="shared" si="3"/>
        <v>0</v>
      </c>
      <c r="V11" s="2288">
        <f t="shared" si="4"/>
        <v>0</v>
      </c>
      <c r="W11" s="2288">
        <f t="shared" si="5"/>
        <v>0</v>
      </c>
      <c r="X11" s="2288">
        <f t="shared" si="6"/>
        <v>0</v>
      </c>
      <c r="Y11" s="2288">
        <f t="shared" si="7"/>
        <v>0</v>
      </c>
      <c r="Z11" s="2288">
        <f t="shared" si="8"/>
        <v>0</v>
      </c>
      <c r="AA11" s="2288">
        <f t="shared" si="9"/>
        <v>0</v>
      </c>
      <c r="AB11" s="2288">
        <f t="shared" si="10"/>
        <v>0</v>
      </c>
      <c r="AC11" s="2288">
        <f t="shared" si="11"/>
        <v>0</v>
      </c>
      <c r="AD11" s="2288">
        <f>M11*M$2</f>
        <v>0</v>
      </c>
      <c r="AE11" s="2288">
        <f t="shared" si="13"/>
        <v>0</v>
      </c>
      <c r="AF11" s="2288">
        <f t="shared" si="14"/>
        <v>0</v>
      </c>
      <c r="AG11" s="2288">
        <f t="shared" si="15"/>
        <v>0</v>
      </c>
      <c r="AH11" s="2288">
        <f t="shared" si="16"/>
        <v>0</v>
      </c>
      <c r="AI11" s="2288">
        <f t="shared" si="17"/>
        <v>0</v>
      </c>
      <c r="AJ11" s="2260">
        <f t="shared" si="1"/>
        <v>0</v>
      </c>
      <c r="AK11" s="2288" t="e">
        <f t="shared" si="18"/>
        <v>#N/A</v>
      </c>
      <c r="AM11" s="2289">
        <v>7040</v>
      </c>
      <c r="AN11" s="2290">
        <v>32</v>
      </c>
      <c r="AP11" s="1579">
        <v>7700</v>
      </c>
      <c r="AQ11" s="1579" t="s">
        <v>2486</v>
      </c>
      <c r="AR11" s="1583">
        <f>AR4</f>
        <v>1</v>
      </c>
      <c r="AS11" s="2586">
        <f>AX11+$AS$19*AZ4</f>
        <v>381.05</v>
      </c>
      <c r="AT11" s="2587">
        <f>AY11+$AS$19*BA4</f>
        <v>384.12</v>
      </c>
      <c r="AU11" s="2588">
        <f>AZ11+$AS$18*(E4+1)</f>
        <v>232.2</v>
      </c>
      <c r="AX11" s="2509">
        <v>332.05</v>
      </c>
      <c r="AY11" s="2509">
        <v>258.12</v>
      </c>
      <c r="AZ11" s="2509">
        <v>215</v>
      </c>
      <c r="BA11" s="2513"/>
    </row>
    <row r="12" spans="1:53" s="1583" customFormat="1" ht="18.75">
      <c r="A12" s="1583">
        <v>3</v>
      </c>
      <c r="B12" s="2583"/>
      <c r="C12" s="2583"/>
      <c r="D12" s="2583"/>
      <c r="E12" s="2583"/>
      <c r="F12" s="2583"/>
      <c r="G12" s="2583"/>
      <c r="H12" s="2583"/>
      <c r="I12" s="2583"/>
      <c r="J12" s="2583"/>
      <c r="K12" s="2583"/>
      <c r="L12" s="2583"/>
      <c r="M12" s="2583"/>
      <c r="N12" s="2583"/>
      <c r="O12" s="2583"/>
      <c r="P12" s="2583"/>
      <c r="Q12" s="2583"/>
      <c r="R12" s="2583"/>
      <c r="S12" s="2288">
        <f t="shared" si="2"/>
        <v>0</v>
      </c>
      <c r="T12" s="2288">
        <f t="shared" si="19"/>
        <v>0</v>
      </c>
      <c r="U12" s="2288">
        <f t="shared" si="3"/>
        <v>0</v>
      </c>
      <c r="V12" s="2288">
        <f t="shared" si="4"/>
        <v>0</v>
      </c>
      <c r="W12" s="2288">
        <f t="shared" si="5"/>
        <v>0</v>
      </c>
      <c r="X12" s="2288">
        <f t="shared" si="6"/>
        <v>0</v>
      </c>
      <c r="Y12" s="2288">
        <f t="shared" si="7"/>
        <v>0</v>
      </c>
      <c r="Z12" s="2288">
        <f t="shared" si="8"/>
        <v>0</v>
      </c>
      <c r="AA12" s="2288">
        <f t="shared" si="9"/>
        <v>0</v>
      </c>
      <c r="AB12" s="2288">
        <f t="shared" si="10"/>
        <v>0</v>
      </c>
      <c r="AC12" s="2288">
        <f t="shared" si="11"/>
        <v>0</v>
      </c>
      <c r="AD12" s="2288">
        <f t="shared" si="12"/>
        <v>0</v>
      </c>
      <c r="AE12" s="2288">
        <f t="shared" si="13"/>
        <v>0</v>
      </c>
      <c r="AF12" s="2288">
        <f t="shared" si="14"/>
        <v>0</v>
      </c>
      <c r="AG12" s="2288">
        <f t="shared" si="15"/>
        <v>0</v>
      </c>
      <c r="AH12" s="2288">
        <f t="shared" si="16"/>
        <v>0</v>
      </c>
      <c r="AI12" s="2288">
        <f t="shared" si="17"/>
        <v>0</v>
      </c>
      <c r="AJ12" s="2288">
        <f t="shared" si="1"/>
        <v>0</v>
      </c>
      <c r="AK12" s="2288" t="e">
        <f t="shared" si="18"/>
        <v>#N/A</v>
      </c>
      <c r="AM12" s="2289">
        <v>8800</v>
      </c>
      <c r="AN12" s="2290">
        <v>40</v>
      </c>
      <c r="AP12" s="1579">
        <v>11000</v>
      </c>
      <c r="AQ12" s="1579" t="s">
        <v>2487</v>
      </c>
      <c r="AR12" s="1583">
        <f>AR5</f>
        <v>2</v>
      </c>
      <c r="AS12" s="2589">
        <f>AX12+$AT$19*AZ5</f>
        <v>0</v>
      </c>
      <c r="AT12" s="2590">
        <f>AY12+$AT$19*BA5</f>
        <v>0</v>
      </c>
      <c r="AU12" s="2591">
        <f>AZ12+AT18*(1+E8)</f>
        <v>0</v>
      </c>
      <c r="AV12" s="2515"/>
      <c r="AX12" s="2509">
        <v>0</v>
      </c>
      <c r="AY12" s="2509">
        <v>0</v>
      </c>
      <c r="AZ12" s="2509">
        <v>0</v>
      </c>
      <c r="BA12" s="2514"/>
    </row>
    <row r="13" spans="1:53" s="1583" customFormat="1" ht="18.75">
      <c r="A13" s="1221"/>
      <c r="B13" s="2583">
        <v>4</v>
      </c>
      <c r="C13" s="2583"/>
      <c r="D13" s="2583"/>
      <c r="E13" s="2583"/>
      <c r="F13" s="2583"/>
      <c r="G13" s="2583"/>
      <c r="H13" s="2583"/>
      <c r="I13" s="2583"/>
      <c r="J13" s="2583"/>
      <c r="K13" s="2583"/>
      <c r="L13" s="2583"/>
      <c r="M13" s="2583"/>
      <c r="N13" s="2583"/>
      <c r="O13" s="2583"/>
      <c r="P13" s="2583"/>
      <c r="Q13" s="2583"/>
      <c r="R13" s="2583"/>
      <c r="S13" s="2288">
        <f t="shared" si="2"/>
        <v>72</v>
      </c>
      <c r="T13" s="2288">
        <f t="shared" si="19"/>
        <v>0</v>
      </c>
      <c r="U13" s="2288">
        <f t="shared" si="3"/>
        <v>0</v>
      </c>
      <c r="V13" s="2288">
        <f t="shared" si="4"/>
        <v>0</v>
      </c>
      <c r="W13" s="2288">
        <f t="shared" si="5"/>
        <v>0</v>
      </c>
      <c r="X13" s="2288">
        <f t="shared" si="6"/>
        <v>0</v>
      </c>
      <c r="Y13" s="2288">
        <f t="shared" si="7"/>
        <v>0</v>
      </c>
      <c r="Z13" s="2288">
        <f t="shared" si="8"/>
        <v>0</v>
      </c>
      <c r="AA13" s="2288">
        <f t="shared" si="9"/>
        <v>0</v>
      </c>
      <c r="AB13" s="2288">
        <f t="shared" si="10"/>
        <v>0</v>
      </c>
      <c r="AC13" s="2288">
        <f t="shared" si="11"/>
        <v>0</v>
      </c>
      <c r="AD13" s="2288">
        <f>M13*M$2</f>
        <v>0</v>
      </c>
      <c r="AE13" s="2288">
        <f t="shared" si="13"/>
        <v>0</v>
      </c>
      <c r="AF13" s="2288">
        <f t="shared" si="14"/>
        <v>0</v>
      </c>
      <c r="AG13" s="2288">
        <f t="shared" si="15"/>
        <v>0</v>
      </c>
      <c r="AH13" s="2288">
        <f t="shared" si="16"/>
        <v>0</v>
      </c>
      <c r="AI13" s="2288">
        <f t="shared" si="17"/>
        <v>0</v>
      </c>
      <c r="AJ13" s="2260">
        <f t="shared" si="1"/>
        <v>72</v>
      </c>
      <c r="AK13" s="2288" t="str">
        <f t="shared" si="18"/>
        <v>2A</v>
      </c>
      <c r="AM13" s="2289">
        <v>11000</v>
      </c>
      <c r="AN13" s="2290">
        <v>50</v>
      </c>
      <c r="AP13" s="1579">
        <v>13900</v>
      </c>
      <c r="AQ13" s="1579" t="s">
        <v>2878</v>
      </c>
      <c r="AR13" s="1583">
        <f>AR6</f>
        <v>3</v>
      </c>
      <c r="AS13" s="2589">
        <f>AX13+$AT$19*AZ6</f>
        <v>0</v>
      </c>
      <c r="AT13" s="2590">
        <f>AY13+$AT$19*BA6</f>
        <v>0</v>
      </c>
      <c r="AU13" s="2591">
        <f>AZ13+AT18*(1+E12)</f>
        <v>0</v>
      </c>
      <c r="AV13" s="2515"/>
      <c r="AX13" s="2509">
        <v>0</v>
      </c>
      <c r="AY13" s="2509">
        <v>0</v>
      </c>
      <c r="AZ13" s="2509">
        <v>0</v>
      </c>
      <c r="BA13" s="2514"/>
    </row>
    <row r="14" spans="1:53" s="1583" customFormat="1" ht="19.5" thickBot="1">
      <c r="B14" s="2583"/>
      <c r="C14" s="2583"/>
      <c r="D14" s="2583"/>
      <c r="E14" s="2583"/>
      <c r="F14" s="2583"/>
      <c r="G14" s="2583"/>
      <c r="H14" s="2583"/>
      <c r="I14" s="2583"/>
      <c r="J14" s="2583"/>
      <c r="K14" s="2583"/>
      <c r="L14" s="2583"/>
      <c r="M14" s="2583"/>
      <c r="N14" s="2583"/>
      <c r="O14" s="2583"/>
      <c r="P14" s="2583"/>
      <c r="Q14" s="2583"/>
      <c r="R14" s="2583"/>
      <c r="S14" s="2288">
        <f t="shared" ref="S14:S21" si="20">B14*B$2</f>
        <v>0</v>
      </c>
      <c r="T14" s="2288">
        <f t="shared" ref="T14:T21" si="21">C14*C$2</f>
        <v>0</v>
      </c>
      <c r="U14" s="2288">
        <f t="shared" ref="U14:U21" si="22">D14*D$2</f>
        <v>0</v>
      </c>
      <c r="V14" s="2288">
        <f t="shared" ref="V14:V21" si="23">E14*E$2</f>
        <v>0</v>
      </c>
      <c r="W14" s="2288">
        <f t="shared" ref="W14:W21" si="24">F14*F$2</f>
        <v>0</v>
      </c>
      <c r="X14" s="2288">
        <f t="shared" ref="X14:X21" si="25">G14*G$2</f>
        <v>0</v>
      </c>
      <c r="Y14" s="2288">
        <f t="shared" ref="Y14:Y21" si="26">H14*H$2</f>
        <v>0</v>
      </c>
      <c r="Z14" s="2288">
        <f t="shared" ref="Z14:Z21" si="27">I14*I$2</f>
        <v>0</v>
      </c>
      <c r="AA14" s="2288">
        <f t="shared" ref="AA14:AA21" si="28">J14*J$2</f>
        <v>0</v>
      </c>
      <c r="AB14" s="2288">
        <f t="shared" ref="AB14:AB21" si="29">K14*K$2</f>
        <v>0</v>
      </c>
      <c r="AC14" s="2288">
        <f t="shared" ref="AC14:AC21" si="30">L14*L$2</f>
        <v>0</v>
      </c>
      <c r="AD14" s="2288">
        <f t="shared" ref="AD14:AD21" si="31">M14*M$2</f>
        <v>0</v>
      </c>
      <c r="AE14" s="2288">
        <f t="shared" ref="AE14:AE21" si="32">N14*N$2</f>
        <v>0</v>
      </c>
      <c r="AF14" s="2288">
        <f t="shared" ref="AF14:AF21" si="33">O14*O$2</f>
        <v>0</v>
      </c>
      <c r="AG14" s="2288">
        <f t="shared" ref="AG14:AG21" si="34">P14*P$2</f>
        <v>0</v>
      </c>
      <c r="AH14" s="2288">
        <f t="shared" ref="AH14:AH21" si="35">Q14*Q$2</f>
        <v>0</v>
      </c>
      <c r="AI14" s="2288">
        <f t="shared" ref="AI14:AI21" si="36">R14*R$2</f>
        <v>0</v>
      </c>
      <c r="AJ14" s="2260">
        <f t="shared" si="1"/>
        <v>0</v>
      </c>
      <c r="AK14" s="2288" t="e">
        <f t="shared" si="18"/>
        <v>#N/A</v>
      </c>
      <c r="AM14" s="2291">
        <v>13860</v>
      </c>
      <c r="AN14" s="2292">
        <v>63</v>
      </c>
      <c r="AP14" s="1579">
        <v>17000</v>
      </c>
      <c r="AQ14" s="1579" t="s">
        <v>2879</v>
      </c>
      <c r="AR14" s="1583">
        <f>AR7</f>
        <v>4</v>
      </c>
      <c r="AS14" s="2589">
        <f>AX14+$AS$19*AZ7</f>
        <v>0</v>
      </c>
      <c r="AT14" s="2590">
        <f>AY14+$AS$19*BA7</f>
        <v>0</v>
      </c>
      <c r="AU14" s="2591">
        <f>AZ14+AT18*(1+E16)</f>
        <v>0</v>
      </c>
      <c r="AV14" s="2515"/>
      <c r="AX14" s="2509"/>
      <c r="AY14" s="2509"/>
      <c r="AZ14" s="2509"/>
      <c r="BA14" s="2514"/>
    </row>
    <row r="15" spans="1:53" s="1583" customFormat="1" ht="18.75">
      <c r="A15" s="1221"/>
      <c r="B15" s="2583"/>
      <c r="C15" s="2583"/>
      <c r="D15" s="2583"/>
      <c r="E15" s="2583"/>
      <c r="F15" s="2583"/>
      <c r="G15" s="2583"/>
      <c r="H15" s="2583"/>
      <c r="I15" s="2583"/>
      <c r="J15" s="2583"/>
      <c r="K15" s="2583"/>
      <c r="L15" s="2583"/>
      <c r="M15" s="2583"/>
      <c r="N15" s="2583"/>
      <c r="O15" s="2583"/>
      <c r="P15" s="2583"/>
      <c r="Q15" s="2583"/>
      <c r="R15" s="2583"/>
      <c r="S15" s="2288">
        <f t="shared" si="20"/>
        <v>0</v>
      </c>
      <c r="T15" s="2288">
        <f t="shared" si="21"/>
        <v>0</v>
      </c>
      <c r="U15" s="2288">
        <f t="shared" si="22"/>
        <v>0</v>
      </c>
      <c r="V15" s="2288">
        <f t="shared" si="23"/>
        <v>0</v>
      </c>
      <c r="W15" s="2288">
        <f t="shared" si="24"/>
        <v>0</v>
      </c>
      <c r="X15" s="2288">
        <f t="shared" si="25"/>
        <v>0</v>
      </c>
      <c r="Y15" s="2288">
        <f t="shared" si="26"/>
        <v>0</v>
      </c>
      <c r="Z15" s="2288">
        <f t="shared" si="27"/>
        <v>0</v>
      </c>
      <c r="AA15" s="2288">
        <f t="shared" si="28"/>
        <v>0</v>
      </c>
      <c r="AB15" s="2288">
        <f t="shared" si="29"/>
        <v>0</v>
      </c>
      <c r="AC15" s="2288">
        <f t="shared" si="30"/>
        <v>0</v>
      </c>
      <c r="AD15" s="2288">
        <f t="shared" si="31"/>
        <v>0</v>
      </c>
      <c r="AE15" s="2288">
        <f t="shared" si="32"/>
        <v>0</v>
      </c>
      <c r="AF15" s="2288">
        <f t="shared" si="33"/>
        <v>0</v>
      </c>
      <c r="AG15" s="2288">
        <f t="shared" si="34"/>
        <v>0</v>
      </c>
      <c r="AH15" s="2288">
        <f t="shared" si="35"/>
        <v>0</v>
      </c>
      <c r="AI15" s="2288">
        <f t="shared" si="36"/>
        <v>0</v>
      </c>
      <c r="AJ15" s="2288">
        <f>SUM(S15:AI15)/5</f>
        <v>0</v>
      </c>
      <c r="AK15" s="2288" t="e">
        <f t="shared" si="18"/>
        <v>#N/A</v>
      </c>
      <c r="AQ15" s="1579"/>
      <c r="AR15" s="1583">
        <f>AR8</f>
        <v>5</v>
      </c>
      <c r="AS15" s="2592">
        <f>AX15+$AS$19*AZ8</f>
        <v>0</v>
      </c>
      <c r="AT15" s="2593">
        <f>AY15+$AS$19*BA8</f>
        <v>0</v>
      </c>
      <c r="AU15" s="2594">
        <v>0</v>
      </c>
      <c r="AV15" s="2515"/>
      <c r="AX15" s="2509"/>
      <c r="AY15" s="2509"/>
      <c r="AZ15" s="2509"/>
      <c r="BA15" s="2514"/>
    </row>
    <row r="16" spans="1:53" s="1583" customFormat="1">
      <c r="A16" s="1221">
        <v>4</v>
      </c>
      <c r="B16" s="2583"/>
      <c r="C16" s="2583"/>
      <c r="D16" s="2583"/>
      <c r="E16" s="2583"/>
      <c r="F16" s="2583"/>
      <c r="G16" s="2583"/>
      <c r="H16" s="2583"/>
      <c r="I16" s="2583"/>
      <c r="J16" s="2583"/>
      <c r="K16" s="2583"/>
      <c r="L16" s="2583"/>
      <c r="M16" s="2583"/>
      <c r="N16" s="2583"/>
      <c r="O16" s="2583"/>
      <c r="P16" s="2583"/>
      <c r="Q16" s="2583"/>
      <c r="R16" s="2583"/>
      <c r="S16" s="2288">
        <f t="shared" si="20"/>
        <v>0</v>
      </c>
      <c r="T16" s="2288">
        <f t="shared" si="21"/>
        <v>0</v>
      </c>
      <c r="U16" s="2288">
        <f t="shared" si="22"/>
        <v>0</v>
      </c>
      <c r="V16" s="2288">
        <f t="shared" si="23"/>
        <v>0</v>
      </c>
      <c r="W16" s="2288">
        <f t="shared" si="24"/>
        <v>0</v>
      </c>
      <c r="X16" s="2288">
        <f t="shared" si="25"/>
        <v>0</v>
      </c>
      <c r="Y16" s="2288">
        <f t="shared" si="26"/>
        <v>0</v>
      </c>
      <c r="Z16" s="2288">
        <f t="shared" si="27"/>
        <v>0</v>
      </c>
      <c r="AA16" s="2288">
        <f t="shared" si="28"/>
        <v>0</v>
      </c>
      <c r="AB16" s="2288">
        <f t="shared" si="29"/>
        <v>0</v>
      </c>
      <c r="AC16" s="2288">
        <f t="shared" si="30"/>
        <v>0</v>
      </c>
      <c r="AD16" s="2288">
        <f t="shared" si="31"/>
        <v>0</v>
      </c>
      <c r="AE16" s="2288">
        <f t="shared" si="32"/>
        <v>0</v>
      </c>
      <c r="AF16" s="2288">
        <f t="shared" si="33"/>
        <v>0</v>
      </c>
      <c r="AG16" s="2288">
        <f t="shared" si="34"/>
        <v>0</v>
      </c>
      <c r="AH16" s="2288">
        <f t="shared" si="35"/>
        <v>0</v>
      </c>
      <c r="AI16" s="2288">
        <f t="shared" si="36"/>
        <v>0</v>
      </c>
      <c r="AJ16" s="2260">
        <f t="shared" ref="AJ16:AJ23" si="37">SUM(S16:AI16)</f>
        <v>0</v>
      </c>
      <c r="AK16" s="2288" t="e">
        <f t="shared" si="18"/>
        <v>#N/A</v>
      </c>
      <c r="AT16" s="2515"/>
      <c r="AU16" s="2515"/>
      <c r="AV16" s="2515"/>
      <c r="AX16" s="2510"/>
      <c r="AY16" s="2511"/>
      <c r="AZ16" s="2511"/>
      <c r="BA16" s="2512"/>
    </row>
    <row r="17" spans="1:49" s="1583" customFormat="1">
      <c r="B17" s="2583"/>
      <c r="C17" s="2583"/>
      <c r="D17" s="2583"/>
      <c r="E17" s="2583"/>
      <c r="F17" s="2583"/>
      <c r="G17" s="2583"/>
      <c r="H17" s="2583"/>
      <c r="I17" s="2583"/>
      <c r="J17" s="2583"/>
      <c r="K17" s="2583"/>
      <c r="L17" s="2584"/>
      <c r="M17" s="2583"/>
      <c r="N17" s="2583"/>
      <c r="O17" s="2583"/>
      <c r="P17" s="2583"/>
      <c r="Q17" s="2583"/>
      <c r="R17" s="2583"/>
      <c r="S17" s="2288">
        <f t="shared" si="20"/>
        <v>0</v>
      </c>
      <c r="T17" s="2288">
        <f t="shared" si="21"/>
        <v>0</v>
      </c>
      <c r="U17" s="2288">
        <f t="shared" si="22"/>
        <v>0</v>
      </c>
      <c r="V17" s="2288">
        <f t="shared" si="23"/>
        <v>0</v>
      </c>
      <c r="W17" s="2288">
        <f t="shared" si="24"/>
        <v>0</v>
      </c>
      <c r="X17" s="2288">
        <f t="shared" si="25"/>
        <v>0</v>
      </c>
      <c r="Y17" s="2288">
        <f t="shared" si="26"/>
        <v>0</v>
      </c>
      <c r="Z17" s="2288">
        <f t="shared" si="27"/>
        <v>0</v>
      </c>
      <c r="AA17" s="2288">
        <f t="shared" si="28"/>
        <v>0</v>
      </c>
      <c r="AB17" s="2288">
        <f t="shared" si="29"/>
        <v>0</v>
      </c>
      <c r="AC17" s="2288">
        <f t="shared" si="30"/>
        <v>0</v>
      </c>
      <c r="AD17" s="2288">
        <f t="shared" si="31"/>
        <v>0</v>
      </c>
      <c r="AE17" s="2288">
        <f t="shared" si="32"/>
        <v>0</v>
      </c>
      <c r="AF17" s="2288">
        <f t="shared" si="33"/>
        <v>0</v>
      </c>
      <c r="AG17" s="2288">
        <f t="shared" si="34"/>
        <v>0</v>
      </c>
      <c r="AH17" s="2288">
        <f t="shared" si="35"/>
        <v>0</v>
      </c>
      <c r="AI17" s="2288">
        <f t="shared" si="36"/>
        <v>0</v>
      </c>
      <c r="AJ17" s="2260">
        <f t="shared" si="37"/>
        <v>0</v>
      </c>
      <c r="AK17" s="2288" t="e">
        <f t="shared" si="18"/>
        <v>#N/A</v>
      </c>
    </row>
    <row r="18" spans="1:49" s="1583" customFormat="1">
      <c r="B18" s="2583"/>
      <c r="C18" s="2583"/>
      <c r="D18" s="2583"/>
      <c r="E18" s="2583"/>
      <c r="F18" s="2583"/>
      <c r="G18" s="2583"/>
      <c r="H18" s="2583"/>
      <c r="I18" s="2583"/>
      <c r="J18" s="2583"/>
      <c r="K18" s="2583"/>
      <c r="L18" s="2583"/>
      <c r="M18" s="2583"/>
      <c r="N18" s="2583"/>
      <c r="O18" s="2583"/>
      <c r="P18" s="2583"/>
      <c r="Q18" s="2583"/>
      <c r="R18" s="2583"/>
      <c r="S18" s="2288">
        <f t="shared" si="20"/>
        <v>0</v>
      </c>
      <c r="T18" s="2288">
        <f t="shared" si="21"/>
        <v>0</v>
      </c>
      <c r="U18" s="2288">
        <f t="shared" si="22"/>
        <v>0</v>
      </c>
      <c r="V18" s="2288">
        <f t="shared" si="23"/>
        <v>0</v>
      </c>
      <c r="W18" s="2288">
        <f t="shared" si="24"/>
        <v>0</v>
      </c>
      <c r="X18" s="2288">
        <f t="shared" si="25"/>
        <v>0</v>
      </c>
      <c r="Y18" s="2288">
        <f t="shared" si="26"/>
        <v>0</v>
      </c>
      <c r="Z18" s="2288">
        <f t="shared" si="27"/>
        <v>0</v>
      </c>
      <c r="AA18" s="2288">
        <f t="shared" si="28"/>
        <v>0</v>
      </c>
      <c r="AB18" s="2288">
        <f t="shared" si="29"/>
        <v>0</v>
      </c>
      <c r="AC18" s="2288">
        <f t="shared" si="30"/>
        <v>0</v>
      </c>
      <c r="AD18" s="2288">
        <f t="shared" si="31"/>
        <v>0</v>
      </c>
      <c r="AE18" s="2288">
        <f t="shared" si="32"/>
        <v>0</v>
      </c>
      <c r="AF18" s="2288">
        <f t="shared" si="33"/>
        <v>0</v>
      </c>
      <c r="AG18" s="2288">
        <f t="shared" si="34"/>
        <v>0</v>
      </c>
      <c r="AH18" s="2288">
        <f t="shared" si="35"/>
        <v>0</v>
      </c>
      <c r="AI18" s="2288">
        <f t="shared" si="36"/>
        <v>0</v>
      </c>
      <c r="AJ18" s="2288">
        <f t="shared" si="37"/>
        <v>0</v>
      </c>
      <c r="AK18" s="2288" t="e">
        <f t="shared" si="18"/>
        <v>#N/A</v>
      </c>
      <c r="AR18" s="1583" t="s">
        <v>2590</v>
      </c>
      <c r="AS18" s="2375">
        <v>0.4</v>
      </c>
      <c r="AT18" s="2375">
        <v>0</v>
      </c>
    </row>
    <row r="19" spans="1:49">
      <c r="A19" s="1583"/>
      <c r="B19" s="2583"/>
      <c r="C19" s="2583"/>
      <c r="D19" s="2583"/>
      <c r="E19" s="2583"/>
      <c r="F19" s="2585"/>
      <c r="G19" s="2583"/>
      <c r="H19" s="2583"/>
      <c r="I19" s="2583"/>
      <c r="J19" s="2583"/>
      <c r="K19" s="2583"/>
      <c r="L19" s="2583"/>
      <c r="M19" s="2583"/>
      <c r="N19" s="2583"/>
      <c r="O19" s="2583"/>
      <c r="P19" s="2583"/>
      <c r="Q19" s="2583"/>
      <c r="R19" s="2583"/>
      <c r="S19" s="2288">
        <f t="shared" si="20"/>
        <v>0</v>
      </c>
      <c r="T19" s="2288">
        <f t="shared" si="21"/>
        <v>0</v>
      </c>
      <c r="U19" s="2288">
        <f t="shared" si="22"/>
        <v>0</v>
      </c>
      <c r="V19" s="2288">
        <f t="shared" si="23"/>
        <v>0</v>
      </c>
      <c r="W19" s="2288">
        <f t="shared" si="24"/>
        <v>0</v>
      </c>
      <c r="X19" s="2288">
        <f t="shared" si="25"/>
        <v>0</v>
      </c>
      <c r="Y19" s="2288">
        <f t="shared" si="26"/>
        <v>0</v>
      </c>
      <c r="Z19" s="2288">
        <f t="shared" si="27"/>
        <v>0</v>
      </c>
      <c r="AA19" s="2288">
        <f t="shared" si="28"/>
        <v>0</v>
      </c>
      <c r="AB19" s="2288">
        <f t="shared" si="29"/>
        <v>0</v>
      </c>
      <c r="AC19" s="2288">
        <f t="shared" si="30"/>
        <v>0</v>
      </c>
      <c r="AD19" s="2288">
        <f t="shared" si="31"/>
        <v>0</v>
      </c>
      <c r="AE19" s="2288">
        <f t="shared" si="32"/>
        <v>0</v>
      </c>
      <c r="AF19" s="2288">
        <f t="shared" si="33"/>
        <v>0</v>
      </c>
      <c r="AG19" s="2288">
        <f t="shared" si="34"/>
        <v>0</v>
      </c>
      <c r="AH19" s="2288">
        <f t="shared" si="35"/>
        <v>0</v>
      </c>
      <c r="AI19" s="2288">
        <f t="shared" si="36"/>
        <v>0</v>
      </c>
      <c r="AJ19" s="2260">
        <f t="shared" si="37"/>
        <v>0</v>
      </c>
      <c r="AK19" s="2288" t="e">
        <f t="shared" si="18"/>
        <v>#N/A</v>
      </c>
      <c r="AP19" s="1221"/>
      <c r="AR19" s="1583" t="s">
        <v>2589</v>
      </c>
      <c r="AS19" s="2375">
        <v>1.4</v>
      </c>
      <c r="AT19" s="2375">
        <v>0</v>
      </c>
    </row>
    <row r="20" spans="1:49">
      <c r="A20" s="1583">
        <v>5</v>
      </c>
      <c r="B20" s="2583"/>
      <c r="C20" s="2583"/>
      <c r="D20" s="2583"/>
      <c r="E20" s="2583"/>
      <c r="F20" s="2583"/>
      <c r="G20" s="2583"/>
      <c r="H20" s="2583"/>
      <c r="I20" s="2583"/>
      <c r="J20" s="2583"/>
      <c r="K20" s="2583"/>
      <c r="L20" s="2583"/>
      <c r="M20" s="2583"/>
      <c r="N20" s="2583"/>
      <c r="O20" s="2583"/>
      <c r="P20" s="2583"/>
      <c r="Q20" s="2583"/>
      <c r="R20" s="2583"/>
      <c r="S20" s="2288">
        <f t="shared" si="20"/>
        <v>0</v>
      </c>
      <c r="T20" s="2288">
        <f t="shared" si="21"/>
        <v>0</v>
      </c>
      <c r="U20" s="2288">
        <f t="shared" si="22"/>
        <v>0</v>
      </c>
      <c r="V20" s="2288">
        <f t="shared" si="23"/>
        <v>0</v>
      </c>
      <c r="W20" s="2288">
        <f t="shared" si="24"/>
        <v>0</v>
      </c>
      <c r="X20" s="2288">
        <f t="shared" si="25"/>
        <v>0</v>
      </c>
      <c r="Y20" s="2288">
        <f t="shared" si="26"/>
        <v>0</v>
      </c>
      <c r="Z20" s="2288">
        <f t="shared" si="27"/>
        <v>0</v>
      </c>
      <c r="AA20" s="2288">
        <f t="shared" si="28"/>
        <v>0</v>
      </c>
      <c r="AB20" s="2288">
        <f t="shared" si="29"/>
        <v>0</v>
      </c>
      <c r="AC20" s="2288">
        <f t="shared" si="30"/>
        <v>0</v>
      </c>
      <c r="AD20" s="2288">
        <f t="shared" si="31"/>
        <v>0</v>
      </c>
      <c r="AE20" s="2288">
        <f t="shared" si="32"/>
        <v>0</v>
      </c>
      <c r="AF20" s="2288">
        <f t="shared" si="33"/>
        <v>0</v>
      </c>
      <c r="AG20" s="2288">
        <f t="shared" si="34"/>
        <v>0</v>
      </c>
      <c r="AH20" s="2288">
        <f t="shared" si="35"/>
        <v>0</v>
      </c>
      <c r="AI20" s="2288">
        <f t="shared" si="36"/>
        <v>0</v>
      </c>
      <c r="AJ20" s="2260">
        <f t="shared" si="37"/>
        <v>0</v>
      </c>
      <c r="AK20" s="2288" t="e">
        <f t="shared" si="18"/>
        <v>#N/A</v>
      </c>
      <c r="AN20" t="s">
        <v>2478</v>
      </c>
      <c r="AO20" t="s">
        <v>2492</v>
      </c>
      <c r="AP20" s="1221"/>
      <c r="AR20" t="s">
        <v>2960</v>
      </c>
      <c r="AS20">
        <v>3.8</v>
      </c>
      <c r="AT20">
        <v>0</v>
      </c>
      <c r="AV20" s="2571"/>
    </row>
    <row r="21" spans="1:49">
      <c r="B21" s="2583"/>
      <c r="C21" s="2583"/>
      <c r="D21" s="2583"/>
      <c r="E21" s="2583"/>
      <c r="F21" s="2583"/>
      <c r="G21" s="2583"/>
      <c r="H21" s="2583"/>
      <c r="I21" s="2583"/>
      <c r="J21" s="2583"/>
      <c r="K21" s="2583"/>
      <c r="L21" s="2583"/>
      <c r="M21" s="2583"/>
      <c r="N21" s="2583"/>
      <c r="O21" s="2583"/>
      <c r="P21" s="2583"/>
      <c r="Q21" s="2583"/>
      <c r="R21" s="2583"/>
      <c r="S21" s="2288">
        <f t="shared" si="20"/>
        <v>0</v>
      </c>
      <c r="T21" s="2288">
        <f t="shared" si="21"/>
        <v>0</v>
      </c>
      <c r="U21" s="2288">
        <f t="shared" si="22"/>
        <v>0</v>
      </c>
      <c r="V21" s="2288">
        <f t="shared" si="23"/>
        <v>0</v>
      </c>
      <c r="W21" s="2288">
        <f t="shared" si="24"/>
        <v>0</v>
      </c>
      <c r="X21" s="2288">
        <f t="shared" si="25"/>
        <v>0</v>
      </c>
      <c r="Y21" s="2288">
        <f t="shared" si="26"/>
        <v>0</v>
      </c>
      <c r="Z21" s="2288">
        <f t="shared" si="27"/>
        <v>0</v>
      </c>
      <c r="AA21" s="2288">
        <f t="shared" si="28"/>
        <v>0</v>
      </c>
      <c r="AB21" s="2288">
        <f t="shared" si="29"/>
        <v>0</v>
      </c>
      <c r="AC21" s="2288">
        <f t="shared" si="30"/>
        <v>0</v>
      </c>
      <c r="AD21" s="2288">
        <f t="shared" si="31"/>
        <v>0</v>
      </c>
      <c r="AE21" s="2288">
        <f t="shared" si="32"/>
        <v>0</v>
      </c>
      <c r="AF21" s="2288">
        <f t="shared" si="33"/>
        <v>0</v>
      </c>
      <c r="AG21" s="2288">
        <f t="shared" si="34"/>
        <v>0</v>
      </c>
      <c r="AH21" s="2288">
        <f t="shared" si="35"/>
        <v>0</v>
      </c>
      <c r="AI21" s="2288">
        <f t="shared" si="36"/>
        <v>0</v>
      </c>
      <c r="AJ21" s="2260">
        <f t="shared" si="37"/>
        <v>0</v>
      </c>
      <c r="AK21" s="2288" t="e">
        <f t="shared" si="18"/>
        <v>#N/A</v>
      </c>
      <c r="AN21" t="str">
        <f>$AN$20&amp;" "&amp;AN4&amp;" "&amp;$AO$20</f>
        <v>MCB 2 Ampere</v>
      </c>
      <c r="AP21" s="1221"/>
    </row>
    <row r="22" spans="1:49">
      <c r="B22" s="2583"/>
      <c r="C22" s="2583"/>
      <c r="D22" s="2583"/>
      <c r="E22" s="2583"/>
      <c r="F22" s="2583"/>
      <c r="G22" s="2583"/>
      <c r="H22" s="2583"/>
      <c r="I22" s="2583"/>
      <c r="J22" s="2583"/>
      <c r="K22" s="2583"/>
      <c r="L22" s="2583"/>
      <c r="M22" s="2583"/>
      <c r="N22" s="2583"/>
      <c r="O22" s="2583"/>
      <c r="P22" s="2583"/>
      <c r="Q22" s="2583"/>
      <c r="R22" s="2583"/>
      <c r="S22" s="2288">
        <f t="shared" ref="S22:AI22" si="38">B22*B$2</f>
        <v>0</v>
      </c>
      <c r="T22" s="2288">
        <f t="shared" si="38"/>
        <v>0</v>
      </c>
      <c r="U22" s="2288">
        <f t="shared" si="38"/>
        <v>0</v>
      </c>
      <c r="V22" s="2288">
        <f t="shared" si="38"/>
        <v>0</v>
      </c>
      <c r="W22" s="2288">
        <f t="shared" si="38"/>
        <v>0</v>
      </c>
      <c r="X22" s="2288">
        <f t="shared" si="38"/>
        <v>0</v>
      </c>
      <c r="Y22" s="2288">
        <f t="shared" si="38"/>
        <v>0</v>
      </c>
      <c r="Z22" s="2288">
        <f t="shared" si="38"/>
        <v>0</v>
      </c>
      <c r="AA22" s="2288">
        <f t="shared" si="38"/>
        <v>0</v>
      </c>
      <c r="AB22" s="2288">
        <f t="shared" si="38"/>
        <v>0</v>
      </c>
      <c r="AC22" s="2288">
        <f t="shared" si="38"/>
        <v>0</v>
      </c>
      <c r="AD22" s="2288">
        <f t="shared" si="38"/>
        <v>0</v>
      </c>
      <c r="AE22" s="2288">
        <f t="shared" si="38"/>
        <v>0</v>
      </c>
      <c r="AF22" s="2288">
        <f t="shared" si="38"/>
        <v>0</v>
      </c>
      <c r="AG22" s="2288">
        <f t="shared" si="38"/>
        <v>0</v>
      </c>
      <c r="AH22" s="2288">
        <f t="shared" si="38"/>
        <v>0</v>
      </c>
      <c r="AI22" s="2288">
        <f t="shared" si="38"/>
        <v>0</v>
      </c>
      <c r="AJ22" s="2260">
        <f t="shared" si="37"/>
        <v>0</v>
      </c>
      <c r="AK22" s="2288" t="e">
        <f>VLOOKUP(AJ22,$AP$3:$AQ$14,2,TRUE)</f>
        <v>#N/A</v>
      </c>
      <c r="AN22" s="1221" t="str">
        <f t="shared" ref="AN22:AN30" si="39">$AN$20&amp;" "&amp;AN5&amp;" "&amp;$AO$20</f>
        <v>MCB 4 Ampere</v>
      </c>
      <c r="AP22" s="1221"/>
    </row>
    <row r="23" spans="1:49">
      <c r="A23" s="1583"/>
      <c r="B23" s="1221"/>
      <c r="C23" s="1221"/>
      <c r="D23" s="1221"/>
      <c r="E23" s="1221"/>
      <c r="AJ23" s="2260">
        <f t="shared" si="37"/>
        <v>0</v>
      </c>
      <c r="AN23" s="1221" t="str">
        <f t="shared" si="39"/>
        <v>MCB 6 Ampere</v>
      </c>
      <c r="AP23" s="1221"/>
    </row>
    <row r="24" spans="1:49" s="1583" customFormat="1">
      <c r="AN24" s="1583" t="str">
        <f t="shared" si="39"/>
        <v>MCB 10 Ampere</v>
      </c>
      <c r="AS24" t="s">
        <v>2636</v>
      </c>
    </row>
    <row r="25" spans="1:49" s="1583" customFormat="1">
      <c r="B25" s="1221"/>
      <c r="C25" s="1221"/>
      <c r="D25" s="1221"/>
      <c r="E25" s="1221"/>
      <c r="AN25" s="1583" t="str">
        <f t="shared" si="39"/>
        <v>MCB 16 Ampere</v>
      </c>
      <c r="AS25" t="s">
        <v>2797</v>
      </c>
      <c r="AW25" s="2626"/>
    </row>
    <row r="26" spans="1:49" s="1583" customFormat="1">
      <c r="AN26" s="1583" t="str">
        <f t="shared" si="39"/>
        <v>MCB 20 Ampere</v>
      </c>
      <c r="AS26"/>
      <c r="AW26" s="2626"/>
    </row>
    <row r="27" spans="1:49" s="1583" customFormat="1">
      <c r="AN27" s="1583" t="str">
        <f t="shared" si="39"/>
        <v>MCB 25 Ampere</v>
      </c>
      <c r="AS27" s="1583" t="s">
        <v>2686</v>
      </c>
      <c r="AW27" s="2626"/>
    </row>
    <row r="28" spans="1:49" s="1583" customFormat="1">
      <c r="AN28" s="1583" t="str">
        <f t="shared" si="39"/>
        <v>MCB 32 Ampere</v>
      </c>
      <c r="AW28" s="2626"/>
    </row>
    <row r="29" spans="1:49">
      <c r="AN29" s="1221" t="str">
        <f t="shared" si="39"/>
        <v>MCB 40 Ampere</v>
      </c>
      <c r="AW29" s="1576"/>
    </row>
    <row r="30" spans="1:49">
      <c r="AN30" s="1221" t="str">
        <f t="shared" si="39"/>
        <v>MCB 50 Ampere</v>
      </c>
    </row>
    <row r="31" spans="1:49">
      <c r="AN31" s="1221" t="str">
        <f>$AN$20&amp;" "&amp;AN14&amp;" "&amp;$AO$20</f>
        <v>MCB 63 Ampere</v>
      </c>
    </row>
  </sheetData>
  <conditionalFormatting sqref="S4:AI22 AK4:AK22">
    <cfRule type="cellIs" dxfId="0" priority="1" operator="greaterThan">
      <formula>0</formula>
    </cfRule>
  </conditionalFormatting>
  <pageMargins left="0.7" right="0.7" top="0.75" bottom="0.75" header="0.3" footer="0.3"/>
  <pageSetup orientation="portrait" r:id="rId1"/>
  <drawing r:id="rId2"/>
  <legacyDrawing r:id="rId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1">
    <tabColor rgb="FFFFFF00"/>
  </sheetPr>
  <dimension ref="A2:E20"/>
  <sheetViews>
    <sheetView workbookViewId="0">
      <selection activeCell="I17" sqref="I17"/>
    </sheetView>
  </sheetViews>
  <sheetFormatPr defaultRowHeight="15"/>
  <sheetData>
    <row r="2" spans="1:5">
      <c r="A2">
        <v>1</v>
      </c>
      <c r="B2" t="s">
        <v>189</v>
      </c>
    </row>
    <row r="3" spans="1:5">
      <c r="B3" t="s">
        <v>1922</v>
      </c>
      <c r="C3">
        <f>'REKAP '!$O$4</f>
        <v>35</v>
      </c>
      <c r="D3" t="s">
        <v>1924</v>
      </c>
      <c r="E3" s="1612">
        <f>2*(C3+C4)</f>
        <v>202</v>
      </c>
    </row>
    <row r="4" spans="1:5">
      <c r="B4" t="s">
        <v>1923</v>
      </c>
      <c r="C4">
        <v>66</v>
      </c>
    </row>
    <row r="6" spans="1:5">
      <c r="A6">
        <v>2</v>
      </c>
      <c r="B6" t="s">
        <v>191</v>
      </c>
    </row>
    <row r="7" spans="1:5">
      <c r="B7" s="1221" t="s">
        <v>1922</v>
      </c>
      <c r="C7" s="1221">
        <f>'REKAP '!$O$4</f>
        <v>35</v>
      </c>
      <c r="D7" s="1221" t="s">
        <v>1924</v>
      </c>
      <c r="E7" s="1612">
        <f>2*(C7+C8)</f>
        <v>202</v>
      </c>
    </row>
    <row r="8" spans="1:5">
      <c r="B8" s="1221" t="s">
        <v>1923</v>
      </c>
      <c r="C8" s="1221">
        <f>'REKAP '!$P$4</f>
        <v>66</v>
      </c>
      <c r="D8" s="1221"/>
      <c r="E8" s="1221"/>
    </row>
    <row r="10" spans="1:5">
      <c r="A10">
        <v>3</v>
      </c>
      <c r="B10" t="s">
        <v>192</v>
      </c>
    </row>
    <row r="11" spans="1:5">
      <c r="B11" s="1221" t="s">
        <v>1922</v>
      </c>
      <c r="C11" s="1221">
        <v>4</v>
      </c>
      <c r="D11" s="1221" t="s">
        <v>1924</v>
      </c>
      <c r="E11" s="1612">
        <f>C11*C12</f>
        <v>24</v>
      </c>
    </row>
    <row r="12" spans="1:5">
      <c r="B12" s="1221" t="s">
        <v>1923</v>
      </c>
      <c r="C12" s="1221">
        <v>6</v>
      </c>
      <c r="D12" s="1221"/>
      <c r="E12" s="1221"/>
    </row>
    <row r="14" spans="1:5">
      <c r="A14">
        <v>4</v>
      </c>
      <c r="B14" t="s">
        <v>24</v>
      </c>
    </row>
    <row r="15" spans="1:5">
      <c r="B15" s="1221" t="s">
        <v>1922</v>
      </c>
      <c r="C15" s="1221">
        <v>4</v>
      </c>
      <c r="D15" s="1221" t="s">
        <v>1924</v>
      </c>
      <c r="E15" s="1612">
        <f>C15*C16</f>
        <v>24</v>
      </c>
    </row>
    <row r="16" spans="1:5">
      <c r="B16" s="1221" t="s">
        <v>1923</v>
      </c>
      <c r="C16" s="1221">
        <v>6</v>
      </c>
      <c r="D16" s="1221"/>
      <c r="E16" s="1221"/>
    </row>
    <row r="18" spans="1:5">
      <c r="A18">
        <v>5</v>
      </c>
      <c r="B18" s="1221" t="s">
        <v>2067</v>
      </c>
      <c r="C18" s="1221"/>
      <c r="D18" s="1221"/>
      <c r="E18" s="1221"/>
    </row>
    <row r="19" spans="1:5">
      <c r="B19" s="1221" t="s">
        <v>1922</v>
      </c>
      <c r="C19" s="1221">
        <v>0</v>
      </c>
      <c r="D19" s="1221" t="s">
        <v>1924</v>
      </c>
      <c r="E19" s="1612">
        <f>C19*C20</f>
        <v>0</v>
      </c>
    </row>
    <row r="20" spans="1:5">
      <c r="B20" s="1221" t="s">
        <v>1923</v>
      </c>
      <c r="C20" s="1221">
        <v>0</v>
      </c>
      <c r="D20" s="1221"/>
      <c r="E20" s="1221"/>
    </row>
  </sheetData>
  <hyperlinks>
    <hyperlink ref="E7" location="BOQ!H19" display="BOQ!H19" xr:uid="{00000000-0004-0000-1400-000000000000}"/>
    <hyperlink ref="E3" location="BOQ!H18" display="BOQ!H18" xr:uid="{00000000-0004-0000-1400-000001000000}"/>
    <hyperlink ref="E11" location="BOQ!H22" display="BOQ!H22" xr:uid="{00000000-0004-0000-1400-000002000000}"/>
    <hyperlink ref="E15" location="BOQ!H23" display="BOQ!H23" xr:uid="{00000000-0004-0000-1400-000003000000}"/>
    <hyperlink ref="E19" location="BOQ!H24" display="BOQ!H24" xr:uid="{00000000-0004-0000-1400-000004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1">
    <tabColor rgb="FF00B050"/>
  </sheetPr>
  <dimension ref="B1:L117"/>
  <sheetViews>
    <sheetView view="pageBreakPreview" zoomScaleSheetLayoutView="100" workbookViewId="0">
      <selection activeCell="N63" sqref="N63"/>
    </sheetView>
  </sheetViews>
  <sheetFormatPr defaultRowHeight="15"/>
  <cols>
    <col min="1" max="1" width="1.140625" style="5" customWidth="1"/>
    <col min="2" max="2" width="5" style="5" customWidth="1"/>
    <col min="3" max="3" width="1.28515625" style="5" customWidth="1"/>
    <col min="4" max="4" width="43.85546875" style="5" customWidth="1"/>
    <col min="5" max="5" width="8.140625" style="5" customWidth="1"/>
    <col min="6" max="6" width="8.7109375" style="5" customWidth="1"/>
    <col min="7" max="7" width="15.28515625" style="5" customWidth="1"/>
    <col min="8" max="9" width="16.7109375" style="5" customWidth="1"/>
    <col min="10" max="10" width="9.140625" style="5"/>
    <col min="11" max="11" width="10" style="5" bestFit="1" customWidth="1"/>
    <col min="12" max="257" width="9.140625" style="5"/>
    <col min="258" max="258" width="1.140625" style="5" customWidth="1"/>
    <col min="259" max="259" width="5" style="5" customWidth="1"/>
    <col min="260" max="260" width="1.28515625" style="5" customWidth="1"/>
    <col min="261" max="261" width="43.85546875" style="5" customWidth="1"/>
    <col min="262" max="262" width="8.140625" style="5" customWidth="1"/>
    <col min="263" max="263" width="8.7109375" style="5" customWidth="1"/>
    <col min="264" max="264" width="15.28515625" style="5" customWidth="1"/>
    <col min="265" max="265" width="16.7109375" style="5" customWidth="1"/>
    <col min="266" max="513" width="9.140625" style="5"/>
    <col min="514" max="514" width="1.140625" style="5" customWidth="1"/>
    <col min="515" max="515" width="5" style="5" customWidth="1"/>
    <col min="516" max="516" width="1.28515625" style="5" customWidth="1"/>
    <col min="517" max="517" width="43.85546875" style="5" customWidth="1"/>
    <col min="518" max="518" width="8.140625" style="5" customWidth="1"/>
    <col min="519" max="519" width="8.7109375" style="5" customWidth="1"/>
    <col min="520" max="520" width="15.28515625" style="5" customWidth="1"/>
    <col min="521" max="521" width="16.7109375" style="5" customWidth="1"/>
    <col min="522" max="769" width="9.140625" style="5"/>
    <col min="770" max="770" width="1.140625" style="5" customWidth="1"/>
    <col min="771" max="771" width="5" style="5" customWidth="1"/>
    <col min="772" max="772" width="1.28515625" style="5" customWidth="1"/>
    <col min="773" max="773" width="43.85546875" style="5" customWidth="1"/>
    <col min="774" max="774" width="8.140625" style="5" customWidth="1"/>
    <col min="775" max="775" width="8.7109375" style="5" customWidth="1"/>
    <col min="776" max="776" width="15.28515625" style="5" customWidth="1"/>
    <col min="777" max="777" width="16.7109375" style="5" customWidth="1"/>
    <col min="778" max="1025" width="9.140625" style="5"/>
    <col min="1026" max="1026" width="1.140625" style="5" customWidth="1"/>
    <col min="1027" max="1027" width="5" style="5" customWidth="1"/>
    <col min="1028" max="1028" width="1.28515625" style="5" customWidth="1"/>
    <col min="1029" max="1029" width="43.85546875" style="5" customWidth="1"/>
    <col min="1030" max="1030" width="8.140625" style="5" customWidth="1"/>
    <col min="1031" max="1031" width="8.7109375" style="5" customWidth="1"/>
    <col min="1032" max="1032" width="15.28515625" style="5" customWidth="1"/>
    <col min="1033" max="1033" width="16.7109375" style="5" customWidth="1"/>
    <col min="1034" max="1281" width="9.140625" style="5"/>
    <col min="1282" max="1282" width="1.140625" style="5" customWidth="1"/>
    <col min="1283" max="1283" width="5" style="5" customWidth="1"/>
    <col min="1284" max="1284" width="1.28515625" style="5" customWidth="1"/>
    <col min="1285" max="1285" width="43.85546875" style="5" customWidth="1"/>
    <col min="1286" max="1286" width="8.140625" style="5" customWidth="1"/>
    <col min="1287" max="1287" width="8.7109375" style="5" customWidth="1"/>
    <col min="1288" max="1288" width="15.28515625" style="5" customWidth="1"/>
    <col min="1289" max="1289" width="16.7109375" style="5" customWidth="1"/>
    <col min="1290" max="1537" width="9.140625" style="5"/>
    <col min="1538" max="1538" width="1.140625" style="5" customWidth="1"/>
    <col min="1539" max="1539" width="5" style="5" customWidth="1"/>
    <col min="1540" max="1540" width="1.28515625" style="5" customWidth="1"/>
    <col min="1541" max="1541" width="43.85546875" style="5" customWidth="1"/>
    <col min="1542" max="1542" width="8.140625" style="5" customWidth="1"/>
    <col min="1543" max="1543" width="8.7109375" style="5" customWidth="1"/>
    <col min="1544" max="1544" width="15.28515625" style="5" customWidth="1"/>
    <col min="1545" max="1545" width="16.7109375" style="5" customWidth="1"/>
    <col min="1546" max="1793" width="9.140625" style="5"/>
    <col min="1794" max="1794" width="1.140625" style="5" customWidth="1"/>
    <col min="1795" max="1795" width="5" style="5" customWidth="1"/>
    <col min="1796" max="1796" width="1.28515625" style="5" customWidth="1"/>
    <col min="1797" max="1797" width="43.85546875" style="5" customWidth="1"/>
    <col min="1798" max="1798" width="8.140625" style="5" customWidth="1"/>
    <col min="1799" max="1799" width="8.7109375" style="5" customWidth="1"/>
    <col min="1800" max="1800" width="15.28515625" style="5" customWidth="1"/>
    <col min="1801" max="1801" width="16.7109375" style="5" customWidth="1"/>
    <col min="1802" max="2049" width="9.140625" style="5"/>
    <col min="2050" max="2050" width="1.140625" style="5" customWidth="1"/>
    <col min="2051" max="2051" width="5" style="5" customWidth="1"/>
    <col min="2052" max="2052" width="1.28515625" style="5" customWidth="1"/>
    <col min="2053" max="2053" width="43.85546875" style="5" customWidth="1"/>
    <col min="2054" max="2054" width="8.140625" style="5" customWidth="1"/>
    <col min="2055" max="2055" width="8.7109375" style="5" customWidth="1"/>
    <col min="2056" max="2056" width="15.28515625" style="5" customWidth="1"/>
    <col min="2057" max="2057" width="16.7109375" style="5" customWidth="1"/>
    <col min="2058" max="2305" width="9.140625" style="5"/>
    <col min="2306" max="2306" width="1.140625" style="5" customWidth="1"/>
    <col min="2307" max="2307" width="5" style="5" customWidth="1"/>
    <col min="2308" max="2308" width="1.28515625" style="5" customWidth="1"/>
    <col min="2309" max="2309" width="43.85546875" style="5" customWidth="1"/>
    <col min="2310" max="2310" width="8.140625" style="5" customWidth="1"/>
    <col min="2311" max="2311" width="8.7109375" style="5" customWidth="1"/>
    <col min="2312" max="2312" width="15.28515625" style="5" customWidth="1"/>
    <col min="2313" max="2313" width="16.7109375" style="5" customWidth="1"/>
    <col min="2314" max="2561" width="9.140625" style="5"/>
    <col min="2562" max="2562" width="1.140625" style="5" customWidth="1"/>
    <col min="2563" max="2563" width="5" style="5" customWidth="1"/>
    <col min="2564" max="2564" width="1.28515625" style="5" customWidth="1"/>
    <col min="2565" max="2565" width="43.85546875" style="5" customWidth="1"/>
    <col min="2566" max="2566" width="8.140625" style="5" customWidth="1"/>
    <col min="2567" max="2567" width="8.7109375" style="5" customWidth="1"/>
    <col min="2568" max="2568" width="15.28515625" style="5" customWidth="1"/>
    <col min="2569" max="2569" width="16.7109375" style="5" customWidth="1"/>
    <col min="2570" max="2817" width="9.140625" style="5"/>
    <col min="2818" max="2818" width="1.140625" style="5" customWidth="1"/>
    <col min="2819" max="2819" width="5" style="5" customWidth="1"/>
    <col min="2820" max="2820" width="1.28515625" style="5" customWidth="1"/>
    <col min="2821" max="2821" width="43.85546875" style="5" customWidth="1"/>
    <col min="2822" max="2822" width="8.140625" style="5" customWidth="1"/>
    <col min="2823" max="2823" width="8.7109375" style="5" customWidth="1"/>
    <col min="2824" max="2824" width="15.28515625" style="5" customWidth="1"/>
    <col min="2825" max="2825" width="16.7109375" style="5" customWidth="1"/>
    <col min="2826" max="3073" width="9.140625" style="5"/>
    <col min="3074" max="3074" width="1.140625" style="5" customWidth="1"/>
    <col min="3075" max="3075" width="5" style="5" customWidth="1"/>
    <col min="3076" max="3076" width="1.28515625" style="5" customWidth="1"/>
    <col min="3077" max="3077" width="43.85546875" style="5" customWidth="1"/>
    <col min="3078" max="3078" width="8.140625" style="5" customWidth="1"/>
    <col min="3079" max="3079" width="8.7109375" style="5" customWidth="1"/>
    <col min="3080" max="3080" width="15.28515625" style="5" customWidth="1"/>
    <col min="3081" max="3081" width="16.7109375" style="5" customWidth="1"/>
    <col min="3082" max="3329" width="9.140625" style="5"/>
    <col min="3330" max="3330" width="1.140625" style="5" customWidth="1"/>
    <col min="3331" max="3331" width="5" style="5" customWidth="1"/>
    <col min="3332" max="3332" width="1.28515625" style="5" customWidth="1"/>
    <col min="3333" max="3333" width="43.85546875" style="5" customWidth="1"/>
    <col min="3334" max="3334" width="8.140625" style="5" customWidth="1"/>
    <col min="3335" max="3335" width="8.7109375" style="5" customWidth="1"/>
    <col min="3336" max="3336" width="15.28515625" style="5" customWidth="1"/>
    <col min="3337" max="3337" width="16.7109375" style="5" customWidth="1"/>
    <col min="3338" max="3585" width="9.140625" style="5"/>
    <col min="3586" max="3586" width="1.140625" style="5" customWidth="1"/>
    <col min="3587" max="3587" width="5" style="5" customWidth="1"/>
    <col min="3588" max="3588" width="1.28515625" style="5" customWidth="1"/>
    <col min="3589" max="3589" width="43.85546875" style="5" customWidth="1"/>
    <col min="3590" max="3590" width="8.140625" style="5" customWidth="1"/>
    <col min="3591" max="3591" width="8.7109375" style="5" customWidth="1"/>
    <col min="3592" max="3592" width="15.28515625" style="5" customWidth="1"/>
    <col min="3593" max="3593" width="16.7109375" style="5" customWidth="1"/>
    <col min="3594" max="3841" width="9.140625" style="5"/>
    <col min="3842" max="3842" width="1.140625" style="5" customWidth="1"/>
    <col min="3843" max="3843" width="5" style="5" customWidth="1"/>
    <col min="3844" max="3844" width="1.28515625" style="5" customWidth="1"/>
    <col min="3845" max="3845" width="43.85546875" style="5" customWidth="1"/>
    <col min="3846" max="3846" width="8.140625" style="5" customWidth="1"/>
    <col min="3847" max="3847" width="8.7109375" style="5" customWidth="1"/>
    <col min="3848" max="3848" width="15.28515625" style="5" customWidth="1"/>
    <col min="3849" max="3849" width="16.7109375" style="5" customWidth="1"/>
    <col min="3850" max="4097" width="9.140625" style="5"/>
    <col min="4098" max="4098" width="1.140625" style="5" customWidth="1"/>
    <col min="4099" max="4099" width="5" style="5" customWidth="1"/>
    <col min="4100" max="4100" width="1.28515625" style="5" customWidth="1"/>
    <col min="4101" max="4101" width="43.85546875" style="5" customWidth="1"/>
    <col min="4102" max="4102" width="8.140625" style="5" customWidth="1"/>
    <col min="4103" max="4103" width="8.7109375" style="5" customWidth="1"/>
    <col min="4104" max="4104" width="15.28515625" style="5" customWidth="1"/>
    <col min="4105" max="4105" width="16.7109375" style="5" customWidth="1"/>
    <col min="4106" max="4353" width="9.140625" style="5"/>
    <col min="4354" max="4354" width="1.140625" style="5" customWidth="1"/>
    <col min="4355" max="4355" width="5" style="5" customWidth="1"/>
    <col min="4356" max="4356" width="1.28515625" style="5" customWidth="1"/>
    <col min="4357" max="4357" width="43.85546875" style="5" customWidth="1"/>
    <col min="4358" max="4358" width="8.140625" style="5" customWidth="1"/>
    <col min="4359" max="4359" width="8.7109375" style="5" customWidth="1"/>
    <col min="4360" max="4360" width="15.28515625" style="5" customWidth="1"/>
    <col min="4361" max="4361" width="16.7109375" style="5" customWidth="1"/>
    <col min="4362" max="4609" width="9.140625" style="5"/>
    <col min="4610" max="4610" width="1.140625" style="5" customWidth="1"/>
    <col min="4611" max="4611" width="5" style="5" customWidth="1"/>
    <col min="4612" max="4612" width="1.28515625" style="5" customWidth="1"/>
    <col min="4613" max="4613" width="43.85546875" style="5" customWidth="1"/>
    <col min="4614" max="4614" width="8.140625" style="5" customWidth="1"/>
    <col min="4615" max="4615" width="8.7109375" style="5" customWidth="1"/>
    <col min="4616" max="4616" width="15.28515625" style="5" customWidth="1"/>
    <col min="4617" max="4617" width="16.7109375" style="5" customWidth="1"/>
    <col min="4618" max="4865" width="9.140625" style="5"/>
    <col min="4866" max="4866" width="1.140625" style="5" customWidth="1"/>
    <col min="4867" max="4867" width="5" style="5" customWidth="1"/>
    <col min="4868" max="4868" width="1.28515625" style="5" customWidth="1"/>
    <col min="4869" max="4869" width="43.85546875" style="5" customWidth="1"/>
    <col min="4870" max="4870" width="8.140625" style="5" customWidth="1"/>
    <col min="4871" max="4871" width="8.7109375" style="5" customWidth="1"/>
    <col min="4872" max="4872" width="15.28515625" style="5" customWidth="1"/>
    <col min="4873" max="4873" width="16.7109375" style="5" customWidth="1"/>
    <col min="4874" max="5121" width="9.140625" style="5"/>
    <col min="5122" max="5122" width="1.140625" style="5" customWidth="1"/>
    <col min="5123" max="5123" width="5" style="5" customWidth="1"/>
    <col min="5124" max="5124" width="1.28515625" style="5" customWidth="1"/>
    <col min="5125" max="5125" width="43.85546875" style="5" customWidth="1"/>
    <col min="5126" max="5126" width="8.140625" style="5" customWidth="1"/>
    <col min="5127" max="5127" width="8.7109375" style="5" customWidth="1"/>
    <col min="5128" max="5128" width="15.28515625" style="5" customWidth="1"/>
    <col min="5129" max="5129" width="16.7109375" style="5" customWidth="1"/>
    <col min="5130" max="5377" width="9.140625" style="5"/>
    <col min="5378" max="5378" width="1.140625" style="5" customWidth="1"/>
    <col min="5379" max="5379" width="5" style="5" customWidth="1"/>
    <col min="5380" max="5380" width="1.28515625" style="5" customWidth="1"/>
    <col min="5381" max="5381" width="43.85546875" style="5" customWidth="1"/>
    <col min="5382" max="5382" width="8.140625" style="5" customWidth="1"/>
    <col min="5383" max="5383" width="8.7109375" style="5" customWidth="1"/>
    <col min="5384" max="5384" width="15.28515625" style="5" customWidth="1"/>
    <col min="5385" max="5385" width="16.7109375" style="5" customWidth="1"/>
    <col min="5386" max="5633" width="9.140625" style="5"/>
    <col min="5634" max="5634" width="1.140625" style="5" customWidth="1"/>
    <col min="5635" max="5635" width="5" style="5" customWidth="1"/>
    <col min="5636" max="5636" width="1.28515625" style="5" customWidth="1"/>
    <col min="5637" max="5637" width="43.85546875" style="5" customWidth="1"/>
    <col min="5638" max="5638" width="8.140625" style="5" customWidth="1"/>
    <col min="5639" max="5639" width="8.7109375" style="5" customWidth="1"/>
    <col min="5640" max="5640" width="15.28515625" style="5" customWidth="1"/>
    <col min="5641" max="5641" width="16.7109375" style="5" customWidth="1"/>
    <col min="5642" max="5889" width="9.140625" style="5"/>
    <col min="5890" max="5890" width="1.140625" style="5" customWidth="1"/>
    <col min="5891" max="5891" width="5" style="5" customWidth="1"/>
    <col min="5892" max="5892" width="1.28515625" style="5" customWidth="1"/>
    <col min="5893" max="5893" width="43.85546875" style="5" customWidth="1"/>
    <col min="5894" max="5894" width="8.140625" style="5" customWidth="1"/>
    <col min="5895" max="5895" width="8.7109375" style="5" customWidth="1"/>
    <col min="5896" max="5896" width="15.28515625" style="5" customWidth="1"/>
    <col min="5897" max="5897" width="16.7109375" style="5" customWidth="1"/>
    <col min="5898" max="6145" width="9.140625" style="5"/>
    <col min="6146" max="6146" width="1.140625" style="5" customWidth="1"/>
    <col min="6147" max="6147" width="5" style="5" customWidth="1"/>
    <col min="6148" max="6148" width="1.28515625" style="5" customWidth="1"/>
    <col min="6149" max="6149" width="43.85546875" style="5" customWidth="1"/>
    <col min="6150" max="6150" width="8.140625" style="5" customWidth="1"/>
    <col min="6151" max="6151" width="8.7109375" style="5" customWidth="1"/>
    <col min="6152" max="6152" width="15.28515625" style="5" customWidth="1"/>
    <col min="6153" max="6153" width="16.7109375" style="5" customWidth="1"/>
    <col min="6154" max="6401" width="9.140625" style="5"/>
    <col min="6402" max="6402" width="1.140625" style="5" customWidth="1"/>
    <col min="6403" max="6403" width="5" style="5" customWidth="1"/>
    <col min="6404" max="6404" width="1.28515625" style="5" customWidth="1"/>
    <col min="6405" max="6405" width="43.85546875" style="5" customWidth="1"/>
    <col min="6406" max="6406" width="8.140625" style="5" customWidth="1"/>
    <col min="6407" max="6407" width="8.7109375" style="5" customWidth="1"/>
    <col min="6408" max="6408" width="15.28515625" style="5" customWidth="1"/>
    <col min="6409" max="6409" width="16.7109375" style="5" customWidth="1"/>
    <col min="6410" max="6657" width="9.140625" style="5"/>
    <col min="6658" max="6658" width="1.140625" style="5" customWidth="1"/>
    <col min="6659" max="6659" width="5" style="5" customWidth="1"/>
    <col min="6660" max="6660" width="1.28515625" style="5" customWidth="1"/>
    <col min="6661" max="6661" width="43.85546875" style="5" customWidth="1"/>
    <col min="6662" max="6662" width="8.140625" style="5" customWidth="1"/>
    <col min="6663" max="6663" width="8.7109375" style="5" customWidth="1"/>
    <col min="6664" max="6664" width="15.28515625" style="5" customWidth="1"/>
    <col min="6665" max="6665" width="16.7109375" style="5" customWidth="1"/>
    <col min="6666" max="6913" width="9.140625" style="5"/>
    <col min="6914" max="6914" width="1.140625" style="5" customWidth="1"/>
    <col min="6915" max="6915" width="5" style="5" customWidth="1"/>
    <col min="6916" max="6916" width="1.28515625" style="5" customWidth="1"/>
    <col min="6917" max="6917" width="43.85546875" style="5" customWidth="1"/>
    <col min="6918" max="6918" width="8.140625" style="5" customWidth="1"/>
    <col min="6919" max="6919" width="8.7109375" style="5" customWidth="1"/>
    <col min="6920" max="6920" width="15.28515625" style="5" customWidth="1"/>
    <col min="6921" max="6921" width="16.7109375" style="5" customWidth="1"/>
    <col min="6922" max="7169" width="9.140625" style="5"/>
    <col min="7170" max="7170" width="1.140625" style="5" customWidth="1"/>
    <col min="7171" max="7171" width="5" style="5" customWidth="1"/>
    <col min="7172" max="7172" width="1.28515625" style="5" customWidth="1"/>
    <col min="7173" max="7173" width="43.85546875" style="5" customWidth="1"/>
    <col min="7174" max="7174" width="8.140625" style="5" customWidth="1"/>
    <col min="7175" max="7175" width="8.7109375" style="5" customWidth="1"/>
    <col min="7176" max="7176" width="15.28515625" style="5" customWidth="1"/>
    <col min="7177" max="7177" width="16.7109375" style="5" customWidth="1"/>
    <col min="7178" max="7425" width="9.140625" style="5"/>
    <col min="7426" max="7426" width="1.140625" style="5" customWidth="1"/>
    <col min="7427" max="7427" width="5" style="5" customWidth="1"/>
    <col min="7428" max="7428" width="1.28515625" style="5" customWidth="1"/>
    <col min="7429" max="7429" width="43.85546875" style="5" customWidth="1"/>
    <col min="7430" max="7430" width="8.140625" style="5" customWidth="1"/>
    <col min="7431" max="7431" width="8.7109375" style="5" customWidth="1"/>
    <col min="7432" max="7432" width="15.28515625" style="5" customWidth="1"/>
    <col min="7433" max="7433" width="16.7109375" style="5" customWidth="1"/>
    <col min="7434" max="7681" width="9.140625" style="5"/>
    <col min="7682" max="7682" width="1.140625" style="5" customWidth="1"/>
    <col min="7683" max="7683" width="5" style="5" customWidth="1"/>
    <col min="7684" max="7684" width="1.28515625" style="5" customWidth="1"/>
    <col min="7685" max="7685" width="43.85546875" style="5" customWidth="1"/>
    <col min="7686" max="7686" width="8.140625" style="5" customWidth="1"/>
    <col min="7687" max="7687" width="8.7109375" style="5" customWidth="1"/>
    <col min="7688" max="7688" width="15.28515625" style="5" customWidth="1"/>
    <col min="7689" max="7689" width="16.7109375" style="5" customWidth="1"/>
    <col min="7690" max="7937" width="9.140625" style="5"/>
    <col min="7938" max="7938" width="1.140625" style="5" customWidth="1"/>
    <col min="7939" max="7939" width="5" style="5" customWidth="1"/>
    <col min="7940" max="7940" width="1.28515625" style="5" customWidth="1"/>
    <col min="7941" max="7941" width="43.85546875" style="5" customWidth="1"/>
    <col min="7942" max="7942" width="8.140625" style="5" customWidth="1"/>
    <col min="7943" max="7943" width="8.7109375" style="5" customWidth="1"/>
    <col min="7944" max="7944" width="15.28515625" style="5" customWidth="1"/>
    <col min="7945" max="7945" width="16.7109375" style="5" customWidth="1"/>
    <col min="7946" max="8193" width="9.140625" style="5"/>
    <col min="8194" max="8194" width="1.140625" style="5" customWidth="1"/>
    <col min="8195" max="8195" width="5" style="5" customWidth="1"/>
    <col min="8196" max="8196" width="1.28515625" style="5" customWidth="1"/>
    <col min="8197" max="8197" width="43.85546875" style="5" customWidth="1"/>
    <col min="8198" max="8198" width="8.140625" style="5" customWidth="1"/>
    <col min="8199" max="8199" width="8.7109375" style="5" customWidth="1"/>
    <col min="8200" max="8200" width="15.28515625" style="5" customWidth="1"/>
    <col min="8201" max="8201" width="16.7109375" style="5" customWidth="1"/>
    <col min="8202" max="8449" width="9.140625" style="5"/>
    <col min="8450" max="8450" width="1.140625" style="5" customWidth="1"/>
    <col min="8451" max="8451" width="5" style="5" customWidth="1"/>
    <col min="8452" max="8452" width="1.28515625" style="5" customWidth="1"/>
    <col min="8453" max="8453" width="43.85546875" style="5" customWidth="1"/>
    <col min="8454" max="8454" width="8.140625" style="5" customWidth="1"/>
    <col min="8455" max="8455" width="8.7109375" style="5" customWidth="1"/>
    <col min="8456" max="8456" width="15.28515625" style="5" customWidth="1"/>
    <col min="8457" max="8457" width="16.7109375" style="5" customWidth="1"/>
    <col min="8458" max="8705" width="9.140625" style="5"/>
    <col min="8706" max="8706" width="1.140625" style="5" customWidth="1"/>
    <col min="8707" max="8707" width="5" style="5" customWidth="1"/>
    <col min="8708" max="8708" width="1.28515625" style="5" customWidth="1"/>
    <col min="8709" max="8709" width="43.85546875" style="5" customWidth="1"/>
    <col min="8710" max="8710" width="8.140625" style="5" customWidth="1"/>
    <col min="8711" max="8711" width="8.7109375" style="5" customWidth="1"/>
    <col min="8712" max="8712" width="15.28515625" style="5" customWidth="1"/>
    <col min="8713" max="8713" width="16.7109375" style="5" customWidth="1"/>
    <col min="8714" max="8961" width="9.140625" style="5"/>
    <col min="8962" max="8962" width="1.140625" style="5" customWidth="1"/>
    <col min="8963" max="8963" width="5" style="5" customWidth="1"/>
    <col min="8964" max="8964" width="1.28515625" style="5" customWidth="1"/>
    <col min="8965" max="8965" width="43.85546875" style="5" customWidth="1"/>
    <col min="8966" max="8966" width="8.140625" style="5" customWidth="1"/>
    <col min="8967" max="8967" width="8.7109375" style="5" customWidth="1"/>
    <col min="8968" max="8968" width="15.28515625" style="5" customWidth="1"/>
    <col min="8969" max="8969" width="16.7109375" style="5" customWidth="1"/>
    <col min="8970" max="9217" width="9.140625" style="5"/>
    <col min="9218" max="9218" width="1.140625" style="5" customWidth="1"/>
    <col min="9219" max="9219" width="5" style="5" customWidth="1"/>
    <col min="9220" max="9220" width="1.28515625" style="5" customWidth="1"/>
    <col min="9221" max="9221" width="43.85546875" style="5" customWidth="1"/>
    <col min="9222" max="9222" width="8.140625" style="5" customWidth="1"/>
    <col min="9223" max="9223" width="8.7109375" style="5" customWidth="1"/>
    <col min="9224" max="9224" width="15.28515625" style="5" customWidth="1"/>
    <col min="9225" max="9225" width="16.7109375" style="5" customWidth="1"/>
    <col min="9226" max="9473" width="9.140625" style="5"/>
    <col min="9474" max="9474" width="1.140625" style="5" customWidth="1"/>
    <col min="9475" max="9475" width="5" style="5" customWidth="1"/>
    <col min="9476" max="9476" width="1.28515625" style="5" customWidth="1"/>
    <col min="9477" max="9477" width="43.85546875" style="5" customWidth="1"/>
    <col min="9478" max="9478" width="8.140625" style="5" customWidth="1"/>
    <col min="9479" max="9479" width="8.7109375" style="5" customWidth="1"/>
    <col min="9480" max="9480" width="15.28515625" style="5" customWidth="1"/>
    <col min="9481" max="9481" width="16.7109375" style="5" customWidth="1"/>
    <col min="9482" max="9729" width="9.140625" style="5"/>
    <col min="9730" max="9730" width="1.140625" style="5" customWidth="1"/>
    <col min="9731" max="9731" width="5" style="5" customWidth="1"/>
    <col min="9732" max="9732" width="1.28515625" style="5" customWidth="1"/>
    <col min="9733" max="9733" width="43.85546875" style="5" customWidth="1"/>
    <col min="9734" max="9734" width="8.140625" style="5" customWidth="1"/>
    <col min="9735" max="9735" width="8.7109375" style="5" customWidth="1"/>
    <col min="9736" max="9736" width="15.28515625" style="5" customWidth="1"/>
    <col min="9737" max="9737" width="16.7109375" style="5" customWidth="1"/>
    <col min="9738" max="9985" width="9.140625" style="5"/>
    <col min="9986" max="9986" width="1.140625" style="5" customWidth="1"/>
    <col min="9987" max="9987" width="5" style="5" customWidth="1"/>
    <col min="9988" max="9988" width="1.28515625" style="5" customWidth="1"/>
    <col min="9989" max="9989" width="43.85546875" style="5" customWidth="1"/>
    <col min="9990" max="9990" width="8.140625" style="5" customWidth="1"/>
    <col min="9991" max="9991" width="8.7109375" style="5" customWidth="1"/>
    <col min="9992" max="9992" width="15.28515625" style="5" customWidth="1"/>
    <col min="9993" max="9993" width="16.7109375" style="5" customWidth="1"/>
    <col min="9994" max="10241" width="9.140625" style="5"/>
    <col min="10242" max="10242" width="1.140625" style="5" customWidth="1"/>
    <col min="10243" max="10243" width="5" style="5" customWidth="1"/>
    <col min="10244" max="10244" width="1.28515625" style="5" customWidth="1"/>
    <col min="10245" max="10245" width="43.85546875" style="5" customWidth="1"/>
    <col min="10246" max="10246" width="8.140625" style="5" customWidth="1"/>
    <col min="10247" max="10247" width="8.7109375" style="5" customWidth="1"/>
    <col min="10248" max="10248" width="15.28515625" style="5" customWidth="1"/>
    <col min="10249" max="10249" width="16.7109375" style="5" customWidth="1"/>
    <col min="10250" max="10497" width="9.140625" style="5"/>
    <col min="10498" max="10498" width="1.140625" style="5" customWidth="1"/>
    <col min="10499" max="10499" width="5" style="5" customWidth="1"/>
    <col min="10500" max="10500" width="1.28515625" style="5" customWidth="1"/>
    <col min="10501" max="10501" width="43.85546875" style="5" customWidth="1"/>
    <col min="10502" max="10502" width="8.140625" style="5" customWidth="1"/>
    <col min="10503" max="10503" width="8.7109375" style="5" customWidth="1"/>
    <col min="10504" max="10504" width="15.28515625" style="5" customWidth="1"/>
    <col min="10505" max="10505" width="16.7109375" style="5" customWidth="1"/>
    <col min="10506" max="10753" width="9.140625" style="5"/>
    <col min="10754" max="10754" width="1.140625" style="5" customWidth="1"/>
    <col min="10755" max="10755" width="5" style="5" customWidth="1"/>
    <col min="10756" max="10756" width="1.28515625" style="5" customWidth="1"/>
    <col min="10757" max="10757" width="43.85546875" style="5" customWidth="1"/>
    <col min="10758" max="10758" width="8.140625" style="5" customWidth="1"/>
    <col min="10759" max="10759" width="8.7109375" style="5" customWidth="1"/>
    <col min="10760" max="10760" width="15.28515625" style="5" customWidth="1"/>
    <col min="10761" max="10761" width="16.7109375" style="5" customWidth="1"/>
    <col min="10762" max="11009" width="9.140625" style="5"/>
    <col min="11010" max="11010" width="1.140625" style="5" customWidth="1"/>
    <col min="11011" max="11011" width="5" style="5" customWidth="1"/>
    <col min="11012" max="11012" width="1.28515625" style="5" customWidth="1"/>
    <col min="11013" max="11013" width="43.85546875" style="5" customWidth="1"/>
    <col min="11014" max="11014" width="8.140625" style="5" customWidth="1"/>
    <col min="11015" max="11015" width="8.7109375" style="5" customWidth="1"/>
    <col min="11016" max="11016" width="15.28515625" style="5" customWidth="1"/>
    <col min="11017" max="11017" width="16.7109375" style="5" customWidth="1"/>
    <col min="11018" max="11265" width="9.140625" style="5"/>
    <col min="11266" max="11266" width="1.140625" style="5" customWidth="1"/>
    <col min="11267" max="11267" width="5" style="5" customWidth="1"/>
    <col min="11268" max="11268" width="1.28515625" style="5" customWidth="1"/>
    <col min="11269" max="11269" width="43.85546875" style="5" customWidth="1"/>
    <col min="11270" max="11270" width="8.140625" style="5" customWidth="1"/>
    <col min="11271" max="11271" width="8.7109375" style="5" customWidth="1"/>
    <col min="11272" max="11272" width="15.28515625" style="5" customWidth="1"/>
    <col min="11273" max="11273" width="16.7109375" style="5" customWidth="1"/>
    <col min="11274" max="11521" width="9.140625" style="5"/>
    <col min="11522" max="11522" width="1.140625" style="5" customWidth="1"/>
    <col min="11523" max="11523" width="5" style="5" customWidth="1"/>
    <col min="11524" max="11524" width="1.28515625" style="5" customWidth="1"/>
    <col min="11525" max="11525" width="43.85546875" style="5" customWidth="1"/>
    <col min="11526" max="11526" width="8.140625" style="5" customWidth="1"/>
    <col min="11527" max="11527" width="8.7109375" style="5" customWidth="1"/>
    <col min="11528" max="11528" width="15.28515625" style="5" customWidth="1"/>
    <col min="11529" max="11529" width="16.7109375" style="5" customWidth="1"/>
    <col min="11530" max="11777" width="9.140625" style="5"/>
    <col min="11778" max="11778" width="1.140625" style="5" customWidth="1"/>
    <col min="11779" max="11779" width="5" style="5" customWidth="1"/>
    <col min="11780" max="11780" width="1.28515625" style="5" customWidth="1"/>
    <col min="11781" max="11781" width="43.85546875" style="5" customWidth="1"/>
    <col min="11782" max="11782" width="8.140625" style="5" customWidth="1"/>
    <col min="11783" max="11783" width="8.7109375" style="5" customWidth="1"/>
    <col min="11784" max="11784" width="15.28515625" style="5" customWidth="1"/>
    <col min="11785" max="11785" width="16.7109375" style="5" customWidth="1"/>
    <col min="11786" max="12033" width="9.140625" style="5"/>
    <col min="12034" max="12034" width="1.140625" style="5" customWidth="1"/>
    <col min="12035" max="12035" width="5" style="5" customWidth="1"/>
    <col min="12036" max="12036" width="1.28515625" style="5" customWidth="1"/>
    <col min="12037" max="12037" width="43.85546875" style="5" customWidth="1"/>
    <col min="12038" max="12038" width="8.140625" style="5" customWidth="1"/>
    <col min="12039" max="12039" width="8.7109375" style="5" customWidth="1"/>
    <col min="12040" max="12040" width="15.28515625" style="5" customWidth="1"/>
    <col min="12041" max="12041" width="16.7109375" style="5" customWidth="1"/>
    <col min="12042" max="12289" width="9.140625" style="5"/>
    <col min="12290" max="12290" width="1.140625" style="5" customWidth="1"/>
    <col min="12291" max="12291" width="5" style="5" customWidth="1"/>
    <col min="12292" max="12292" width="1.28515625" style="5" customWidth="1"/>
    <col min="12293" max="12293" width="43.85546875" style="5" customWidth="1"/>
    <col min="12294" max="12294" width="8.140625" style="5" customWidth="1"/>
    <col min="12295" max="12295" width="8.7109375" style="5" customWidth="1"/>
    <col min="12296" max="12296" width="15.28515625" style="5" customWidth="1"/>
    <col min="12297" max="12297" width="16.7109375" style="5" customWidth="1"/>
    <col min="12298" max="12545" width="9.140625" style="5"/>
    <col min="12546" max="12546" width="1.140625" style="5" customWidth="1"/>
    <col min="12547" max="12547" width="5" style="5" customWidth="1"/>
    <col min="12548" max="12548" width="1.28515625" style="5" customWidth="1"/>
    <col min="12549" max="12549" width="43.85546875" style="5" customWidth="1"/>
    <col min="12550" max="12550" width="8.140625" style="5" customWidth="1"/>
    <col min="12551" max="12551" width="8.7109375" style="5" customWidth="1"/>
    <col min="12552" max="12552" width="15.28515625" style="5" customWidth="1"/>
    <col min="12553" max="12553" width="16.7109375" style="5" customWidth="1"/>
    <col min="12554" max="12801" width="9.140625" style="5"/>
    <col min="12802" max="12802" width="1.140625" style="5" customWidth="1"/>
    <col min="12803" max="12803" width="5" style="5" customWidth="1"/>
    <col min="12804" max="12804" width="1.28515625" style="5" customWidth="1"/>
    <col min="12805" max="12805" width="43.85546875" style="5" customWidth="1"/>
    <col min="12806" max="12806" width="8.140625" style="5" customWidth="1"/>
    <col min="12807" max="12807" width="8.7109375" style="5" customWidth="1"/>
    <col min="12808" max="12808" width="15.28515625" style="5" customWidth="1"/>
    <col min="12809" max="12809" width="16.7109375" style="5" customWidth="1"/>
    <col min="12810" max="13057" width="9.140625" style="5"/>
    <col min="13058" max="13058" width="1.140625" style="5" customWidth="1"/>
    <col min="13059" max="13059" width="5" style="5" customWidth="1"/>
    <col min="13060" max="13060" width="1.28515625" style="5" customWidth="1"/>
    <col min="13061" max="13061" width="43.85546875" style="5" customWidth="1"/>
    <col min="13062" max="13062" width="8.140625" style="5" customWidth="1"/>
    <col min="13063" max="13063" width="8.7109375" style="5" customWidth="1"/>
    <col min="13064" max="13064" width="15.28515625" style="5" customWidth="1"/>
    <col min="13065" max="13065" width="16.7109375" style="5" customWidth="1"/>
    <col min="13066" max="13313" width="9.140625" style="5"/>
    <col min="13314" max="13314" width="1.140625" style="5" customWidth="1"/>
    <col min="13315" max="13315" width="5" style="5" customWidth="1"/>
    <col min="13316" max="13316" width="1.28515625" style="5" customWidth="1"/>
    <col min="13317" max="13317" width="43.85546875" style="5" customWidth="1"/>
    <col min="13318" max="13318" width="8.140625" style="5" customWidth="1"/>
    <col min="13319" max="13319" width="8.7109375" style="5" customWidth="1"/>
    <col min="13320" max="13320" width="15.28515625" style="5" customWidth="1"/>
    <col min="13321" max="13321" width="16.7109375" style="5" customWidth="1"/>
    <col min="13322" max="13569" width="9.140625" style="5"/>
    <col min="13570" max="13570" width="1.140625" style="5" customWidth="1"/>
    <col min="13571" max="13571" width="5" style="5" customWidth="1"/>
    <col min="13572" max="13572" width="1.28515625" style="5" customWidth="1"/>
    <col min="13573" max="13573" width="43.85546875" style="5" customWidth="1"/>
    <col min="13574" max="13574" width="8.140625" style="5" customWidth="1"/>
    <col min="13575" max="13575" width="8.7109375" style="5" customWidth="1"/>
    <col min="13576" max="13576" width="15.28515625" style="5" customWidth="1"/>
    <col min="13577" max="13577" width="16.7109375" style="5" customWidth="1"/>
    <col min="13578" max="13825" width="9.140625" style="5"/>
    <col min="13826" max="13826" width="1.140625" style="5" customWidth="1"/>
    <col min="13827" max="13827" width="5" style="5" customWidth="1"/>
    <col min="13828" max="13828" width="1.28515625" style="5" customWidth="1"/>
    <col min="13829" max="13829" width="43.85546875" style="5" customWidth="1"/>
    <col min="13830" max="13830" width="8.140625" style="5" customWidth="1"/>
    <col min="13831" max="13831" width="8.7109375" style="5" customWidth="1"/>
    <col min="13832" max="13832" width="15.28515625" style="5" customWidth="1"/>
    <col min="13833" max="13833" width="16.7109375" style="5" customWidth="1"/>
    <col min="13834" max="14081" width="9.140625" style="5"/>
    <col min="14082" max="14082" width="1.140625" style="5" customWidth="1"/>
    <col min="14083" max="14083" width="5" style="5" customWidth="1"/>
    <col min="14084" max="14084" width="1.28515625" style="5" customWidth="1"/>
    <col min="14085" max="14085" width="43.85546875" style="5" customWidth="1"/>
    <col min="14086" max="14086" width="8.140625" style="5" customWidth="1"/>
    <col min="14087" max="14087" width="8.7109375" style="5" customWidth="1"/>
    <col min="14088" max="14088" width="15.28515625" style="5" customWidth="1"/>
    <col min="14089" max="14089" width="16.7109375" style="5" customWidth="1"/>
    <col min="14090" max="14337" width="9.140625" style="5"/>
    <col min="14338" max="14338" width="1.140625" style="5" customWidth="1"/>
    <col min="14339" max="14339" width="5" style="5" customWidth="1"/>
    <col min="14340" max="14340" width="1.28515625" style="5" customWidth="1"/>
    <col min="14341" max="14341" width="43.85546875" style="5" customWidth="1"/>
    <col min="14342" max="14342" width="8.140625" style="5" customWidth="1"/>
    <col min="14343" max="14343" width="8.7109375" style="5" customWidth="1"/>
    <col min="14344" max="14344" width="15.28515625" style="5" customWidth="1"/>
    <col min="14345" max="14345" width="16.7109375" style="5" customWidth="1"/>
    <col min="14346" max="14593" width="9.140625" style="5"/>
    <col min="14594" max="14594" width="1.140625" style="5" customWidth="1"/>
    <col min="14595" max="14595" width="5" style="5" customWidth="1"/>
    <col min="14596" max="14596" width="1.28515625" style="5" customWidth="1"/>
    <col min="14597" max="14597" width="43.85546875" style="5" customWidth="1"/>
    <col min="14598" max="14598" width="8.140625" style="5" customWidth="1"/>
    <col min="14599" max="14599" width="8.7109375" style="5" customWidth="1"/>
    <col min="14600" max="14600" width="15.28515625" style="5" customWidth="1"/>
    <col min="14601" max="14601" width="16.7109375" style="5" customWidth="1"/>
    <col min="14602" max="14849" width="9.140625" style="5"/>
    <col min="14850" max="14850" width="1.140625" style="5" customWidth="1"/>
    <col min="14851" max="14851" width="5" style="5" customWidth="1"/>
    <col min="14852" max="14852" width="1.28515625" style="5" customWidth="1"/>
    <col min="14853" max="14853" width="43.85546875" style="5" customWidth="1"/>
    <col min="14854" max="14854" width="8.140625" style="5" customWidth="1"/>
    <col min="14855" max="14855" width="8.7109375" style="5" customWidth="1"/>
    <col min="14856" max="14856" width="15.28515625" style="5" customWidth="1"/>
    <col min="14857" max="14857" width="16.7109375" style="5" customWidth="1"/>
    <col min="14858" max="15105" width="9.140625" style="5"/>
    <col min="15106" max="15106" width="1.140625" style="5" customWidth="1"/>
    <col min="15107" max="15107" width="5" style="5" customWidth="1"/>
    <col min="15108" max="15108" width="1.28515625" style="5" customWidth="1"/>
    <col min="15109" max="15109" width="43.85546875" style="5" customWidth="1"/>
    <col min="15110" max="15110" width="8.140625" style="5" customWidth="1"/>
    <col min="15111" max="15111" width="8.7109375" style="5" customWidth="1"/>
    <col min="15112" max="15112" width="15.28515625" style="5" customWidth="1"/>
    <col min="15113" max="15113" width="16.7109375" style="5" customWidth="1"/>
    <col min="15114" max="15361" width="9.140625" style="5"/>
    <col min="15362" max="15362" width="1.140625" style="5" customWidth="1"/>
    <col min="15363" max="15363" width="5" style="5" customWidth="1"/>
    <col min="15364" max="15364" width="1.28515625" style="5" customWidth="1"/>
    <col min="15365" max="15365" width="43.85546875" style="5" customWidth="1"/>
    <col min="15366" max="15366" width="8.140625" style="5" customWidth="1"/>
    <col min="15367" max="15367" width="8.7109375" style="5" customWidth="1"/>
    <col min="15368" max="15368" width="15.28515625" style="5" customWidth="1"/>
    <col min="15369" max="15369" width="16.7109375" style="5" customWidth="1"/>
    <col min="15370" max="15617" width="9.140625" style="5"/>
    <col min="15618" max="15618" width="1.140625" style="5" customWidth="1"/>
    <col min="15619" max="15619" width="5" style="5" customWidth="1"/>
    <col min="15620" max="15620" width="1.28515625" style="5" customWidth="1"/>
    <col min="15621" max="15621" width="43.85546875" style="5" customWidth="1"/>
    <col min="15622" max="15622" width="8.140625" style="5" customWidth="1"/>
    <col min="15623" max="15623" width="8.7109375" style="5" customWidth="1"/>
    <col min="15624" max="15624" width="15.28515625" style="5" customWidth="1"/>
    <col min="15625" max="15625" width="16.7109375" style="5" customWidth="1"/>
    <col min="15626" max="15873" width="9.140625" style="5"/>
    <col min="15874" max="15874" width="1.140625" style="5" customWidth="1"/>
    <col min="15875" max="15875" width="5" style="5" customWidth="1"/>
    <col min="15876" max="15876" width="1.28515625" style="5" customWidth="1"/>
    <col min="15877" max="15877" width="43.85546875" style="5" customWidth="1"/>
    <col min="15878" max="15878" width="8.140625" style="5" customWidth="1"/>
    <col min="15879" max="15879" width="8.7109375" style="5" customWidth="1"/>
    <col min="15880" max="15880" width="15.28515625" style="5" customWidth="1"/>
    <col min="15881" max="15881" width="16.7109375" style="5" customWidth="1"/>
    <col min="15882" max="16129" width="9.140625" style="5"/>
    <col min="16130" max="16130" width="1.140625" style="5" customWidth="1"/>
    <col min="16131" max="16131" width="5" style="5" customWidth="1"/>
    <col min="16132" max="16132" width="1.28515625" style="5" customWidth="1"/>
    <col min="16133" max="16133" width="43.85546875" style="5" customWidth="1"/>
    <col min="16134" max="16134" width="8.140625" style="5" customWidth="1"/>
    <col min="16135" max="16135" width="8.7109375" style="5" customWidth="1"/>
    <col min="16136" max="16136" width="15.28515625" style="5" customWidth="1"/>
    <col min="16137" max="16137" width="16.7109375" style="5" customWidth="1"/>
    <col min="16138" max="16384" width="9.140625" style="5"/>
  </cols>
  <sheetData>
    <row r="1" spans="2:12">
      <c r="B1" s="3"/>
      <c r="C1" s="3"/>
      <c r="D1" s="3"/>
      <c r="E1" s="3"/>
      <c r="F1" s="3"/>
      <c r="G1" s="3"/>
      <c r="H1" s="4"/>
      <c r="I1" s="4"/>
    </row>
    <row r="2" spans="2:12" ht="15.75">
      <c r="B2" s="6" t="s">
        <v>210</v>
      </c>
      <c r="C2" s="6"/>
      <c r="D2" s="6"/>
      <c r="E2" s="6"/>
      <c r="F2" s="6"/>
      <c r="G2" s="6"/>
      <c r="H2" s="6"/>
      <c r="I2" s="6"/>
    </row>
    <row r="3" spans="2:12">
      <c r="B3" s="7"/>
      <c r="C3" s="7"/>
      <c r="D3" s="7"/>
      <c r="E3" s="7"/>
      <c r="F3" s="7"/>
      <c r="G3" s="7"/>
      <c r="H3" s="8"/>
      <c r="I3" s="8"/>
    </row>
    <row r="4" spans="2:12">
      <c r="B4" s="9" t="s">
        <v>157</v>
      </c>
      <c r="C4" s="10"/>
      <c r="D4" s="11" t="s">
        <v>211</v>
      </c>
      <c r="E4" s="12" t="s">
        <v>212</v>
      </c>
      <c r="F4" s="13" t="s">
        <v>213</v>
      </c>
      <c r="G4" s="12" t="s">
        <v>214</v>
      </c>
      <c r="H4" s="14" t="s">
        <v>215</v>
      </c>
      <c r="I4" s="1162"/>
    </row>
    <row r="5" spans="2:12">
      <c r="B5" s="15"/>
      <c r="C5" s="16"/>
      <c r="D5" s="17"/>
      <c r="E5" s="18"/>
      <c r="F5" s="19"/>
      <c r="G5" s="18" t="s">
        <v>216</v>
      </c>
      <c r="H5" s="20" t="s">
        <v>216</v>
      </c>
      <c r="I5" s="1162"/>
    </row>
    <row r="6" spans="2:12">
      <c r="B6" s="21" t="s">
        <v>217</v>
      </c>
      <c r="C6" s="22" t="s">
        <v>218</v>
      </c>
      <c r="D6" s="23"/>
      <c r="E6" s="24"/>
      <c r="F6" s="25"/>
      <c r="G6" s="26"/>
      <c r="H6" s="27"/>
      <c r="I6" s="1163"/>
      <c r="J6" s="5">
        <f>BOQ!$E$17</f>
        <v>202</v>
      </c>
    </row>
    <row r="7" spans="2:12">
      <c r="B7" s="28"/>
      <c r="C7" s="29" t="s">
        <v>28</v>
      </c>
      <c r="D7" s="30" t="s">
        <v>219</v>
      </c>
      <c r="E7" s="31" t="s">
        <v>220</v>
      </c>
      <c r="F7" s="32">
        <v>1.25</v>
      </c>
      <c r="G7" s="33">
        <f>BAHAN!$E$78</f>
        <v>30000</v>
      </c>
      <c r="H7" s="34">
        <f>F7*G7</f>
        <v>37500</v>
      </c>
      <c r="I7" s="8"/>
      <c r="J7" s="5">
        <f>$J$6</f>
        <v>202</v>
      </c>
      <c r="K7" s="954">
        <f>J7*F7</f>
        <v>252.5</v>
      </c>
      <c r="L7" s="31" t="s">
        <v>220</v>
      </c>
    </row>
    <row r="8" spans="2:12">
      <c r="B8" s="35"/>
      <c r="C8" s="36" t="s">
        <v>28</v>
      </c>
      <c r="D8" s="37" t="s">
        <v>221</v>
      </c>
      <c r="E8" s="38" t="s">
        <v>145</v>
      </c>
      <c r="F8" s="39">
        <v>2.5</v>
      </c>
      <c r="G8" s="33">
        <f>BAHAN!$E$30/50</f>
        <v>1500</v>
      </c>
      <c r="H8" s="34">
        <f t="shared" ref="H8:H18" si="0">F8*G8</f>
        <v>3750</v>
      </c>
      <c r="I8" s="8"/>
      <c r="J8" s="5">
        <f t="shared" ref="J8:J13" si="1">$J$6</f>
        <v>202</v>
      </c>
      <c r="K8" s="954">
        <f t="shared" ref="K8:K14" si="2">J8*F8</f>
        <v>505</v>
      </c>
      <c r="L8" s="38" t="s">
        <v>145</v>
      </c>
    </row>
    <row r="9" spans="2:12">
      <c r="B9" s="35"/>
      <c r="C9" s="36" t="s">
        <v>28</v>
      </c>
      <c r="D9" s="37" t="s">
        <v>222</v>
      </c>
      <c r="E9" s="38" t="s">
        <v>151</v>
      </c>
      <c r="F9" s="39">
        <v>1.2</v>
      </c>
      <c r="G9" s="40">
        <f>BAHAN!$E$167</f>
        <v>25000</v>
      </c>
      <c r="H9" s="34">
        <f t="shared" si="0"/>
        <v>30000</v>
      </c>
      <c r="I9" s="8"/>
      <c r="J9" s="5">
        <f t="shared" si="1"/>
        <v>202</v>
      </c>
      <c r="K9" s="954">
        <f t="shared" si="2"/>
        <v>242.39999999999998</v>
      </c>
      <c r="L9" s="38" t="s">
        <v>151</v>
      </c>
    </row>
    <row r="10" spans="2:12">
      <c r="B10" s="35"/>
      <c r="C10" s="36" t="s">
        <v>28</v>
      </c>
      <c r="D10" s="41" t="s">
        <v>223</v>
      </c>
      <c r="E10" s="38" t="s">
        <v>143</v>
      </c>
      <c r="F10" s="39">
        <v>5.0000000000000001E-3</v>
      </c>
      <c r="G10" s="40">
        <f>BAHAN!$E$10</f>
        <v>345000</v>
      </c>
      <c r="H10" s="34">
        <f t="shared" si="0"/>
        <v>1725</v>
      </c>
      <c r="I10" s="8"/>
      <c r="J10" s="5">
        <f t="shared" si="1"/>
        <v>202</v>
      </c>
      <c r="K10" s="954">
        <f t="shared" si="2"/>
        <v>1.01</v>
      </c>
      <c r="L10" s="38" t="s">
        <v>143</v>
      </c>
    </row>
    <row r="11" spans="2:12">
      <c r="B11" s="35"/>
      <c r="C11" s="36" t="s">
        <v>28</v>
      </c>
      <c r="D11" s="41" t="s">
        <v>224</v>
      </c>
      <c r="E11" s="38" t="s">
        <v>143</v>
      </c>
      <c r="F11" s="39">
        <v>8.9999999999999993E-3</v>
      </c>
      <c r="G11" s="40">
        <f>BAHAN!$E$13</f>
        <v>297000</v>
      </c>
      <c r="H11" s="34">
        <f t="shared" si="0"/>
        <v>2673</v>
      </c>
      <c r="I11" s="8"/>
      <c r="J11" s="5">
        <f t="shared" si="1"/>
        <v>202</v>
      </c>
      <c r="K11" s="954">
        <f t="shared" si="2"/>
        <v>1.8179999999999998</v>
      </c>
      <c r="L11" s="38" t="s">
        <v>143</v>
      </c>
    </row>
    <row r="12" spans="2:12">
      <c r="B12" s="35"/>
      <c r="C12" s="36" t="s">
        <v>28</v>
      </c>
      <c r="D12" s="41" t="s">
        <v>225</v>
      </c>
      <c r="E12" s="38" t="s">
        <v>143</v>
      </c>
      <c r="F12" s="39">
        <v>7.1999999999999995E-2</v>
      </c>
      <c r="G12" s="40">
        <f>BAHAN!$E$66</f>
        <v>2100000</v>
      </c>
      <c r="H12" s="34">
        <f t="shared" si="0"/>
        <v>151200</v>
      </c>
      <c r="I12" s="8"/>
      <c r="J12" s="5">
        <f t="shared" si="1"/>
        <v>202</v>
      </c>
      <c r="K12" s="954">
        <f t="shared" si="2"/>
        <v>14.543999999999999</v>
      </c>
      <c r="L12" s="38" t="s">
        <v>143</v>
      </c>
    </row>
    <row r="13" spans="2:12">
      <c r="B13" s="35"/>
      <c r="C13" s="36" t="s">
        <v>28</v>
      </c>
      <c r="D13" s="41" t="s">
        <v>226</v>
      </c>
      <c r="E13" s="38" t="s">
        <v>145</v>
      </c>
      <c r="F13" s="39">
        <v>0.06</v>
      </c>
      <c r="G13" s="40">
        <f>BAHAN!$E$209</f>
        <v>17500</v>
      </c>
      <c r="H13" s="34">
        <f t="shared" si="0"/>
        <v>1050</v>
      </c>
      <c r="I13" s="8"/>
      <c r="J13" s="5">
        <f t="shared" si="1"/>
        <v>202</v>
      </c>
      <c r="K13" s="954">
        <f t="shared" si="2"/>
        <v>12.12</v>
      </c>
      <c r="L13" s="38" t="s">
        <v>145</v>
      </c>
    </row>
    <row r="14" spans="2:12">
      <c r="B14" s="35"/>
      <c r="C14" s="36" t="s">
        <v>28</v>
      </c>
      <c r="D14" s="41" t="s">
        <v>227</v>
      </c>
      <c r="E14" s="38" t="s">
        <v>145</v>
      </c>
      <c r="F14" s="39">
        <v>0.45</v>
      </c>
      <c r="G14" s="40">
        <f>BAHAN!$E$61</f>
        <v>44500</v>
      </c>
      <c r="H14" s="34">
        <f t="shared" si="0"/>
        <v>20025</v>
      </c>
      <c r="I14" s="1726">
        <f>SUM(H7:H14)</f>
        <v>247923</v>
      </c>
      <c r="J14" s="5">
        <f>$J$6</f>
        <v>202</v>
      </c>
      <c r="K14" s="954">
        <f t="shared" si="2"/>
        <v>90.9</v>
      </c>
      <c r="L14" s="38" t="s">
        <v>145</v>
      </c>
    </row>
    <row r="15" spans="2:12">
      <c r="B15" s="35"/>
      <c r="C15" s="36" t="s">
        <v>28</v>
      </c>
      <c r="D15" s="41" t="s">
        <v>133</v>
      </c>
      <c r="E15" s="38" t="s">
        <v>132</v>
      </c>
      <c r="F15" s="39">
        <v>0.4</v>
      </c>
      <c r="G15" s="40">
        <f>UPAH!$E$26</f>
        <v>136000</v>
      </c>
      <c r="H15" s="34">
        <f t="shared" si="0"/>
        <v>54400</v>
      </c>
      <c r="I15" s="8"/>
    </row>
    <row r="16" spans="2:12">
      <c r="B16" s="35"/>
      <c r="C16" s="36" t="s">
        <v>28</v>
      </c>
      <c r="D16" s="41" t="s">
        <v>139</v>
      </c>
      <c r="E16" s="38" t="s">
        <v>132</v>
      </c>
      <c r="F16" s="39">
        <v>0.2</v>
      </c>
      <c r="G16" s="40">
        <f>UPAH!$E$17</f>
        <v>160000</v>
      </c>
      <c r="H16" s="34">
        <f t="shared" si="0"/>
        <v>32000</v>
      </c>
      <c r="I16" s="8"/>
    </row>
    <row r="17" spans="2:12">
      <c r="B17" s="35"/>
      <c r="C17" s="36" t="s">
        <v>28</v>
      </c>
      <c r="D17" s="41" t="s">
        <v>140</v>
      </c>
      <c r="E17" s="38" t="s">
        <v>132</v>
      </c>
      <c r="F17" s="39">
        <v>0.02</v>
      </c>
      <c r="G17" s="40">
        <f>UPAH!$E$11</f>
        <v>150000</v>
      </c>
      <c r="H17" s="34">
        <f t="shared" si="0"/>
        <v>3000</v>
      </c>
      <c r="I17" s="8"/>
    </row>
    <row r="18" spans="2:12">
      <c r="B18" s="42"/>
      <c r="C18" s="43" t="s">
        <v>28</v>
      </c>
      <c r="D18" s="44" t="s">
        <v>136</v>
      </c>
      <c r="E18" s="45" t="s">
        <v>132</v>
      </c>
      <c r="F18" s="46">
        <v>0.02</v>
      </c>
      <c r="G18" s="47">
        <f>UPAH!$E$9</f>
        <v>180000</v>
      </c>
      <c r="H18" s="34">
        <f t="shared" si="0"/>
        <v>3600</v>
      </c>
      <c r="I18" s="1726">
        <f>SUM(H15:H18)</f>
        <v>93000</v>
      </c>
    </row>
    <row r="19" spans="2:12">
      <c r="B19" s="14"/>
      <c r="C19" s="48"/>
      <c r="D19" s="49" t="s">
        <v>228</v>
      </c>
      <c r="E19" s="50"/>
      <c r="F19" s="51"/>
      <c r="G19" s="52"/>
      <c r="H19" s="53">
        <f>SUM(H7:H18)</f>
        <v>340923</v>
      </c>
      <c r="I19" s="8"/>
    </row>
    <row r="20" spans="2:12">
      <c r="B20" s="54"/>
      <c r="C20" s="55" t="s">
        <v>229</v>
      </c>
      <c r="D20" s="56"/>
      <c r="E20" s="56"/>
      <c r="F20" s="56"/>
      <c r="G20" s="57"/>
      <c r="H20" s="57">
        <f>ROUND(H19,0)</f>
        <v>340923</v>
      </c>
      <c r="I20" s="1164"/>
    </row>
    <row r="21" spans="2:12">
      <c r="B21" s="58" t="s">
        <v>230</v>
      </c>
      <c r="C21" s="59" t="s">
        <v>231</v>
      </c>
      <c r="D21" s="60"/>
      <c r="E21" s="61"/>
      <c r="F21" s="62"/>
      <c r="G21" s="63"/>
      <c r="H21" s="64"/>
      <c r="I21" s="440"/>
    </row>
    <row r="22" spans="2:12">
      <c r="B22" s="65"/>
      <c r="C22" s="66" t="s">
        <v>28</v>
      </c>
      <c r="D22" s="41" t="s">
        <v>225</v>
      </c>
      <c r="E22" s="67" t="s">
        <v>143</v>
      </c>
      <c r="F22" s="68">
        <v>1.2E-2</v>
      </c>
      <c r="G22" s="69">
        <f>G12</f>
        <v>2100000</v>
      </c>
      <c r="H22" s="70">
        <f t="shared" ref="H22:H28" si="3">F22*G22</f>
        <v>25200</v>
      </c>
      <c r="I22" s="440"/>
      <c r="J22" s="5">
        <f>BOQ!$E$18</f>
        <v>202</v>
      </c>
      <c r="K22" s="910">
        <f>J22*F22</f>
        <v>2.4239999999999999</v>
      </c>
      <c r="L22" s="67" t="s">
        <v>143</v>
      </c>
    </row>
    <row r="23" spans="2:12">
      <c r="B23" s="71"/>
      <c r="C23" s="72" t="s">
        <v>28</v>
      </c>
      <c r="D23" s="41" t="s">
        <v>226</v>
      </c>
      <c r="E23" s="73" t="s">
        <v>145</v>
      </c>
      <c r="F23" s="74">
        <v>0.02</v>
      </c>
      <c r="G23" s="75">
        <f>G13</f>
        <v>17500</v>
      </c>
      <c r="H23" s="70">
        <f t="shared" si="3"/>
        <v>350</v>
      </c>
      <c r="I23" s="440"/>
      <c r="J23" s="5">
        <f>BOQ!$E$18</f>
        <v>202</v>
      </c>
      <c r="K23" s="910">
        <f>J23*F23</f>
        <v>4.04</v>
      </c>
      <c r="L23" s="73" t="s">
        <v>145</v>
      </c>
    </row>
    <row r="24" spans="2:12">
      <c r="B24" s="71"/>
      <c r="C24" s="72" t="s">
        <v>28</v>
      </c>
      <c r="D24" s="76" t="s">
        <v>232</v>
      </c>
      <c r="E24" s="73" t="s">
        <v>143</v>
      </c>
      <c r="F24" s="74">
        <v>7.0000000000000001E-3</v>
      </c>
      <c r="G24" s="75">
        <f>BAHAN!$E$76</f>
        <v>2141666.6666666651</v>
      </c>
      <c r="H24" s="70">
        <f t="shared" si="3"/>
        <v>14991.666666666657</v>
      </c>
      <c r="I24" s="1628">
        <f>SUM(H22:H24)</f>
        <v>40541.666666666657</v>
      </c>
      <c r="J24" s="5">
        <f>BOQ!$E$18</f>
        <v>202</v>
      </c>
      <c r="K24" s="910">
        <f>J24*F24</f>
        <v>1.4139999999999999</v>
      </c>
      <c r="L24" s="73" t="s">
        <v>143</v>
      </c>
    </row>
    <row r="25" spans="2:12">
      <c r="B25" s="71"/>
      <c r="C25" s="72" t="s">
        <v>28</v>
      </c>
      <c r="D25" s="76" t="s">
        <v>133</v>
      </c>
      <c r="E25" s="73" t="s">
        <v>132</v>
      </c>
      <c r="F25" s="74">
        <v>0.1</v>
      </c>
      <c r="G25" s="75">
        <f>G15</f>
        <v>136000</v>
      </c>
      <c r="H25" s="70">
        <f t="shared" si="3"/>
        <v>13600</v>
      </c>
      <c r="I25" s="440"/>
    </row>
    <row r="26" spans="2:12">
      <c r="B26" s="71"/>
      <c r="C26" s="72" t="s">
        <v>28</v>
      </c>
      <c r="D26" s="76" t="s">
        <v>139</v>
      </c>
      <c r="E26" s="73" t="s">
        <v>132</v>
      </c>
      <c r="F26" s="74">
        <v>0.1</v>
      </c>
      <c r="G26" s="75">
        <f>G16</f>
        <v>160000</v>
      </c>
      <c r="H26" s="70">
        <f t="shared" si="3"/>
        <v>16000</v>
      </c>
      <c r="I26" s="440"/>
    </row>
    <row r="27" spans="2:12">
      <c r="B27" s="71"/>
      <c r="C27" s="72" t="s">
        <v>28</v>
      </c>
      <c r="D27" s="76" t="s">
        <v>140</v>
      </c>
      <c r="E27" s="73" t="s">
        <v>132</v>
      </c>
      <c r="F27" s="74">
        <v>0.01</v>
      </c>
      <c r="G27" s="75">
        <f>G17</f>
        <v>150000</v>
      </c>
      <c r="H27" s="70">
        <f t="shared" si="3"/>
        <v>1500</v>
      </c>
      <c r="I27" s="440"/>
    </row>
    <row r="28" spans="2:12">
      <c r="B28" s="77"/>
      <c r="C28" s="78" t="s">
        <v>28</v>
      </c>
      <c r="D28" s="79" t="s">
        <v>136</v>
      </c>
      <c r="E28" s="80" t="s">
        <v>132</v>
      </c>
      <c r="F28" s="81">
        <v>5.0000000000000001E-3</v>
      </c>
      <c r="G28" s="75">
        <f>G18</f>
        <v>180000</v>
      </c>
      <c r="H28" s="70">
        <f t="shared" si="3"/>
        <v>900</v>
      </c>
      <c r="I28" s="1628">
        <f>SUM(H25:H28)</f>
        <v>32000</v>
      </c>
    </row>
    <row r="29" spans="2:12">
      <c r="B29" s="82"/>
      <c r="C29" s="83"/>
      <c r="D29" s="84" t="s">
        <v>228</v>
      </c>
      <c r="E29" s="85"/>
      <c r="F29" s="86"/>
      <c r="G29" s="87"/>
      <c r="H29" s="88">
        <f>SUM(H22:H28)</f>
        <v>72541.666666666657</v>
      </c>
      <c r="I29" s="440"/>
    </row>
    <row r="30" spans="2:12">
      <c r="B30" s="54"/>
      <c r="C30" s="55" t="s">
        <v>229</v>
      </c>
      <c r="D30" s="56"/>
      <c r="E30" s="56"/>
      <c r="F30" s="56"/>
      <c r="G30" s="57"/>
      <c r="H30" s="57">
        <f>ROUND(H29,0)</f>
        <v>72542</v>
      </c>
      <c r="I30" s="1164"/>
    </row>
    <row r="31" spans="2:12">
      <c r="B31" s="21" t="s">
        <v>233</v>
      </c>
      <c r="C31" s="22" t="s">
        <v>234</v>
      </c>
      <c r="D31" s="23"/>
      <c r="E31" s="89"/>
      <c r="F31" s="90"/>
      <c r="G31" s="91"/>
      <c r="H31" s="92"/>
      <c r="I31" s="8"/>
    </row>
    <row r="32" spans="2:12">
      <c r="B32" s="93"/>
      <c r="C32" s="29" t="s">
        <v>28</v>
      </c>
      <c r="D32" s="94" t="s">
        <v>219</v>
      </c>
      <c r="E32" s="31" t="s">
        <v>220</v>
      </c>
      <c r="F32" s="95">
        <v>1.25</v>
      </c>
      <c r="G32" s="33">
        <f>G7</f>
        <v>30000</v>
      </c>
      <c r="H32" s="34">
        <f t="shared" ref="H32:H50" si="4">F32*G32</f>
        <v>37500</v>
      </c>
      <c r="I32" s="8"/>
      <c r="J32" s="5">
        <f>BOQ!$E$21</f>
        <v>24</v>
      </c>
      <c r="K32" s="954">
        <f>J32*F32</f>
        <v>30</v>
      </c>
    </row>
    <row r="33" spans="2:11">
      <c r="B33" s="35"/>
      <c r="C33" s="36" t="s">
        <v>28</v>
      </c>
      <c r="D33" s="96" t="s">
        <v>235</v>
      </c>
      <c r="E33" s="38" t="s">
        <v>143</v>
      </c>
      <c r="F33" s="39">
        <v>0.18</v>
      </c>
      <c r="G33" s="40">
        <f>BAHAN!$E$67</f>
        <v>7435571.42857143</v>
      </c>
      <c r="H33" s="34">
        <f t="shared" si="4"/>
        <v>1338402.8571428573</v>
      </c>
      <c r="I33" s="8"/>
      <c r="J33" s="5">
        <f>BOQ!$E$21</f>
        <v>24</v>
      </c>
      <c r="K33" s="954">
        <f t="shared" ref="K33:K45" si="5">J33*F33</f>
        <v>4.32</v>
      </c>
    </row>
    <row r="34" spans="2:11">
      <c r="B34" s="35"/>
      <c r="C34" s="36" t="s">
        <v>28</v>
      </c>
      <c r="D34" s="41" t="s">
        <v>226</v>
      </c>
      <c r="E34" s="38" t="s">
        <v>145</v>
      </c>
      <c r="F34" s="39">
        <v>0.85</v>
      </c>
      <c r="G34" s="40">
        <f>G23</f>
        <v>17500</v>
      </c>
      <c r="H34" s="34">
        <f t="shared" si="4"/>
        <v>14875</v>
      </c>
      <c r="I34" s="8"/>
      <c r="J34" s="5">
        <f>BOQ!$E$21</f>
        <v>24</v>
      </c>
      <c r="K34" s="954">
        <f t="shared" si="5"/>
        <v>20.399999999999999</v>
      </c>
    </row>
    <row r="35" spans="2:11">
      <c r="B35" s="35"/>
      <c r="C35" s="36" t="s">
        <v>28</v>
      </c>
      <c r="D35" s="41" t="s">
        <v>236</v>
      </c>
      <c r="E35" s="38" t="s">
        <v>145</v>
      </c>
      <c r="F35" s="39">
        <v>1.1000000000000001</v>
      </c>
      <c r="G35" s="40">
        <f>BAHAN!$E$158</f>
        <v>33750</v>
      </c>
      <c r="H35" s="34">
        <f t="shared" si="4"/>
        <v>37125</v>
      </c>
      <c r="I35" s="8"/>
      <c r="J35" s="5">
        <f>BOQ!$E$21</f>
        <v>24</v>
      </c>
      <c r="K35" s="954">
        <f t="shared" si="5"/>
        <v>26.400000000000002</v>
      </c>
    </row>
    <row r="36" spans="2:11">
      <c r="B36" s="35"/>
      <c r="C36" s="36" t="s">
        <v>28</v>
      </c>
      <c r="D36" s="41" t="s">
        <v>221</v>
      </c>
      <c r="E36" s="38" t="s">
        <v>145</v>
      </c>
      <c r="F36" s="39">
        <v>35</v>
      </c>
      <c r="G36" s="40">
        <f>G8</f>
        <v>1500</v>
      </c>
      <c r="H36" s="34">
        <f t="shared" si="4"/>
        <v>52500</v>
      </c>
      <c r="I36" s="8"/>
      <c r="J36" s="5">
        <f>BOQ!$E$21</f>
        <v>24</v>
      </c>
      <c r="K36" s="954">
        <f t="shared" si="5"/>
        <v>840</v>
      </c>
    </row>
    <row r="37" spans="2:11">
      <c r="B37" s="35"/>
      <c r="C37" s="36" t="s">
        <v>28</v>
      </c>
      <c r="D37" s="41" t="s">
        <v>237</v>
      </c>
      <c r="E37" s="38" t="s">
        <v>143</v>
      </c>
      <c r="F37" s="39">
        <v>0.15</v>
      </c>
      <c r="G37" s="40">
        <f>BAHAN!$E$9</f>
        <v>246000</v>
      </c>
      <c r="H37" s="34">
        <f t="shared" si="4"/>
        <v>36900</v>
      </c>
      <c r="I37" s="8"/>
      <c r="J37" s="5">
        <f>BOQ!$E$21</f>
        <v>24</v>
      </c>
      <c r="K37" s="954">
        <f t="shared" si="5"/>
        <v>3.5999999999999996</v>
      </c>
    </row>
    <row r="38" spans="2:11">
      <c r="B38" s="35"/>
      <c r="C38" s="36" t="s">
        <v>28</v>
      </c>
      <c r="D38" s="41" t="s">
        <v>223</v>
      </c>
      <c r="E38" s="38" t="s">
        <v>143</v>
      </c>
      <c r="F38" s="39">
        <v>0.1</v>
      </c>
      <c r="G38" s="40">
        <f>G10</f>
        <v>345000</v>
      </c>
      <c r="H38" s="34">
        <f t="shared" si="4"/>
        <v>34500</v>
      </c>
      <c r="I38" s="8"/>
      <c r="J38" s="5">
        <f>BOQ!$E$21</f>
        <v>24</v>
      </c>
      <c r="K38" s="954">
        <f t="shared" si="5"/>
        <v>2.4000000000000004</v>
      </c>
    </row>
    <row r="39" spans="2:11">
      <c r="B39" s="35"/>
      <c r="C39" s="36" t="s">
        <v>28</v>
      </c>
      <c r="D39" s="41" t="s">
        <v>224</v>
      </c>
      <c r="E39" s="38" t="s">
        <v>143</v>
      </c>
      <c r="F39" s="39">
        <v>0.15</v>
      </c>
      <c r="G39" s="40">
        <f>G11</f>
        <v>297000</v>
      </c>
      <c r="H39" s="34">
        <f t="shared" si="4"/>
        <v>44550</v>
      </c>
      <c r="I39" s="8"/>
      <c r="J39" s="5">
        <f>BOQ!$E$21</f>
        <v>24</v>
      </c>
      <c r="K39" s="954">
        <f t="shared" si="5"/>
        <v>3.5999999999999996</v>
      </c>
    </row>
    <row r="40" spans="2:11" s="1688" customFormat="1">
      <c r="B40" s="1680"/>
      <c r="C40" s="1681" t="s">
        <v>28</v>
      </c>
      <c r="D40" s="1682" t="s">
        <v>238</v>
      </c>
      <c r="E40" s="1683" t="s">
        <v>239</v>
      </c>
      <c r="F40" s="1684">
        <v>30</v>
      </c>
      <c r="G40" s="1685">
        <f>BAHAN!$E$22</f>
        <v>1100</v>
      </c>
      <c r="H40" s="1686">
        <f t="shared" si="4"/>
        <v>33000</v>
      </c>
      <c r="I40" s="1687"/>
      <c r="J40" s="1688">
        <f>BOQ!$E$21</f>
        <v>24</v>
      </c>
      <c r="K40" s="1689">
        <f t="shared" si="5"/>
        <v>720</v>
      </c>
    </row>
    <row r="41" spans="2:11">
      <c r="B41" s="35"/>
      <c r="C41" s="36" t="s">
        <v>28</v>
      </c>
      <c r="D41" s="41" t="s">
        <v>222</v>
      </c>
      <c r="E41" s="38" t="s">
        <v>240</v>
      </c>
      <c r="F41" s="39">
        <v>1.05</v>
      </c>
      <c r="G41" s="40">
        <f>G9</f>
        <v>25000</v>
      </c>
      <c r="H41" s="34">
        <f t="shared" si="4"/>
        <v>26250</v>
      </c>
      <c r="I41" s="8"/>
      <c r="J41" s="5">
        <f>BOQ!$E$21</f>
        <v>24</v>
      </c>
      <c r="K41" s="954">
        <f t="shared" si="5"/>
        <v>25.200000000000003</v>
      </c>
    </row>
    <row r="42" spans="2:11">
      <c r="B42" s="35"/>
      <c r="C42" s="36" t="s">
        <v>28</v>
      </c>
      <c r="D42" s="41" t="s">
        <v>241</v>
      </c>
      <c r="E42" s="38" t="s">
        <v>240</v>
      </c>
      <c r="F42" s="39">
        <v>2</v>
      </c>
      <c r="G42" s="40">
        <f>BAHAN!$E$154</f>
        <v>25000</v>
      </c>
      <c r="H42" s="34">
        <f t="shared" si="4"/>
        <v>50000</v>
      </c>
      <c r="I42" s="8"/>
      <c r="J42" s="5">
        <f>BOQ!$E$21</f>
        <v>24</v>
      </c>
      <c r="K42" s="954">
        <f t="shared" si="5"/>
        <v>48</v>
      </c>
    </row>
    <row r="43" spans="2:11">
      <c r="B43" s="35"/>
      <c r="C43" s="36" t="s">
        <v>28</v>
      </c>
      <c r="D43" s="41" t="s">
        <v>242</v>
      </c>
      <c r="E43" s="38" t="s">
        <v>240</v>
      </c>
      <c r="F43" s="39">
        <v>0.08</v>
      </c>
      <c r="G43" s="40">
        <f>BAHAN!$E$197</f>
        <v>110500</v>
      </c>
      <c r="H43" s="34">
        <f t="shared" si="4"/>
        <v>8840</v>
      </c>
      <c r="I43" s="8"/>
      <c r="J43" s="5">
        <f>BOQ!$E$21</f>
        <v>24</v>
      </c>
      <c r="K43" s="954">
        <f t="shared" si="5"/>
        <v>1.92</v>
      </c>
    </row>
    <row r="44" spans="2:11">
      <c r="B44" s="35"/>
      <c r="C44" s="36" t="s">
        <v>28</v>
      </c>
      <c r="D44" s="41" t="s">
        <v>243</v>
      </c>
      <c r="E44" s="38" t="s">
        <v>239</v>
      </c>
      <c r="F44" s="39">
        <v>0.15</v>
      </c>
      <c r="G44" s="40">
        <f>BAHAN!$E$343</f>
        <v>180000</v>
      </c>
      <c r="H44" s="34">
        <f t="shared" si="4"/>
        <v>27000</v>
      </c>
      <c r="I44" s="8"/>
      <c r="J44" s="5">
        <f>BOQ!$E$21</f>
        <v>24</v>
      </c>
      <c r="K44" s="954">
        <f t="shared" si="5"/>
        <v>3.5999999999999996</v>
      </c>
    </row>
    <row r="45" spans="2:11">
      <c r="B45" s="35"/>
      <c r="C45" s="36" t="s">
        <v>28</v>
      </c>
      <c r="D45" s="97" t="s">
        <v>244</v>
      </c>
      <c r="E45" s="38" t="s">
        <v>151</v>
      </c>
      <c r="F45" s="39">
        <v>0.06</v>
      </c>
      <c r="G45" s="40">
        <f>BAHAN!$E$97</f>
        <v>114500</v>
      </c>
      <c r="H45" s="34">
        <f t="shared" si="4"/>
        <v>6870</v>
      </c>
      <c r="I45" s="1726">
        <f>SUM(H32:H45)</f>
        <v>1748312.8571428573</v>
      </c>
      <c r="J45" s="5">
        <f>BOQ!$E$21</f>
        <v>24</v>
      </c>
      <c r="K45" s="954">
        <f t="shared" si="5"/>
        <v>1.44</v>
      </c>
    </row>
    <row r="46" spans="2:11">
      <c r="B46" s="35"/>
      <c r="C46" s="36" t="s">
        <v>28</v>
      </c>
      <c r="D46" s="41" t="s">
        <v>133</v>
      </c>
      <c r="E46" s="38" t="s">
        <v>132</v>
      </c>
      <c r="F46" s="39">
        <v>2</v>
      </c>
      <c r="G46" s="40">
        <f>G25</f>
        <v>136000</v>
      </c>
      <c r="H46" s="34">
        <f t="shared" si="4"/>
        <v>272000</v>
      </c>
      <c r="I46" s="8"/>
    </row>
    <row r="47" spans="2:11">
      <c r="B47" s="35"/>
      <c r="C47" s="36" t="s">
        <v>28</v>
      </c>
      <c r="D47" s="41" t="s">
        <v>139</v>
      </c>
      <c r="E47" s="38" t="s">
        <v>132</v>
      </c>
      <c r="F47" s="39">
        <v>2</v>
      </c>
      <c r="G47" s="40">
        <f>G26</f>
        <v>160000</v>
      </c>
      <c r="H47" s="34">
        <f t="shared" si="4"/>
        <v>320000</v>
      </c>
      <c r="I47" s="8"/>
    </row>
    <row r="48" spans="2:11">
      <c r="B48" s="35"/>
      <c r="C48" s="36" t="s">
        <v>28</v>
      </c>
      <c r="D48" s="41" t="s">
        <v>245</v>
      </c>
      <c r="E48" s="38" t="s">
        <v>132</v>
      </c>
      <c r="F48" s="39">
        <v>1</v>
      </c>
      <c r="G48" s="40">
        <f>UPAH!$E$16</f>
        <v>160000</v>
      </c>
      <c r="H48" s="34">
        <f t="shared" si="4"/>
        <v>160000</v>
      </c>
      <c r="I48" s="8"/>
    </row>
    <row r="49" spans="2:11">
      <c r="B49" s="35"/>
      <c r="C49" s="36" t="s">
        <v>28</v>
      </c>
      <c r="D49" s="41" t="s">
        <v>140</v>
      </c>
      <c r="E49" s="38" t="s">
        <v>132</v>
      </c>
      <c r="F49" s="39">
        <v>0.3</v>
      </c>
      <c r="G49" s="40">
        <f>G27</f>
        <v>150000</v>
      </c>
      <c r="H49" s="34">
        <f t="shared" si="4"/>
        <v>45000</v>
      </c>
      <c r="I49" s="8"/>
    </row>
    <row r="50" spans="2:11">
      <c r="B50" s="42"/>
      <c r="C50" s="43" t="s">
        <v>28</v>
      </c>
      <c r="D50" s="98" t="s">
        <v>136</v>
      </c>
      <c r="E50" s="45" t="s">
        <v>132</v>
      </c>
      <c r="F50" s="46">
        <v>0.05</v>
      </c>
      <c r="G50" s="40">
        <f>G28</f>
        <v>180000</v>
      </c>
      <c r="H50" s="34">
        <f t="shared" si="4"/>
        <v>9000</v>
      </c>
      <c r="I50" s="1726">
        <f>SUM(H46:H50)</f>
        <v>806000</v>
      </c>
    </row>
    <row r="51" spans="2:11">
      <c r="B51" s="99"/>
      <c r="C51" s="100"/>
      <c r="D51" s="101" t="s">
        <v>228</v>
      </c>
      <c r="E51" s="102"/>
      <c r="F51" s="103"/>
      <c r="G51" s="104"/>
      <c r="H51" s="105">
        <f>SUM(H32:H50)</f>
        <v>2554312.8571428573</v>
      </c>
      <c r="I51" s="8"/>
    </row>
    <row r="52" spans="2:11">
      <c r="B52" s="54"/>
      <c r="C52" s="55" t="s">
        <v>229</v>
      </c>
      <c r="D52" s="56"/>
      <c r="E52" s="56"/>
      <c r="F52" s="56"/>
      <c r="G52" s="57"/>
      <c r="H52" s="57">
        <f>ROUND(H51,0)</f>
        <v>2554313</v>
      </c>
      <c r="I52" s="1164"/>
    </row>
    <row r="53" spans="2:11">
      <c r="B53" s="20" t="s">
        <v>246</v>
      </c>
      <c r="C53" s="106" t="s">
        <v>247</v>
      </c>
      <c r="D53" s="107"/>
      <c r="E53" s="108"/>
      <c r="F53" s="109"/>
      <c r="G53" s="110"/>
      <c r="H53" s="111"/>
      <c r="I53" s="8"/>
    </row>
    <row r="54" spans="2:11">
      <c r="B54" s="93"/>
      <c r="C54" s="29" t="s">
        <v>28</v>
      </c>
      <c r="D54" s="94" t="s">
        <v>219</v>
      </c>
      <c r="E54" s="31" t="s">
        <v>220</v>
      </c>
      <c r="F54" s="95">
        <v>1.7</v>
      </c>
      <c r="G54" s="33">
        <f>G32</f>
        <v>30000</v>
      </c>
      <c r="H54" s="34">
        <f t="shared" ref="H54:H64" si="6">F54*G54</f>
        <v>51000</v>
      </c>
      <c r="I54" s="8"/>
      <c r="J54" s="5">
        <f>BOQ!$E$22</f>
        <v>24</v>
      </c>
      <c r="K54" s="954">
        <f>J54*F54</f>
        <v>40.799999999999997</v>
      </c>
    </row>
    <row r="55" spans="2:11">
      <c r="B55" s="35"/>
      <c r="C55" s="36" t="s">
        <v>28</v>
      </c>
      <c r="D55" s="96" t="s">
        <v>235</v>
      </c>
      <c r="E55" s="38" t="s">
        <v>143</v>
      </c>
      <c r="F55" s="39">
        <v>0.21</v>
      </c>
      <c r="G55" s="40">
        <f>G33</f>
        <v>7435571.42857143</v>
      </c>
      <c r="H55" s="34">
        <f t="shared" si="6"/>
        <v>1561470.0000000002</v>
      </c>
      <c r="I55" s="8"/>
      <c r="J55" s="5">
        <f>BOQ!$E$22</f>
        <v>24</v>
      </c>
      <c r="K55" s="954">
        <f t="shared" ref="K55:K60" si="7">J55*F55</f>
        <v>5.04</v>
      </c>
    </row>
    <row r="56" spans="2:11">
      <c r="B56" s="35"/>
      <c r="C56" s="36" t="s">
        <v>28</v>
      </c>
      <c r="D56" s="41" t="s">
        <v>226</v>
      </c>
      <c r="E56" s="38" t="s">
        <v>145</v>
      </c>
      <c r="F56" s="39">
        <v>0.3</v>
      </c>
      <c r="G56" s="40">
        <f>G34</f>
        <v>17500</v>
      </c>
      <c r="H56" s="34">
        <f t="shared" si="6"/>
        <v>5250</v>
      </c>
      <c r="I56" s="8"/>
      <c r="J56" s="5">
        <f>BOQ!$E$22</f>
        <v>24</v>
      </c>
      <c r="K56" s="954">
        <f t="shared" si="7"/>
        <v>7.1999999999999993</v>
      </c>
    </row>
    <row r="57" spans="2:11">
      <c r="B57" s="35"/>
      <c r="C57" s="36" t="s">
        <v>28</v>
      </c>
      <c r="D57" s="41" t="s">
        <v>221</v>
      </c>
      <c r="E57" s="38" t="s">
        <v>145</v>
      </c>
      <c r="F57" s="39">
        <v>10.5</v>
      </c>
      <c r="G57" s="40">
        <f>G36</f>
        <v>1500</v>
      </c>
      <c r="H57" s="34">
        <f t="shared" si="6"/>
        <v>15750</v>
      </c>
      <c r="I57" s="8"/>
      <c r="J57" s="5">
        <f>BOQ!$E$22</f>
        <v>24</v>
      </c>
      <c r="K57" s="954">
        <f t="shared" si="7"/>
        <v>252</v>
      </c>
    </row>
    <row r="58" spans="2:11">
      <c r="B58" s="35"/>
      <c r="C58" s="36" t="s">
        <v>28</v>
      </c>
      <c r="D58" s="41" t="s">
        <v>223</v>
      </c>
      <c r="E58" s="38" t="s">
        <v>143</v>
      </c>
      <c r="F58" s="39">
        <v>0.03</v>
      </c>
      <c r="G58" s="40">
        <f>G38</f>
        <v>345000</v>
      </c>
      <c r="H58" s="34">
        <f t="shared" si="6"/>
        <v>10350</v>
      </c>
      <c r="I58" s="8"/>
      <c r="J58" s="5">
        <f>BOQ!$E$22</f>
        <v>24</v>
      </c>
      <c r="K58" s="954">
        <f t="shared" si="7"/>
        <v>0.72</v>
      </c>
    </row>
    <row r="59" spans="2:11">
      <c r="B59" s="35"/>
      <c r="C59" s="36" t="s">
        <v>28</v>
      </c>
      <c r="D59" s="41" t="s">
        <v>224</v>
      </c>
      <c r="E59" s="38" t="s">
        <v>143</v>
      </c>
      <c r="F59" s="39">
        <v>0.05</v>
      </c>
      <c r="G59" s="40">
        <f>G39</f>
        <v>297000</v>
      </c>
      <c r="H59" s="34">
        <f t="shared" si="6"/>
        <v>14850</v>
      </c>
      <c r="I59" s="8"/>
      <c r="J59" s="5">
        <f>BOQ!$E$22</f>
        <v>24</v>
      </c>
      <c r="K59" s="954">
        <f t="shared" si="7"/>
        <v>1.2000000000000002</v>
      </c>
    </row>
    <row r="60" spans="2:11">
      <c r="B60" s="35"/>
      <c r="C60" s="36" t="s">
        <v>28</v>
      </c>
      <c r="D60" s="41" t="s">
        <v>248</v>
      </c>
      <c r="E60" s="38" t="s">
        <v>151</v>
      </c>
      <c r="F60" s="39">
        <v>1.5</v>
      </c>
      <c r="G60" s="40">
        <f>G9</f>
        <v>25000</v>
      </c>
      <c r="H60" s="34">
        <f t="shared" si="6"/>
        <v>37500</v>
      </c>
      <c r="I60" s="1726">
        <f>SUM(H54:H60)</f>
        <v>1696170.0000000002</v>
      </c>
      <c r="J60" s="5">
        <f>BOQ!$E$22</f>
        <v>24</v>
      </c>
      <c r="K60" s="954">
        <f t="shared" si="7"/>
        <v>36</v>
      </c>
    </row>
    <row r="61" spans="2:11">
      <c r="B61" s="35"/>
      <c r="C61" s="36" t="s">
        <v>28</v>
      </c>
      <c r="D61" s="41" t="s">
        <v>133</v>
      </c>
      <c r="E61" s="38" t="s">
        <v>132</v>
      </c>
      <c r="F61" s="39">
        <v>1</v>
      </c>
      <c r="G61" s="40">
        <f>G25</f>
        <v>136000</v>
      </c>
      <c r="H61" s="34">
        <f t="shared" si="6"/>
        <v>136000</v>
      </c>
      <c r="I61" s="8"/>
    </row>
    <row r="62" spans="2:11">
      <c r="B62" s="35"/>
      <c r="C62" s="36" t="s">
        <v>28</v>
      </c>
      <c r="D62" s="41" t="s">
        <v>139</v>
      </c>
      <c r="E62" s="38" t="s">
        <v>132</v>
      </c>
      <c r="F62" s="39">
        <v>2</v>
      </c>
      <c r="G62" s="40">
        <f>G26</f>
        <v>160000</v>
      </c>
      <c r="H62" s="34">
        <f t="shared" si="6"/>
        <v>320000</v>
      </c>
      <c r="I62" s="8"/>
    </row>
    <row r="63" spans="2:11">
      <c r="B63" s="35"/>
      <c r="C63" s="36" t="s">
        <v>28</v>
      </c>
      <c r="D63" s="41" t="s">
        <v>140</v>
      </c>
      <c r="E63" s="38" t="s">
        <v>132</v>
      </c>
      <c r="F63" s="39">
        <v>0.2</v>
      </c>
      <c r="G63" s="40">
        <f>G27</f>
        <v>150000</v>
      </c>
      <c r="H63" s="34">
        <f t="shared" si="6"/>
        <v>30000</v>
      </c>
      <c r="I63" s="8"/>
    </row>
    <row r="64" spans="2:11">
      <c r="B64" s="42"/>
      <c r="C64" s="43" t="s">
        <v>28</v>
      </c>
      <c r="D64" s="98" t="s">
        <v>136</v>
      </c>
      <c r="E64" s="45" t="s">
        <v>132</v>
      </c>
      <c r="F64" s="46">
        <v>0.05</v>
      </c>
      <c r="G64" s="47">
        <f>G28</f>
        <v>180000</v>
      </c>
      <c r="H64" s="112">
        <f t="shared" si="6"/>
        <v>9000</v>
      </c>
      <c r="I64" s="1726">
        <f>SUM(H61:H64)</f>
        <v>495000</v>
      </c>
    </row>
    <row r="65" spans="2:11">
      <c r="B65" s="99"/>
      <c r="C65" s="100"/>
      <c r="D65" s="101" t="s">
        <v>228</v>
      </c>
      <c r="E65" s="102"/>
      <c r="F65" s="103"/>
      <c r="G65" s="104"/>
      <c r="H65" s="105">
        <f>SUM(H54:H64)</f>
        <v>2191170</v>
      </c>
      <c r="I65" s="8"/>
    </row>
    <row r="66" spans="2:11">
      <c r="B66" s="54"/>
      <c r="C66" s="55" t="s">
        <v>229</v>
      </c>
      <c r="D66" s="56"/>
      <c r="E66" s="56"/>
      <c r="F66" s="56"/>
      <c r="G66" s="57"/>
      <c r="H66" s="57">
        <f>ROUND(H65,0)</f>
        <v>2191170</v>
      </c>
      <c r="I66" s="1164"/>
    </row>
    <row r="67" spans="2:11">
      <c r="B67" s="113" t="s">
        <v>249</v>
      </c>
      <c r="C67" s="114" t="s">
        <v>250</v>
      </c>
      <c r="D67" s="115"/>
      <c r="E67" s="116"/>
      <c r="F67" s="90"/>
      <c r="G67" s="117"/>
      <c r="H67" s="118"/>
      <c r="I67" s="8"/>
    </row>
    <row r="68" spans="2:11">
      <c r="B68" s="93"/>
      <c r="C68" s="29" t="s">
        <v>28</v>
      </c>
      <c r="D68" s="94" t="s">
        <v>219</v>
      </c>
      <c r="E68" s="31" t="s">
        <v>220</v>
      </c>
      <c r="F68" s="95">
        <v>1.25</v>
      </c>
      <c r="G68" s="33">
        <f>G54</f>
        <v>30000</v>
      </c>
      <c r="H68" s="34">
        <f t="shared" ref="H68:H78" si="8">F68*G68</f>
        <v>37500</v>
      </c>
      <c r="I68" s="8"/>
      <c r="J68" s="5">
        <f>BOQ!$E$23</f>
        <v>0</v>
      </c>
      <c r="K68" s="954">
        <f>J68*F68</f>
        <v>0</v>
      </c>
    </row>
    <row r="69" spans="2:11">
      <c r="B69" s="35"/>
      <c r="C69" s="36" t="s">
        <v>28</v>
      </c>
      <c r="D69" s="96" t="s">
        <v>235</v>
      </c>
      <c r="E69" s="38" t="s">
        <v>143</v>
      </c>
      <c r="F69" s="39">
        <v>0.186</v>
      </c>
      <c r="G69" s="40">
        <f>G55</f>
        <v>7435571.42857143</v>
      </c>
      <c r="H69" s="34">
        <f t="shared" si="8"/>
        <v>1383016.2857142859</v>
      </c>
      <c r="I69" s="8"/>
      <c r="J69" s="5">
        <f>BOQ!$E$23</f>
        <v>0</v>
      </c>
      <c r="K69" s="954">
        <f t="shared" ref="K69:K74" si="9">J69*F69</f>
        <v>0</v>
      </c>
    </row>
    <row r="70" spans="2:11">
      <c r="B70" s="35"/>
      <c r="C70" s="36" t="s">
        <v>28</v>
      </c>
      <c r="D70" s="41" t="s">
        <v>226</v>
      </c>
      <c r="E70" s="38" t="s">
        <v>145</v>
      </c>
      <c r="F70" s="39">
        <v>0.3</v>
      </c>
      <c r="G70" s="40">
        <f>G56</f>
        <v>17500</v>
      </c>
      <c r="H70" s="34">
        <f t="shared" si="8"/>
        <v>5250</v>
      </c>
      <c r="I70" s="8"/>
      <c r="J70" s="5">
        <f>BOQ!$E$23</f>
        <v>0</v>
      </c>
      <c r="K70" s="954">
        <f t="shared" si="9"/>
        <v>0</v>
      </c>
    </row>
    <row r="71" spans="2:11">
      <c r="B71" s="35"/>
      <c r="C71" s="36" t="s">
        <v>28</v>
      </c>
      <c r="D71" s="41" t="s">
        <v>221</v>
      </c>
      <c r="E71" s="38" t="s">
        <v>145</v>
      </c>
      <c r="F71" s="39">
        <v>18</v>
      </c>
      <c r="G71" s="40">
        <f>G57</f>
        <v>1500</v>
      </c>
      <c r="H71" s="34">
        <f t="shared" si="8"/>
        <v>27000</v>
      </c>
      <c r="I71" s="8"/>
      <c r="J71" s="5">
        <f>BOQ!$E$23</f>
        <v>0</v>
      </c>
      <c r="K71" s="954">
        <f t="shared" si="9"/>
        <v>0</v>
      </c>
    </row>
    <row r="72" spans="2:11">
      <c r="B72" s="35"/>
      <c r="C72" s="36" t="s">
        <v>28</v>
      </c>
      <c r="D72" s="41" t="s">
        <v>223</v>
      </c>
      <c r="E72" s="38" t="s">
        <v>143</v>
      </c>
      <c r="F72" s="39">
        <v>0.03</v>
      </c>
      <c r="G72" s="40">
        <f>G58</f>
        <v>345000</v>
      </c>
      <c r="H72" s="34">
        <f t="shared" si="8"/>
        <v>10350</v>
      </c>
      <c r="I72" s="8"/>
      <c r="J72" s="5">
        <f>BOQ!$E$23</f>
        <v>0</v>
      </c>
      <c r="K72" s="954">
        <f t="shared" si="9"/>
        <v>0</v>
      </c>
    </row>
    <row r="73" spans="2:11">
      <c r="B73" s="35"/>
      <c r="C73" s="36" t="s">
        <v>28</v>
      </c>
      <c r="D73" s="41" t="s">
        <v>224</v>
      </c>
      <c r="E73" s="38" t="s">
        <v>143</v>
      </c>
      <c r="F73" s="39">
        <v>0.05</v>
      </c>
      <c r="G73" s="40">
        <f t="shared" ref="G73:G78" si="10">G59</f>
        <v>297000</v>
      </c>
      <c r="H73" s="34">
        <f t="shared" si="8"/>
        <v>14850</v>
      </c>
      <c r="I73" s="8"/>
      <c r="J73" s="5">
        <f>BOQ!$E$23</f>
        <v>0</v>
      </c>
      <c r="K73" s="954">
        <f t="shared" si="9"/>
        <v>0</v>
      </c>
    </row>
    <row r="74" spans="2:11">
      <c r="B74" s="35"/>
      <c r="C74" s="36" t="s">
        <v>28</v>
      </c>
      <c r="D74" s="41" t="s">
        <v>248</v>
      </c>
      <c r="E74" s="38" t="s">
        <v>151</v>
      </c>
      <c r="F74" s="39">
        <v>1.5</v>
      </c>
      <c r="G74" s="40">
        <f t="shared" si="10"/>
        <v>25000</v>
      </c>
      <c r="H74" s="34">
        <f t="shared" si="8"/>
        <v>37500</v>
      </c>
      <c r="I74" s="1726">
        <f>SUM(H68:H74)</f>
        <v>1515466.2857142859</v>
      </c>
      <c r="J74" s="5">
        <f>BOQ!$E$23</f>
        <v>0</v>
      </c>
      <c r="K74" s="954">
        <f t="shared" si="9"/>
        <v>0</v>
      </c>
    </row>
    <row r="75" spans="2:11">
      <c r="B75" s="35"/>
      <c r="C75" s="36" t="s">
        <v>28</v>
      </c>
      <c r="D75" s="41" t="s">
        <v>133</v>
      </c>
      <c r="E75" s="38" t="s">
        <v>132</v>
      </c>
      <c r="F75" s="39">
        <v>1</v>
      </c>
      <c r="G75" s="40">
        <f t="shared" si="10"/>
        <v>136000</v>
      </c>
      <c r="H75" s="34">
        <f t="shared" si="8"/>
        <v>136000</v>
      </c>
      <c r="I75" s="8"/>
    </row>
    <row r="76" spans="2:11">
      <c r="B76" s="35"/>
      <c r="C76" s="36" t="s">
        <v>28</v>
      </c>
      <c r="D76" s="41" t="s">
        <v>139</v>
      </c>
      <c r="E76" s="38" t="s">
        <v>132</v>
      </c>
      <c r="F76" s="39">
        <v>2</v>
      </c>
      <c r="G76" s="40">
        <f t="shared" si="10"/>
        <v>160000</v>
      </c>
      <c r="H76" s="34">
        <f t="shared" si="8"/>
        <v>320000</v>
      </c>
      <c r="I76" s="8"/>
    </row>
    <row r="77" spans="2:11">
      <c r="B77" s="35"/>
      <c r="C77" s="36" t="s">
        <v>28</v>
      </c>
      <c r="D77" s="41" t="s">
        <v>140</v>
      </c>
      <c r="E77" s="38" t="s">
        <v>132</v>
      </c>
      <c r="F77" s="39">
        <v>0.2</v>
      </c>
      <c r="G77" s="40">
        <f t="shared" si="10"/>
        <v>150000</v>
      </c>
      <c r="H77" s="34">
        <f t="shared" si="8"/>
        <v>30000</v>
      </c>
      <c r="I77" s="8"/>
    </row>
    <row r="78" spans="2:11">
      <c r="B78" s="42"/>
      <c r="C78" s="43" t="s">
        <v>28</v>
      </c>
      <c r="D78" s="119" t="s">
        <v>136</v>
      </c>
      <c r="E78" s="45" t="s">
        <v>132</v>
      </c>
      <c r="F78" s="120">
        <v>0.05</v>
      </c>
      <c r="G78" s="40">
        <f t="shared" si="10"/>
        <v>180000</v>
      </c>
      <c r="H78" s="34">
        <f t="shared" si="8"/>
        <v>9000</v>
      </c>
      <c r="I78" s="1726">
        <f>SUM(H75:H78)</f>
        <v>495000</v>
      </c>
    </row>
    <row r="79" spans="2:11">
      <c r="B79" s="99"/>
      <c r="C79" s="100"/>
      <c r="D79" s="121" t="s">
        <v>228</v>
      </c>
      <c r="E79" s="122"/>
      <c r="F79" s="123"/>
      <c r="G79" s="124"/>
      <c r="H79" s="125">
        <f>SUM(H68:H78)</f>
        <v>2010466.2857142859</v>
      </c>
      <c r="I79" s="8"/>
    </row>
    <row r="80" spans="2:11">
      <c r="B80" s="54"/>
      <c r="C80" s="55" t="s">
        <v>229</v>
      </c>
      <c r="D80" s="56"/>
      <c r="E80" s="56"/>
      <c r="F80" s="56"/>
      <c r="G80" s="57"/>
      <c r="H80" s="57">
        <f>ROUND(H79,0)</f>
        <v>2010466</v>
      </c>
      <c r="I80" s="1164"/>
    </row>
    <row r="81" spans="2:9">
      <c r="B81" s="20" t="s">
        <v>251</v>
      </c>
      <c r="C81" s="126" t="s">
        <v>252</v>
      </c>
      <c r="D81" s="127"/>
      <c r="E81" s="128"/>
      <c r="F81" s="129"/>
      <c r="G81" s="117"/>
      <c r="H81" s="118"/>
      <c r="I81" s="8"/>
    </row>
    <row r="82" spans="2:9">
      <c r="B82" s="130"/>
      <c r="C82" s="29" t="s">
        <v>28</v>
      </c>
      <c r="D82" s="131" t="s">
        <v>133</v>
      </c>
      <c r="E82" s="132" t="s">
        <v>132</v>
      </c>
      <c r="F82" s="133">
        <v>0.1</v>
      </c>
      <c r="G82" s="33">
        <f>G61</f>
        <v>136000</v>
      </c>
      <c r="H82" s="34">
        <f>F82*G82</f>
        <v>13600</v>
      </c>
      <c r="I82" s="8"/>
    </row>
    <row r="83" spans="2:9">
      <c r="B83" s="42"/>
      <c r="C83" s="43" t="s">
        <v>28</v>
      </c>
      <c r="D83" s="134" t="s">
        <v>136</v>
      </c>
      <c r="E83" s="135" t="s">
        <v>132</v>
      </c>
      <c r="F83" s="136">
        <v>0.05</v>
      </c>
      <c r="G83" s="47">
        <f>G64</f>
        <v>180000</v>
      </c>
      <c r="H83" s="34">
        <f>F83*G83</f>
        <v>9000</v>
      </c>
      <c r="I83" s="8">
        <f>SUM(H82:H83)</f>
        <v>22600</v>
      </c>
    </row>
    <row r="84" spans="2:9">
      <c r="B84" s="137"/>
      <c r="C84" s="138"/>
      <c r="D84" s="139" t="s">
        <v>228</v>
      </c>
      <c r="E84" s="140"/>
      <c r="F84" s="141"/>
      <c r="G84" s="142"/>
      <c r="H84" s="143">
        <f>SUM(H82:H83)</f>
        <v>22600</v>
      </c>
      <c r="I84" s="8"/>
    </row>
    <row r="85" spans="2:9">
      <c r="B85" s="54"/>
      <c r="C85" s="55" t="s">
        <v>229</v>
      </c>
      <c r="D85" s="56"/>
      <c r="E85" s="56"/>
      <c r="F85" s="56"/>
      <c r="G85" s="57"/>
      <c r="H85" s="57">
        <f>ROUND(H84,0)</f>
        <v>22600</v>
      </c>
      <c r="I85" s="1164"/>
    </row>
    <row r="86" spans="2:9">
      <c r="B86" s="144" t="s">
        <v>253</v>
      </c>
      <c r="C86" s="145" t="s">
        <v>254</v>
      </c>
      <c r="D86" s="146"/>
      <c r="E86" s="146"/>
      <c r="F86" s="147"/>
      <c r="G86" s="148"/>
      <c r="H86" s="149"/>
      <c r="I86" s="8"/>
    </row>
    <row r="87" spans="2:9">
      <c r="B87" s="130"/>
      <c r="C87" s="29" t="s">
        <v>28</v>
      </c>
      <c r="D87" s="131" t="s">
        <v>133</v>
      </c>
      <c r="E87" s="132" t="s">
        <v>132</v>
      </c>
      <c r="F87" s="133">
        <v>6.6669999999999998</v>
      </c>
      <c r="G87" s="33">
        <f>G82</f>
        <v>136000</v>
      </c>
      <c r="H87" s="34">
        <f>F87*G87</f>
        <v>906712</v>
      </c>
      <c r="I87" s="8"/>
    </row>
    <row r="88" spans="2:9">
      <c r="B88" s="42"/>
      <c r="C88" s="43" t="s">
        <v>28</v>
      </c>
      <c r="D88" s="134" t="s">
        <v>136</v>
      </c>
      <c r="E88" s="135" t="s">
        <v>132</v>
      </c>
      <c r="F88" s="136">
        <v>0.33300000000000002</v>
      </c>
      <c r="G88" s="40">
        <f>G83</f>
        <v>180000</v>
      </c>
      <c r="H88" s="34">
        <f>F88*G88</f>
        <v>59940</v>
      </c>
      <c r="I88" s="8">
        <f>SUM(H87:H88)</f>
        <v>966652</v>
      </c>
    </row>
    <row r="89" spans="2:9">
      <c r="B89" s="137"/>
      <c r="C89" s="150"/>
      <c r="D89" s="49" t="s">
        <v>228</v>
      </c>
      <c r="E89" s="151"/>
      <c r="F89" s="51"/>
      <c r="G89" s="52"/>
      <c r="H89" s="53">
        <f>SUM(H87:H88)</f>
        <v>966652</v>
      </c>
      <c r="I89" s="8"/>
    </row>
    <row r="90" spans="2:9">
      <c r="B90" s="54"/>
      <c r="C90" s="152" t="s">
        <v>229</v>
      </c>
      <c r="D90" s="56"/>
      <c r="E90" s="56"/>
      <c r="F90" s="56"/>
      <c r="G90" s="57"/>
      <c r="H90" s="57">
        <f>ROUND(H89,0)</f>
        <v>966652</v>
      </c>
      <c r="I90" s="1164"/>
    </row>
    <row r="91" spans="2:9">
      <c r="B91" s="144" t="s">
        <v>255</v>
      </c>
      <c r="C91" s="153" t="s">
        <v>256</v>
      </c>
      <c r="D91" s="154"/>
      <c r="E91" s="154"/>
      <c r="F91" s="155"/>
      <c r="G91" s="156"/>
      <c r="H91" s="157"/>
      <c r="I91" s="8"/>
    </row>
    <row r="92" spans="2:9">
      <c r="B92" s="158"/>
      <c r="C92" s="29" t="s">
        <v>28</v>
      </c>
      <c r="D92" s="131" t="s">
        <v>257</v>
      </c>
      <c r="E92" s="132" t="s">
        <v>132</v>
      </c>
      <c r="F92" s="133">
        <v>6.6669999999999998</v>
      </c>
      <c r="G92" s="33">
        <f>G87</f>
        <v>136000</v>
      </c>
      <c r="H92" s="34">
        <f>F92*G92</f>
        <v>906712</v>
      </c>
      <c r="I92" s="8">
        <f>SUM(H92:H93)</f>
        <v>912652</v>
      </c>
    </row>
    <row r="93" spans="2:9">
      <c r="B93" s="42"/>
      <c r="C93" s="43" t="s">
        <v>28</v>
      </c>
      <c r="D93" s="134" t="s">
        <v>136</v>
      </c>
      <c r="E93" s="135" t="s">
        <v>132</v>
      </c>
      <c r="F93" s="136">
        <v>3.3000000000000002E-2</v>
      </c>
      <c r="G93" s="159">
        <f>G88</f>
        <v>180000</v>
      </c>
      <c r="H93" s="160">
        <f>F93*G93</f>
        <v>5940</v>
      </c>
      <c r="I93" s="8"/>
    </row>
    <row r="94" spans="2:9">
      <c r="B94" s="137"/>
      <c r="C94" s="138"/>
      <c r="D94" s="139" t="s">
        <v>228</v>
      </c>
      <c r="E94" s="140"/>
      <c r="F94" s="141"/>
      <c r="G94" s="142"/>
      <c r="H94" s="143">
        <f>SUM(H92:H93)</f>
        <v>912652</v>
      </c>
      <c r="I94" s="8"/>
    </row>
    <row r="95" spans="2:9">
      <c r="B95" s="54"/>
      <c r="C95" s="55" t="s">
        <v>229</v>
      </c>
      <c r="D95" s="56"/>
      <c r="E95" s="56"/>
      <c r="F95" s="56"/>
      <c r="G95" s="57"/>
      <c r="H95" s="57">
        <f>ROUND(H94,0)</f>
        <v>912652</v>
      </c>
      <c r="I95" s="1164"/>
    </row>
    <row r="96" spans="2:9">
      <c r="B96" s="144" t="s">
        <v>258</v>
      </c>
      <c r="C96" s="161" t="s">
        <v>259</v>
      </c>
      <c r="D96" s="114"/>
      <c r="E96" s="162"/>
      <c r="F96" s="90"/>
      <c r="G96" s="148"/>
      <c r="H96" s="149"/>
      <c r="I96" s="8"/>
    </row>
    <row r="97" spans="2:9">
      <c r="B97" s="163"/>
      <c r="C97" s="164" t="s">
        <v>28</v>
      </c>
      <c r="D97" s="165" t="s">
        <v>260</v>
      </c>
      <c r="E97" s="166" t="s">
        <v>261</v>
      </c>
      <c r="F97" s="167">
        <v>1</v>
      </c>
      <c r="G97" s="168">
        <f>BAHAN!$E$65</f>
        <v>25000</v>
      </c>
      <c r="H97" s="34">
        <f t="shared" ref="H97:H102" si="11">F97*G97</f>
        <v>25000</v>
      </c>
      <c r="I97" s="8"/>
    </row>
    <row r="98" spans="2:9">
      <c r="B98" s="169"/>
      <c r="C98" s="170" t="s">
        <v>28</v>
      </c>
      <c r="D98" s="171" t="s">
        <v>262</v>
      </c>
      <c r="E98" s="172" t="s">
        <v>47</v>
      </c>
      <c r="F98" s="173">
        <v>0.25</v>
      </c>
      <c r="G98" s="40">
        <f>BAHAN!$E$81</f>
        <v>25000</v>
      </c>
      <c r="H98" s="34">
        <f t="shared" si="11"/>
        <v>6250</v>
      </c>
      <c r="I98" s="8">
        <f>SUM(H97:H98)</f>
        <v>31250</v>
      </c>
    </row>
    <row r="99" spans="2:9">
      <c r="B99" s="169"/>
      <c r="C99" s="170" t="s">
        <v>28</v>
      </c>
      <c r="D99" s="171" t="s">
        <v>257</v>
      </c>
      <c r="E99" s="172" t="s">
        <v>263</v>
      </c>
      <c r="F99" s="173">
        <v>0.25</v>
      </c>
      <c r="G99" s="40">
        <f>G75</f>
        <v>136000</v>
      </c>
      <c r="H99" s="34">
        <f t="shared" si="11"/>
        <v>34000</v>
      </c>
      <c r="I99" s="8"/>
    </row>
    <row r="100" spans="2:9">
      <c r="B100" s="169"/>
      <c r="C100" s="170" t="s">
        <v>28</v>
      </c>
      <c r="D100" s="171" t="s">
        <v>134</v>
      </c>
      <c r="E100" s="172" t="s">
        <v>263</v>
      </c>
      <c r="F100" s="173">
        <v>1.7000000000000001E-2</v>
      </c>
      <c r="G100" s="40">
        <f>G76</f>
        <v>160000</v>
      </c>
      <c r="H100" s="34">
        <f t="shared" si="11"/>
        <v>2720</v>
      </c>
      <c r="I100" s="8"/>
    </row>
    <row r="101" spans="2:9">
      <c r="B101" s="169"/>
      <c r="C101" s="170" t="s">
        <v>28</v>
      </c>
      <c r="D101" s="171" t="s">
        <v>135</v>
      </c>
      <c r="E101" s="172" t="s">
        <v>263</v>
      </c>
      <c r="F101" s="173">
        <v>2E-3</v>
      </c>
      <c r="G101" s="40">
        <f>G77</f>
        <v>150000</v>
      </c>
      <c r="H101" s="34">
        <f t="shared" si="11"/>
        <v>300</v>
      </c>
      <c r="I101" s="8"/>
    </row>
    <row r="102" spans="2:9">
      <c r="B102" s="169"/>
      <c r="C102" s="174" t="s">
        <v>28</v>
      </c>
      <c r="D102" s="175" t="s">
        <v>136</v>
      </c>
      <c r="E102" s="176" t="s">
        <v>263</v>
      </c>
      <c r="F102" s="177">
        <v>1.2999999999999999E-2</v>
      </c>
      <c r="G102" s="40">
        <f>G78</f>
        <v>180000</v>
      </c>
      <c r="H102" s="34">
        <f t="shared" si="11"/>
        <v>2340</v>
      </c>
      <c r="I102" s="8">
        <f>SUM(H99:H102)</f>
        <v>39360</v>
      </c>
    </row>
    <row r="103" spans="2:9">
      <c r="B103" s="137"/>
      <c r="C103" s="178"/>
      <c r="D103" s="49" t="s">
        <v>228</v>
      </c>
      <c r="E103" s="151"/>
      <c r="F103" s="179"/>
      <c r="G103" s="52"/>
      <c r="H103" s="53">
        <f>SUM(H97:H102)</f>
        <v>70610</v>
      </c>
      <c r="I103" s="8"/>
    </row>
    <row r="104" spans="2:9">
      <c r="B104" s="54"/>
      <c r="C104" s="55" t="s">
        <v>229</v>
      </c>
      <c r="D104" s="56"/>
      <c r="E104" s="56"/>
      <c r="F104" s="56"/>
      <c r="G104" s="57"/>
      <c r="H104" s="57">
        <f>ROUND(H103,0)</f>
        <v>70610</v>
      </c>
      <c r="I104" s="1164"/>
    </row>
    <row r="105" spans="2:9">
      <c r="B105" s="180"/>
      <c r="C105" s="180"/>
      <c r="D105" s="180"/>
      <c r="E105" s="180"/>
      <c r="F105" s="180"/>
      <c r="G105" s="180"/>
      <c r="H105" s="180"/>
      <c r="I105" s="180"/>
    </row>
    <row r="106" spans="2:9">
      <c r="B106" s="180"/>
      <c r="C106" s="180"/>
      <c r="D106" s="180"/>
      <c r="E106" s="180"/>
      <c r="F106" s="180"/>
      <c r="G106" s="180"/>
      <c r="H106" s="180"/>
      <c r="I106" s="180"/>
    </row>
    <row r="107" spans="2:9">
      <c r="B107" s="180"/>
      <c r="C107" s="180"/>
      <c r="D107" s="180"/>
      <c r="E107" s="180"/>
      <c r="F107" s="180"/>
      <c r="G107" s="180"/>
      <c r="H107" s="180"/>
      <c r="I107" s="180"/>
    </row>
    <row r="108" spans="2:9">
      <c r="B108" s="180"/>
      <c r="C108" s="180"/>
      <c r="D108" s="180"/>
      <c r="E108" s="180"/>
      <c r="F108" s="180"/>
      <c r="G108" s="180"/>
      <c r="H108" s="180"/>
      <c r="I108" s="180"/>
    </row>
    <row r="109" spans="2:9">
      <c r="B109" s="181"/>
      <c r="C109" s="181"/>
      <c r="D109" s="181"/>
      <c r="E109" s="181"/>
      <c r="F109" s="181"/>
      <c r="G109" s="181"/>
      <c r="H109" s="181"/>
      <c r="I109" s="181"/>
    </row>
    <row r="110" spans="2:9">
      <c r="B110" s="181"/>
      <c r="C110" s="181"/>
      <c r="D110" s="181"/>
      <c r="E110" s="181"/>
      <c r="F110" s="181"/>
      <c r="G110" s="181"/>
      <c r="H110" s="181"/>
      <c r="I110" s="181"/>
    </row>
    <row r="111" spans="2:9">
      <c r="B111" s="181"/>
      <c r="C111" s="181"/>
      <c r="D111" s="181"/>
      <c r="E111" s="181"/>
      <c r="F111" s="181"/>
      <c r="G111" s="181"/>
      <c r="H111" s="181"/>
      <c r="I111" s="181"/>
    </row>
    <row r="112" spans="2:9">
      <c r="B112" s="181"/>
      <c r="C112" s="181"/>
      <c r="D112" s="181"/>
      <c r="E112" s="181"/>
      <c r="F112" s="181"/>
      <c r="G112" s="181"/>
      <c r="H112" s="181"/>
      <c r="I112" s="181"/>
    </row>
    <row r="113" spans="2:9">
      <c r="B113" s="181"/>
      <c r="C113" s="181"/>
      <c r="D113" s="181"/>
      <c r="E113" s="181"/>
      <c r="F113" s="181"/>
      <c r="G113" s="181"/>
      <c r="H113" s="181"/>
      <c r="I113" s="181"/>
    </row>
    <row r="114" spans="2:9">
      <c r="B114" s="181"/>
      <c r="C114" s="181"/>
      <c r="D114" s="181"/>
      <c r="E114" s="181"/>
      <c r="F114" s="181"/>
      <c r="G114" s="181"/>
      <c r="H114" s="181"/>
      <c r="I114" s="181"/>
    </row>
    <row r="115" spans="2:9">
      <c r="B115" s="181"/>
      <c r="C115" s="181"/>
      <c r="D115" s="181"/>
      <c r="E115" s="181"/>
      <c r="F115" s="181"/>
      <c r="G115" s="181"/>
      <c r="H115" s="181"/>
      <c r="I115" s="181"/>
    </row>
    <row r="116" spans="2:9">
      <c r="B116" s="181"/>
      <c r="C116" s="181"/>
      <c r="D116" s="181"/>
      <c r="E116" s="181"/>
      <c r="F116" s="181"/>
      <c r="G116" s="181"/>
      <c r="H116" s="181"/>
      <c r="I116" s="181"/>
    </row>
    <row r="117" spans="2:9">
      <c r="B117" s="181"/>
      <c r="C117" s="181"/>
      <c r="D117" s="181"/>
      <c r="E117" s="181"/>
      <c r="F117" s="181"/>
      <c r="G117" s="181"/>
      <c r="H117" s="181"/>
      <c r="I117" s="181"/>
    </row>
  </sheetData>
  <hyperlinks>
    <hyperlink ref="I14" location="BOQ!J18" display="BOQ!J18" xr:uid="{00000000-0004-0000-1500-000000000000}"/>
    <hyperlink ref="I18" location="BOQ!K18" display="BOQ!K18" xr:uid="{00000000-0004-0000-1500-000001000000}"/>
    <hyperlink ref="I24" location="BOQ!J19" display="BOQ!J19" xr:uid="{00000000-0004-0000-1500-000002000000}"/>
    <hyperlink ref="I28" location="BOQ!K19" display="BOQ!K19" xr:uid="{00000000-0004-0000-1500-000003000000}"/>
    <hyperlink ref="I45" location="BOQ!J22" display="BOQ!J22" xr:uid="{00000000-0004-0000-1500-000004000000}"/>
    <hyperlink ref="I50" location="BOQ!K22" display="BOQ!K22" xr:uid="{00000000-0004-0000-1500-000005000000}"/>
    <hyperlink ref="I60" location="BOQ!J23" display="BOQ!J23" xr:uid="{00000000-0004-0000-1500-000006000000}"/>
    <hyperlink ref="I64" location="BOQ!K23" display="BOQ!K23" xr:uid="{00000000-0004-0000-1500-000007000000}"/>
    <hyperlink ref="I74" location="BOQ!J24" display="BOQ!J24" xr:uid="{00000000-0004-0000-1500-000008000000}"/>
    <hyperlink ref="I78" location="BOQ!K24" display="BOQ!K24" xr:uid="{00000000-0004-0000-1500-000009000000}"/>
  </hyperlinks>
  <pageMargins left="1.23" right="0.59055118110236204" top="0.78740157480314998" bottom="0.78740157480314998" header="0.31496062992126" footer="0.31496062992126"/>
  <pageSetup paperSize="5" scale="80" orientation="portrait" horizontalDpi="4294967294" r:id="rId1"/>
  <rowBreaks count="3" manualBreakCount="3">
    <brk id="30" min="1" max="7" man="1"/>
    <brk id="80" min="1" max="7" man="1"/>
    <brk id="104" min="1" max="7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2"/>
  <dimension ref="B2:M56"/>
  <sheetViews>
    <sheetView view="pageBreakPreview" topLeftCell="A7" zoomScale="115" zoomScaleSheetLayoutView="115" workbookViewId="0">
      <selection activeCell="I17" sqref="I17"/>
    </sheetView>
  </sheetViews>
  <sheetFormatPr defaultRowHeight="15"/>
  <cols>
    <col min="1" max="1" width="1.85546875" style="5" customWidth="1"/>
    <col min="2" max="2" width="4.5703125" style="5" customWidth="1"/>
    <col min="3" max="3" width="1.140625" style="5" customWidth="1"/>
    <col min="4" max="4" width="25" style="5" customWidth="1"/>
    <col min="5" max="5" width="8.42578125" style="5" customWidth="1"/>
    <col min="6" max="6" width="9.28515625" style="5" customWidth="1"/>
    <col min="7" max="7" width="14.85546875" style="5" customWidth="1"/>
    <col min="8" max="9" width="16.140625" style="5" customWidth="1"/>
    <col min="10" max="10" width="9.140625" style="5"/>
    <col min="11" max="11" width="11" style="5" customWidth="1"/>
    <col min="12" max="257" width="9.140625" style="5"/>
    <col min="258" max="258" width="1.85546875" style="5" customWidth="1"/>
    <col min="259" max="259" width="4.5703125" style="5" customWidth="1"/>
    <col min="260" max="260" width="1.140625" style="5" customWidth="1"/>
    <col min="261" max="261" width="25" style="5" customWidth="1"/>
    <col min="262" max="262" width="8.42578125" style="5" customWidth="1"/>
    <col min="263" max="263" width="9.28515625" style="5" customWidth="1"/>
    <col min="264" max="264" width="14.85546875" style="5" customWidth="1"/>
    <col min="265" max="265" width="16.140625" style="5" customWidth="1"/>
    <col min="266" max="513" width="9.140625" style="5"/>
    <col min="514" max="514" width="1.85546875" style="5" customWidth="1"/>
    <col min="515" max="515" width="4.5703125" style="5" customWidth="1"/>
    <col min="516" max="516" width="1.140625" style="5" customWidth="1"/>
    <col min="517" max="517" width="25" style="5" customWidth="1"/>
    <col min="518" max="518" width="8.42578125" style="5" customWidth="1"/>
    <col min="519" max="519" width="9.28515625" style="5" customWidth="1"/>
    <col min="520" max="520" width="14.85546875" style="5" customWidth="1"/>
    <col min="521" max="521" width="16.140625" style="5" customWidth="1"/>
    <col min="522" max="769" width="9.140625" style="5"/>
    <col min="770" max="770" width="1.85546875" style="5" customWidth="1"/>
    <col min="771" max="771" width="4.5703125" style="5" customWidth="1"/>
    <col min="772" max="772" width="1.140625" style="5" customWidth="1"/>
    <col min="773" max="773" width="25" style="5" customWidth="1"/>
    <col min="774" max="774" width="8.42578125" style="5" customWidth="1"/>
    <col min="775" max="775" width="9.28515625" style="5" customWidth="1"/>
    <col min="776" max="776" width="14.85546875" style="5" customWidth="1"/>
    <col min="777" max="777" width="16.140625" style="5" customWidth="1"/>
    <col min="778" max="1025" width="9.140625" style="5"/>
    <col min="1026" max="1026" width="1.85546875" style="5" customWidth="1"/>
    <col min="1027" max="1027" width="4.5703125" style="5" customWidth="1"/>
    <col min="1028" max="1028" width="1.140625" style="5" customWidth="1"/>
    <col min="1029" max="1029" width="25" style="5" customWidth="1"/>
    <col min="1030" max="1030" width="8.42578125" style="5" customWidth="1"/>
    <col min="1031" max="1031" width="9.28515625" style="5" customWidth="1"/>
    <col min="1032" max="1032" width="14.85546875" style="5" customWidth="1"/>
    <col min="1033" max="1033" width="16.140625" style="5" customWidth="1"/>
    <col min="1034" max="1281" width="9.140625" style="5"/>
    <col min="1282" max="1282" width="1.85546875" style="5" customWidth="1"/>
    <col min="1283" max="1283" width="4.5703125" style="5" customWidth="1"/>
    <col min="1284" max="1284" width="1.140625" style="5" customWidth="1"/>
    <col min="1285" max="1285" width="25" style="5" customWidth="1"/>
    <col min="1286" max="1286" width="8.42578125" style="5" customWidth="1"/>
    <col min="1287" max="1287" width="9.28515625" style="5" customWidth="1"/>
    <col min="1288" max="1288" width="14.85546875" style="5" customWidth="1"/>
    <col min="1289" max="1289" width="16.140625" style="5" customWidth="1"/>
    <col min="1290" max="1537" width="9.140625" style="5"/>
    <col min="1538" max="1538" width="1.85546875" style="5" customWidth="1"/>
    <col min="1539" max="1539" width="4.5703125" style="5" customWidth="1"/>
    <col min="1540" max="1540" width="1.140625" style="5" customWidth="1"/>
    <col min="1541" max="1541" width="25" style="5" customWidth="1"/>
    <col min="1542" max="1542" width="8.42578125" style="5" customWidth="1"/>
    <col min="1543" max="1543" width="9.28515625" style="5" customWidth="1"/>
    <col min="1544" max="1544" width="14.85546875" style="5" customWidth="1"/>
    <col min="1545" max="1545" width="16.140625" style="5" customWidth="1"/>
    <col min="1546" max="1793" width="9.140625" style="5"/>
    <col min="1794" max="1794" width="1.85546875" style="5" customWidth="1"/>
    <col min="1795" max="1795" width="4.5703125" style="5" customWidth="1"/>
    <col min="1796" max="1796" width="1.140625" style="5" customWidth="1"/>
    <col min="1797" max="1797" width="25" style="5" customWidth="1"/>
    <col min="1798" max="1798" width="8.42578125" style="5" customWidth="1"/>
    <col min="1799" max="1799" width="9.28515625" style="5" customWidth="1"/>
    <col min="1800" max="1800" width="14.85546875" style="5" customWidth="1"/>
    <col min="1801" max="1801" width="16.140625" style="5" customWidth="1"/>
    <col min="1802" max="2049" width="9.140625" style="5"/>
    <col min="2050" max="2050" width="1.85546875" style="5" customWidth="1"/>
    <col min="2051" max="2051" width="4.5703125" style="5" customWidth="1"/>
    <col min="2052" max="2052" width="1.140625" style="5" customWidth="1"/>
    <col min="2053" max="2053" width="25" style="5" customWidth="1"/>
    <col min="2054" max="2054" width="8.42578125" style="5" customWidth="1"/>
    <col min="2055" max="2055" width="9.28515625" style="5" customWidth="1"/>
    <col min="2056" max="2056" width="14.85546875" style="5" customWidth="1"/>
    <col min="2057" max="2057" width="16.140625" style="5" customWidth="1"/>
    <col min="2058" max="2305" width="9.140625" style="5"/>
    <col min="2306" max="2306" width="1.85546875" style="5" customWidth="1"/>
    <col min="2307" max="2307" width="4.5703125" style="5" customWidth="1"/>
    <col min="2308" max="2308" width="1.140625" style="5" customWidth="1"/>
    <col min="2309" max="2309" width="25" style="5" customWidth="1"/>
    <col min="2310" max="2310" width="8.42578125" style="5" customWidth="1"/>
    <col min="2311" max="2311" width="9.28515625" style="5" customWidth="1"/>
    <col min="2312" max="2312" width="14.85546875" style="5" customWidth="1"/>
    <col min="2313" max="2313" width="16.140625" style="5" customWidth="1"/>
    <col min="2314" max="2561" width="9.140625" style="5"/>
    <col min="2562" max="2562" width="1.85546875" style="5" customWidth="1"/>
    <col min="2563" max="2563" width="4.5703125" style="5" customWidth="1"/>
    <col min="2564" max="2564" width="1.140625" style="5" customWidth="1"/>
    <col min="2565" max="2565" width="25" style="5" customWidth="1"/>
    <col min="2566" max="2566" width="8.42578125" style="5" customWidth="1"/>
    <col min="2567" max="2567" width="9.28515625" style="5" customWidth="1"/>
    <col min="2568" max="2568" width="14.85546875" style="5" customWidth="1"/>
    <col min="2569" max="2569" width="16.140625" style="5" customWidth="1"/>
    <col min="2570" max="2817" width="9.140625" style="5"/>
    <col min="2818" max="2818" width="1.85546875" style="5" customWidth="1"/>
    <col min="2819" max="2819" width="4.5703125" style="5" customWidth="1"/>
    <col min="2820" max="2820" width="1.140625" style="5" customWidth="1"/>
    <col min="2821" max="2821" width="25" style="5" customWidth="1"/>
    <col min="2822" max="2822" width="8.42578125" style="5" customWidth="1"/>
    <col min="2823" max="2823" width="9.28515625" style="5" customWidth="1"/>
    <col min="2824" max="2824" width="14.85546875" style="5" customWidth="1"/>
    <col min="2825" max="2825" width="16.140625" style="5" customWidth="1"/>
    <col min="2826" max="3073" width="9.140625" style="5"/>
    <col min="3074" max="3074" width="1.85546875" style="5" customWidth="1"/>
    <col min="3075" max="3075" width="4.5703125" style="5" customWidth="1"/>
    <col min="3076" max="3076" width="1.140625" style="5" customWidth="1"/>
    <col min="3077" max="3077" width="25" style="5" customWidth="1"/>
    <col min="3078" max="3078" width="8.42578125" style="5" customWidth="1"/>
    <col min="3079" max="3079" width="9.28515625" style="5" customWidth="1"/>
    <col min="3080" max="3080" width="14.85546875" style="5" customWidth="1"/>
    <col min="3081" max="3081" width="16.140625" style="5" customWidth="1"/>
    <col min="3082" max="3329" width="9.140625" style="5"/>
    <col min="3330" max="3330" width="1.85546875" style="5" customWidth="1"/>
    <col min="3331" max="3331" width="4.5703125" style="5" customWidth="1"/>
    <col min="3332" max="3332" width="1.140625" style="5" customWidth="1"/>
    <col min="3333" max="3333" width="25" style="5" customWidth="1"/>
    <col min="3334" max="3334" width="8.42578125" style="5" customWidth="1"/>
    <col min="3335" max="3335" width="9.28515625" style="5" customWidth="1"/>
    <col min="3336" max="3336" width="14.85546875" style="5" customWidth="1"/>
    <col min="3337" max="3337" width="16.140625" style="5" customWidth="1"/>
    <col min="3338" max="3585" width="9.140625" style="5"/>
    <col min="3586" max="3586" width="1.85546875" style="5" customWidth="1"/>
    <col min="3587" max="3587" width="4.5703125" style="5" customWidth="1"/>
    <col min="3588" max="3588" width="1.140625" style="5" customWidth="1"/>
    <col min="3589" max="3589" width="25" style="5" customWidth="1"/>
    <col min="3590" max="3590" width="8.42578125" style="5" customWidth="1"/>
    <col min="3591" max="3591" width="9.28515625" style="5" customWidth="1"/>
    <col min="3592" max="3592" width="14.85546875" style="5" customWidth="1"/>
    <col min="3593" max="3593" width="16.140625" style="5" customWidth="1"/>
    <col min="3594" max="3841" width="9.140625" style="5"/>
    <col min="3842" max="3842" width="1.85546875" style="5" customWidth="1"/>
    <col min="3843" max="3843" width="4.5703125" style="5" customWidth="1"/>
    <col min="3844" max="3844" width="1.140625" style="5" customWidth="1"/>
    <col min="3845" max="3845" width="25" style="5" customWidth="1"/>
    <col min="3846" max="3846" width="8.42578125" style="5" customWidth="1"/>
    <col min="3847" max="3847" width="9.28515625" style="5" customWidth="1"/>
    <col min="3848" max="3848" width="14.85546875" style="5" customWidth="1"/>
    <col min="3849" max="3849" width="16.140625" style="5" customWidth="1"/>
    <col min="3850" max="4097" width="9.140625" style="5"/>
    <col min="4098" max="4098" width="1.85546875" style="5" customWidth="1"/>
    <col min="4099" max="4099" width="4.5703125" style="5" customWidth="1"/>
    <col min="4100" max="4100" width="1.140625" style="5" customWidth="1"/>
    <col min="4101" max="4101" width="25" style="5" customWidth="1"/>
    <col min="4102" max="4102" width="8.42578125" style="5" customWidth="1"/>
    <col min="4103" max="4103" width="9.28515625" style="5" customWidth="1"/>
    <col min="4104" max="4104" width="14.85546875" style="5" customWidth="1"/>
    <col min="4105" max="4105" width="16.140625" style="5" customWidth="1"/>
    <col min="4106" max="4353" width="9.140625" style="5"/>
    <col min="4354" max="4354" width="1.85546875" style="5" customWidth="1"/>
    <col min="4355" max="4355" width="4.5703125" style="5" customWidth="1"/>
    <col min="4356" max="4356" width="1.140625" style="5" customWidth="1"/>
    <col min="4357" max="4357" width="25" style="5" customWidth="1"/>
    <col min="4358" max="4358" width="8.42578125" style="5" customWidth="1"/>
    <col min="4359" max="4359" width="9.28515625" style="5" customWidth="1"/>
    <col min="4360" max="4360" width="14.85546875" style="5" customWidth="1"/>
    <col min="4361" max="4361" width="16.140625" style="5" customWidth="1"/>
    <col min="4362" max="4609" width="9.140625" style="5"/>
    <col min="4610" max="4610" width="1.85546875" style="5" customWidth="1"/>
    <col min="4611" max="4611" width="4.5703125" style="5" customWidth="1"/>
    <col min="4612" max="4612" width="1.140625" style="5" customWidth="1"/>
    <col min="4613" max="4613" width="25" style="5" customWidth="1"/>
    <col min="4614" max="4614" width="8.42578125" style="5" customWidth="1"/>
    <col min="4615" max="4615" width="9.28515625" style="5" customWidth="1"/>
    <col min="4616" max="4616" width="14.85546875" style="5" customWidth="1"/>
    <col min="4617" max="4617" width="16.140625" style="5" customWidth="1"/>
    <col min="4618" max="4865" width="9.140625" style="5"/>
    <col min="4866" max="4866" width="1.85546875" style="5" customWidth="1"/>
    <col min="4867" max="4867" width="4.5703125" style="5" customWidth="1"/>
    <col min="4868" max="4868" width="1.140625" style="5" customWidth="1"/>
    <col min="4869" max="4869" width="25" style="5" customWidth="1"/>
    <col min="4870" max="4870" width="8.42578125" style="5" customWidth="1"/>
    <col min="4871" max="4871" width="9.28515625" style="5" customWidth="1"/>
    <col min="4872" max="4872" width="14.85546875" style="5" customWidth="1"/>
    <col min="4873" max="4873" width="16.140625" style="5" customWidth="1"/>
    <col min="4874" max="5121" width="9.140625" style="5"/>
    <col min="5122" max="5122" width="1.85546875" style="5" customWidth="1"/>
    <col min="5123" max="5123" width="4.5703125" style="5" customWidth="1"/>
    <col min="5124" max="5124" width="1.140625" style="5" customWidth="1"/>
    <col min="5125" max="5125" width="25" style="5" customWidth="1"/>
    <col min="5126" max="5126" width="8.42578125" style="5" customWidth="1"/>
    <col min="5127" max="5127" width="9.28515625" style="5" customWidth="1"/>
    <col min="5128" max="5128" width="14.85546875" style="5" customWidth="1"/>
    <col min="5129" max="5129" width="16.140625" style="5" customWidth="1"/>
    <col min="5130" max="5377" width="9.140625" style="5"/>
    <col min="5378" max="5378" width="1.85546875" style="5" customWidth="1"/>
    <col min="5379" max="5379" width="4.5703125" style="5" customWidth="1"/>
    <col min="5380" max="5380" width="1.140625" style="5" customWidth="1"/>
    <col min="5381" max="5381" width="25" style="5" customWidth="1"/>
    <col min="5382" max="5382" width="8.42578125" style="5" customWidth="1"/>
    <col min="5383" max="5383" width="9.28515625" style="5" customWidth="1"/>
    <col min="5384" max="5384" width="14.85546875" style="5" customWidth="1"/>
    <col min="5385" max="5385" width="16.140625" style="5" customWidth="1"/>
    <col min="5386" max="5633" width="9.140625" style="5"/>
    <col min="5634" max="5634" width="1.85546875" style="5" customWidth="1"/>
    <col min="5635" max="5635" width="4.5703125" style="5" customWidth="1"/>
    <col min="5636" max="5636" width="1.140625" style="5" customWidth="1"/>
    <col min="5637" max="5637" width="25" style="5" customWidth="1"/>
    <col min="5638" max="5638" width="8.42578125" style="5" customWidth="1"/>
    <col min="5639" max="5639" width="9.28515625" style="5" customWidth="1"/>
    <col min="5640" max="5640" width="14.85546875" style="5" customWidth="1"/>
    <col min="5641" max="5641" width="16.140625" style="5" customWidth="1"/>
    <col min="5642" max="5889" width="9.140625" style="5"/>
    <col min="5890" max="5890" width="1.85546875" style="5" customWidth="1"/>
    <col min="5891" max="5891" width="4.5703125" style="5" customWidth="1"/>
    <col min="5892" max="5892" width="1.140625" style="5" customWidth="1"/>
    <col min="5893" max="5893" width="25" style="5" customWidth="1"/>
    <col min="5894" max="5894" width="8.42578125" style="5" customWidth="1"/>
    <col min="5895" max="5895" width="9.28515625" style="5" customWidth="1"/>
    <col min="5896" max="5896" width="14.85546875" style="5" customWidth="1"/>
    <col min="5897" max="5897" width="16.140625" style="5" customWidth="1"/>
    <col min="5898" max="6145" width="9.140625" style="5"/>
    <col min="6146" max="6146" width="1.85546875" style="5" customWidth="1"/>
    <col min="6147" max="6147" width="4.5703125" style="5" customWidth="1"/>
    <col min="6148" max="6148" width="1.140625" style="5" customWidth="1"/>
    <col min="6149" max="6149" width="25" style="5" customWidth="1"/>
    <col min="6150" max="6150" width="8.42578125" style="5" customWidth="1"/>
    <col min="6151" max="6151" width="9.28515625" style="5" customWidth="1"/>
    <col min="6152" max="6152" width="14.85546875" style="5" customWidth="1"/>
    <col min="6153" max="6153" width="16.140625" style="5" customWidth="1"/>
    <col min="6154" max="6401" width="9.140625" style="5"/>
    <col min="6402" max="6402" width="1.85546875" style="5" customWidth="1"/>
    <col min="6403" max="6403" width="4.5703125" style="5" customWidth="1"/>
    <col min="6404" max="6404" width="1.140625" style="5" customWidth="1"/>
    <col min="6405" max="6405" width="25" style="5" customWidth="1"/>
    <col min="6406" max="6406" width="8.42578125" style="5" customWidth="1"/>
    <col min="6407" max="6407" width="9.28515625" style="5" customWidth="1"/>
    <col min="6408" max="6408" width="14.85546875" style="5" customWidth="1"/>
    <col min="6409" max="6409" width="16.140625" style="5" customWidth="1"/>
    <col min="6410" max="6657" width="9.140625" style="5"/>
    <col min="6658" max="6658" width="1.85546875" style="5" customWidth="1"/>
    <col min="6659" max="6659" width="4.5703125" style="5" customWidth="1"/>
    <col min="6660" max="6660" width="1.140625" style="5" customWidth="1"/>
    <col min="6661" max="6661" width="25" style="5" customWidth="1"/>
    <col min="6662" max="6662" width="8.42578125" style="5" customWidth="1"/>
    <col min="6663" max="6663" width="9.28515625" style="5" customWidth="1"/>
    <col min="6664" max="6664" width="14.85546875" style="5" customWidth="1"/>
    <col min="6665" max="6665" width="16.140625" style="5" customWidth="1"/>
    <col min="6666" max="6913" width="9.140625" style="5"/>
    <col min="6914" max="6914" width="1.85546875" style="5" customWidth="1"/>
    <col min="6915" max="6915" width="4.5703125" style="5" customWidth="1"/>
    <col min="6916" max="6916" width="1.140625" style="5" customWidth="1"/>
    <col min="6917" max="6917" width="25" style="5" customWidth="1"/>
    <col min="6918" max="6918" width="8.42578125" style="5" customWidth="1"/>
    <col min="6919" max="6919" width="9.28515625" style="5" customWidth="1"/>
    <col min="6920" max="6920" width="14.85546875" style="5" customWidth="1"/>
    <col min="6921" max="6921" width="16.140625" style="5" customWidth="1"/>
    <col min="6922" max="7169" width="9.140625" style="5"/>
    <col min="7170" max="7170" width="1.85546875" style="5" customWidth="1"/>
    <col min="7171" max="7171" width="4.5703125" style="5" customWidth="1"/>
    <col min="7172" max="7172" width="1.140625" style="5" customWidth="1"/>
    <col min="7173" max="7173" width="25" style="5" customWidth="1"/>
    <col min="7174" max="7174" width="8.42578125" style="5" customWidth="1"/>
    <col min="7175" max="7175" width="9.28515625" style="5" customWidth="1"/>
    <col min="7176" max="7176" width="14.85546875" style="5" customWidth="1"/>
    <col min="7177" max="7177" width="16.140625" style="5" customWidth="1"/>
    <col min="7178" max="7425" width="9.140625" style="5"/>
    <col min="7426" max="7426" width="1.85546875" style="5" customWidth="1"/>
    <col min="7427" max="7427" width="4.5703125" style="5" customWidth="1"/>
    <col min="7428" max="7428" width="1.140625" style="5" customWidth="1"/>
    <col min="7429" max="7429" width="25" style="5" customWidth="1"/>
    <col min="7430" max="7430" width="8.42578125" style="5" customWidth="1"/>
    <col min="7431" max="7431" width="9.28515625" style="5" customWidth="1"/>
    <col min="7432" max="7432" width="14.85546875" style="5" customWidth="1"/>
    <col min="7433" max="7433" width="16.140625" style="5" customWidth="1"/>
    <col min="7434" max="7681" width="9.140625" style="5"/>
    <col min="7682" max="7682" width="1.85546875" style="5" customWidth="1"/>
    <col min="7683" max="7683" width="4.5703125" style="5" customWidth="1"/>
    <col min="7684" max="7684" width="1.140625" style="5" customWidth="1"/>
    <col min="7685" max="7685" width="25" style="5" customWidth="1"/>
    <col min="7686" max="7686" width="8.42578125" style="5" customWidth="1"/>
    <col min="7687" max="7687" width="9.28515625" style="5" customWidth="1"/>
    <col min="7688" max="7688" width="14.85546875" style="5" customWidth="1"/>
    <col min="7689" max="7689" width="16.140625" style="5" customWidth="1"/>
    <col min="7690" max="7937" width="9.140625" style="5"/>
    <col min="7938" max="7938" width="1.85546875" style="5" customWidth="1"/>
    <col min="7939" max="7939" width="4.5703125" style="5" customWidth="1"/>
    <col min="7940" max="7940" width="1.140625" style="5" customWidth="1"/>
    <col min="7941" max="7941" width="25" style="5" customWidth="1"/>
    <col min="7942" max="7942" width="8.42578125" style="5" customWidth="1"/>
    <col min="7943" max="7943" width="9.28515625" style="5" customWidth="1"/>
    <col min="7944" max="7944" width="14.85546875" style="5" customWidth="1"/>
    <col min="7945" max="7945" width="16.140625" style="5" customWidth="1"/>
    <col min="7946" max="8193" width="9.140625" style="5"/>
    <col min="8194" max="8194" width="1.85546875" style="5" customWidth="1"/>
    <col min="8195" max="8195" width="4.5703125" style="5" customWidth="1"/>
    <col min="8196" max="8196" width="1.140625" style="5" customWidth="1"/>
    <col min="8197" max="8197" width="25" style="5" customWidth="1"/>
    <col min="8198" max="8198" width="8.42578125" style="5" customWidth="1"/>
    <col min="8199" max="8199" width="9.28515625" style="5" customWidth="1"/>
    <col min="8200" max="8200" width="14.85546875" style="5" customWidth="1"/>
    <col min="8201" max="8201" width="16.140625" style="5" customWidth="1"/>
    <col min="8202" max="8449" width="9.140625" style="5"/>
    <col min="8450" max="8450" width="1.85546875" style="5" customWidth="1"/>
    <col min="8451" max="8451" width="4.5703125" style="5" customWidth="1"/>
    <col min="8452" max="8452" width="1.140625" style="5" customWidth="1"/>
    <col min="8453" max="8453" width="25" style="5" customWidth="1"/>
    <col min="8454" max="8454" width="8.42578125" style="5" customWidth="1"/>
    <col min="8455" max="8455" width="9.28515625" style="5" customWidth="1"/>
    <col min="8456" max="8456" width="14.85546875" style="5" customWidth="1"/>
    <col min="8457" max="8457" width="16.140625" style="5" customWidth="1"/>
    <col min="8458" max="8705" width="9.140625" style="5"/>
    <col min="8706" max="8706" width="1.85546875" style="5" customWidth="1"/>
    <col min="8707" max="8707" width="4.5703125" style="5" customWidth="1"/>
    <col min="8708" max="8708" width="1.140625" style="5" customWidth="1"/>
    <col min="8709" max="8709" width="25" style="5" customWidth="1"/>
    <col min="8710" max="8710" width="8.42578125" style="5" customWidth="1"/>
    <col min="8711" max="8711" width="9.28515625" style="5" customWidth="1"/>
    <col min="8712" max="8712" width="14.85546875" style="5" customWidth="1"/>
    <col min="8713" max="8713" width="16.140625" style="5" customWidth="1"/>
    <col min="8714" max="8961" width="9.140625" style="5"/>
    <col min="8962" max="8962" width="1.85546875" style="5" customWidth="1"/>
    <col min="8963" max="8963" width="4.5703125" style="5" customWidth="1"/>
    <col min="8964" max="8964" width="1.140625" style="5" customWidth="1"/>
    <col min="8965" max="8965" width="25" style="5" customWidth="1"/>
    <col min="8966" max="8966" width="8.42578125" style="5" customWidth="1"/>
    <col min="8967" max="8967" width="9.28515625" style="5" customWidth="1"/>
    <col min="8968" max="8968" width="14.85546875" style="5" customWidth="1"/>
    <col min="8969" max="8969" width="16.140625" style="5" customWidth="1"/>
    <col min="8970" max="9217" width="9.140625" style="5"/>
    <col min="9218" max="9218" width="1.85546875" style="5" customWidth="1"/>
    <col min="9219" max="9219" width="4.5703125" style="5" customWidth="1"/>
    <col min="9220" max="9220" width="1.140625" style="5" customWidth="1"/>
    <col min="9221" max="9221" width="25" style="5" customWidth="1"/>
    <col min="9222" max="9222" width="8.42578125" style="5" customWidth="1"/>
    <col min="9223" max="9223" width="9.28515625" style="5" customWidth="1"/>
    <col min="9224" max="9224" width="14.85546875" style="5" customWidth="1"/>
    <col min="9225" max="9225" width="16.140625" style="5" customWidth="1"/>
    <col min="9226" max="9473" width="9.140625" style="5"/>
    <col min="9474" max="9474" width="1.85546875" style="5" customWidth="1"/>
    <col min="9475" max="9475" width="4.5703125" style="5" customWidth="1"/>
    <col min="9476" max="9476" width="1.140625" style="5" customWidth="1"/>
    <col min="9477" max="9477" width="25" style="5" customWidth="1"/>
    <col min="9478" max="9478" width="8.42578125" style="5" customWidth="1"/>
    <col min="9479" max="9479" width="9.28515625" style="5" customWidth="1"/>
    <col min="9480" max="9480" width="14.85546875" style="5" customWidth="1"/>
    <col min="9481" max="9481" width="16.140625" style="5" customWidth="1"/>
    <col min="9482" max="9729" width="9.140625" style="5"/>
    <col min="9730" max="9730" width="1.85546875" style="5" customWidth="1"/>
    <col min="9731" max="9731" width="4.5703125" style="5" customWidth="1"/>
    <col min="9732" max="9732" width="1.140625" style="5" customWidth="1"/>
    <col min="9733" max="9733" width="25" style="5" customWidth="1"/>
    <col min="9734" max="9734" width="8.42578125" style="5" customWidth="1"/>
    <col min="9735" max="9735" width="9.28515625" style="5" customWidth="1"/>
    <col min="9736" max="9736" width="14.85546875" style="5" customWidth="1"/>
    <col min="9737" max="9737" width="16.140625" style="5" customWidth="1"/>
    <col min="9738" max="9985" width="9.140625" style="5"/>
    <col min="9986" max="9986" width="1.85546875" style="5" customWidth="1"/>
    <col min="9987" max="9987" width="4.5703125" style="5" customWidth="1"/>
    <col min="9988" max="9988" width="1.140625" style="5" customWidth="1"/>
    <col min="9989" max="9989" width="25" style="5" customWidth="1"/>
    <col min="9990" max="9990" width="8.42578125" style="5" customWidth="1"/>
    <col min="9991" max="9991" width="9.28515625" style="5" customWidth="1"/>
    <col min="9992" max="9992" width="14.85546875" style="5" customWidth="1"/>
    <col min="9993" max="9993" width="16.140625" style="5" customWidth="1"/>
    <col min="9994" max="10241" width="9.140625" style="5"/>
    <col min="10242" max="10242" width="1.85546875" style="5" customWidth="1"/>
    <col min="10243" max="10243" width="4.5703125" style="5" customWidth="1"/>
    <col min="10244" max="10244" width="1.140625" style="5" customWidth="1"/>
    <col min="10245" max="10245" width="25" style="5" customWidth="1"/>
    <col min="10246" max="10246" width="8.42578125" style="5" customWidth="1"/>
    <col min="10247" max="10247" width="9.28515625" style="5" customWidth="1"/>
    <col min="10248" max="10248" width="14.85546875" style="5" customWidth="1"/>
    <col min="10249" max="10249" width="16.140625" style="5" customWidth="1"/>
    <col min="10250" max="10497" width="9.140625" style="5"/>
    <col min="10498" max="10498" width="1.85546875" style="5" customWidth="1"/>
    <col min="10499" max="10499" width="4.5703125" style="5" customWidth="1"/>
    <col min="10500" max="10500" width="1.140625" style="5" customWidth="1"/>
    <col min="10501" max="10501" width="25" style="5" customWidth="1"/>
    <col min="10502" max="10502" width="8.42578125" style="5" customWidth="1"/>
    <col min="10503" max="10503" width="9.28515625" style="5" customWidth="1"/>
    <col min="10504" max="10504" width="14.85546875" style="5" customWidth="1"/>
    <col min="10505" max="10505" width="16.140625" style="5" customWidth="1"/>
    <col min="10506" max="10753" width="9.140625" style="5"/>
    <col min="10754" max="10754" width="1.85546875" style="5" customWidth="1"/>
    <col min="10755" max="10755" width="4.5703125" style="5" customWidth="1"/>
    <col min="10756" max="10756" width="1.140625" style="5" customWidth="1"/>
    <col min="10757" max="10757" width="25" style="5" customWidth="1"/>
    <col min="10758" max="10758" width="8.42578125" style="5" customWidth="1"/>
    <col min="10759" max="10759" width="9.28515625" style="5" customWidth="1"/>
    <col min="10760" max="10760" width="14.85546875" style="5" customWidth="1"/>
    <col min="10761" max="10761" width="16.140625" style="5" customWidth="1"/>
    <col min="10762" max="11009" width="9.140625" style="5"/>
    <col min="11010" max="11010" width="1.85546875" style="5" customWidth="1"/>
    <col min="11011" max="11011" width="4.5703125" style="5" customWidth="1"/>
    <col min="11012" max="11012" width="1.140625" style="5" customWidth="1"/>
    <col min="11013" max="11013" width="25" style="5" customWidth="1"/>
    <col min="11014" max="11014" width="8.42578125" style="5" customWidth="1"/>
    <col min="11015" max="11015" width="9.28515625" style="5" customWidth="1"/>
    <col min="11016" max="11016" width="14.85546875" style="5" customWidth="1"/>
    <col min="11017" max="11017" width="16.140625" style="5" customWidth="1"/>
    <col min="11018" max="11265" width="9.140625" style="5"/>
    <col min="11266" max="11266" width="1.85546875" style="5" customWidth="1"/>
    <col min="11267" max="11267" width="4.5703125" style="5" customWidth="1"/>
    <col min="11268" max="11268" width="1.140625" style="5" customWidth="1"/>
    <col min="11269" max="11269" width="25" style="5" customWidth="1"/>
    <col min="11270" max="11270" width="8.42578125" style="5" customWidth="1"/>
    <col min="11271" max="11271" width="9.28515625" style="5" customWidth="1"/>
    <col min="11272" max="11272" width="14.85546875" style="5" customWidth="1"/>
    <col min="11273" max="11273" width="16.140625" style="5" customWidth="1"/>
    <col min="11274" max="11521" width="9.140625" style="5"/>
    <col min="11522" max="11522" width="1.85546875" style="5" customWidth="1"/>
    <col min="11523" max="11523" width="4.5703125" style="5" customWidth="1"/>
    <col min="11524" max="11524" width="1.140625" style="5" customWidth="1"/>
    <col min="11525" max="11525" width="25" style="5" customWidth="1"/>
    <col min="11526" max="11526" width="8.42578125" style="5" customWidth="1"/>
    <col min="11527" max="11527" width="9.28515625" style="5" customWidth="1"/>
    <col min="11528" max="11528" width="14.85546875" style="5" customWidth="1"/>
    <col min="11529" max="11529" width="16.140625" style="5" customWidth="1"/>
    <col min="11530" max="11777" width="9.140625" style="5"/>
    <col min="11778" max="11778" width="1.85546875" style="5" customWidth="1"/>
    <col min="11779" max="11779" width="4.5703125" style="5" customWidth="1"/>
    <col min="11780" max="11780" width="1.140625" style="5" customWidth="1"/>
    <col min="11781" max="11781" width="25" style="5" customWidth="1"/>
    <col min="11782" max="11782" width="8.42578125" style="5" customWidth="1"/>
    <col min="11783" max="11783" width="9.28515625" style="5" customWidth="1"/>
    <col min="11784" max="11784" width="14.85546875" style="5" customWidth="1"/>
    <col min="11785" max="11785" width="16.140625" style="5" customWidth="1"/>
    <col min="11786" max="12033" width="9.140625" style="5"/>
    <col min="12034" max="12034" width="1.85546875" style="5" customWidth="1"/>
    <col min="12035" max="12035" width="4.5703125" style="5" customWidth="1"/>
    <col min="12036" max="12036" width="1.140625" style="5" customWidth="1"/>
    <col min="12037" max="12037" width="25" style="5" customWidth="1"/>
    <col min="12038" max="12038" width="8.42578125" style="5" customWidth="1"/>
    <col min="12039" max="12039" width="9.28515625" style="5" customWidth="1"/>
    <col min="12040" max="12040" width="14.85546875" style="5" customWidth="1"/>
    <col min="12041" max="12041" width="16.140625" style="5" customWidth="1"/>
    <col min="12042" max="12289" width="9.140625" style="5"/>
    <col min="12290" max="12290" width="1.85546875" style="5" customWidth="1"/>
    <col min="12291" max="12291" width="4.5703125" style="5" customWidth="1"/>
    <col min="12292" max="12292" width="1.140625" style="5" customWidth="1"/>
    <col min="12293" max="12293" width="25" style="5" customWidth="1"/>
    <col min="12294" max="12294" width="8.42578125" style="5" customWidth="1"/>
    <col min="12295" max="12295" width="9.28515625" style="5" customWidth="1"/>
    <col min="12296" max="12296" width="14.85546875" style="5" customWidth="1"/>
    <col min="12297" max="12297" width="16.140625" style="5" customWidth="1"/>
    <col min="12298" max="12545" width="9.140625" style="5"/>
    <col min="12546" max="12546" width="1.85546875" style="5" customWidth="1"/>
    <col min="12547" max="12547" width="4.5703125" style="5" customWidth="1"/>
    <col min="12548" max="12548" width="1.140625" style="5" customWidth="1"/>
    <col min="12549" max="12549" width="25" style="5" customWidth="1"/>
    <col min="12550" max="12550" width="8.42578125" style="5" customWidth="1"/>
    <col min="12551" max="12551" width="9.28515625" style="5" customWidth="1"/>
    <col min="12552" max="12552" width="14.85546875" style="5" customWidth="1"/>
    <col min="12553" max="12553" width="16.140625" style="5" customWidth="1"/>
    <col min="12554" max="12801" width="9.140625" style="5"/>
    <col min="12802" max="12802" width="1.85546875" style="5" customWidth="1"/>
    <col min="12803" max="12803" width="4.5703125" style="5" customWidth="1"/>
    <col min="12804" max="12804" width="1.140625" style="5" customWidth="1"/>
    <col min="12805" max="12805" width="25" style="5" customWidth="1"/>
    <col min="12806" max="12806" width="8.42578125" style="5" customWidth="1"/>
    <col min="12807" max="12807" width="9.28515625" style="5" customWidth="1"/>
    <col min="12808" max="12808" width="14.85546875" style="5" customWidth="1"/>
    <col min="12809" max="12809" width="16.140625" style="5" customWidth="1"/>
    <col min="12810" max="13057" width="9.140625" style="5"/>
    <col min="13058" max="13058" width="1.85546875" style="5" customWidth="1"/>
    <col min="13059" max="13059" width="4.5703125" style="5" customWidth="1"/>
    <col min="13060" max="13060" width="1.140625" style="5" customWidth="1"/>
    <col min="13061" max="13061" width="25" style="5" customWidth="1"/>
    <col min="13062" max="13062" width="8.42578125" style="5" customWidth="1"/>
    <col min="13063" max="13063" width="9.28515625" style="5" customWidth="1"/>
    <col min="13064" max="13064" width="14.85546875" style="5" customWidth="1"/>
    <col min="13065" max="13065" width="16.140625" style="5" customWidth="1"/>
    <col min="13066" max="13313" width="9.140625" style="5"/>
    <col min="13314" max="13314" width="1.85546875" style="5" customWidth="1"/>
    <col min="13315" max="13315" width="4.5703125" style="5" customWidth="1"/>
    <col min="13316" max="13316" width="1.140625" style="5" customWidth="1"/>
    <col min="13317" max="13317" width="25" style="5" customWidth="1"/>
    <col min="13318" max="13318" width="8.42578125" style="5" customWidth="1"/>
    <col min="13319" max="13319" width="9.28515625" style="5" customWidth="1"/>
    <col min="13320" max="13320" width="14.85546875" style="5" customWidth="1"/>
    <col min="13321" max="13321" width="16.140625" style="5" customWidth="1"/>
    <col min="13322" max="13569" width="9.140625" style="5"/>
    <col min="13570" max="13570" width="1.85546875" style="5" customWidth="1"/>
    <col min="13571" max="13571" width="4.5703125" style="5" customWidth="1"/>
    <col min="13572" max="13572" width="1.140625" style="5" customWidth="1"/>
    <col min="13573" max="13573" width="25" style="5" customWidth="1"/>
    <col min="13574" max="13574" width="8.42578125" style="5" customWidth="1"/>
    <col min="13575" max="13575" width="9.28515625" style="5" customWidth="1"/>
    <col min="13576" max="13576" width="14.85546875" style="5" customWidth="1"/>
    <col min="13577" max="13577" width="16.140625" style="5" customWidth="1"/>
    <col min="13578" max="13825" width="9.140625" style="5"/>
    <col min="13826" max="13826" width="1.85546875" style="5" customWidth="1"/>
    <col min="13827" max="13827" width="4.5703125" style="5" customWidth="1"/>
    <col min="13828" max="13828" width="1.140625" style="5" customWidth="1"/>
    <col min="13829" max="13829" width="25" style="5" customWidth="1"/>
    <col min="13830" max="13830" width="8.42578125" style="5" customWidth="1"/>
    <col min="13831" max="13831" width="9.28515625" style="5" customWidth="1"/>
    <col min="13832" max="13832" width="14.85546875" style="5" customWidth="1"/>
    <col min="13833" max="13833" width="16.140625" style="5" customWidth="1"/>
    <col min="13834" max="14081" width="9.140625" style="5"/>
    <col min="14082" max="14082" width="1.85546875" style="5" customWidth="1"/>
    <col min="14083" max="14083" width="4.5703125" style="5" customWidth="1"/>
    <col min="14084" max="14084" width="1.140625" style="5" customWidth="1"/>
    <col min="14085" max="14085" width="25" style="5" customWidth="1"/>
    <col min="14086" max="14086" width="8.42578125" style="5" customWidth="1"/>
    <col min="14087" max="14087" width="9.28515625" style="5" customWidth="1"/>
    <col min="14088" max="14088" width="14.85546875" style="5" customWidth="1"/>
    <col min="14089" max="14089" width="16.140625" style="5" customWidth="1"/>
    <col min="14090" max="14337" width="9.140625" style="5"/>
    <col min="14338" max="14338" width="1.85546875" style="5" customWidth="1"/>
    <col min="14339" max="14339" width="4.5703125" style="5" customWidth="1"/>
    <col min="14340" max="14340" width="1.140625" style="5" customWidth="1"/>
    <col min="14341" max="14341" width="25" style="5" customWidth="1"/>
    <col min="14342" max="14342" width="8.42578125" style="5" customWidth="1"/>
    <col min="14343" max="14343" width="9.28515625" style="5" customWidth="1"/>
    <col min="14344" max="14344" width="14.85546875" style="5" customWidth="1"/>
    <col min="14345" max="14345" width="16.140625" style="5" customWidth="1"/>
    <col min="14346" max="14593" width="9.140625" style="5"/>
    <col min="14594" max="14594" width="1.85546875" style="5" customWidth="1"/>
    <col min="14595" max="14595" width="4.5703125" style="5" customWidth="1"/>
    <col min="14596" max="14596" width="1.140625" style="5" customWidth="1"/>
    <col min="14597" max="14597" width="25" style="5" customWidth="1"/>
    <col min="14598" max="14598" width="8.42578125" style="5" customWidth="1"/>
    <col min="14599" max="14599" width="9.28515625" style="5" customWidth="1"/>
    <col min="14600" max="14600" width="14.85546875" style="5" customWidth="1"/>
    <col min="14601" max="14601" width="16.140625" style="5" customWidth="1"/>
    <col min="14602" max="14849" width="9.140625" style="5"/>
    <col min="14850" max="14850" width="1.85546875" style="5" customWidth="1"/>
    <col min="14851" max="14851" width="4.5703125" style="5" customWidth="1"/>
    <col min="14852" max="14852" width="1.140625" style="5" customWidth="1"/>
    <col min="14853" max="14853" width="25" style="5" customWidth="1"/>
    <col min="14854" max="14854" width="8.42578125" style="5" customWidth="1"/>
    <col min="14855" max="14855" width="9.28515625" style="5" customWidth="1"/>
    <col min="14856" max="14856" width="14.85546875" style="5" customWidth="1"/>
    <col min="14857" max="14857" width="16.140625" style="5" customWidth="1"/>
    <col min="14858" max="15105" width="9.140625" style="5"/>
    <col min="15106" max="15106" width="1.85546875" style="5" customWidth="1"/>
    <col min="15107" max="15107" width="4.5703125" style="5" customWidth="1"/>
    <col min="15108" max="15108" width="1.140625" style="5" customWidth="1"/>
    <col min="15109" max="15109" width="25" style="5" customWidth="1"/>
    <col min="15110" max="15110" width="8.42578125" style="5" customWidth="1"/>
    <col min="15111" max="15111" width="9.28515625" style="5" customWidth="1"/>
    <col min="15112" max="15112" width="14.85546875" style="5" customWidth="1"/>
    <col min="15113" max="15113" width="16.140625" style="5" customWidth="1"/>
    <col min="15114" max="15361" width="9.140625" style="5"/>
    <col min="15362" max="15362" width="1.85546875" style="5" customWidth="1"/>
    <col min="15363" max="15363" width="4.5703125" style="5" customWidth="1"/>
    <col min="15364" max="15364" width="1.140625" style="5" customWidth="1"/>
    <col min="15365" max="15365" width="25" style="5" customWidth="1"/>
    <col min="15366" max="15366" width="8.42578125" style="5" customWidth="1"/>
    <col min="15367" max="15367" width="9.28515625" style="5" customWidth="1"/>
    <col min="15368" max="15368" width="14.85546875" style="5" customWidth="1"/>
    <col min="15369" max="15369" width="16.140625" style="5" customWidth="1"/>
    <col min="15370" max="15617" width="9.140625" style="5"/>
    <col min="15618" max="15618" width="1.85546875" style="5" customWidth="1"/>
    <col min="15619" max="15619" width="4.5703125" style="5" customWidth="1"/>
    <col min="15620" max="15620" width="1.140625" style="5" customWidth="1"/>
    <col min="15621" max="15621" width="25" style="5" customWidth="1"/>
    <col min="15622" max="15622" width="8.42578125" style="5" customWidth="1"/>
    <col min="15623" max="15623" width="9.28515625" style="5" customWidth="1"/>
    <col min="15624" max="15624" width="14.85546875" style="5" customWidth="1"/>
    <col min="15625" max="15625" width="16.140625" style="5" customWidth="1"/>
    <col min="15626" max="15873" width="9.140625" style="5"/>
    <col min="15874" max="15874" width="1.85546875" style="5" customWidth="1"/>
    <col min="15875" max="15875" width="4.5703125" style="5" customWidth="1"/>
    <col min="15876" max="15876" width="1.140625" style="5" customWidth="1"/>
    <col min="15877" max="15877" width="25" style="5" customWidth="1"/>
    <col min="15878" max="15878" width="8.42578125" style="5" customWidth="1"/>
    <col min="15879" max="15879" width="9.28515625" style="5" customWidth="1"/>
    <col min="15880" max="15880" width="14.85546875" style="5" customWidth="1"/>
    <col min="15881" max="15881" width="16.140625" style="5" customWidth="1"/>
    <col min="15882" max="16129" width="9.140625" style="5"/>
    <col min="16130" max="16130" width="1.85546875" style="5" customWidth="1"/>
    <col min="16131" max="16131" width="4.5703125" style="5" customWidth="1"/>
    <col min="16132" max="16132" width="1.140625" style="5" customWidth="1"/>
    <col min="16133" max="16133" width="25" style="5" customWidth="1"/>
    <col min="16134" max="16134" width="8.42578125" style="5" customWidth="1"/>
    <col min="16135" max="16135" width="9.28515625" style="5" customWidth="1"/>
    <col min="16136" max="16136" width="14.85546875" style="5" customWidth="1"/>
    <col min="16137" max="16137" width="16.140625" style="5" customWidth="1"/>
    <col min="16138" max="16384" width="9.140625" style="5"/>
  </cols>
  <sheetData>
    <row r="2" spans="2:9" ht="15.75">
      <c r="B2" s="182" t="s">
        <v>264</v>
      </c>
      <c r="C2" s="183"/>
      <c r="D2" s="183"/>
      <c r="E2" s="183"/>
      <c r="F2" s="183"/>
      <c r="G2" s="183"/>
      <c r="H2" s="183"/>
      <c r="I2" s="183"/>
    </row>
    <row r="3" spans="2:9">
      <c r="B3" s="184"/>
      <c r="C3" s="185"/>
      <c r="D3" s="185"/>
      <c r="E3" s="186"/>
      <c r="F3" s="187"/>
      <c r="G3" s="185"/>
      <c r="H3" s="185"/>
      <c r="I3" s="185"/>
    </row>
    <row r="4" spans="2:9">
      <c r="B4" s="188" t="s">
        <v>157</v>
      </c>
      <c r="C4" s="189"/>
      <c r="D4" s="190" t="s">
        <v>211</v>
      </c>
      <c r="E4" s="191" t="s">
        <v>212</v>
      </c>
      <c r="F4" s="192" t="s">
        <v>213</v>
      </c>
      <c r="G4" s="191" t="s">
        <v>214</v>
      </c>
      <c r="H4" s="193" t="s">
        <v>215</v>
      </c>
      <c r="I4" s="1165"/>
    </row>
    <row r="5" spans="2:9">
      <c r="B5" s="194"/>
      <c r="C5" s="195"/>
      <c r="D5" s="196"/>
      <c r="E5" s="197"/>
      <c r="F5" s="198"/>
      <c r="G5" s="197" t="s">
        <v>216</v>
      </c>
      <c r="H5" s="58" t="s">
        <v>216</v>
      </c>
      <c r="I5" s="1165"/>
    </row>
    <row r="6" spans="2:9">
      <c r="B6" s="58" t="s">
        <v>265</v>
      </c>
      <c r="C6" s="199" t="s">
        <v>266</v>
      </c>
      <c r="D6" s="200"/>
      <c r="E6" s="201"/>
      <c r="F6" s="202"/>
      <c r="G6" s="203"/>
      <c r="H6" s="204"/>
      <c r="I6" s="1166"/>
    </row>
    <row r="7" spans="2:9">
      <c r="B7" s="205"/>
      <c r="C7" s="206" t="s">
        <v>28</v>
      </c>
      <c r="D7" s="207" t="s">
        <v>133</v>
      </c>
      <c r="E7" s="208" t="s">
        <v>132</v>
      </c>
      <c r="F7" s="209">
        <v>0.4</v>
      </c>
      <c r="G7" s="210">
        <f>UPAH!E26</f>
        <v>136000</v>
      </c>
      <c r="H7" s="211">
        <f>F7*G7</f>
        <v>54400</v>
      </c>
      <c r="I7" s="1167"/>
    </row>
    <row r="8" spans="2:9">
      <c r="B8" s="212"/>
      <c r="C8" s="78" t="s">
        <v>28</v>
      </c>
      <c r="D8" s="213" t="s">
        <v>136</v>
      </c>
      <c r="E8" s="80" t="s">
        <v>132</v>
      </c>
      <c r="F8" s="214">
        <v>0.04</v>
      </c>
      <c r="G8" s="215">
        <f>UPAH!E9</f>
        <v>180000</v>
      </c>
      <c r="H8" s="211">
        <f>F8*G8</f>
        <v>7200</v>
      </c>
      <c r="I8" s="1167">
        <f>SUM(H7:H8)</f>
        <v>61600</v>
      </c>
    </row>
    <row r="9" spans="2:9">
      <c r="B9" s="216"/>
      <c r="C9" s="83"/>
      <c r="D9" s="84" t="s">
        <v>228</v>
      </c>
      <c r="E9" s="85"/>
      <c r="F9" s="217"/>
      <c r="G9" s="218"/>
      <c r="H9" s="219">
        <f>SUM(H7:H8)</f>
        <v>61600</v>
      </c>
      <c r="I9" s="1167"/>
    </row>
    <row r="10" spans="2:9">
      <c r="B10" s="54"/>
      <c r="C10" s="55" t="s">
        <v>229</v>
      </c>
      <c r="D10" s="56"/>
      <c r="E10" s="56"/>
      <c r="F10" s="56"/>
      <c r="G10" s="57"/>
      <c r="H10" s="57">
        <f>ROUND(H9,0)</f>
        <v>61600</v>
      </c>
      <c r="I10" s="1164"/>
    </row>
    <row r="11" spans="2:9">
      <c r="B11" s="58" t="s">
        <v>267</v>
      </c>
      <c r="C11" s="199" t="s">
        <v>268</v>
      </c>
      <c r="D11" s="60"/>
      <c r="E11" s="61"/>
      <c r="F11" s="220"/>
      <c r="G11" s="221"/>
      <c r="H11" s="222"/>
      <c r="I11" s="1167"/>
    </row>
    <row r="12" spans="2:9">
      <c r="B12" s="65"/>
      <c r="C12" s="66" t="s">
        <v>28</v>
      </c>
      <c r="D12" s="207" t="s">
        <v>133</v>
      </c>
      <c r="E12" s="67" t="s">
        <v>132</v>
      </c>
      <c r="F12" s="209">
        <v>0.52600000000000002</v>
      </c>
      <c r="G12" s="223">
        <f>G7</f>
        <v>136000</v>
      </c>
      <c r="H12" s="211">
        <f>F12*G12</f>
        <v>71536</v>
      </c>
      <c r="I12" s="1167"/>
    </row>
    <row r="13" spans="2:9">
      <c r="B13" s="77"/>
      <c r="C13" s="224" t="s">
        <v>28</v>
      </c>
      <c r="D13" s="213" t="s">
        <v>136</v>
      </c>
      <c r="E13" s="80" t="s">
        <v>132</v>
      </c>
      <c r="F13" s="214">
        <v>5.1999999999999998E-2</v>
      </c>
      <c r="G13" s="225">
        <f>G8</f>
        <v>180000</v>
      </c>
      <c r="H13" s="211">
        <f>F13*G13</f>
        <v>9360</v>
      </c>
      <c r="I13" s="1628">
        <f>SUM(H12:H13)</f>
        <v>80896</v>
      </c>
    </row>
    <row r="14" spans="2:9">
      <c r="B14" s="193"/>
      <c r="C14" s="83"/>
      <c r="D14" s="84" t="s">
        <v>228</v>
      </c>
      <c r="E14" s="85"/>
      <c r="F14" s="217"/>
      <c r="G14" s="218"/>
      <c r="H14" s="219">
        <f>SUM(H12:H13)</f>
        <v>80896</v>
      </c>
      <c r="I14" s="1167"/>
    </row>
    <row r="15" spans="2:9">
      <c r="B15" s="54"/>
      <c r="C15" s="55" t="s">
        <v>229</v>
      </c>
      <c r="D15" s="56"/>
      <c r="E15" s="56"/>
      <c r="F15" s="56"/>
      <c r="G15" s="57"/>
      <c r="H15" s="57">
        <f>ROUND(H14,0)</f>
        <v>80896</v>
      </c>
      <c r="I15" s="1164"/>
    </row>
    <row r="16" spans="2:9">
      <c r="B16" s="58" t="s">
        <v>269</v>
      </c>
      <c r="C16" s="199" t="s">
        <v>270</v>
      </c>
      <c r="D16" s="60"/>
      <c r="E16" s="61"/>
      <c r="F16" s="220"/>
      <c r="G16" s="221"/>
      <c r="H16" s="222"/>
      <c r="I16" s="1167"/>
    </row>
    <row r="17" spans="2:10">
      <c r="B17" s="65"/>
      <c r="C17" s="66" t="s">
        <v>28</v>
      </c>
      <c r="D17" s="207" t="s">
        <v>271</v>
      </c>
      <c r="E17" s="67" t="s">
        <v>21</v>
      </c>
      <c r="F17" s="209">
        <v>1</v>
      </c>
      <c r="G17" s="223">
        <v>75000</v>
      </c>
      <c r="H17" s="211">
        <f>F17*G17</f>
        <v>75000</v>
      </c>
      <c r="I17" s="1628">
        <f>SUM(H17)</f>
        <v>75000</v>
      </c>
      <c r="J17" s="5">
        <f>'PONDASI DAN SLOOF'!C27</f>
        <v>0</v>
      </c>
    </row>
    <row r="18" spans="2:10">
      <c r="B18" s="193"/>
      <c r="C18" s="83"/>
      <c r="D18" s="84" t="s">
        <v>228</v>
      </c>
      <c r="E18" s="85"/>
      <c r="F18" s="217"/>
      <c r="G18" s="218"/>
      <c r="H18" s="219">
        <f>SUM(H17:H17)</f>
        <v>75000</v>
      </c>
      <c r="I18" s="1167"/>
    </row>
    <row r="19" spans="2:10">
      <c r="B19" s="54"/>
      <c r="C19" s="55" t="s">
        <v>229</v>
      </c>
      <c r="D19" s="56"/>
      <c r="E19" s="56"/>
      <c r="F19" s="56"/>
      <c r="G19" s="57"/>
      <c r="H19" s="57">
        <f>ROUND(H18,0)</f>
        <v>75000</v>
      </c>
      <c r="I19" s="1164"/>
    </row>
    <row r="20" spans="2:10">
      <c r="B20" s="58" t="s">
        <v>272</v>
      </c>
      <c r="C20" s="199" t="s">
        <v>273</v>
      </c>
      <c r="D20" s="60"/>
      <c r="E20" s="61"/>
      <c r="F20" s="220"/>
      <c r="G20" s="221"/>
      <c r="H20" s="222"/>
      <c r="I20" s="1167"/>
    </row>
    <row r="21" spans="2:10">
      <c r="B21" s="65"/>
      <c r="C21" s="66" t="s">
        <v>28</v>
      </c>
      <c r="D21" s="207" t="s">
        <v>271</v>
      </c>
      <c r="E21" s="67" t="s">
        <v>21</v>
      </c>
      <c r="F21" s="209">
        <v>1</v>
      </c>
      <c r="G21" s="223">
        <v>120000</v>
      </c>
      <c r="H21" s="211">
        <f>F21*G21</f>
        <v>120000</v>
      </c>
      <c r="I21" s="1628">
        <f>SUM(H21)</f>
        <v>120000</v>
      </c>
    </row>
    <row r="22" spans="2:10">
      <c r="B22" s="193"/>
      <c r="C22" s="83"/>
      <c r="D22" s="84" t="s">
        <v>228</v>
      </c>
      <c r="E22" s="85"/>
      <c r="F22" s="217"/>
      <c r="G22" s="218"/>
      <c r="H22" s="219">
        <f>SUM(H21:H21)</f>
        <v>120000</v>
      </c>
      <c r="I22" s="1167"/>
    </row>
    <row r="23" spans="2:10">
      <c r="B23" s="54"/>
      <c r="C23" s="55" t="s">
        <v>229</v>
      </c>
      <c r="D23" s="56"/>
      <c r="E23" s="56"/>
      <c r="F23" s="56"/>
      <c r="G23" s="57"/>
      <c r="H23" s="57">
        <f>ROUND(H22,0)</f>
        <v>120000</v>
      </c>
      <c r="I23" s="1164"/>
    </row>
    <row r="24" spans="2:10">
      <c r="B24" s="226" t="s">
        <v>274</v>
      </c>
      <c r="C24" s="227" t="s">
        <v>275</v>
      </c>
      <c r="D24" s="227"/>
      <c r="E24" s="228"/>
      <c r="F24" s="229"/>
      <c r="G24" s="230"/>
      <c r="H24" s="231"/>
      <c r="I24" s="1167"/>
    </row>
    <row r="25" spans="2:10">
      <c r="B25" s="232"/>
      <c r="C25" s="66" t="s">
        <v>28</v>
      </c>
      <c r="D25" s="233" t="s">
        <v>133</v>
      </c>
      <c r="E25" s="67" t="s">
        <v>132</v>
      </c>
      <c r="F25" s="234">
        <v>0.51600000000000001</v>
      </c>
      <c r="G25" s="223">
        <f>G7</f>
        <v>136000</v>
      </c>
      <c r="H25" s="223">
        <f>F25*G25</f>
        <v>70176</v>
      </c>
      <c r="I25" s="1167"/>
    </row>
    <row r="26" spans="2:10">
      <c r="B26" s="212"/>
      <c r="C26" s="224" t="s">
        <v>28</v>
      </c>
      <c r="D26" s="213" t="s">
        <v>136</v>
      </c>
      <c r="E26" s="80" t="s">
        <v>132</v>
      </c>
      <c r="F26" s="235">
        <v>0.05</v>
      </c>
      <c r="G26" s="225">
        <f>G8</f>
        <v>180000</v>
      </c>
      <c r="H26" s="211">
        <f>F26*G26</f>
        <v>9000</v>
      </c>
      <c r="I26" s="1628">
        <f>SUM(H25:H26)</f>
        <v>79176</v>
      </c>
    </row>
    <row r="27" spans="2:10">
      <c r="B27" s="236"/>
      <c r="C27" s="237"/>
      <c r="D27" s="84" t="s">
        <v>228</v>
      </c>
      <c r="E27" s="238"/>
      <c r="F27" s="217"/>
      <c r="G27" s="218"/>
      <c r="H27" s="219">
        <f>SUM(H25:H26)</f>
        <v>79176</v>
      </c>
      <c r="I27" s="1167"/>
    </row>
    <row r="28" spans="2:10">
      <c r="B28" s="54"/>
      <c r="C28" s="55" t="s">
        <v>229</v>
      </c>
      <c r="D28" s="56"/>
      <c r="E28" s="56"/>
      <c r="F28" s="56"/>
      <c r="G28" s="57"/>
      <c r="H28" s="57">
        <f>ROUND(H27,0)</f>
        <v>79176</v>
      </c>
      <c r="I28" s="1164"/>
    </row>
    <row r="29" spans="2:10">
      <c r="B29" s="239" t="s">
        <v>276</v>
      </c>
      <c r="C29" s="240" t="s">
        <v>277</v>
      </c>
      <c r="D29" s="241"/>
      <c r="E29" s="242"/>
      <c r="F29" s="243"/>
      <c r="G29" s="244"/>
      <c r="H29" s="222"/>
      <c r="I29" s="1167"/>
    </row>
    <row r="30" spans="2:10">
      <c r="B30" s="232"/>
      <c r="C30" s="66" t="s">
        <v>28</v>
      </c>
      <c r="D30" s="207" t="s">
        <v>133</v>
      </c>
      <c r="E30" s="67" t="s">
        <v>132</v>
      </c>
      <c r="F30" s="234">
        <v>0.192</v>
      </c>
      <c r="G30" s="223">
        <f>G25</f>
        <v>136000</v>
      </c>
      <c r="H30" s="211">
        <f>F30*G30</f>
        <v>26112</v>
      </c>
      <c r="I30" s="1167"/>
    </row>
    <row r="31" spans="2:10">
      <c r="B31" s="245"/>
      <c r="C31" s="246" t="s">
        <v>28</v>
      </c>
      <c r="D31" s="247" t="s">
        <v>136</v>
      </c>
      <c r="E31" s="248" t="s">
        <v>132</v>
      </c>
      <c r="F31" s="249">
        <v>1.9E-2</v>
      </c>
      <c r="G31" s="250">
        <f>G26</f>
        <v>180000</v>
      </c>
      <c r="H31" s="250">
        <f>F31*G31</f>
        <v>3420</v>
      </c>
      <c r="I31" s="1628">
        <f>SUM(H30:H31)</f>
        <v>29532</v>
      </c>
    </row>
    <row r="32" spans="2:10">
      <c r="B32" s="251"/>
      <c r="C32" s="252"/>
      <c r="D32" s="253" t="s">
        <v>228</v>
      </c>
      <c r="E32" s="254"/>
      <c r="F32" s="255"/>
      <c r="G32" s="256"/>
      <c r="H32" s="257">
        <f>SUM(H30:H31)</f>
        <v>29532</v>
      </c>
      <c r="I32" s="1167"/>
    </row>
    <row r="33" spans="2:13">
      <c r="B33" s="54"/>
      <c r="C33" s="55" t="s">
        <v>229</v>
      </c>
      <c r="D33" s="56"/>
      <c r="E33" s="56"/>
      <c r="F33" s="56"/>
      <c r="G33" s="57"/>
      <c r="H33" s="57">
        <f>ROUND(H32,0)</f>
        <v>29532</v>
      </c>
      <c r="I33" s="1164"/>
    </row>
    <row r="34" spans="2:13">
      <c r="B34" s="239" t="s">
        <v>278</v>
      </c>
      <c r="C34" s="240" t="s">
        <v>279</v>
      </c>
      <c r="D34" s="241"/>
      <c r="E34" s="242"/>
      <c r="F34" s="243"/>
      <c r="G34" s="244"/>
      <c r="H34" s="222"/>
      <c r="I34" s="1167"/>
    </row>
    <row r="35" spans="2:13">
      <c r="B35" s="258"/>
      <c r="C35" s="66" t="s">
        <v>28</v>
      </c>
      <c r="D35" s="207" t="s">
        <v>133</v>
      </c>
      <c r="E35" s="67" t="s">
        <v>132</v>
      </c>
      <c r="F35" s="234">
        <v>0.5</v>
      </c>
      <c r="G35" s="223">
        <f>G30</f>
        <v>136000</v>
      </c>
      <c r="H35" s="211">
        <f>F35*G35</f>
        <v>68000</v>
      </c>
      <c r="I35" s="1167"/>
    </row>
    <row r="36" spans="2:13">
      <c r="B36" s="212"/>
      <c r="C36" s="224" t="s">
        <v>28</v>
      </c>
      <c r="D36" s="213" t="s">
        <v>136</v>
      </c>
      <c r="E36" s="80" t="s">
        <v>132</v>
      </c>
      <c r="F36" s="235">
        <v>0.05</v>
      </c>
      <c r="G36" s="225">
        <f>G31</f>
        <v>180000</v>
      </c>
      <c r="H36" s="211">
        <f>F36*G36</f>
        <v>9000</v>
      </c>
      <c r="I36" s="1628">
        <f>SUM(H35:H36)</f>
        <v>77000</v>
      </c>
    </row>
    <row r="37" spans="2:13">
      <c r="B37" s="236"/>
      <c r="C37" s="237"/>
      <c r="D37" s="84" t="s">
        <v>228</v>
      </c>
      <c r="E37" s="238"/>
      <c r="F37" s="217"/>
      <c r="G37" s="218"/>
      <c r="H37" s="219">
        <f>SUM(H35:H36)</f>
        <v>77000</v>
      </c>
      <c r="I37" s="1167"/>
    </row>
    <row r="38" spans="2:13">
      <c r="B38" s="54"/>
      <c r="C38" s="55" t="s">
        <v>229</v>
      </c>
      <c r="D38" s="56"/>
      <c r="E38" s="56"/>
      <c r="F38" s="56"/>
      <c r="G38" s="57"/>
      <c r="H38" s="57">
        <f>ROUND(H37,0)</f>
        <v>77000</v>
      </c>
      <c r="I38" s="1164"/>
    </row>
    <row r="39" spans="2:13">
      <c r="B39" s="239" t="s">
        <v>280</v>
      </c>
      <c r="C39" s="240" t="s">
        <v>281</v>
      </c>
      <c r="D39" s="199"/>
      <c r="E39" s="259"/>
      <c r="F39" s="260"/>
      <c r="G39" s="261"/>
      <c r="H39" s="262"/>
      <c r="I39" s="1167"/>
    </row>
    <row r="40" spans="2:13">
      <c r="B40" s="258"/>
      <c r="C40" s="206" t="s">
        <v>28</v>
      </c>
      <c r="D40" s="263" t="s">
        <v>282</v>
      </c>
      <c r="E40" s="264" t="s">
        <v>143</v>
      </c>
      <c r="F40" s="265">
        <v>1.2</v>
      </c>
      <c r="G40" s="266">
        <f>BAHAN!$E$6</f>
        <v>170000</v>
      </c>
      <c r="H40" s="211">
        <f>F40*G40</f>
        <v>204000</v>
      </c>
      <c r="I40" s="1628">
        <f>SUM(H40)</f>
        <v>204000</v>
      </c>
      <c r="J40" s="1221">
        <f>BOQ!$E$38+BOQ!$E$917</f>
        <v>51.585999999999999</v>
      </c>
      <c r="K40" s="910">
        <f>J40*F40</f>
        <v>61.903199999999998</v>
      </c>
      <c r="L40" s="264" t="s">
        <v>143</v>
      </c>
      <c r="M40" s="1671"/>
    </row>
    <row r="41" spans="2:13">
      <c r="B41" s="267"/>
      <c r="C41" s="72" t="s">
        <v>28</v>
      </c>
      <c r="D41" s="76" t="s">
        <v>133</v>
      </c>
      <c r="E41" s="73" t="s">
        <v>132</v>
      </c>
      <c r="F41" s="268">
        <v>0.3</v>
      </c>
      <c r="G41" s="211">
        <f>G35</f>
        <v>136000</v>
      </c>
      <c r="H41" s="211">
        <f>F41*G41</f>
        <v>40800</v>
      </c>
      <c r="I41" s="1167"/>
    </row>
    <row r="42" spans="2:13">
      <c r="B42" s="212"/>
      <c r="C42" s="224" t="s">
        <v>28</v>
      </c>
      <c r="D42" s="213" t="s">
        <v>136</v>
      </c>
      <c r="E42" s="80" t="s">
        <v>132</v>
      </c>
      <c r="F42" s="235">
        <v>0.01</v>
      </c>
      <c r="G42" s="225">
        <f>G36</f>
        <v>180000</v>
      </c>
      <c r="H42" s="211">
        <f>F42*G42</f>
        <v>1800</v>
      </c>
      <c r="I42" s="1628">
        <f>SUM(H41:H42)</f>
        <v>42600</v>
      </c>
    </row>
    <row r="43" spans="2:13">
      <c r="B43" s="236"/>
      <c r="C43" s="237"/>
      <c r="D43" s="84" t="s">
        <v>228</v>
      </c>
      <c r="E43" s="238"/>
      <c r="F43" s="217"/>
      <c r="G43" s="218"/>
      <c r="H43" s="219">
        <f>SUM(H40:H42)</f>
        <v>246600</v>
      </c>
      <c r="I43" s="1167"/>
    </row>
    <row r="44" spans="2:13">
      <c r="B44" s="54"/>
      <c r="C44" s="55" t="s">
        <v>229</v>
      </c>
      <c r="D44" s="56"/>
      <c r="E44" s="56"/>
      <c r="F44" s="56"/>
      <c r="G44" s="57"/>
      <c r="H44" s="57">
        <f>ROUND(H43,0)</f>
        <v>246600</v>
      </c>
      <c r="I44" s="1164"/>
    </row>
    <row r="45" spans="2:13">
      <c r="B45" s="269" t="s">
        <v>283</v>
      </c>
      <c r="C45" s="270" t="s">
        <v>284</v>
      </c>
      <c r="D45" s="271"/>
      <c r="E45" s="272"/>
      <c r="F45" s="273"/>
      <c r="G45" s="274"/>
      <c r="H45" s="275"/>
      <c r="I45" s="1167"/>
    </row>
    <row r="46" spans="2:13">
      <c r="B46" s="258"/>
      <c r="C46" s="66" t="s">
        <v>28</v>
      </c>
      <c r="D46" s="276" t="s">
        <v>285</v>
      </c>
      <c r="E46" s="277" t="s">
        <v>143</v>
      </c>
      <c r="F46" s="234">
        <v>1.2</v>
      </c>
      <c r="G46" s="223">
        <f>BAHAN!$E$8</f>
        <v>290000</v>
      </c>
      <c r="H46" s="278">
        <f>F46*G46</f>
        <v>348000</v>
      </c>
      <c r="I46" s="1628">
        <f>SUM(H46)</f>
        <v>348000</v>
      </c>
      <c r="J46" s="5">
        <f>BOQ!$E$39</f>
        <v>0</v>
      </c>
      <c r="K46" s="954">
        <f>J46*F46</f>
        <v>0</v>
      </c>
    </row>
    <row r="47" spans="2:13">
      <c r="B47" s="71"/>
      <c r="C47" s="72" t="s">
        <v>28</v>
      </c>
      <c r="D47" s="279" t="s">
        <v>133</v>
      </c>
      <c r="E47" s="280" t="s">
        <v>132</v>
      </c>
      <c r="F47" s="268">
        <v>0.25</v>
      </c>
      <c r="G47" s="211">
        <f>G41</f>
        <v>136000</v>
      </c>
      <c r="H47" s="278">
        <f>F47*G47</f>
        <v>34000</v>
      </c>
      <c r="I47" s="1167"/>
    </row>
    <row r="48" spans="2:13">
      <c r="B48" s="212"/>
      <c r="C48" s="224" t="s">
        <v>28</v>
      </c>
      <c r="D48" s="281" t="s">
        <v>136</v>
      </c>
      <c r="E48" s="282" t="s">
        <v>132</v>
      </c>
      <c r="F48" s="235">
        <v>2.5000000000000001E-2</v>
      </c>
      <c r="G48" s="211">
        <f>G42</f>
        <v>180000</v>
      </c>
      <c r="H48" s="278">
        <f>F48*G48</f>
        <v>4500</v>
      </c>
      <c r="I48" s="1628">
        <f>SUM(H47:H48)</f>
        <v>38500</v>
      </c>
    </row>
    <row r="49" spans="2:12">
      <c r="B49" s="236"/>
      <c r="C49" s="237"/>
      <c r="D49" s="84" t="s">
        <v>228</v>
      </c>
      <c r="E49" s="238"/>
      <c r="F49" s="217"/>
      <c r="G49" s="218"/>
      <c r="H49" s="219">
        <f>SUM(H46:H48)</f>
        <v>386500</v>
      </c>
      <c r="I49" s="1167"/>
    </row>
    <row r="50" spans="2:12">
      <c r="B50" s="54"/>
      <c r="C50" s="55" t="s">
        <v>229</v>
      </c>
      <c r="D50" s="56"/>
      <c r="E50" s="56"/>
      <c r="F50" s="56"/>
      <c r="G50" s="57"/>
      <c r="H50" s="57">
        <f>ROUND(H49,0)</f>
        <v>386500</v>
      </c>
      <c r="I50" s="1164"/>
    </row>
    <row r="51" spans="2:12">
      <c r="B51" s="269" t="s">
        <v>286</v>
      </c>
      <c r="C51" s="270" t="s">
        <v>287</v>
      </c>
      <c r="D51" s="271"/>
      <c r="E51" s="272"/>
      <c r="F51" s="273"/>
      <c r="G51" s="274"/>
      <c r="H51" s="275"/>
      <c r="I51" s="1167"/>
    </row>
    <row r="52" spans="2:12">
      <c r="B52" s="258"/>
      <c r="C52" s="66" t="s">
        <v>28</v>
      </c>
      <c r="D52" s="276" t="s">
        <v>288</v>
      </c>
      <c r="E52" s="277" t="s">
        <v>143</v>
      </c>
      <c r="F52" s="234">
        <v>1.2</v>
      </c>
      <c r="G52" s="223">
        <f>BAHAN!$E$7</f>
        <v>255000</v>
      </c>
      <c r="H52" s="278">
        <f>F52*G52</f>
        <v>306000</v>
      </c>
      <c r="I52" s="1628">
        <f>SUM(H52)</f>
        <v>306000</v>
      </c>
      <c r="J52" s="5">
        <f>BOQ!$E$40</f>
        <v>0</v>
      </c>
      <c r="K52" s="910">
        <f>J52*F52</f>
        <v>0</v>
      </c>
      <c r="L52" s="277" t="s">
        <v>143</v>
      </c>
    </row>
    <row r="53" spans="2:12">
      <c r="B53" s="71"/>
      <c r="C53" s="72" t="s">
        <v>28</v>
      </c>
      <c r="D53" s="279" t="s">
        <v>133</v>
      </c>
      <c r="E53" s="280" t="s">
        <v>132</v>
      </c>
      <c r="F53" s="268">
        <v>0.25</v>
      </c>
      <c r="G53" s="211">
        <f>G47</f>
        <v>136000</v>
      </c>
      <c r="H53" s="278">
        <f>F53*G53</f>
        <v>34000</v>
      </c>
      <c r="I53" s="1167"/>
    </row>
    <row r="54" spans="2:12">
      <c r="B54" s="212"/>
      <c r="C54" s="224" t="s">
        <v>28</v>
      </c>
      <c r="D54" s="281" t="s">
        <v>136</v>
      </c>
      <c r="E54" s="282" t="s">
        <v>132</v>
      </c>
      <c r="F54" s="235">
        <v>2.5000000000000001E-2</v>
      </c>
      <c r="G54" s="211">
        <f>G48</f>
        <v>180000</v>
      </c>
      <c r="H54" s="278">
        <f>F54*G54</f>
        <v>4500</v>
      </c>
      <c r="I54" s="1628">
        <f>SUM(H53:H54)</f>
        <v>38500</v>
      </c>
    </row>
    <row r="55" spans="2:12">
      <c r="B55" s="236"/>
      <c r="C55" s="237"/>
      <c r="D55" s="84" t="s">
        <v>228</v>
      </c>
      <c r="E55" s="238"/>
      <c r="F55" s="217"/>
      <c r="G55" s="218"/>
      <c r="H55" s="219">
        <f>SUM(H52:H54)</f>
        <v>344500</v>
      </c>
      <c r="I55" s="1167"/>
    </row>
    <row r="56" spans="2:12">
      <c r="B56" s="54"/>
      <c r="C56" s="55" t="s">
        <v>229</v>
      </c>
      <c r="D56" s="56"/>
      <c r="E56" s="56"/>
      <c r="F56" s="56"/>
      <c r="G56" s="57"/>
      <c r="H56" s="57">
        <f>ROUND(H55,0)</f>
        <v>344500</v>
      </c>
      <c r="I56" s="1164"/>
    </row>
  </sheetData>
  <hyperlinks>
    <hyperlink ref="I13" location="BOQ!K33" display="BOQ!K33" xr:uid="{00000000-0004-0000-1600-000000000000}"/>
    <hyperlink ref="I17" location="BOQ!K34" display="BOQ!K34" xr:uid="{00000000-0004-0000-1600-000001000000}"/>
    <hyperlink ref="I21" location="BOQ!K35" display="BOQ!K35" xr:uid="{00000000-0004-0000-1600-000002000000}"/>
    <hyperlink ref="I26" location="BOQ!K36" display="BOQ!K36" xr:uid="{00000000-0004-0000-1600-000003000000}"/>
    <hyperlink ref="I31" location="BOQ!K37" display="BOQ!K37" xr:uid="{00000000-0004-0000-1600-000004000000}"/>
    <hyperlink ref="I36" location="BOQ!K38" display="BOQ!K38" xr:uid="{00000000-0004-0000-1600-000005000000}"/>
    <hyperlink ref="I40" location="BOQ!J39" display="BOQ!J39" xr:uid="{00000000-0004-0000-1600-000006000000}"/>
    <hyperlink ref="I42" location="BOQ!K39" display="BOQ!K39" xr:uid="{00000000-0004-0000-1600-000007000000}"/>
    <hyperlink ref="I46" location="BOQ!J40" display="BOQ!J40" xr:uid="{00000000-0004-0000-1600-000008000000}"/>
    <hyperlink ref="I48" location="BOQ!K40" display="BOQ!K40" xr:uid="{00000000-0004-0000-1600-000009000000}"/>
    <hyperlink ref="I52" location="BOQ!J41" display="BOQ!J41" xr:uid="{00000000-0004-0000-1600-00000A000000}"/>
    <hyperlink ref="I54" location="BOQ!K41" display="BOQ!K41" xr:uid="{00000000-0004-0000-1600-00000B000000}"/>
  </hyperlinks>
  <pageMargins left="1.19" right="0.66" top="0.78740157480314998" bottom="0.78740157480314998" header="0.31496062992126" footer="0.31496062992126"/>
  <pageSetup paperSize="5" scale="8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3"/>
  <dimension ref="B2:L114"/>
  <sheetViews>
    <sheetView topLeftCell="A45" zoomScale="115" zoomScaleNormal="115" zoomScaleSheetLayoutView="115" workbookViewId="0">
      <selection activeCell="I57" sqref="I57"/>
    </sheetView>
  </sheetViews>
  <sheetFormatPr defaultRowHeight="15"/>
  <cols>
    <col min="1" max="1" width="1.85546875" style="5" customWidth="1"/>
    <col min="2" max="2" width="4.85546875" style="5" customWidth="1"/>
    <col min="3" max="3" width="1" style="5" customWidth="1"/>
    <col min="4" max="4" width="25.7109375" style="5" customWidth="1"/>
    <col min="5" max="5" width="7.7109375" style="5" customWidth="1"/>
    <col min="6" max="6" width="9.85546875" style="5" bestFit="1" customWidth="1"/>
    <col min="7" max="7" width="15.140625" style="5" customWidth="1"/>
    <col min="8" max="9" width="16" style="5" customWidth="1"/>
    <col min="10" max="10" width="14" style="5" bestFit="1" customWidth="1"/>
    <col min="11" max="11" width="12" style="5" customWidth="1"/>
    <col min="12" max="257" width="9.140625" style="5"/>
    <col min="258" max="258" width="1.85546875" style="5" customWidth="1"/>
    <col min="259" max="259" width="4.85546875" style="5" customWidth="1"/>
    <col min="260" max="260" width="1" style="5" customWidth="1"/>
    <col min="261" max="261" width="25.7109375" style="5" customWidth="1"/>
    <col min="262" max="262" width="7.7109375" style="5" customWidth="1"/>
    <col min="263" max="263" width="9.85546875" style="5" bestFit="1" customWidth="1"/>
    <col min="264" max="264" width="15.140625" style="5" customWidth="1"/>
    <col min="265" max="265" width="16" style="5" customWidth="1"/>
    <col min="266" max="513" width="9.140625" style="5"/>
    <col min="514" max="514" width="1.85546875" style="5" customWidth="1"/>
    <col min="515" max="515" width="4.85546875" style="5" customWidth="1"/>
    <col min="516" max="516" width="1" style="5" customWidth="1"/>
    <col min="517" max="517" width="25.7109375" style="5" customWidth="1"/>
    <col min="518" max="518" width="7.7109375" style="5" customWidth="1"/>
    <col min="519" max="519" width="9.85546875" style="5" bestFit="1" customWidth="1"/>
    <col min="520" max="520" width="15.140625" style="5" customWidth="1"/>
    <col min="521" max="521" width="16" style="5" customWidth="1"/>
    <col min="522" max="769" width="9.140625" style="5"/>
    <col min="770" max="770" width="1.85546875" style="5" customWidth="1"/>
    <col min="771" max="771" width="4.85546875" style="5" customWidth="1"/>
    <col min="772" max="772" width="1" style="5" customWidth="1"/>
    <col min="773" max="773" width="25.7109375" style="5" customWidth="1"/>
    <col min="774" max="774" width="7.7109375" style="5" customWidth="1"/>
    <col min="775" max="775" width="9.85546875" style="5" bestFit="1" customWidth="1"/>
    <col min="776" max="776" width="15.140625" style="5" customWidth="1"/>
    <col min="777" max="777" width="16" style="5" customWidth="1"/>
    <col min="778" max="1025" width="9.140625" style="5"/>
    <col min="1026" max="1026" width="1.85546875" style="5" customWidth="1"/>
    <col min="1027" max="1027" width="4.85546875" style="5" customWidth="1"/>
    <col min="1028" max="1028" width="1" style="5" customWidth="1"/>
    <col min="1029" max="1029" width="25.7109375" style="5" customWidth="1"/>
    <col min="1030" max="1030" width="7.7109375" style="5" customWidth="1"/>
    <col min="1031" max="1031" width="9.85546875" style="5" bestFit="1" customWidth="1"/>
    <col min="1032" max="1032" width="15.140625" style="5" customWidth="1"/>
    <col min="1033" max="1033" width="16" style="5" customWidth="1"/>
    <col min="1034" max="1281" width="9.140625" style="5"/>
    <col min="1282" max="1282" width="1.85546875" style="5" customWidth="1"/>
    <col min="1283" max="1283" width="4.85546875" style="5" customWidth="1"/>
    <col min="1284" max="1284" width="1" style="5" customWidth="1"/>
    <col min="1285" max="1285" width="25.7109375" style="5" customWidth="1"/>
    <col min="1286" max="1286" width="7.7109375" style="5" customWidth="1"/>
    <col min="1287" max="1287" width="9.85546875" style="5" bestFit="1" customWidth="1"/>
    <col min="1288" max="1288" width="15.140625" style="5" customWidth="1"/>
    <col min="1289" max="1289" width="16" style="5" customWidth="1"/>
    <col min="1290" max="1537" width="9.140625" style="5"/>
    <col min="1538" max="1538" width="1.85546875" style="5" customWidth="1"/>
    <col min="1539" max="1539" width="4.85546875" style="5" customWidth="1"/>
    <col min="1540" max="1540" width="1" style="5" customWidth="1"/>
    <col min="1541" max="1541" width="25.7109375" style="5" customWidth="1"/>
    <col min="1542" max="1542" width="7.7109375" style="5" customWidth="1"/>
    <col min="1543" max="1543" width="9.85546875" style="5" bestFit="1" customWidth="1"/>
    <col min="1544" max="1544" width="15.140625" style="5" customWidth="1"/>
    <col min="1545" max="1545" width="16" style="5" customWidth="1"/>
    <col min="1546" max="1793" width="9.140625" style="5"/>
    <col min="1794" max="1794" width="1.85546875" style="5" customWidth="1"/>
    <col min="1795" max="1795" width="4.85546875" style="5" customWidth="1"/>
    <col min="1796" max="1796" width="1" style="5" customWidth="1"/>
    <col min="1797" max="1797" width="25.7109375" style="5" customWidth="1"/>
    <col min="1798" max="1798" width="7.7109375" style="5" customWidth="1"/>
    <col min="1799" max="1799" width="9.85546875" style="5" bestFit="1" customWidth="1"/>
    <col min="1800" max="1800" width="15.140625" style="5" customWidth="1"/>
    <col min="1801" max="1801" width="16" style="5" customWidth="1"/>
    <col min="1802" max="2049" width="9.140625" style="5"/>
    <col min="2050" max="2050" width="1.85546875" style="5" customWidth="1"/>
    <col min="2051" max="2051" width="4.85546875" style="5" customWidth="1"/>
    <col min="2052" max="2052" width="1" style="5" customWidth="1"/>
    <col min="2053" max="2053" width="25.7109375" style="5" customWidth="1"/>
    <col min="2054" max="2054" width="7.7109375" style="5" customWidth="1"/>
    <col min="2055" max="2055" width="9.85546875" style="5" bestFit="1" customWidth="1"/>
    <col min="2056" max="2056" width="15.140625" style="5" customWidth="1"/>
    <col min="2057" max="2057" width="16" style="5" customWidth="1"/>
    <col min="2058" max="2305" width="9.140625" style="5"/>
    <col min="2306" max="2306" width="1.85546875" style="5" customWidth="1"/>
    <col min="2307" max="2307" width="4.85546875" style="5" customWidth="1"/>
    <col min="2308" max="2308" width="1" style="5" customWidth="1"/>
    <col min="2309" max="2309" width="25.7109375" style="5" customWidth="1"/>
    <col min="2310" max="2310" width="7.7109375" style="5" customWidth="1"/>
    <col min="2311" max="2311" width="9.85546875" style="5" bestFit="1" customWidth="1"/>
    <col min="2312" max="2312" width="15.140625" style="5" customWidth="1"/>
    <col min="2313" max="2313" width="16" style="5" customWidth="1"/>
    <col min="2314" max="2561" width="9.140625" style="5"/>
    <col min="2562" max="2562" width="1.85546875" style="5" customWidth="1"/>
    <col min="2563" max="2563" width="4.85546875" style="5" customWidth="1"/>
    <col min="2564" max="2564" width="1" style="5" customWidth="1"/>
    <col min="2565" max="2565" width="25.7109375" style="5" customWidth="1"/>
    <col min="2566" max="2566" width="7.7109375" style="5" customWidth="1"/>
    <col min="2567" max="2567" width="9.85546875" style="5" bestFit="1" customWidth="1"/>
    <col min="2568" max="2568" width="15.140625" style="5" customWidth="1"/>
    <col min="2569" max="2569" width="16" style="5" customWidth="1"/>
    <col min="2570" max="2817" width="9.140625" style="5"/>
    <col min="2818" max="2818" width="1.85546875" style="5" customWidth="1"/>
    <col min="2819" max="2819" width="4.85546875" style="5" customWidth="1"/>
    <col min="2820" max="2820" width="1" style="5" customWidth="1"/>
    <col min="2821" max="2821" width="25.7109375" style="5" customWidth="1"/>
    <col min="2822" max="2822" width="7.7109375" style="5" customWidth="1"/>
    <col min="2823" max="2823" width="9.85546875" style="5" bestFit="1" customWidth="1"/>
    <col min="2824" max="2824" width="15.140625" style="5" customWidth="1"/>
    <col min="2825" max="2825" width="16" style="5" customWidth="1"/>
    <col min="2826" max="3073" width="9.140625" style="5"/>
    <col min="3074" max="3074" width="1.85546875" style="5" customWidth="1"/>
    <col min="3075" max="3075" width="4.85546875" style="5" customWidth="1"/>
    <col min="3076" max="3076" width="1" style="5" customWidth="1"/>
    <col min="3077" max="3077" width="25.7109375" style="5" customWidth="1"/>
    <col min="3078" max="3078" width="7.7109375" style="5" customWidth="1"/>
    <col min="3079" max="3079" width="9.85546875" style="5" bestFit="1" customWidth="1"/>
    <col min="3080" max="3080" width="15.140625" style="5" customWidth="1"/>
    <col min="3081" max="3081" width="16" style="5" customWidth="1"/>
    <col min="3082" max="3329" width="9.140625" style="5"/>
    <col min="3330" max="3330" width="1.85546875" style="5" customWidth="1"/>
    <col min="3331" max="3331" width="4.85546875" style="5" customWidth="1"/>
    <col min="3332" max="3332" width="1" style="5" customWidth="1"/>
    <col min="3333" max="3333" width="25.7109375" style="5" customWidth="1"/>
    <col min="3334" max="3334" width="7.7109375" style="5" customWidth="1"/>
    <col min="3335" max="3335" width="9.85546875" style="5" bestFit="1" customWidth="1"/>
    <col min="3336" max="3336" width="15.140625" style="5" customWidth="1"/>
    <col min="3337" max="3337" width="16" style="5" customWidth="1"/>
    <col min="3338" max="3585" width="9.140625" style="5"/>
    <col min="3586" max="3586" width="1.85546875" style="5" customWidth="1"/>
    <col min="3587" max="3587" width="4.85546875" style="5" customWidth="1"/>
    <col min="3588" max="3588" width="1" style="5" customWidth="1"/>
    <col min="3589" max="3589" width="25.7109375" style="5" customWidth="1"/>
    <col min="3590" max="3590" width="7.7109375" style="5" customWidth="1"/>
    <col min="3591" max="3591" width="9.85546875" style="5" bestFit="1" customWidth="1"/>
    <col min="3592" max="3592" width="15.140625" style="5" customWidth="1"/>
    <col min="3593" max="3593" width="16" style="5" customWidth="1"/>
    <col min="3594" max="3841" width="9.140625" style="5"/>
    <col min="3842" max="3842" width="1.85546875" style="5" customWidth="1"/>
    <col min="3843" max="3843" width="4.85546875" style="5" customWidth="1"/>
    <col min="3844" max="3844" width="1" style="5" customWidth="1"/>
    <col min="3845" max="3845" width="25.7109375" style="5" customWidth="1"/>
    <col min="3846" max="3846" width="7.7109375" style="5" customWidth="1"/>
    <col min="3847" max="3847" width="9.85546875" style="5" bestFit="1" customWidth="1"/>
    <col min="3848" max="3848" width="15.140625" style="5" customWidth="1"/>
    <col min="3849" max="3849" width="16" style="5" customWidth="1"/>
    <col min="3850" max="4097" width="9.140625" style="5"/>
    <col min="4098" max="4098" width="1.85546875" style="5" customWidth="1"/>
    <col min="4099" max="4099" width="4.85546875" style="5" customWidth="1"/>
    <col min="4100" max="4100" width="1" style="5" customWidth="1"/>
    <col min="4101" max="4101" width="25.7109375" style="5" customWidth="1"/>
    <col min="4102" max="4102" width="7.7109375" style="5" customWidth="1"/>
    <col min="4103" max="4103" width="9.85546875" style="5" bestFit="1" customWidth="1"/>
    <col min="4104" max="4104" width="15.140625" style="5" customWidth="1"/>
    <col min="4105" max="4105" width="16" style="5" customWidth="1"/>
    <col min="4106" max="4353" width="9.140625" style="5"/>
    <col min="4354" max="4354" width="1.85546875" style="5" customWidth="1"/>
    <col min="4355" max="4355" width="4.85546875" style="5" customWidth="1"/>
    <col min="4356" max="4356" width="1" style="5" customWidth="1"/>
    <col min="4357" max="4357" width="25.7109375" style="5" customWidth="1"/>
    <col min="4358" max="4358" width="7.7109375" style="5" customWidth="1"/>
    <col min="4359" max="4359" width="9.85546875" style="5" bestFit="1" customWidth="1"/>
    <col min="4360" max="4360" width="15.140625" style="5" customWidth="1"/>
    <col min="4361" max="4361" width="16" style="5" customWidth="1"/>
    <col min="4362" max="4609" width="9.140625" style="5"/>
    <col min="4610" max="4610" width="1.85546875" style="5" customWidth="1"/>
    <col min="4611" max="4611" width="4.85546875" style="5" customWidth="1"/>
    <col min="4612" max="4612" width="1" style="5" customWidth="1"/>
    <col min="4613" max="4613" width="25.7109375" style="5" customWidth="1"/>
    <col min="4614" max="4614" width="7.7109375" style="5" customWidth="1"/>
    <col min="4615" max="4615" width="9.85546875" style="5" bestFit="1" customWidth="1"/>
    <col min="4616" max="4616" width="15.140625" style="5" customWidth="1"/>
    <col min="4617" max="4617" width="16" style="5" customWidth="1"/>
    <col min="4618" max="4865" width="9.140625" style="5"/>
    <col min="4866" max="4866" width="1.85546875" style="5" customWidth="1"/>
    <col min="4867" max="4867" width="4.85546875" style="5" customWidth="1"/>
    <col min="4868" max="4868" width="1" style="5" customWidth="1"/>
    <col min="4869" max="4869" width="25.7109375" style="5" customWidth="1"/>
    <col min="4870" max="4870" width="7.7109375" style="5" customWidth="1"/>
    <col min="4871" max="4871" width="9.85546875" style="5" bestFit="1" customWidth="1"/>
    <col min="4872" max="4872" width="15.140625" style="5" customWidth="1"/>
    <col min="4873" max="4873" width="16" style="5" customWidth="1"/>
    <col min="4874" max="5121" width="9.140625" style="5"/>
    <col min="5122" max="5122" width="1.85546875" style="5" customWidth="1"/>
    <col min="5123" max="5123" width="4.85546875" style="5" customWidth="1"/>
    <col min="5124" max="5124" width="1" style="5" customWidth="1"/>
    <col min="5125" max="5125" width="25.7109375" style="5" customWidth="1"/>
    <col min="5126" max="5126" width="7.7109375" style="5" customWidth="1"/>
    <col min="5127" max="5127" width="9.85546875" style="5" bestFit="1" customWidth="1"/>
    <col min="5128" max="5128" width="15.140625" style="5" customWidth="1"/>
    <col min="5129" max="5129" width="16" style="5" customWidth="1"/>
    <col min="5130" max="5377" width="9.140625" style="5"/>
    <col min="5378" max="5378" width="1.85546875" style="5" customWidth="1"/>
    <col min="5379" max="5379" width="4.85546875" style="5" customWidth="1"/>
    <col min="5380" max="5380" width="1" style="5" customWidth="1"/>
    <col min="5381" max="5381" width="25.7109375" style="5" customWidth="1"/>
    <col min="5382" max="5382" width="7.7109375" style="5" customWidth="1"/>
    <col min="5383" max="5383" width="9.85546875" style="5" bestFit="1" customWidth="1"/>
    <col min="5384" max="5384" width="15.140625" style="5" customWidth="1"/>
    <col min="5385" max="5385" width="16" style="5" customWidth="1"/>
    <col min="5386" max="5633" width="9.140625" style="5"/>
    <col min="5634" max="5634" width="1.85546875" style="5" customWidth="1"/>
    <col min="5635" max="5635" width="4.85546875" style="5" customWidth="1"/>
    <col min="5636" max="5636" width="1" style="5" customWidth="1"/>
    <col min="5637" max="5637" width="25.7109375" style="5" customWidth="1"/>
    <col min="5638" max="5638" width="7.7109375" style="5" customWidth="1"/>
    <col min="5639" max="5639" width="9.85546875" style="5" bestFit="1" customWidth="1"/>
    <col min="5640" max="5640" width="15.140625" style="5" customWidth="1"/>
    <col min="5641" max="5641" width="16" style="5" customWidth="1"/>
    <col min="5642" max="5889" width="9.140625" style="5"/>
    <col min="5890" max="5890" width="1.85546875" style="5" customWidth="1"/>
    <col min="5891" max="5891" width="4.85546875" style="5" customWidth="1"/>
    <col min="5892" max="5892" width="1" style="5" customWidth="1"/>
    <col min="5893" max="5893" width="25.7109375" style="5" customWidth="1"/>
    <col min="5894" max="5894" width="7.7109375" style="5" customWidth="1"/>
    <col min="5895" max="5895" width="9.85546875" style="5" bestFit="1" customWidth="1"/>
    <col min="5896" max="5896" width="15.140625" style="5" customWidth="1"/>
    <col min="5897" max="5897" width="16" style="5" customWidth="1"/>
    <col min="5898" max="6145" width="9.140625" style="5"/>
    <col min="6146" max="6146" width="1.85546875" style="5" customWidth="1"/>
    <col min="6147" max="6147" width="4.85546875" style="5" customWidth="1"/>
    <col min="6148" max="6148" width="1" style="5" customWidth="1"/>
    <col min="6149" max="6149" width="25.7109375" style="5" customWidth="1"/>
    <col min="6150" max="6150" width="7.7109375" style="5" customWidth="1"/>
    <col min="6151" max="6151" width="9.85546875" style="5" bestFit="1" customWidth="1"/>
    <col min="6152" max="6152" width="15.140625" style="5" customWidth="1"/>
    <col min="6153" max="6153" width="16" style="5" customWidth="1"/>
    <col min="6154" max="6401" width="9.140625" style="5"/>
    <col min="6402" max="6402" width="1.85546875" style="5" customWidth="1"/>
    <col min="6403" max="6403" width="4.85546875" style="5" customWidth="1"/>
    <col min="6404" max="6404" width="1" style="5" customWidth="1"/>
    <col min="6405" max="6405" width="25.7109375" style="5" customWidth="1"/>
    <col min="6406" max="6406" width="7.7109375" style="5" customWidth="1"/>
    <col min="6407" max="6407" width="9.85546875" style="5" bestFit="1" customWidth="1"/>
    <col min="6408" max="6408" width="15.140625" style="5" customWidth="1"/>
    <col min="6409" max="6409" width="16" style="5" customWidth="1"/>
    <col min="6410" max="6657" width="9.140625" style="5"/>
    <col min="6658" max="6658" width="1.85546875" style="5" customWidth="1"/>
    <col min="6659" max="6659" width="4.85546875" style="5" customWidth="1"/>
    <col min="6660" max="6660" width="1" style="5" customWidth="1"/>
    <col min="6661" max="6661" width="25.7109375" style="5" customWidth="1"/>
    <col min="6662" max="6662" width="7.7109375" style="5" customWidth="1"/>
    <col min="6663" max="6663" width="9.85546875" style="5" bestFit="1" customWidth="1"/>
    <col min="6664" max="6664" width="15.140625" style="5" customWidth="1"/>
    <col min="6665" max="6665" width="16" style="5" customWidth="1"/>
    <col min="6666" max="6913" width="9.140625" style="5"/>
    <col min="6914" max="6914" width="1.85546875" style="5" customWidth="1"/>
    <col min="6915" max="6915" width="4.85546875" style="5" customWidth="1"/>
    <col min="6916" max="6916" width="1" style="5" customWidth="1"/>
    <col min="6917" max="6917" width="25.7109375" style="5" customWidth="1"/>
    <col min="6918" max="6918" width="7.7109375" style="5" customWidth="1"/>
    <col min="6919" max="6919" width="9.85546875" style="5" bestFit="1" customWidth="1"/>
    <col min="6920" max="6920" width="15.140625" style="5" customWidth="1"/>
    <col min="6921" max="6921" width="16" style="5" customWidth="1"/>
    <col min="6922" max="7169" width="9.140625" style="5"/>
    <col min="7170" max="7170" width="1.85546875" style="5" customWidth="1"/>
    <col min="7171" max="7171" width="4.85546875" style="5" customWidth="1"/>
    <col min="7172" max="7172" width="1" style="5" customWidth="1"/>
    <col min="7173" max="7173" width="25.7109375" style="5" customWidth="1"/>
    <col min="7174" max="7174" width="7.7109375" style="5" customWidth="1"/>
    <col min="7175" max="7175" width="9.85546875" style="5" bestFit="1" customWidth="1"/>
    <col min="7176" max="7176" width="15.140625" style="5" customWidth="1"/>
    <col min="7177" max="7177" width="16" style="5" customWidth="1"/>
    <col min="7178" max="7425" width="9.140625" style="5"/>
    <col min="7426" max="7426" width="1.85546875" style="5" customWidth="1"/>
    <col min="7427" max="7427" width="4.85546875" style="5" customWidth="1"/>
    <col min="7428" max="7428" width="1" style="5" customWidth="1"/>
    <col min="7429" max="7429" width="25.7109375" style="5" customWidth="1"/>
    <col min="7430" max="7430" width="7.7109375" style="5" customWidth="1"/>
    <col min="7431" max="7431" width="9.85546875" style="5" bestFit="1" customWidth="1"/>
    <col min="7432" max="7432" width="15.140625" style="5" customWidth="1"/>
    <col min="7433" max="7433" width="16" style="5" customWidth="1"/>
    <col min="7434" max="7681" width="9.140625" style="5"/>
    <col min="7682" max="7682" width="1.85546875" style="5" customWidth="1"/>
    <col min="7683" max="7683" width="4.85546875" style="5" customWidth="1"/>
    <col min="7684" max="7684" width="1" style="5" customWidth="1"/>
    <col min="7685" max="7685" width="25.7109375" style="5" customWidth="1"/>
    <col min="7686" max="7686" width="7.7109375" style="5" customWidth="1"/>
    <col min="7687" max="7687" width="9.85546875" style="5" bestFit="1" customWidth="1"/>
    <col min="7688" max="7688" width="15.140625" style="5" customWidth="1"/>
    <col min="7689" max="7689" width="16" style="5" customWidth="1"/>
    <col min="7690" max="7937" width="9.140625" style="5"/>
    <col min="7938" max="7938" width="1.85546875" style="5" customWidth="1"/>
    <col min="7939" max="7939" width="4.85546875" style="5" customWidth="1"/>
    <col min="7940" max="7940" width="1" style="5" customWidth="1"/>
    <col min="7941" max="7941" width="25.7109375" style="5" customWidth="1"/>
    <col min="7942" max="7942" width="7.7109375" style="5" customWidth="1"/>
    <col min="7943" max="7943" width="9.85546875" style="5" bestFit="1" customWidth="1"/>
    <col min="7944" max="7944" width="15.140625" style="5" customWidth="1"/>
    <col min="7945" max="7945" width="16" style="5" customWidth="1"/>
    <col min="7946" max="8193" width="9.140625" style="5"/>
    <col min="8194" max="8194" width="1.85546875" style="5" customWidth="1"/>
    <col min="8195" max="8195" width="4.85546875" style="5" customWidth="1"/>
    <col min="8196" max="8196" width="1" style="5" customWidth="1"/>
    <col min="8197" max="8197" width="25.7109375" style="5" customWidth="1"/>
    <col min="8198" max="8198" width="7.7109375" style="5" customWidth="1"/>
    <col min="8199" max="8199" width="9.85546875" style="5" bestFit="1" customWidth="1"/>
    <col min="8200" max="8200" width="15.140625" style="5" customWidth="1"/>
    <col min="8201" max="8201" width="16" style="5" customWidth="1"/>
    <col min="8202" max="8449" width="9.140625" style="5"/>
    <col min="8450" max="8450" width="1.85546875" style="5" customWidth="1"/>
    <col min="8451" max="8451" width="4.85546875" style="5" customWidth="1"/>
    <col min="8452" max="8452" width="1" style="5" customWidth="1"/>
    <col min="8453" max="8453" width="25.7109375" style="5" customWidth="1"/>
    <col min="8454" max="8454" width="7.7109375" style="5" customWidth="1"/>
    <col min="8455" max="8455" width="9.85546875" style="5" bestFit="1" customWidth="1"/>
    <col min="8456" max="8456" width="15.140625" style="5" customWidth="1"/>
    <col min="8457" max="8457" width="16" style="5" customWidth="1"/>
    <col min="8458" max="8705" width="9.140625" style="5"/>
    <col min="8706" max="8706" width="1.85546875" style="5" customWidth="1"/>
    <col min="8707" max="8707" width="4.85546875" style="5" customWidth="1"/>
    <col min="8708" max="8708" width="1" style="5" customWidth="1"/>
    <col min="8709" max="8709" width="25.7109375" style="5" customWidth="1"/>
    <col min="8710" max="8710" width="7.7109375" style="5" customWidth="1"/>
    <col min="8711" max="8711" width="9.85546875" style="5" bestFit="1" customWidth="1"/>
    <col min="8712" max="8712" width="15.140625" style="5" customWidth="1"/>
    <col min="8713" max="8713" width="16" style="5" customWidth="1"/>
    <col min="8714" max="8961" width="9.140625" style="5"/>
    <col min="8962" max="8962" width="1.85546875" style="5" customWidth="1"/>
    <col min="8963" max="8963" width="4.85546875" style="5" customWidth="1"/>
    <col min="8964" max="8964" width="1" style="5" customWidth="1"/>
    <col min="8965" max="8965" width="25.7109375" style="5" customWidth="1"/>
    <col min="8966" max="8966" width="7.7109375" style="5" customWidth="1"/>
    <col min="8967" max="8967" width="9.85546875" style="5" bestFit="1" customWidth="1"/>
    <col min="8968" max="8968" width="15.140625" style="5" customWidth="1"/>
    <col min="8969" max="8969" width="16" style="5" customWidth="1"/>
    <col min="8970" max="9217" width="9.140625" style="5"/>
    <col min="9218" max="9218" width="1.85546875" style="5" customWidth="1"/>
    <col min="9219" max="9219" width="4.85546875" style="5" customWidth="1"/>
    <col min="9220" max="9220" width="1" style="5" customWidth="1"/>
    <col min="9221" max="9221" width="25.7109375" style="5" customWidth="1"/>
    <col min="9222" max="9222" width="7.7109375" style="5" customWidth="1"/>
    <col min="9223" max="9223" width="9.85546875" style="5" bestFit="1" customWidth="1"/>
    <col min="9224" max="9224" width="15.140625" style="5" customWidth="1"/>
    <col min="9225" max="9225" width="16" style="5" customWidth="1"/>
    <col min="9226" max="9473" width="9.140625" style="5"/>
    <col min="9474" max="9474" width="1.85546875" style="5" customWidth="1"/>
    <col min="9475" max="9475" width="4.85546875" style="5" customWidth="1"/>
    <col min="9476" max="9476" width="1" style="5" customWidth="1"/>
    <col min="9477" max="9477" width="25.7109375" style="5" customWidth="1"/>
    <col min="9478" max="9478" width="7.7109375" style="5" customWidth="1"/>
    <col min="9479" max="9479" width="9.85546875" style="5" bestFit="1" customWidth="1"/>
    <col min="9480" max="9480" width="15.140625" style="5" customWidth="1"/>
    <col min="9481" max="9481" width="16" style="5" customWidth="1"/>
    <col min="9482" max="9729" width="9.140625" style="5"/>
    <col min="9730" max="9730" width="1.85546875" style="5" customWidth="1"/>
    <col min="9731" max="9731" width="4.85546875" style="5" customWidth="1"/>
    <col min="9732" max="9732" width="1" style="5" customWidth="1"/>
    <col min="9733" max="9733" width="25.7109375" style="5" customWidth="1"/>
    <col min="9734" max="9734" width="7.7109375" style="5" customWidth="1"/>
    <col min="9735" max="9735" width="9.85546875" style="5" bestFit="1" customWidth="1"/>
    <col min="9736" max="9736" width="15.140625" style="5" customWidth="1"/>
    <col min="9737" max="9737" width="16" style="5" customWidth="1"/>
    <col min="9738" max="9985" width="9.140625" style="5"/>
    <col min="9986" max="9986" width="1.85546875" style="5" customWidth="1"/>
    <col min="9987" max="9987" width="4.85546875" style="5" customWidth="1"/>
    <col min="9988" max="9988" width="1" style="5" customWidth="1"/>
    <col min="9989" max="9989" width="25.7109375" style="5" customWidth="1"/>
    <col min="9990" max="9990" width="7.7109375" style="5" customWidth="1"/>
    <col min="9991" max="9991" width="9.85546875" style="5" bestFit="1" customWidth="1"/>
    <col min="9992" max="9992" width="15.140625" style="5" customWidth="1"/>
    <col min="9993" max="9993" width="16" style="5" customWidth="1"/>
    <col min="9994" max="10241" width="9.140625" style="5"/>
    <col min="10242" max="10242" width="1.85546875" style="5" customWidth="1"/>
    <col min="10243" max="10243" width="4.85546875" style="5" customWidth="1"/>
    <col min="10244" max="10244" width="1" style="5" customWidth="1"/>
    <col min="10245" max="10245" width="25.7109375" style="5" customWidth="1"/>
    <col min="10246" max="10246" width="7.7109375" style="5" customWidth="1"/>
    <col min="10247" max="10247" width="9.85546875" style="5" bestFit="1" customWidth="1"/>
    <col min="10248" max="10248" width="15.140625" style="5" customWidth="1"/>
    <col min="10249" max="10249" width="16" style="5" customWidth="1"/>
    <col min="10250" max="10497" width="9.140625" style="5"/>
    <col min="10498" max="10498" width="1.85546875" style="5" customWidth="1"/>
    <col min="10499" max="10499" width="4.85546875" style="5" customWidth="1"/>
    <col min="10500" max="10500" width="1" style="5" customWidth="1"/>
    <col min="10501" max="10501" width="25.7109375" style="5" customWidth="1"/>
    <col min="10502" max="10502" width="7.7109375" style="5" customWidth="1"/>
    <col min="10503" max="10503" width="9.85546875" style="5" bestFit="1" customWidth="1"/>
    <col min="10504" max="10504" width="15.140625" style="5" customWidth="1"/>
    <col min="10505" max="10505" width="16" style="5" customWidth="1"/>
    <col min="10506" max="10753" width="9.140625" style="5"/>
    <col min="10754" max="10754" width="1.85546875" style="5" customWidth="1"/>
    <col min="10755" max="10755" width="4.85546875" style="5" customWidth="1"/>
    <col min="10756" max="10756" width="1" style="5" customWidth="1"/>
    <col min="10757" max="10757" width="25.7109375" style="5" customWidth="1"/>
    <col min="10758" max="10758" width="7.7109375" style="5" customWidth="1"/>
    <col min="10759" max="10759" width="9.85546875" style="5" bestFit="1" customWidth="1"/>
    <col min="10760" max="10760" width="15.140625" style="5" customWidth="1"/>
    <col min="10761" max="10761" width="16" style="5" customWidth="1"/>
    <col min="10762" max="11009" width="9.140625" style="5"/>
    <col min="11010" max="11010" width="1.85546875" style="5" customWidth="1"/>
    <col min="11011" max="11011" width="4.85546875" style="5" customWidth="1"/>
    <col min="11012" max="11012" width="1" style="5" customWidth="1"/>
    <col min="11013" max="11013" width="25.7109375" style="5" customWidth="1"/>
    <col min="11014" max="11014" width="7.7109375" style="5" customWidth="1"/>
    <col min="11015" max="11015" width="9.85546875" style="5" bestFit="1" customWidth="1"/>
    <col min="11016" max="11016" width="15.140625" style="5" customWidth="1"/>
    <col min="11017" max="11017" width="16" style="5" customWidth="1"/>
    <col min="11018" max="11265" width="9.140625" style="5"/>
    <col min="11266" max="11266" width="1.85546875" style="5" customWidth="1"/>
    <col min="11267" max="11267" width="4.85546875" style="5" customWidth="1"/>
    <col min="11268" max="11268" width="1" style="5" customWidth="1"/>
    <col min="11269" max="11269" width="25.7109375" style="5" customWidth="1"/>
    <col min="11270" max="11270" width="7.7109375" style="5" customWidth="1"/>
    <col min="11271" max="11271" width="9.85546875" style="5" bestFit="1" customWidth="1"/>
    <col min="11272" max="11272" width="15.140625" style="5" customWidth="1"/>
    <col min="11273" max="11273" width="16" style="5" customWidth="1"/>
    <col min="11274" max="11521" width="9.140625" style="5"/>
    <col min="11522" max="11522" width="1.85546875" style="5" customWidth="1"/>
    <col min="11523" max="11523" width="4.85546875" style="5" customWidth="1"/>
    <col min="11524" max="11524" width="1" style="5" customWidth="1"/>
    <col min="11525" max="11525" width="25.7109375" style="5" customWidth="1"/>
    <col min="11526" max="11526" width="7.7109375" style="5" customWidth="1"/>
    <col min="11527" max="11527" width="9.85546875" style="5" bestFit="1" customWidth="1"/>
    <col min="11528" max="11528" width="15.140625" style="5" customWidth="1"/>
    <col min="11529" max="11529" width="16" style="5" customWidth="1"/>
    <col min="11530" max="11777" width="9.140625" style="5"/>
    <col min="11778" max="11778" width="1.85546875" style="5" customWidth="1"/>
    <col min="11779" max="11779" width="4.85546875" style="5" customWidth="1"/>
    <col min="11780" max="11780" width="1" style="5" customWidth="1"/>
    <col min="11781" max="11781" width="25.7109375" style="5" customWidth="1"/>
    <col min="11782" max="11782" width="7.7109375" style="5" customWidth="1"/>
    <col min="11783" max="11783" width="9.85546875" style="5" bestFit="1" customWidth="1"/>
    <col min="11784" max="11784" width="15.140625" style="5" customWidth="1"/>
    <col min="11785" max="11785" width="16" style="5" customWidth="1"/>
    <col min="11786" max="12033" width="9.140625" style="5"/>
    <col min="12034" max="12034" width="1.85546875" style="5" customWidth="1"/>
    <col min="12035" max="12035" width="4.85546875" style="5" customWidth="1"/>
    <col min="12036" max="12036" width="1" style="5" customWidth="1"/>
    <col min="12037" max="12037" width="25.7109375" style="5" customWidth="1"/>
    <col min="12038" max="12038" width="7.7109375" style="5" customWidth="1"/>
    <col min="12039" max="12039" width="9.85546875" style="5" bestFit="1" customWidth="1"/>
    <col min="12040" max="12040" width="15.140625" style="5" customWidth="1"/>
    <col min="12041" max="12041" width="16" style="5" customWidth="1"/>
    <col min="12042" max="12289" width="9.140625" style="5"/>
    <col min="12290" max="12290" width="1.85546875" style="5" customWidth="1"/>
    <col min="12291" max="12291" width="4.85546875" style="5" customWidth="1"/>
    <col min="12292" max="12292" width="1" style="5" customWidth="1"/>
    <col min="12293" max="12293" width="25.7109375" style="5" customWidth="1"/>
    <col min="12294" max="12294" width="7.7109375" style="5" customWidth="1"/>
    <col min="12295" max="12295" width="9.85546875" style="5" bestFit="1" customWidth="1"/>
    <col min="12296" max="12296" width="15.140625" style="5" customWidth="1"/>
    <col min="12297" max="12297" width="16" style="5" customWidth="1"/>
    <col min="12298" max="12545" width="9.140625" style="5"/>
    <col min="12546" max="12546" width="1.85546875" style="5" customWidth="1"/>
    <col min="12547" max="12547" width="4.85546875" style="5" customWidth="1"/>
    <col min="12548" max="12548" width="1" style="5" customWidth="1"/>
    <col min="12549" max="12549" width="25.7109375" style="5" customWidth="1"/>
    <col min="12550" max="12550" width="7.7109375" style="5" customWidth="1"/>
    <col min="12551" max="12551" width="9.85546875" style="5" bestFit="1" customWidth="1"/>
    <col min="12552" max="12552" width="15.140625" style="5" customWidth="1"/>
    <col min="12553" max="12553" width="16" style="5" customWidth="1"/>
    <col min="12554" max="12801" width="9.140625" style="5"/>
    <col min="12802" max="12802" width="1.85546875" style="5" customWidth="1"/>
    <col min="12803" max="12803" width="4.85546875" style="5" customWidth="1"/>
    <col min="12804" max="12804" width="1" style="5" customWidth="1"/>
    <col min="12805" max="12805" width="25.7109375" style="5" customWidth="1"/>
    <col min="12806" max="12806" width="7.7109375" style="5" customWidth="1"/>
    <col min="12807" max="12807" width="9.85546875" style="5" bestFit="1" customWidth="1"/>
    <col min="12808" max="12808" width="15.140625" style="5" customWidth="1"/>
    <col min="12809" max="12809" width="16" style="5" customWidth="1"/>
    <col min="12810" max="13057" width="9.140625" style="5"/>
    <col min="13058" max="13058" width="1.85546875" style="5" customWidth="1"/>
    <col min="13059" max="13059" width="4.85546875" style="5" customWidth="1"/>
    <col min="13060" max="13060" width="1" style="5" customWidth="1"/>
    <col min="13061" max="13061" width="25.7109375" style="5" customWidth="1"/>
    <col min="13062" max="13062" width="7.7109375" style="5" customWidth="1"/>
    <col min="13063" max="13063" width="9.85546875" style="5" bestFit="1" customWidth="1"/>
    <col min="13064" max="13064" width="15.140625" style="5" customWidth="1"/>
    <col min="13065" max="13065" width="16" style="5" customWidth="1"/>
    <col min="13066" max="13313" width="9.140625" style="5"/>
    <col min="13314" max="13314" width="1.85546875" style="5" customWidth="1"/>
    <col min="13315" max="13315" width="4.85546875" style="5" customWidth="1"/>
    <col min="13316" max="13316" width="1" style="5" customWidth="1"/>
    <col min="13317" max="13317" width="25.7109375" style="5" customWidth="1"/>
    <col min="13318" max="13318" width="7.7109375" style="5" customWidth="1"/>
    <col min="13319" max="13319" width="9.85546875" style="5" bestFit="1" customWidth="1"/>
    <col min="13320" max="13320" width="15.140625" style="5" customWidth="1"/>
    <col min="13321" max="13321" width="16" style="5" customWidth="1"/>
    <col min="13322" max="13569" width="9.140625" style="5"/>
    <col min="13570" max="13570" width="1.85546875" style="5" customWidth="1"/>
    <col min="13571" max="13571" width="4.85546875" style="5" customWidth="1"/>
    <col min="13572" max="13572" width="1" style="5" customWidth="1"/>
    <col min="13573" max="13573" width="25.7109375" style="5" customWidth="1"/>
    <col min="13574" max="13574" width="7.7109375" style="5" customWidth="1"/>
    <col min="13575" max="13575" width="9.85546875" style="5" bestFit="1" customWidth="1"/>
    <col min="13576" max="13576" width="15.140625" style="5" customWidth="1"/>
    <col min="13577" max="13577" width="16" style="5" customWidth="1"/>
    <col min="13578" max="13825" width="9.140625" style="5"/>
    <col min="13826" max="13826" width="1.85546875" style="5" customWidth="1"/>
    <col min="13827" max="13827" width="4.85546875" style="5" customWidth="1"/>
    <col min="13828" max="13828" width="1" style="5" customWidth="1"/>
    <col min="13829" max="13829" width="25.7109375" style="5" customWidth="1"/>
    <col min="13830" max="13830" width="7.7109375" style="5" customWidth="1"/>
    <col min="13831" max="13831" width="9.85546875" style="5" bestFit="1" customWidth="1"/>
    <col min="13832" max="13832" width="15.140625" style="5" customWidth="1"/>
    <col min="13833" max="13833" width="16" style="5" customWidth="1"/>
    <col min="13834" max="14081" width="9.140625" style="5"/>
    <col min="14082" max="14082" width="1.85546875" style="5" customWidth="1"/>
    <col min="14083" max="14083" width="4.85546875" style="5" customWidth="1"/>
    <col min="14084" max="14084" width="1" style="5" customWidth="1"/>
    <col min="14085" max="14085" width="25.7109375" style="5" customWidth="1"/>
    <col min="14086" max="14086" width="7.7109375" style="5" customWidth="1"/>
    <col min="14087" max="14087" width="9.85546875" style="5" bestFit="1" customWidth="1"/>
    <col min="14088" max="14088" width="15.140625" style="5" customWidth="1"/>
    <col min="14089" max="14089" width="16" style="5" customWidth="1"/>
    <col min="14090" max="14337" width="9.140625" style="5"/>
    <col min="14338" max="14338" width="1.85546875" style="5" customWidth="1"/>
    <col min="14339" max="14339" width="4.85546875" style="5" customWidth="1"/>
    <col min="14340" max="14340" width="1" style="5" customWidth="1"/>
    <col min="14341" max="14341" width="25.7109375" style="5" customWidth="1"/>
    <col min="14342" max="14342" width="7.7109375" style="5" customWidth="1"/>
    <col min="14343" max="14343" width="9.85546875" style="5" bestFit="1" customWidth="1"/>
    <col min="14344" max="14344" width="15.140625" style="5" customWidth="1"/>
    <col min="14345" max="14345" width="16" style="5" customWidth="1"/>
    <col min="14346" max="14593" width="9.140625" style="5"/>
    <col min="14594" max="14594" width="1.85546875" style="5" customWidth="1"/>
    <col min="14595" max="14595" width="4.85546875" style="5" customWidth="1"/>
    <col min="14596" max="14596" width="1" style="5" customWidth="1"/>
    <col min="14597" max="14597" width="25.7109375" style="5" customWidth="1"/>
    <col min="14598" max="14598" width="7.7109375" style="5" customWidth="1"/>
    <col min="14599" max="14599" width="9.85546875" style="5" bestFit="1" customWidth="1"/>
    <col min="14600" max="14600" width="15.140625" style="5" customWidth="1"/>
    <col min="14601" max="14601" width="16" style="5" customWidth="1"/>
    <col min="14602" max="14849" width="9.140625" style="5"/>
    <col min="14850" max="14850" width="1.85546875" style="5" customWidth="1"/>
    <col min="14851" max="14851" width="4.85546875" style="5" customWidth="1"/>
    <col min="14852" max="14852" width="1" style="5" customWidth="1"/>
    <col min="14853" max="14853" width="25.7109375" style="5" customWidth="1"/>
    <col min="14854" max="14854" width="7.7109375" style="5" customWidth="1"/>
    <col min="14855" max="14855" width="9.85546875" style="5" bestFit="1" customWidth="1"/>
    <col min="14856" max="14856" width="15.140625" style="5" customWidth="1"/>
    <col min="14857" max="14857" width="16" style="5" customWidth="1"/>
    <col min="14858" max="15105" width="9.140625" style="5"/>
    <col min="15106" max="15106" width="1.85546875" style="5" customWidth="1"/>
    <col min="15107" max="15107" width="4.85546875" style="5" customWidth="1"/>
    <col min="15108" max="15108" width="1" style="5" customWidth="1"/>
    <col min="15109" max="15109" width="25.7109375" style="5" customWidth="1"/>
    <col min="15110" max="15110" width="7.7109375" style="5" customWidth="1"/>
    <col min="15111" max="15111" width="9.85546875" style="5" bestFit="1" customWidth="1"/>
    <col min="15112" max="15112" width="15.140625" style="5" customWidth="1"/>
    <col min="15113" max="15113" width="16" style="5" customWidth="1"/>
    <col min="15114" max="15361" width="9.140625" style="5"/>
    <col min="15362" max="15362" width="1.85546875" style="5" customWidth="1"/>
    <col min="15363" max="15363" width="4.85546875" style="5" customWidth="1"/>
    <col min="15364" max="15364" width="1" style="5" customWidth="1"/>
    <col min="15365" max="15365" width="25.7109375" style="5" customWidth="1"/>
    <col min="15366" max="15366" width="7.7109375" style="5" customWidth="1"/>
    <col min="15367" max="15367" width="9.85546875" style="5" bestFit="1" customWidth="1"/>
    <col min="15368" max="15368" width="15.140625" style="5" customWidth="1"/>
    <col min="15369" max="15369" width="16" style="5" customWidth="1"/>
    <col min="15370" max="15617" width="9.140625" style="5"/>
    <col min="15618" max="15618" width="1.85546875" style="5" customWidth="1"/>
    <col min="15619" max="15619" width="4.85546875" style="5" customWidth="1"/>
    <col min="15620" max="15620" width="1" style="5" customWidth="1"/>
    <col min="15621" max="15621" width="25.7109375" style="5" customWidth="1"/>
    <col min="15622" max="15622" width="7.7109375" style="5" customWidth="1"/>
    <col min="15623" max="15623" width="9.85546875" style="5" bestFit="1" customWidth="1"/>
    <col min="15624" max="15624" width="15.140625" style="5" customWidth="1"/>
    <col min="15625" max="15625" width="16" style="5" customWidth="1"/>
    <col min="15626" max="15873" width="9.140625" style="5"/>
    <col min="15874" max="15874" width="1.85546875" style="5" customWidth="1"/>
    <col min="15875" max="15875" width="4.85546875" style="5" customWidth="1"/>
    <col min="15876" max="15876" width="1" style="5" customWidth="1"/>
    <col min="15877" max="15877" width="25.7109375" style="5" customWidth="1"/>
    <col min="15878" max="15878" width="7.7109375" style="5" customWidth="1"/>
    <col min="15879" max="15879" width="9.85546875" style="5" bestFit="1" customWidth="1"/>
    <col min="15880" max="15880" width="15.140625" style="5" customWidth="1"/>
    <col min="15881" max="15881" width="16" style="5" customWidth="1"/>
    <col min="15882" max="16129" width="9.140625" style="5"/>
    <col min="16130" max="16130" width="1.85546875" style="5" customWidth="1"/>
    <col min="16131" max="16131" width="4.85546875" style="5" customWidth="1"/>
    <col min="16132" max="16132" width="1" style="5" customWidth="1"/>
    <col min="16133" max="16133" width="25.7109375" style="5" customWidth="1"/>
    <col min="16134" max="16134" width="7.7109375" style="5" customWidth="1"/>
    <col min="16135" max="16135" width="9.85546875" style="5" bestFit="1" customWidth="1"/>
    <col min="16136" max="16136" width="15.140625" style="5" customWidth="1"/>
    <col min="16137" max="16137" width="16" style="5" customWidth="1"/>
    <col min="16138" max="16384" width="9.140625" style="5"/>
  </cols>
  <sheetData>
    <row r="2" spans="2:12" ht="15.75">
      <c r="B2" s="182" t="s">
        <v>289</v>
      </c>
      <c r="C2" s="182"/>
      <c r="D2" s="182"/>
      <c r="E2" s="182"/>
      <c r="F2" s="182"/>
      <c r="G2" s="182"/>
      <c r="H2" s="182"/>
      <c r="I2" s="182"/>
    </row>
    <row r="3" spans="2:12" ht="15.75">
      <c r="B3" s="283"/>
      <c r="C3" s="284"/>
      <c r="D3" s="284"/>
      <c r="E3" s="285"/>
      <c r="F3" s="286"/>
      <c r="G3" s="284"/>
      <c r="H3" s="284"/>
      <c r="I3" s="284"/>
    </row>
    <row r="4" spans="2:12">
      <c r="B4" s="188" t="s">
        <v>157</v>
      </c>
      <c r="C4" s="189"/>
      <c r="D4" s="190" t="s">
        <v>211</v>
      </c>
      <c r="E4" s="191" t="s">
        <v>212</v>
      </c>
      <c r="F4" s="192" t="s">
        <v>213</v>
      </c>
      <c r="G4" s="191" t="s">
        <v>214</v>
      </c>
      <c r="H4" s="193" t="s">
        <v>215</v>
      </c>
      <c r="I4" s="1165"/>
    </row>
    <row r="5" spans="2:12">
      <c r="B5" s="194"/>
      <c r="C5" s="195"/>
      <c r="D5" s="196"/>
      <c r="E5" s="197"/>
      <c r="F5" s="198"/>
      <c r="G5" s="197" t="s">
        <v>216</v>
      </c>
      <c r="H5" s="58" t="s">
        <v>216</v>
      </c>
      <c r="I5" s="1165"/>
    </row>
    <row r="6" spans="2:12">
      <c r="B6" s="226" t="s">
        <v>290</v>
      </c>
      <c r="C6" s="227" t="s">
        <v>291</v>
      </c>
      <c r="D6" s="287"/>
      <c r="E6" s="288"/>
      <c r="F6" s="289"/>
      <c r="G6" s="290"/>
      <c r="H6" s="291"/>
      <c r="I6" s="1168"/>
    </row>
    <row r="7" spans="2:12">
      <c r="B7" s="292"/>
      <c r="C7" s="293" t="s">
        <v>28</v>
      </c>
      <c r="D7" s="294" t="s">
        <v>292</v>
      </c>
      <c r="E7" s="295" t="s">
        <v>143</v>
      </c>
      <c r="F7" s="296">
        <v>1.1000000000000001</v>
      </c>
      <c r="G7" s="297">
        <f>BAHAN!$E$16</f>
        <v>285000</v>
      </c>
      <c r="H7" s="298">
        <f t="shared" ref="H7:H13" si="0">F7*G7</f>
        <v>313500</v>
      </c>
      <c r="I7" s="1168"/>
      <c r="J7" s="1410">
        <f>BOQ!$E$46</f>
        <v>109.72500000000001</v>
      </c>
      <c r="K7" s="910">
        <f>J7*F7</f>
        <v>120.69750000000002</v>
      </c>
      <c r="L7" s="5" t="str">
        <f>E7</f>
        <v>M3</v>
      </c>
    </row>
    <row r="8" spans="2:12">
      <c r="B8" s="299"/>
      <c r="C8" s="300" t="s">
        <v>28</v>
      </c>
      <c r="D8" s="41" t="s">
        <v>221</v>
      </c>
      <c r="E8" s="301" t="s">
        <v>145</v>
      </c>
      <c r="F8" s="302">
        <v>136</v>
      </c>
      <c r="G8" s="297">
        <f>BAHAN!$E$30/50</f>
        <v>1500</v>
      </c>
      <c r="H8" s="298">
        <f t="shared" si="0"/>
        <v>204000</v>
      </c>
      <c r="I8" s="1168"/>
      <c r="J8" s="5">
        <f>$J$7</f>
        <v>109.72500000000001</v>
      </c>
      <c r="K8" s="1410">
        <f>J8*F8</f>
        <v>14922.6</v>
      </c>
      <c r="L8" s="5" t="str">
        <f>E8</f>
        <v>Kg</v>
      </c>
    </row>
    <row r="9" spans="2:12">
      <c r="B9" s="299"/>
      <c r="C9" s="300" t="s">
        <v>28</v>
      </c>
      <c r="D9" s="41" t="s">
        <v>237</v>
      </c>
      <c r="E9" s="301" t="s">
        <v>143</v>
      </c>
      <c r="F9" s="302">
        <v>0.54400000000000004</v>
      </c>
      <c r="G9" s="297">
        <f>BAHAN!$E$9</f>
        <v>246000</v>
      </c>
      <c r="H9" s="298">
        <f t="shared" si="0"/>
        <v>133824</v>
      </c>
      <c r="I9" s="1168">
        <f>SUM(H7:H9)</f>
        <v>651324</v>
      </c>
      <c r="J9" s="5">
        <f>$J$7</f>
        <v>109.72500000000001</v>
      </c>
      <c r="K9" s="1410">
        <f>J9*F9</f>
        <v>59.690400000000011</v>
      </c>
      <c r="L9" s="5" t="str">
        <f>E9</f>
        <v>M3</v>
      </c>
    </row>
    <row r="10" spans="2:12">
      <c r="B10" s="299"/>
      <c r="C10" s="300" t="s">
        <v>28</v>
      </c>
      <c r="D10" s="303" t="s">
        <v>133</v>
      </c>
      <c r="E10" s="301" t="s">
        <v>132</v>
      </c>
      <c r="F10" s="304">
        <v>1.5</v>
      </c>
      <c r="G10" s="297">
        <f>UPAH!E26</f>
        <v>136000</v>
      </c>
      <c r="H10" s="298">
        <f t="shared" si="0"/>
        <v>204000</v>
      </c>
      <c r="I10" s="1168"/>
    </row>
    <row r="11" spans="2:12">
      <c r="B11" s="299"/>
      <c r="C11" s="300" t="s">
        <v>28</v>
      </c>
      <c r="D11" s="303" t="s">
        <v>245</v>
      </c>
      <c r="E11" s="301" t="s">
        <v>132</v>
      </c>
      <c r="F11" s="304">
        <v>0.6</v>
      </c>
      <c r="G11" s="297">
        <f>UPAH!E16</f>
        <v>160000</v>
      </c>
      <c r="H11" s="298">
        <f t="shared" si="0"/>
        <v>96000</v>
      </c>
      <c r="I11" s="1168"/>
    </row>
    <row r="12" spans="2:12">
      <c r="B12" s="299"/>
      <c r="C12" s="300" t="s">
        <v>28</v>
      </c>
      <c r="D12" s="303" t="s">
        <v>140</v>
      </c>
      <c r="E12" s="301" t="s">
        <v>132</v>
      </c>
      <c r="F12" s="304">
        <v>0.06</v>
      </c>
      <c r="G12" s="297">
        <f>UPAH!E10</f>
        <v>170000</v>
      </c>
      <c r="H12" s="298">
        <f t="shared" si="0"/>
        <v>10200</v>
      </c>
      <c r="I12" s="1168"/>
    </row>
    <row r="13" spans="2:12">
      <c r="B13" s="305"/>
      <c r="C13" s="306" t="s">
        <v>28</v>
      </c>
      <c r="D13" s="307" t="s">
        <v>136</v>
      </c>
      <c r="E13" s="308" t="s">
        <v>132</v>
      </c>
      <c r="F13" s="304">
        <v>7.4999999999999997E-2</v>
      </c>
      <c r="G13" s="297">
        <f>UPAH!E9</f>
        <v>180000</v>
      </c>
      <c r="H13" s="298">
        <f t="shared" si="0"/>
        <v>13500</v>
      </c>
      <c r="I13" s="1168">
        <f>SUM(H10:H13)</f>
        <v>323700</v>
      </c>
    </row>
    <row r="14" spans="2:12">
      <c r="B14" s="216"/>
      <c r="C14" s="83"/>
      <c r="D14" s="84" t="s">
        <v>228</v>
      </c>
      <c r="E14" s="85"/>
      <c r="F14" s="309"/>
      <c r="G14" s="310"/>
      <c r="H14" s="311">
        <f>SUM(H7:H13)</f>
        <v>975024</v>
      </c>
      <c r="I14" s="1168"/>
    </row>
    <row r="15" spans="2:12">
      <c r="B15" s="54"/>
      <c r="C15" s="55" t="s">
        <v>229</v>
      </c>
      <c r="D15" s="56"/>
      <c r="E15" s="56"/>
      <c r="F15" s="56"/>
      <c r="G15" s="57"/>
      <c r="H15" s="57">
        <f>ROUND(H14,0)</f>
        <v>975024</v>
      </c>
      <c r="I15" s="1164"/>
    </row>
    <row r="16" spans="2:12">
      <c r="B16" s="269" t="s">
        <v>293</v>
      </c>
      <c r="C16" s="227" t="s">
        <v>294</v>
      </c>
      <c r="D16" s="312"/>
      <c r="E16" s="312"/>
      <c r="F16" s="313"/>
      <c r="G16" s="314"/>
      <c r="H16" s="291"/>
      <c r="I16" s="1168"/>
    </row>
    <row r="17" spans="2:12">
      <c r="B17" s="258"/>
      <c r="C17" s="66" t="s">
        <v>28</v>
      </c>
      <c r="D17" s="276" t="s">
        <v>292</v>
      </c>
      <c r="E17" s="277" t="s">
        <v>143</v>
      </c>
      <c r="F17" s="315">
        <v>1.2</v>
      </c>
      <c r="G17" s="316">
        <f>G7</f>
        <v>285000</v>
      </c>
      <c r="H17" s="298">
        <f t="shared" ref="H17:H22" si="1">F17*G17</f>
        <v>342000</v>
      </c>
      <c r="I17" s="1168"/>
      <c r="J17" s="1410">
        <f>BOQ!$E$47</f>
        <v>16.197500000000005</v>
      </c>
      <c r="K17" s="1410">
        <f>J17*F17</f>
        <v>19.437000000000005</v>
      </c>
      <c r="L17" s="5" t="str">
        <f>E17</f>
        <v>M3</v>
      </c>
    </row>
    <row r="18" spans="2:12">
      <c r="B18" s="267"/>
      <c r="C18" s="72" t="s">
        <v>28</v>
      </c>
      <c r="D18" s="317" t="s">
        <v>282</v>
      </c>
      <c r="E18" s="318" t="s">
        <v>143</v>
      </c>
      <c r="F18" s="319">
        <v>0.3</v>
      </c>
      <c r="G18" s="320">
        <f>BAHAN!$E$16</f>
        <v>285000</v>
      </c>
      <c r="H18" s="298">
        <f t="shared" si="1"/>
        <v>85500</v>
      </c>
      <c r="I18" s="1168">
        <f>SUM(H17:H18)</f>
        <v>427500</v>
      </c>
      <c r="J18" s="1410">
        <f>$J$17</f>
        <v>16.197500000000005</v>
      </c>
      <c r="K18" s="1410">
        <f>J18*F18</f>
        <v>4.8592500000000012</v>
      </c>
      <c r="L18" s="5" t="str">
        <f>E18</f>
        <v>M3</v>
      </c>
    </row>
    <row r="19" spans="2:12">
      <c r="B19" s="267"/>
      <c r="C19" s="72" t="s">
        <v>28</v>
      </c>
      <c r="D19" s="76" t="s">
        <v>133</v>
      </c>
      <c r="E19" s="280" t="s">
        <v>132</v>
      </c>
      <c r="F19" s="319">
        <v>0.78</v>
      </c>
      <c r="G19" s="320">
        <f>G10</f>
        <v>136000</v>
      </c>
      <c r="H19" s="298">
        <f t="shared" si="1"/>
        <v>106080</v>
      </c>
      <c r="I19" s="1168"/>
      <c r="J19" s="1410">
        <f>$J$17</f>
        <v>16.197500000000005</v>
      </c>
      <c r="K19" s="1410">
        <f>J19*F19</f>
        <v>12.634050000000004</v>
      </c>
      <c r="L19" s="5" t="str">
        <f>E19</f>
        <v>Oh</v>
      </c>
    </row>
    <row r="20" spans="2:12">
      <c r="B20" s="267"/>
      <c r="C20" s="72" t="s">
        <v>28</v>
      </c>
      <c r="D20" s="76" t="s">
        <v>245</v>
      </c>
      <c r="E20" s="280" t="s">
        <v>132</v>
      </c>
      <c r="F20" s="319">
        <v>0.39</v>
      </c>
      <c r="G20" s="320">
        <f>G11</f>
        <v>160000</v>
      </c>
      <c r="H20" s="298">
        <f t="shared" si="1"/>
        <v>62400</v>
      </c>
      <c r="I20" s="1168"/>
    </row>
    <row r="21" spans="2:12">
      <c r="B21" s="267"/>
      <c r="C21" s="72" t="s">
        <v>28</v>
      </c>
      <c r="D21" s="279" t="s">
        <v>140</v>
      </c>
      <c r="E21" s="280" t="s">
        <v>132</v>
      </c>
      <c r="F21" s="319">
        <v>3.9E-2</v>
      </c>
      <c r="G21" s="320">
        <f>G12</f>
        <v>170000</v>
      </c>
      <c r="H21" s="298">
        <f t="shared" si="1"/>
        <v>6630</v>
      </c>
      <c r="I21" s="1168"/>
    </row>
    <row r="22" spans="2:12">
      <c r="B22" s="321"/>
      <c r="C22" s="224" t="s">
        <v>28</v>
      </c>
      <c r="D22" s="281" t="s">
        <v>136</v>
      </c>
      <c r="E22" s="282" t="s">
        <v>132</v>
      </c>
      <c r="F22" s="322">
        <v>3.9E-2</v>
      </c>
      <c r="G22" s="323">
        <f>G13</f>
        <v>180000</v>
      </c>
      <c r="H22" s="324">
        <f t="shared" si="1"/>
        <v>7020</v>
      </c>
      <c r="I22" s="1168">
        <f>SUM(H19:H22)</f>
        <v>182130</v>
      </c>
    </row>
    <row r="23" spans="2:12">
      <c r="B23" s="251"/>
      <c r="C23" s="252"/>
      <c r="D23" s="253" t="s">
        <v>228</v>
      </c>
      <c r="E23" s="254"/>
      <c r="F23" s="325"/>
      <c r="G23" s="326"/>
      <c r="H23" s="327">
        <f>SUM(H17:H22)</f>
        <v>609630</v>
      </c>
      <c r="I23" s="1168"/>
    </row>
    <row r="24" spans="2:12">
      <c r="B24" s="54"/>
      <c r="C24" s="55" t="s">
        <v>229</v>
      </c>
      <c r="D24" s="56"/>
      <c r="E24" s="56"/>
      <c r="F24" s="56"/>
      <c r="G24" s="57"/>
      <c r="H24" s="57">
        <f>ROUND(H23,0)</f>
        <v>609630</v>
      </c>
      <c r="I24" s="1164"/>
    </row>
    <row r="25" spans="2:12">
      <c r="B25" s="269" t="s">
        <v>295</v>
      </c>
      <c r="C25" s="328" t="s">
        <v>296</v>
      </c>
      <c r="D25" s="227"/>
      <c r="E25" s="329"/>
      <c r="F25" s="289"/>
      <c r="G25" s="330"/>
      <c r="H25" s="331"/>
      <c r="I25" s="1168"/>
    </row>
    <row r="26" spans="2:12">
      <c r="B26" s="232"/>
      <c r="C26" s="66" t="s">
        <v>28</v>
      </c>
      <c r="D26" s="332" t="s">
        <v>297</v>
      </c>
      <c r="E26" s="277" t="s">
        <v>47</v>
      </c>
      <c r="F26" s="333">
        <f>5*3.5*1.58</f>
        <v>27.650000000000002</v>
      </c>
      <c r="G26" s="316">
        <f>BAHAN!$E$139</f>
        <v>8583.86</v>
      </c>
      <c r="H26" s="298">
        <f t="shared" ref="H26:H35" si="2">F26*G26</f>
        <v>237343.72900000002</v>
      </c>
      <c r="I26" s="1168"/>
      <c r="J26" s="1410">
        <f>SUMIF(BOQ!$G$1:$G$2430,I31,BOQ!$E$1:$E$2430)</f>
        <v>0</v>
      </c>
      <c r="K26" s="1410">
        <f t="shared" ref="K26:K31" si="3">J26*F26</f>
        <v>0</v>
      </c>
    </row>
    <row r="27" spans="2:12">
      <c r="B27" s="232"/>
      <c r="C27" s="66" t="s">
        <v>28</v>
      </c>
      <c r="D27" s="332" t="s">
        <v>298</v>
      </c>
      <c r="E27" s="277" t="s">
        <v>47</v>
      </c>
      <c r="F27" s="333">
        <f>(3/0.15)*(3.14*0.3)*0.395</f>
        <v>7.4418000000000006</v>
      </c>
      <c r="G27" s="316">
        <f>BAHAN!$E$141</f>
        <v>8417.7199999999993</v>
      </c>
      <c r="H27" s="298">
        <f t="shared" si="2"/>
        <v>62642.988696</v>
      </c>
      <c r="I27" s="1168"/>
      <c r="J27" s="1410">
        <f>J26</f>
        <v>0</v>
      </c>
      <c r="K27" s="1410">
        <f t="shared" si="3"/>
        <v>0</v>
      </c>
    </row>
    <row r="28" spans="2:12">
      <c r="B28" s="267"/>
      <c r="C28" s="72" t="s">
        <v>28</v>
      </c>
      <c r="D28" s="279" t="s">
        <v>299</v>
      </c>
      <c r="E28" s="318" t="s">
        <v>47</v>
      </c>
      <c r="F28" s="334">
        <v>5.0000000000000001E-3</v>
      </c>
      <c r="G28" s="320">
        <f>BAHAN!$E$152</f>
        <v>17781.5</v>
      </c>
      <c r="H28" s="298">
        <f t="shared" si="2"/>
        <v>88.907499999999999</v>
      </c>
      <c r="I28" s="1168"/>
      <c r="J28" s="1410">
        <f>J27</f>
        <v>0</v>
      </c>
      <c r="K28" s="1410">
        <f t="shared" si="3"/>
        <v>0</v>
      </c>
    </row>
    <row r="29" spans="2:12">
      <c r="B29" s="267"/>
      <c r="C29" s="72" t="s">
        <v>28</v>
      </c>
      <c r="D29" s="41" t="s">
        <v>224</v>
      </c>
      <c r="E29" s="318" t="s">
        <v>143</v>
      </c>
      <c r="F29" s="334">
        <v>0.19</v>
      </c>
      <c r="G29" s="320">
        <f>BAHAN!$E$13</f>
        <v>297000</v>
      </c>
      <c r="H29" s="298">
        <f t="shared" si="2"/>
        <v>56430</v>
      </c>
      <c r="I29" s="1168"/>
      <c r="J29" s="1410">
        <f>J28</f>
        <v>0</v>
      </c>
      <c r="K29" s="1410">
        <f t="shared" si="3"/>
        <v>0</v>
      </c>
    </row>
    <row r="30" spans="2:12">
      <c r="B30" s="267"/>
      <c r="C30" s="72" t="s">
        <v>28</v>
      </c>
      <c r="D30" s="279" t="s">
        <v>221</v>
      </c>
      <c r="E30" s="318" t="s">
        <v>145</v>
      </c>
      <c r="F30" s="334">
        <v>96</v>
      </c>
      <c r="G30" s="320">
        <f>G8</f>
        <v>1500</v>
      </c>
      <c r="H30" s="298">
        <f t="shared" si="2"/>
        <v>144000</v>
      </c>
      <c r="I30" s="1168"/>
      <c r="J30" s="1410">
        <f>J29</f>
        <v>0</v>
      </c>
      <c r="K30" s="1410">
        <f t="shared" si="3"/>
        <v>0</v>
      </c>
    </row>
    <row r="31" spans="2:12">
      <c r="B31" s="267"/>
      <c r="C31" s="72" t="s">
        <v>28</v>
      </c>
      <c r="D31" s="279" t="s">
        <v>300</v>
      </c>
      <c r="E31" s="318" t="s">
        <v>301</v>
      </c>
      <c r="F31" s="334">
        <v>53</v>
      </c>
      <c r="G31" s="320">
        <f>BAHAN!$E$40</f>
        <v>2500</v>
      </c>
      <c r="H31" s="298">
        <f t="shared" si="2"/>
        <v>132500</v>
      </c>
      <c r="I31" s="1168">
        <f>SUM(H26:H31)</f>
        <v>633005.62519599998</v>
      </c>
      <c r="J31" s="1410">
        <f>J30</f>
        <v>0</v>
      </c>
      <c r="K31" s="1410">
        <f t="shared" si="3"/>
        <v>0</v>
      </c>
    </row>
    <row r="32" spans="2:12">
      <c r="B32" s="71"/>
      <c r="C32" s="72" t="s">
        <v>28</v>
      </c>
      <c r="D32" s="279" t="s">
        <v>133</v>
      </c>
      <c r="E32" s="73" t="s">
        <v>132</v>
      </c>
      <c r="F32" s="334">
        <v>0.41499999999999998</v>
      </c>
      <c r="G32" s="320">
        <f>G19</f>
        <v>136000</v>
      </c>
      <c r="H32" s="298">
        <f t="shared" si="2"/>
        <v>56440</v>
      </c>
      <c r="I32" s="1168"/>
    </row>
    <row r="33" spans="2:11">
      <c r="B33" s="71"/>
      <c r="C33" s="72" t="s">
        <v>28</v>
      </c>
      <c r="D33" s="279" t="s">
        <v>302</v>
      </c>
      <c r="E33" s="280" t="s">
        <v>132</v>
      </c>
      <c r="F33" s="334">
        <v>7.0000000000000007E-2</v>
      </c>
      <c r="G33" s="320">
        <f>G20</f>
        <v>160000</v>
      </c>
      <c r="H33" s="298">
        <f t="shared" si="2"/>
        <v>11200.000000000002</v>
      </c>
      <c r="I33" s="1168"/>
    </row>
    <row r="34" spans="2:11">
      <c r="B34" s="71"/>
      <c r="C34" s="72" t="s">
        <v>28</v>
      </c>
      <c r="D34" s="279" t="s">
        <v>303</v>
      </c>
      <c r="E34" s="280" t="s">
        <v>132</v>
      </c>
      <c r="F34" s="334">
        <v>7.4999999999999997E-3</v>
      </c>
      <c r="G34" s="320">
        <f>G21</f>
        <v>170000</v>
      </c>
      <c r="H34" s="298">
        <f t="shared" si="2"/>
        <v>1275</v>
      </c>
      <c r="I34" s="1168"/>
    </row>
    <row r="35" spans="2:11">
      <c r="B35" s="77"/>
      <c r="C35" s="224" t="s">
        <v>28</v>
      </c>
      <c r="D35" s="281" t="s">
        <v>136</v>
      </c>
      <c r="E35" s="282" t="s">
        <v>132</v>
      </c>
      <c r="F35" s="322">
        <v>2.2499999999999999E-2</v>
      </c>
      <c r="G35" s="323">
        <f>G22</f>
        <v>180000</v>
      </c>
      <c r="H35" s="324">
        <f t="shared" si="2"/>
        <v>4050</v>
      </c>
      <c r="I35" s="1168">
        <f>SUM(H32:H35)</f>
        <v>72965</v>
      </c>
    </row>
    <row r="36" spans="2:11">
      <c r="B36" s="251"/>
      <c r="C36" s="252"/>
      <c r="D36" s="253" t="s">
        <v>228</v>
      </c>
      <c r="E36" s="254"/>
      <c r="F36" s="325"/>
      <c r="G36" s="326"/>
      <c r="H36" s="327">
        <f>SUM(H26:H35)</f>
        <v>705970.62519599998</v>
      </c>
      <c r="I36" s="1168"/>
    </row>
    <row r="37" spans="2:11">
      <c r="B37" s="54"/>
      <c r="C37" s="55" t="s">
        <v>229</v>
      </c>
      <c r="D37" s="56"/>
      <c r="E37" s="56"/>
      <c r="F37" s="56"/>
      <c r="G37" s="57"/>
      <c r="H37" s="57">
        <f>ROUND(H36,0)</f>
        <v>705971</v>
      </c>
      <c r="I37" s="1164"/>
    </row>
    <row r="38" spans="2:11">
      <c r="B38" s="269" t="s">
        <v>304</v>
      </c>
      <c r="C38" s="328" t="s">
        <v>305</v>
      </c>
      <c r="D38" s="227"/>
      <c r="E38" s="329"/>
      <c r="F38" s="289"/>
      <c r="G38" s="330"/>
      <c r="H38" s="331"/>
      <c r="I38" s="1168"/>
    </row>
    <row r="39" spans="2:11">
      <c r="B39" s="232"/>
      <c r="C39" s="66" t="s">
        <v>28</v>
      </c>
      <c r="D39" s="332" t="s">
        <v>297</v>
      </c>
      <c r="E39" s="277" t="s">
        <v>47</v>
      </c>
      <c r="F39" s="333">
        <f>5*3.5*1.58*2</f>
        <v>55.300000000000004</v>
      </c>
      <c r="G39" s="316">
        <f t="shared" ref="G39:G48" si="4">G26</f>
        <v>8583.86</v>
      </c>
      <c r="H39" s="298">
        <f>F39*G39</f>
        <v>474687.45800000004</v>
      </c>
      <c r="I39" s="1168"/>
      <c r="J39" s="1410">
        <f>SUMIF(BOQ!$G$1:$G$2430,I44,BOQ!$E$1:$E$2430)</f>
        <v>0</v>
      </c>
      <c r="K39" s="1410">
        <f t="shared" ref="K39:K44" si="5">J39*F39</f>
        <v>0</v>
      </c>
    </row>
    <row r="40" spans="2:11">
      <c r="B40" s="232"/>
      <c r="C40" s="66" t="s">
        <v>28</v>
      </c>
      <c r="D40" s="332" t="s">
        <v>298</v>
      </c>
      <c r="E40" s="277" t="s">
        <v>47</v>
      </c>
      <c r="F40" s="333">
        <f>(3/0.15)*(3.14*0.3)*0.395*2</f>
        <v>14.883600000000001</v>
      </c>
      <c r="G40" s="316">
        <f t="shared" si="4"/>
        <v>8417.7199999999993</v>
      </c>
      <c r="H40" s="298">
        <f>F40*G40</f>
        <v>125285.977392</v>
      </c>
      <c r="I40" s="1168"/>
      <c r="J40" s="1410">
        <f>J39</f>
        <v>0</v>
      </c>
      <c r="K40" s="1410">
        <f t="shared" si="5"/>
        <v>0</v>
      </c>
    </row>
    <row r="41" spans="2:11">
      <c r="B41" s="267"/>
      <c r="C41" s="72" t="s">
        <v>28</v>
      </c>
      <c r="D41" s="279" t="s">
        <v>299</v>
      </c>
      <c r="E41" s="318" t="s">
        <v>47</v>
      </c>
      <c r="F41" s="334">
        <f>0.005*2</f>
        <v>0.01</v>
      </c>
      <c r="G41" s="320">
        <f t="shared" si="4"/>
        <v>17781.5</v>
      </c>
      <c r="H41" s="298">
        <f>F41*G41</f>
        <v>177.815</v>
      </c>
      <c r="I41" s="1168"/>
      <c r="J41" s="1410">
        <f>J40</f>
        <v>0</v>
      </c>
      <c r="K41" s="1410">
        <f t="shared" si="5"/>
        <v>0</v>
      </c>
    </row>
    <row r="42" spans="2:11">
      <c r="B42" s="267"/>
      <c r="C42" s="72" t="s">
        <v>28</v>
      </c>
      <c r="D42" s="41" t="s">
        <v>224</v>
      </c>
      <c r="E42" s="318" t="s">
        <v>143</v>
      </c>
      <c r="F42" s="334">
        <f>0.19*2</f>
        <v>0.38</v>
      </c>
      <c r="G42" s="320">
        <f t="shared" si="4"/>
        <v>297000</v>
      </c>
      <c r="H42" s="298">
        <f t="shared" ref="H42:H48" si="6">F42*G42</f>
        <v>112860</v>
      </c>
      <c r="I42" s="1168"/>
      <c r="J42" s="1410">
        <f>J41</f>
        <v>0</v>
      </c>
      <c r="K42" s="1410">
        <f t="shared" si="5"/>
        <v>0</v>
      </c>
    </row>
    <row r="43" spans="2:11">
      <c r="B43" s="267"/>
      <c r="C43" s="72" t="s">
        <v>28</v>
      </c>
      <c r="D43" s="279" t="s">
        <v>221</v>
      </c>
      <c r="E43" s="318" t="s">
        <v>145</v>
      </c>
      <c r="F43" s="334">
        <f>96*2</f>
        <v>192</v>
      </c>
      <c r="G43" s="320">
        <f t="shared" si="4"/>
        <v>1500</v>
      </c>
      <c r="H43" s="298">
        <f t="shared" si="6"/>
        <v>288000</v>
      </c>
      <c r="I43" s="1168"/>
      <c r="J43" s="1410">
        <f>J42</f>
        <v>0</v>
      </c>
      <c r="K43" s="1410">
        <f t="shared" si="5"/>
        <v>0</v>
      </c>
    </row>
    <row r="44" spans="2:11">
      <c r="B44" s="267"/>
      <c r="C44" s="72" t="s">
        <v>28</v>
      </c>
      <c r="D44" s="279" t="s">
        <v>300</v>
      </c>
      <c r="E44" s="318" t="s">
        <v>301</v>
      </c>
      <c r="F44" s="334">
        <f>53*2</f>
        <v>106</v>
      </c>
      <c r="G44" s="320">
        <f t="shared" si="4"/>
        <v>2500</v>
      </c>
      <c r="H44" s="298">
        <f t="shared" si="6"/>
        <v>265000</v>
      </c>
      <c r="I44" s="1168">
        <f>SUM(H39:H44)</f>
        <v>1266011.250392</v>
      </c>
      <c r="J44" s="1410">
        <f>J43</f>
        <v>0</v>
      </c>
      <c r="K44" s="1410">
        <f t="shared" si="5"/>
        <v>0</v>
      </c>
    </row>
    <row r="45" spans="2:11">
      <c r="B45" s="71"/>
      <c r="C45" s="72" t="s">
        <v>28</v>
      </c>
      <c r="D45" s="279" t="s">
        <v>133</v>
      </c>
      <c r="E45" s="73" t="s">
        <v>132</v>
      </c>
      <c r="F45" s="334">
        <f>0.415*2</f>
        <v>0.83</v>
      </c>
      <c r="G45" s="320">
        <f t="shared" si="4"/>
        <v>136000</v>
      </c>
      <c r="H45" s="298">
        <f t="shared" si="6"/>
        <v>112880</v>
      </c>
      <c r="I45" s="1168"/>
    </row>
    <row r="46" spans="2:11">
      <c r="B46" s="71"/>
      <c r="C46" s="72" t="s">
        <v>28</v>
      </c>
      <c r="D46" s="279" t="s">
        <v>245</v>
      </c>
      <c r="E46" s="280" t="s">
        <v>132</v>
      </c>
      <c r="F46" s="334">
        <f>0.07*2</f>
        <v>0.14000000000000001</v>
      </c>
      <c r="G46" s="320">
        <f t="shared" si="4"/>
        <v>160000</v>
      </c>
      <c r="H46" s="298">
        <f t="shared" si="6"/>
        <v>22400.000000000004</v>
      </c>
      <c r="I46" s="1168"/>
    </row>
    <row r="47" spans="2:11">
      <c r="B47" s="71"/>
      <c r="C47" s="72" t="s">
        <v>28</v>
      </c>
      <c r="D47" s="279" t="s">
        <v>140</v>
      </c>
      <c r="E47" s="280" t="s">
        <v>132</v>
      </c>
      <c r="F47" s="334">
        <f>0.0075*2</f>
        <v>1.4999999999999999E-2</v>
      </c>
      <c r="G47" s="320">
        <f t="shared" si="4"/>
        <v>170000</v>
      </c>
      <c r="H47" s="298">
        <f t="shared" si="6"/>
        <v>2550</v>
      </c>
      <c r="I47" s="1168"/>
    </row>
    <row r="48" spans="2:11">
      <c r="B48" s="77"/>
      <c r="C48" s="224" t="s">
        <v>28</v>
      </c>
      <c r="D48" s="281" t="s">
        <v>136</v>
      </c>
      <c r="E48" s="282" t="s">
        <v>132</v>
      </c>
      <c r="F48" s="322">
        <f>0.0225*2</f>
        <v>4.4999999999999998E-2</v>
      </c>
      <c r="G48" s="323">
        <f t="shared" si="4"/>
        <v>180000</v>
      </c>
      <c r="H48" s="324">
        <f t="shared" si="6"/>
        <v>8100</v>
      </c>
      <c r="I48" s="1168">
        <f>SUM(H45:H48)</f>
        <v>145930</v>
      </c>
    </row>
    <row r="49" spans="2:11">
      <c r="B49" s="251"/>
      <c r="C49" s="252"/>
      <c r="D49" s="253" t="s">
        <v>228</v>
      </c>
      <c r="E49" s="254"/>
      <c r="F49" s="325"/>
      <c r="G49" s="326"/>
      <c r="H49" s="327">
        <f>SUM(H39:H48)</f>
        <v>1411941.250392</v>
      </c>
      <c r="I49" s="1168"/>
    </row>
    <row r="50" spans="2:11">
      <c r="B50" s="54"/>
      <c r="C50" s="55" t="s">
        <v>229</v>
      </c>
      <c r="D50" s="56"/>
      <c r="E50" s="56"/>
      <c r="F50" s="56"/>
      <c r="G50" s="57"/>
      <c r="H50" s="57">
        <f>ROUND(H49,0)</f>
        <v>1411941</v>
      </c>
      <c r="I50" s="1164"/>
    </row>
    <row r="51" spans="2:11">
      <c r="B51" s="1230" t="s">
        <v>306</v>
      </c>
      <c r="C51" s="328" t="s">
        <v>1749</v>
      </c>
      <c r="D51" s="227"/>
      <c r="E51" s="329"/>
      <c r="F51" s="289"/>
      <c r="G51" s="330"/>
      <c r="H51" s="331"/>
      <c r="I51" s="1168"/>
    </row>
    <row r="52" spans="2:11">
      <c r="B52" s="232"/>
      <c r="C52" s="66" t="s">
        <v>28</v>
      </c>
      <c r="D52" s="332" t="s">
        <v>297</v>
      </c>
      <c r="E52" s="277" t="s">
        <v>47</v>
      </c>
      <c r="F52" s="333">
        <f>5*3.5*1.58*2*2.1</f>
        <v>116.13000000000001</v>
      </c>
      <c r="G52" s="316">
        <f t="shared" ref="G52:G61" si="7">G39</f>
        <v>8583.86</v>
      </c>
      <c r="H52" s="298">
        <f>F52*G52</f>
        <v>996843.66180000012</v>
      </c>
      <c r="I52" s="1168"/>
      <c r="J52" s="1410">
        <f>SUMIF(BOQ!$G$1:$G$2430,I57,BOQ!$E$1:$E$2430)</f>
        <v>0</v>
      </c>
      <c r="K52" s="1410">
        <f t="shared" ref="K52:K57" si="8">J52*F52</f>
        <v>0</v>
      </c>
    </row>
    <row r="53" spans="2:11">
      <c r="B53" s="232"/>
      <c r="C53" s="66" t="s">
        <v>28</v>
      </c>
      <c r="D53" s="332" t="s">
        <v>298</v>
      </c>
      <c r="E53" s="277" t="s">
        <v>47</v>
      </c>
      <c r="F53" s="333">
        <f>(3/0.15)*(3.14*0.3)*0.395*2*2.1</f>
        <v>31.255560000000003</v>
      </c>
      <c r="G53" s="316">
        <f t="shared" si="7"/>
        <v>8417.7199999999993</v>
      </c>
      <c r="H53" s="298">
        <f>F53*G53</f>
        <v>263100.55252319999</v>
      </c>
      <c r="I53" s="1168"/>
      <c r="J53" s="1410">
        <f>J52</f>
        <v>0</v>
      </c>
      <c r="K53" s="1410">
        <f t="shared" si="8"/>
        <v>0</v>
      </c>
    </row>
    <row r="54" spans="2:11">
      <c r="B54" s="267"/>
      <c r="C54" s="72" t="s">
        <v>28</v>
      </c>
      <c r="D54" s="279" t="s">
        <v>299</v>
      </c>
      <c r="E54" s="318" t="s">
        <v>47</v>
      </c>
      <c r="F54" s="334">
        <f>0.005*2*2.1</f>
        <v>2.1000000000000001E-2</v>
      </c>
      <c r="G54" s="320">
        <f t="shared" si="7"/>
        <v>17781.5</v>
      </c>
      <c r="H54" s="298">
        <f>F54*G54</f>
        <v>373.41150000000005</v>
      </c>
      <c r="I54" s="1168"/>
      <c r="J54" s="1410">
        <f>J53</f>
        <v>0</v>
      </c>
      <c r="K54" s="1410">
        <f t="shared" si="8"/>
        <v>0</v>
      </c>
    </row>
    <row r="55" spans="2:11">
      <c r="B55" s="267"/>
      <c r="C55" s="72" t="s">
        <v>28</v>
      </c>
      <c r="D55" s="41" t="s">
        <v>224</v>
      </c>
      <c r="E55" s="318" t="s">
        <v>143</v>
      </c>
      <c r="F55" s="334">
        <f>0.19*2*2.1</f>
        <v>0.79800000000000004</v>
      </c>
      <c r="G55" s="320">
        <f t="shared" si="7"/>
        <v>297000</v>
      </c>
      <c r="H55" s="298">
        <f t="shared" ref="H55:H61" si="9">F55*G55</f>
        <v>237006</v>
      </c>
      <c r="I55" s="1168"/>
      <c r="J55" s="1410">
        <f>J54</f>
        <v>0</v>
      </c>
      <c r="K55" s="1410">
        <f t="shared" si="8"/>
        <v>0</v>
      </c>
    </row>
    <row r="56" spans="2:11">
      <c r="B56" s="267"/>
      <c r="C56" s="72" t="s">
        <v>28</v>
      </c>
      <c r="D56" s="279" t="s">
        <v>221</v>
      </c>
      <c r="E56" s="318" t="s">
        <v>145</v>
      </c>
      <c r="F56" s="334">
        <f>96*2*2.1</f>
        <v>403.20000000000005</v>
      </c>
      <c r="G56" s="320">
        <f t="shared" si="7"/>
        <v>1500</v>
      </c>
      <c r="H56" s="298">
        <f t="shared" si="9"/>
        <v>604800.00000000012</v>
      </c>
      <c r="I56" s="1168"/>
      <c r="J56" s="1410">
        <f>J55</f>
        <v>0</v>
      </c>
      <c r="K56" s="1410">
        <f t="shared" si="8"/>
        <v>0</v>
      </c>
    </row>
    <row r="57" spans="2:11">
      <c r="B57" s="267"/>
      <c r="C57" s="72" t="s">
        <v>28</v>
      </c>
      <c r="D57" s="279" t="s">
        <v>300</v>
      </c>
      <c r="E57" s="318" t="s">
        <v>301</v>
      </c>
      <c r="F57" s="334">
        <f>53*2*2.1</f>
        <v>222.60000000000002</v>
      </c>
      <c r="G57" s="320">
        <f t="shared" si="7"/>
        <v>2500</v>
      </c>
      <c r="H57" s="298">
        <f t="shared" si="9"/>
        <v>556500</v>
      </c>
      <c r="I57" s="1168">
        <f>SUM(H52:H57)</f>
        <v>2658623.6258232002</v>
      </c>
      <c r="J57" s="1410">
        <f>J56</f>
        <v>0</v>
      </c>
      <c r="K57" s="1410">
        <f t="shared" si="8"/>
        <v>0</v>
      </c>
    </row>
    <row r="58" spans="2:11">
      <c r="B58" s="71"/>
      <c r="C58" s="72" t="s">
        <v>28</v>
      </c>
      <c r="D58" s="279" t="s">
        <v>133</v>
      </c>
      <c r="E58" s="73" t="s">
        <v>132</v>
      </c>
      <c r="F58" s="334">
        <f>0.415*2*2.1</f>
        <v>1.7429999999999999</v>
      </c>
      <c r="G58" s="320">
        <f t="shared" si="7"/>
        <v>136000</v>
      </c>
      <c r="H58" s="298">
        <f t="shared" si="9"/>
        <v>237047.99999999997</v>
      </c>
      <c r="I58" s="1168"/>
    </row>
    <row r="59" spans="2:11">
      <c r="B59" s="71"/>
      <c r="C59" s="72" t="s">
        <v>28</v>
      </c>
      <c r="D59" s="279" t="s">
        <v>245</v>
      </c>
      <c r="E59" s="280" t="s">
        <v>132</v>
      </c>
      <c r="F59" s="334">
        <f>0.07*2*2.1</f>
        <v>0.29400000000000004</v>
      </c>
      <c r="G59" s="320">
        <f t="shared" si="7"/>
        <v>160000</v>
      </c>
      <c r="H59" s="298">
        <f t="shared" si="9"/>
        <v>47040.000000000007</v>
      </c>
      <c r="I59" s="1168"/>
    </row>
    <row r="60" spans="2:11">
      <c r="B60" s="71"/>
      <c r="C60" s="72" t="s">
        <v>28</v>
      </c>
      <c r="D60" s="279" t="s">
        <v>140</v>
      </c>
      <c r="E60" s="280" t="s">
        <v>132</v>
      </c>
      <c r="F60" s="334">
        <f>0.0075*2*2.1</f>
        <v>3.15E-2</v>
      </c>
      <c r="G60" s="320">
        <f t="shared" si="7"/>
        <v>170000</v>
      </c>
      <c r="H60" s="298">
        <f t="shared" si="9"/>
        <v>5355</v>
      </c>
      <c r="I60" s="1168"/>
    </row>
    <row r="61" spans="2:11">
      <c r="B61" s="77"/>
      <c r="C61" s="224" t="s">
        <v>28</v>
      </c>
      <c r="D61" s="281" t="s">
        <v>136</v>
      </c>
      <c r="E61" s="282" t="s">
        <v>132</v>
      </c>
      <c r="F61" s="322">
        <f>0.0225*2*2.1</f>
        <v>9.4500000000000001E-2</v>
      </c>
      <c r="G61" s="323">
        <f t="shared" si="7"/>
        <v>180000</v>
      </c>
      <c r="H61" s="324">
        <f t="shared" si="9"/>
        <v>17010</v>
      </c>
      <c r="I61" s="1168">
        <f>SUM(H58:H61)</f>
        <v>306453</v>
      </c>
    </row>
    <row r="62" spans="2:11">
      <c r="B62" s="251"/>
      <c r="C62" s="252"/>
      <c r="D62" s="253" t="s">
        <v>228</v>
      </c>
      <c r="E62" s="254"/>
      <c r="F62" s="325"/>
      <c r="G62" s="326"/>
      <c r="H62" s="327">
        <f>SUM(H52:H61)</f>
        <v>2965076.6258232002</v>
      </c>
      <c r="I62" s="1168"/>
    </row>
    <row r="63" spans="2:11">
      <c r="B63" s="54"/>
      <c r="C63" s="55" t="s">
        <v>229</v>
      </c>
      <c r="D63" s="56"/>
      <c r="E63" s="56"/>
      <c r="F63" s="56"/>
      <c r="G63" s="57"/>
      <c r="H63" s="57">
        <f>ROUND(H62,0)</f>
        <v>2965077</v>
      </c>
      <c r="I63" s="1164"/>
    </row>
    <row r="64" spans="2:11">
      <c r="B64" s="269" t="s">
        <v>310</v>
      </c>
      <c r="C64" s="328" t="s">
        <v>307</v>
      </c>
      <c r="D64" s="227"/>
      <c r="E64" s="329"/>
      <c r="F64" s="289"/>
      <c r="G64" s="330"/>
      <c r="H64" s="331"/>
      <c r="I64" s="1168"/>
    </row>
    <row r="65" spans="2:11">
      <c r="B65" s="267"/>
      <c r="C65" s="72" t="s">
        <v>28</v>
      </c>
      <c r="D65" s="171" t="s">
        <v>308</v>
      </c>
      <c r="E65" s="335" t="s">
        <v>309</v>
      </c>
      <c r="F65" s="336">
        <v>0.11700000000000001</v>
      </c>
      <c r="G65" s="316">
        <v>1078774</v>
      </c>
      <c r="H65" s="298">
        <f>F65*G65</f>
        <v>126216.558</v>
      </c>
      <c r="I65" s="1168">
        <f>SUM(H65)</f>
        <v>126216.558</v>
      </c>
      <c r="K65" s="954"/>
    </row>
    <row r="66" spans="2:11">
      <c r="B66" s="71"/>
      <c r="C66" s="72" t="s">
        <v>28</v>
      </c>
      <c r="D66" s="279" t="s">
        <v>133</v>
      </c>
      <c r="E66" s="73" t="s">
        <v>132</v>
      </c>
      <c r="F66" s="336">
        <v>0.04</v>
      </c>
      <c r="G66" s="316">
        <f>G45</f>
        <v>136000</v>
      </c>
      <c r="H66" s="298">
        <f>F66*G66</f>
        <v>5440</v>
      </c>
      <c r="I66" s="1168"/>
    </row>
    <row r="67" spans="2:11">
      <c r="B67" s="77"/>
      <c r="C67" s="224" t="s">
        <v>28</v>
      </c>
      <c r="D67" s="281" t="s">
        <v>136</v>
      </c>
      <c r="E67" s="282" t="s">
        <v>132</v>
      </c>
      <c r="F67" s="337">
        <v>2E-3</v>
      </c>
      <c r="G67" s="316">
        <f>G48</f>
        <v>180000</v>
      </c>
      <c r="H67" s="324">
        <f>F67*G67</f>
        <v>360</v>
      </c>
      <c r="I67" s="1168">
        <f>SUM(H66:H67)</f>
        <v>5800</v>
      </c>
    </row>
    <row r="68" spans="2:11">
      <c r="B68" s="251"/>
      <c r="C68" s="252"/>
      <c r="D68" s="253" t="s">
        <v>228</v>
      </c>
      <c r="E68" s="254"/>
      <c r="F68" s="325"/>
      <c r="G68" s="326"/>
      <c r="H68" s="327">
        <f>SUM(H65:H67)</f>
        <v>132016.55800000002</v>
      </c>
      <c r="I68" s="1168"/>
    </row>
    <row r="69" spans="2:11">
      <c r="B69" s="54"/>
      <c r="C69" s="55" t="s">
        <v>229</v>
      </c>
      <c r="D69" s="56"/>
      <c r="E69" s="56"/>
      <c r="F69" s="56"/>
      <c r="G69" s="57"/>
      <c r="H69" s="57">
        <f>ROUND(H68,0)</f>
        <v>132017</v>
      </c>
      <c r="I69" s="1164"/>
    </row>
    <row r="70" spans="2:11">
      <c r="B70" s="269" t="s">
        <v>314</v>
      </c>
      <c r="C70" s="328" t="s">
        <v>311</v>
      </c>
      <c r="D70" s="227"/>
      <c r="E70" s="329"/>
      <c r="F70" s="289"/>
      <c r="G70" s="330"/>
      <c r="H70" s="331"/>
      <c r="I70" s="1168"/>
    </row>
    <row r="71" spans="2:11">
      <c r="B71" s="71"/>
      <c r="C71" s="72" t="s">
        <v>28</v>
      </c>
      <c r="D71" s="279" t="s">
        <v>133</v>
      </c>
      <c r="E71" s="166" t="s">
        <v>309</v>
      </c>
      <c r="F71" s="338">
        <v>3.32</v>
      </c>
      <c r="G71" s="316">
        <f>G66</f>
        <v>136000</v>
      </c>
      <c r="H71" s="298">
        <f>F71*G71</f>
        <v>451520</v>
      </c>
      <c r="I71" s="1168"/>
    </row>
    <row r="72" spans="2:11">
      <c r="B72" s="77"/>
      <c r="C72" s="72" t="s">
        <v>28</v>
      </c>
      <c r="D72" s="279" t="s">
        <v>140</v>
      </c>
      <c r="E72" s="339" t="s">
        <v>309</v>
      </c>
      <c r="F72" s="336">
        <v>7.0000000000000007E-2</v>
      </c>
      <c r="G72" s="340">
        <f>G47</f>
        <v>170000</v>
      </c>
      <c r="H72" s="341">
        <f>F72*G72</f>
        <v>11900.000000000002</v>
      </c>
      <c r="I72" s="1168"/>
    </row>
    <row r="73" spans="2:11">
      <c r="B73" s="71"/>
      <c r="C73" s="72" t="s">
        <v>28</v>
      </c>
      <c r="D73" s="279" t="s">
        <v>136</v>
      </c>
      <c r="E73" s="339" t="s">
        <v>309</v>
      </c>
      <c r="F73" s="336">
        <v>0.2</v>
      </c>
      <c r="G73" s="340">
        <f>PSP!G78</f>
        <v>180000</v>
      </c>
      <c r="H73" s="341">
        <f>F73*G73</f>
        <v>36000</v>
      </c>
      <c r="I73" s="1168"/>
    </row>
    <row r="74" spans="2:11">
      <c r="B74" s="216"/>
      <c r="C74" s="72" t="s">
        <v>28</v>
      </c>
      <c r="D74" s="247" t="s">
        <v>312</v>
      </c>
      <c r="E74" s="342" t="s">
        <v>313</v>
      </c>
      <c r="F74" s="337">
        <v>0.35</v>
      </c>
      <c r="G74" s="340">
        <f>SUM(H71:H73)</f>
        <v>499420</v>
      </c>
      <c r="H74" s="341">
        <f>F74*G74</f>
        <v>174797</v>
      </c>
      <c r="I74" s="1168">
        <f>SUM(H71:H74)</f>
        <v>674217</v>
      </c>
    </row>
    <row r="75" spans="2:11">
      <c r="B75" s="251"/>
      <c r="C75" s="252"/>
      <c r="D75" s="253" t="s">
        <v>228</v>
      </c>
      <c r="E75" s="254"/>
      <c r="F75" s="325"/>
      <c r="G75" s="326"/>
      <c r="H75" s="327">
        <f>SUM(H71:H74)</f>
        <v>674217</v>
      </c>
      <c r="I75" s="1168"/>
    </row>
    <row r="76" spans="2:11">
      <c r="B76" s="54"/>
      <c r="C76" s="55" t="s">
        <v>229</v>
      </c>
      <c r="D76" s="56"/>
      <c r="E76" s="56"/>
      <c r="F76" s="56"/>
      <c r="G76" s="57"/>
      <c r="H76" s="57">
        <f>ROUND(H75,0)</f>
        <v>674217</v>
      </c>
      <c r="I76" s="1164"/>
    </row>
    <row r="77" spans="2:11">
      <c r="B77" s="269" t="s">
        <v>1659</v>
      </c>
      <c r="C77" s="328" t="s">
        <v>315</v>
      </c>
      <c r="D77" s="227"/>
      <c r="E77" s="329"/>
      <c r="F77" s="289"/>
      <c r="G77" s="330"/>
      <c r="H77" s="331"/>
      <c r="I77" s="1168"/>
    </row>
    <row r="78" spans="2:11">
      <c r="B78" s="71"/>
      <c r="C78" s="72" t="s">
        <v>28</v>
      </c>
      <c r="D78" s="343" t="s">
        <v>316</v>
      </c>
      <c r="E78" s="344" t="s">
        <v>47</v>
      </c>
      <c r="F78" s="345">
        <v>18.37</v>
      </c>
      <c r="G78" s="316">
        <f>BAHAN!$E$169</f>
        <v>7000</v>
      </c>
      <c r="H78" s="298">
        <f t="shared" ref="H78:H84" si="10">F78*G78</f>
        <v>128590</v>
      </c>
      <c r="I78" s="1168"/>
      <c r="K78" s="954"/>
    </row>
    <row r="79" spans="2:11">
      <c r="B79" s="77"/>
      <c r="C79" s="72" t="s">
        <v>28</v>
      </c>
      <c r="D79" s="346" t="s">
        <v>317</v>
      </c>
      <c r="E79" s="347" t="s">
        <v>47</v>
      </c>
      <c r="F79" s="348">
        <v>6.06</v>
      </c>
      <c r="G79" s="340">
        <f>BAHAN!$E$139</f>
        <v>8583.86</v>
      </c>
      <c r="H79" s="341">
        <f t="shared" si="10"/>
        <v>52018.191599999998</v>
      </c>
      <c r="I79" s="1168"/>
      <c r="K79" s="954"/>
    </row>
    <row r="80" spans="2:11">
      <c r="B80" s="77"/>
      <c r="C80" s="72" t="s">
        <v>28</v>
      </c>
      <c r="D80" s="346" t="s">
        <v>318</v>
      </c>
      <c r="E80" s="347" t="s">
        <v>47</v>
      </c>
      <c r="F80" s="348">
        <v>2.2000000000000002</v>
      </c>
      <c r="G80" s="349">
        <f>BAHAN!$E$392</f>
        <v>700</v>
      </c>
      <c r="H80" s="341">
        <f t="shared" si="10"/>
        <v>1540.0000000000002</v>
      </c>
      <c r="I80" s="1168">
        <f>SUM(H78:H80)</f>
        <v>182148.19159999999</v>
      </c>
      <c r="K80" s="954"/>
    </row>
    <row r="81" spans="2:11">
      <c r="B81" s="77"/>
      <c r="C81" s="72" t="s">
        <v>28</v>
      </c>
      <c r="D81" s="346" t="s">
        <v>319</v>
      </c>
      <c r="E81" s="347" t="s">
        <v>263</v>
      </c>
      <c r="F81" s="348">
        <v>1</v>
      </c>
      <c r="G81" s="349">
        <f>UPAH!E18</f>
        <v>160000</v>
      </c>
      <c r="H81" s="341">
        <f t="shared" si="10"/>
        <v>160000</v>
      </c>
      <c r="I81" s="1168"/>
    </row>
    <row r="82" spans="2:11">
      <c r="B82" s="77"/>
      <c r="C82" s="72" t="s">
        <v>28</v>
      </c>
      <c r="D82" s="171" t="s">
        <v>320</v>
      </c>
      <c r="E82" s="339" t="s">
        <v>263</v>
      </c>
      <c r="F82" s="336">
        <v>2</v>
      </c>
      <c r="G82" s="349">
        <f>UPAH!E25</f>
        <v>140000</v>
      </c>
      <c r="H82" s="341">
        <f t="shared" si="10"/>
        <v>280000</v>
      </c>
      <c r="I82" s="1168"/>
    </row>
    <row r="83" spans="2:11">
      <c r="B83" s="71"/>
      <c r="C83" s="72" t="s">
        <v>28</v>
      </c>
      <c r="D83" s="171" t="s">
        <v>136</v>
      </c>
      <c r="E83" s="339" t="s">
        <v>263</v>
      </c>
      <c r="F83" s="336">
        <v>0.2</v>
      </c>
      <c r="G83" s="320">
        <f>UPAH!E9</f>
        <v>180000</v>
      </c>
      <c r="H83" s="341">
        <f t="shared" si="10"/>
        <v>36000</v>
      </c>
      <c r="I83" s="1168"/>
    </row>
    <row r="84" spans="2:11">
      <c r="B84" s="216"/>
      <c r="C84" s="72" t="s">
        <v>28</v>
      </c>
      <c r="D84" s="350" t="s">
        <v>321</v>
      </c>
      <c r="E84" s="342" t="s">
        <v>309</v>
      </c>
      <c r="F84" s="337">
        <v>2</v>
      </c>
      <c r="G84" s="340">
        <v>26325</v>
      </c>
      <c r="H84" s="341">
        <f t="shared" si="10"/>
        <v>52650</v>
      </c>
      <c r="I84" s="1168">
        <f>SUM(H81:H84)</f>
        <v>528650</v>
      </c>
    </row>
    <row r="85" spans="2:11">
      <c r="B85" s="251"/>
      <c r="C85" s="252"/>
      <c r="D85" s="253" t="s">
        <v>228</v>
      </c>
      <c r="E85" s="254"/>
      <c r="F85" s="325"/>
      <c r="G85" s="326"/>
      <c r="H85" s="327">
        <f>SUM(H78:H84)</f>
        <v>710798.19160000002</v>
      </c>
      <c r="I85" s="1168"/>
    </row>
    <row r="86" spans="2:11">
      <c r="B86" s="54"/>
      <c r="C86" s="55" t="s">
        <v>229</v>
      </c>
      <c r="D86" s="56"/>
      <c r="E86" s="56"/>
      <c r="F86" s="56"/>
      <c r="G86" s="57"/>
      <c r="H86" s="57">
        <f>ROUND(H85,0)</f>
        <v>710798</v>
      </c>
      <c r="I86" s="1164"/>
    </row>
    <row r="87" spans="2:11">
      <c r="B87" s="269" t="s">
        <v>1742</v>
      </c>
      <c r="C87" s="328" t="s">
        <v>1661</v>
      </c>
      <c r="D87" s="227"/>
      <c r="E87" s="329"/>
      <c r="F87" s="289"/>
      <c r="G87" s="330"/>
      <c r="H87" s="331"/>
      <c r="I87" s="1168"/>
    </row>
    <row r="88" spans="2:11">
      <c r="B88" s="71"/>
      <c r="C88" s="72" t="s">
        <v>28</v>
      </c>
      <c r="D88" s="343" t="s">
        <v>1660</v>
      </c>
      <c r="E88" s="344" t="s">
        <v>88</v>
      </c>
      <c r="F88" s="345">
        <v>638.29499999999996</v>
      </c>
      <c r="G88" s="316">
        <f>BAHAN!$E$22</f>
        <v>1100</v>
      </c>
      <c r="H88" s="298">
        <f t="shared" ref="H88:H94" si="11">F88*G88</f>
        <v>702124.5</v>
      </c>
      <c r="I88" s="1168"/>
      <c r="K88" s="954"/>
    </row>
    <row r="89" spans="2:11">
      <c r="B89" s="77"/>
      <c r="C89" s="72" t="s">
        <v>28</v>
      </c>
      <c r="D89" s="346" t="s">
        <v>221</v>
      </c>
      <c r="E89" s="347" t="s">
        <v>47</v>
      </c>
      <c r="F89" s="996">
        <v>9.68</v>
      </c>
      <c r="G89" s="340">
        <f>BAHAN!$E$30/50</f>
        <v>1500</v>
      </c>
      <c r="H89" s="341">
        <f t="shared" si="11"/>
        <v>14520</v>
      </c>
      <c r="I89" s="1168"/>
      <c r="K89" s="954"/>
    </row>
    <row r="90" spans="2:11">
      <c r="B90" s="77"/>
      <c r="C90" s="72" t="s">
        <v>28</v>
      </c>
      <c r="D90" s="346" t="s">
        <v>237</v>
      </c>
      <c r="E90" s="347" t="s">
        <v>100</v>
      </c>
      <c r="F90" s="996">
        <v>4.4999999999999998E-2</v>
      </c>
      <c r="G90" s="349">
        <f>BAHAN!$E$9</f>
        <v>246000</v>
      </c>
      <c r="H90" s="341">
        <f t="shared" si="11"/>
        <v>11070</v>
      </c>
      <c r="I90" s="1168">
        <f>SUM(H88:H90)</f>
        <v>727714.5</v>
      </c>
      <c r="K90" s="954"/>
    </row>
    <row r="91" spans="2:11">
      <c r="B91" s="77"/>
      <c r="C91" s="72" t="s">
        <v>28</v>
      </c>
      <c r="D91" s="346" t="s">
        <v>133</v>
      </c>
      <c r="E91" s="347" t="s">
        <v>132</v>
      </c>
      <c r="F91" s="996">
        <v>1.2766</v>
      </c>
      <c r="G91" s="349">
        <f>UPAH!$E$26</f>
        <v>136000</v>
      </c>
      <c r="H91" s="341">
        <f t="shared" si="11"/>
        <v>173617.6</v>
      </c>
      <c r="I91" s="1168"/>
    </row>
    <row r="92" spans="2:11">
      <c r="B92" s="77"/>
      <c r="C92" s="72" t="s">
        <v>28</v>
      </c>
      <c r="D92" s="171" t="s">
        <v>245</v>
      </c>
      <c r="E92" s="347" t="s">
        <v>132</v>
      </c>
      <c r="F92" s="336">
        <v>0.42549999999999999</v>
      </c>
      <c r="G92" s="349">
        <f>UPAH!$E$16</f>
        <v>160000</v>
      </c>
      <c r="H92" s="341">
        <f t="shared" si="11"/>
        <v>68080</v>
      </c>
      <c r="I92" s="1168"/>
    </row>
    <row r="93" spans="2:11">
      <c r="B93" s="71"/>
      <c r="C93" s="72" t="s">
        <v>28</v>
      </c>
      <c r="D93" s="171" t="s">
        <v>140</v>
      </c>
      <c r="E93" s="347" t="s">
        <v>132</v>
      </c>
      <c r="F93" s="336">
        <v>8.5099999999999995E-2</v>
      </c>
      <c r="G93" s="320">
        <f>UPAH!$E$10</f>
        <v>170000</v>
      </c>
      <c r="H93" s="341">
        <f t="shared" si="11"/>
        <v>14467</v>
      </c>
      <c r="I93" s="1168"/>
    </row>
    <row r="94" spans="2:11">
      <c r="B94" s="216"/>
      <c r="C94" s="72" t="s">
        <v>28</v>
      </c>
      <c r="D94" s="350" t="s">
        <v>136</v>
      </c>
      <c r="E94" s="347" t="s">
        <v>132</v>
      </c>
      <c r="F94" s="337">
        <v>2.8400000000000002E-2</v>
      </c>
      <c r="G94" s="340">
        <f>UPAH!$E$9</f>
        <v>180000</v>
      </c>
      <c r="H94" s="341">
        <f t="shared" si="11"/>
        <v>5112</v>
      </c>
      <c r="I94" s="1168">
        <f>SUM(H91:H94)</f>
        <v>261276.6</v>
      </c>
    </row>
    <row r="95" spans="2:11">
      <c r="B95" s="251"/>
      <c r="C95" s="252"/>
      <c r="D95" s="253" t="s">
        <v>228</v>
      </c>
      <c r="E95" s="254"/>
      <c r="F95" s="325"/>
      <c r="G95" s="326"/>
      <c r="H95" s="327">
        <f>SUM(H88:H94)</f>
        <v>988991.1</v>
      </c>
      <c r="I95" s="1168"/>
    </row>
    <row r="96" spans="2:11">
      <c r="B96" s="54"/>
      <c r="C96" s="55" t="s">
        <v>229</v>
      </c>
      <c r="D96" s="56"/>
      <c r="E96" s="56"/>
      <c r="F96" s="56"/>
      <c r="G96" s="57"/>
      <c r="H96" s="57">
        <f>ROUND(H95,0)</f>
        <v>988991</v>
      </c>
      <c r="I96" s="1164"/>
    </row>
    <row r="97" spans="2:11">
      <c r="B97" s="1230" t="s">
        <v>1750</v>
      </c>
      <c r="C97" s="1223" t="s">
        <v>1743</v>
      </c>
      <c r="D97" s="1231"/>
      <c r="E97" s="1232"/>
      <c r="F97" s="1233"/>
      <c r="G97" s="1234"/>
      <c r="H97" s="1235"/>
      <c r="I97" s="1221"/>
    </row>
    <row r="98" spans="2:11">
      <c r="B98" s="1224"/>
      <c r="C98" s="1225" t="s">
        <v>28</v>
      </c>
      <c r="D98" s="1236" t="s">
        <v>1744</v>
      </c>
      <c r="E98" s="1237" t="s">
        <v>129</v>
      </c>
      <c r="F98" s="1238">
        <v>6</v>
      </c>
      <c r="G98" s="1239">
        <f>BAHAN!$E$42</f>
        <v>176500</v>
      </c>
      <c r="H98" s="1240">
        <v>147000</v>
      </c>
      <c r="I98" s="1222">
        <v>147000</v>
      </c>
      <c r="K98" s="954"/>
    </row>
    <row r="99" spans="2:11">
      <c r="B99" s="1241"/>
      <c r="C99" s="1242"/>
      <c r="D99" s="1226" t="s">
        <v>228</v>
      </c>
      <c r="E99" s="1243"/>
      <c r="F99" s="1244"/>
      <c r="G99" s="1245"/>
      <c r="H99" s="1246">
        <v>147000</v>
      </c>
      <c r="I99" s="1221"/>
    </row>
    <row r="100" spans="2:11">
      <c r="B100" s="1247"/>
      <c r="C100" s="1227" t="s">
        <v>229</v>
      </c>
      <c r="D100" s="1228"/>
      <c r="E100" s="1228"/>
      <c r="F100" s="1228"/>
      <c r="G100" s="1229"/>
      <c r="H100" s="1229">
        <v>147000</v>
      </c>
      <c r="I100" s="1221"/>
    </row>
    <row r="101" spans="2:11" ht="15.75" thickBot="1"/>
    <row r="102" spans="2:11">
      <c r="B102" s="1392"/>
      <c r="C102" s="1392"/>
      <c r="D102" s="2920" t="s">
        <v>2354</v>
      </c>
      <c r="E102" s="2921"/>
      <c r="F102" s="1392"/>
      <c r="G102" s="1392"/>
    </row>
    <row r="103" spans="2:11">
      <c r="B103" s="1392"/>
      <c r="C103" s="1392"/>
      <c r="D103" s="2031" t="s">
        <v>292</v>
      </c>
      <c r="E103" s="2032">
        <f>SUMIF($D$7:$D$100,D103,$K$7:$K$100)</f>
        <v>140.13450000000003</v>
      </c>
      <c r="F103" s="2029"/>
      <c r="G103" s="1392"/>
    </row>
    <row r="104" spans="2:11">
      <c r="B104" s="1392"/>
      <c r="C104" s="1392"/>
      <c r="D104" s="2033" t="s">
        <v>221</v>
      </c>
      <c r="E104" s="2032">
        <f t="shared" ref="E104:E110" si="12">SUMIF($D$7:$D$100,D104,$K$7:$K$100)</f>
        <v>14922.6</v>
      </c>
      <c r="F104" s="2029"/>
      <c r="G104" s="1392"/>
    </row>
    <row r="105" spans="2:11">
      <c r="B105" s="1392"/>
      <c r="C105" s="1392"/>
      <c r="D105" s="2033" t="s">
        <v>237</v>
      </c>
      <c r="E105" s="2032">
        <f t="shared" si="12"/>
        <v>59.690400000000011</v>
      </c>
      <c r="F105" s="2029"/>
      <c r="G105" s="1392"/>
    </row>
    <row r="106" spans="2:11">
      <c r="B106" s="1392"/>
      <c r="C106" s="1392"/>
      <c r="D106" s="2034" t="s">
        <v>282</v>
      </c>
      <c r="E106" s="2032">
        <f t="shared" si="12"/>
        <v>4.8592500000000012</v>
      </c>
      <c r="F106" s="1392"/>
      <c r="G106" s="1392"/>
    </row>
    <row r="107" spans="2:11">
      <c r="B107" s="1392"/>
      <c r="C107" s="1392"/>
      <c r="D107" s="2035" t="s">
        <v>297</v>
      </c>
      <c r="E107" s="2032">
        <f t="shared" si="12"/>
        <v>0</v>
      </c>
      <c r="F107" s="1392"/>
      <c r="G107" s="1392"/>
    </row>
    <row r="108" spans="2:11">
      <c r="B108" s="1392"/>
      <c r="C108" s="1392"/>
      <c r="D108" s="2035" t="s">
        <v>298</v>
      </c>
      <c r="E108" s="2032">
        <f t="shared" si="12"/>
        <v>0</v>
      </c>
      <c r="F108" s="1392"/>
      <c r="G108" s="1392"/>
    </row>
    <row r="109" spans="2:11">
      <c r="B109" s="1392"/>
      <c r="C109" s="1392"/>
      <c r="D109" s="2035" t="s">
        <v>299</v>
      </c>
      <c r="E109" s="2032">
        <f t="shared" si="12"/>
        <v>0</v>
      </c>
      <c r="F109" s="1392"/>
      <c r="G109" s="1392"/>
    </row>
    <row r="110" spans="2:11" ht="15.75" thickBot="1">
      <c r="B110" s="1392"/>
      <c r="C110" s="1392"/>
      <c r="D110" s="2038" t="s">
        <v>224</v>
      </c>
      <c r="E110" s="2037">
        <f t="shared" si="12"/>
        <v>0</v>
      </c>
      <c r="F110" s="1392"/>
      <c r="G110" s="1392"/>
    </row>
    <row r="111" spans="2:11">
      <c r="B111" s="1392"/>
      <c r="C111" s="1392"/>
      <c r="D111" s="1392"/>
      <c r="E111" s="1392"/>
      <c r="F111" s="1392"/>
      <c r="G111" s="1392"/>
    </row>
    <row r="112" spans="2:11">
      <c r="B112" s="1392"/>
      <c r="C112" s="1392"/>
      <c r="D112" s="1392"/>
      <c r="E112" s="1392"/>
      <c r="F112" s="1392"/>
      <c r="G112" s="1392"/>
    </row>
    <row r="113" spans="2:7">
      <c r="B113" s="1392"/>
      <c r="C113" s="1392"/>
      <c r="D113" s="1392"/>
      <c r="E113" s="1392"/>
      <c r="F113" s="1392"/>
      <c r="G113" s="1392"/>
    </row>
    <row r="114" spans="2:7">
      <c r="B114" s="1392"/>
      <c r="C114" s="1392"/>
      <c r="D114" s="1392"/>
      <c r="E114" s="1392"/>
      <c r="F114" s="1392"/>
      <c r="G114" s="1392"/>
    </row>
  </sheetData>
  <mergeCells count="1">
    <mergeCell ref="D102:E102"/>
  </mergeCells>
  <pageMargins left="1.28" right="0.59055118110236204" top="0.78740157480314998" bottom="0.78740157480314998" header="0.31496062992126" footer="0.31496062992126"/>
  <pageSetup paperSize="5" scale="8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4"/>
  <dimension ref="B1:Q325"/>
  <sheetViews>
    <sheetView topLeftCell="C122" zoomScale="120" zoomScaleNormal="120" zoomScaleSheetLayoutView="120" workbookViewId="0">
      <selection activeCell="K143" sqref="K143"/>
    </sheetView>
  </sheetViews>
  <sheetFormatPr defaultRowHeight="15"/>
  <cols>
    <col min="1" max="1" width="2" style="5" customWidth="1"/>
    <col min="2" max="2" width="7.5703125" style="5" customWidth="1"/>
    <col min="3" max="3" width="2.42578125" style="5" customWidth="1"/>
    <col min="4" max="4" width="27.140625" style="5" customWidth="1"/>
    <col min="5" max="5" width="8" style="5" customWidth="1"/>
    <col min="6" max="6" width="10" style="5" bestFit="1" customWidth="1"/>
    <col min="7" max="7" width="17.5703125" style="5" customWidth="1"/>
    <col min="8" max="9" width="20.85546875" style="5" customWidth="1"/>
    <col min="10" max="10" width="10.5703125" style="1392" bestFit="1" customWidth="1"/>
    <col min="11" max="11" width="13.42578125" style="1392" customWidth="1"/>
    <col min="12" max="13" width="10.5703125" style="1392" bestFit="1" customWidth="1"/>
    <col min="14" max="14" width="20.5703125" style="1392" customWidth="1"/>
    <col min="15" max="15" width="10.5703125" style="1392" bestFit="1" customWidth="1"/>
    <col min="16" max="17" width="9.140625" style="1392"/>
    <col min="18" max="258" width="9.140625" style="5"/>
    <col min="259" max="259" width="2" style="5" customWidth="1"/>
    <col min="260" max="260" width="7.5703125" style="5" customWidth="1"/>
    <col min="261" max="261" width="2.42578125" style="5" customWidth="1"/>
    <col min="262" max="262" width="27.140625" style="5" customWidth="1"/>
    <col min="263" max="263" width="8" style="5" customWidth="1"/>
    <col min="264" max="264" width="8.7109375" style="5" customWidth="1"/>
    <col min="265" max="265" width="17.5703125" style="5" customWidth="1"/>
    <col min="266" max="266" width="20.85546875" style="5" customWidth="1"/>
    <col min="267" max="267" width="9.140625" style="5"/>
    <col min="268" max="268" width="19" style="5" customWidth="1"/>
    <col min="269" max="514" width="9.140625" style="5"/>
    <col min="515" max="515" width="2" style="5" customWidth="1"/>
    <col min="516" max="516" width="7.5703125" style="5" customWidth="1"/>
    <col min="517" max="517" width="2.42578125" style="5" customWidth="1"/>
    <col min="518" max="518" width="27.140625" style="5" customWidth="1"/>
    <col min="519" max="519" width="8" style="5" customWidth="1"/>
    <col min="520" max="520" width="8.7109375" style="5" customWidth="1"/>
    <col min="521" max="521" width="17.5703125" style="5" customWidth="1"/>
    <col min="522" max="522" width="20.85546875" style="5" customWidth="1"/>
    <col min="523" max="523" width="9.140625" style="5"/>
    <col min="524" max="524" width="19" style="5" customWidth="1"/>
    <col min="525" max="770" width="9.140625" style="5"/>
    <col min="771" max="771" width="2" style="5" customWidth="1"/>
    <col min="772" max="772" width="7.5703125" style="5" customWidth="1"/>
    <col min="773" max="773" width="2.42578125" style="5" customWidth="1"/>
    <col min="774" max="774" width="27.140625" style="5" customWidth="1"/>
    <col min="775" max="775" width="8" style="5" customWidth="1"/>
    <col min="776" max="776" width="8.7109375" style="5" customWidth="1"/>
    <col min="777" max="777" width="17.5703125" style="5" customWidth="1"/>
    <col min="778" max="778" width="20.85546875" style="5" customWidth="1"/>
    <col min="779" max="779" width="9.140625" style="5"/>
    <col min="780" max="780" width="19" style="5" customWidth="1"/>
    <col min="781" max="1026" width="9.140625" style="5"/>
    <col min="1027" max="1027" width="2" style="5" customWidth="1"/>
    <col min="1028" max="1028" width="7.5703125" style="5" customWidth="1"/>
    <col min="1029" max="1029" width="2.42578125" style="5" customWidth="1"/>
    <col min="1030" max="1030" width="27.140625" style="5" customWidth="1"/>
    <col min="1031" max="1031" width="8" style="5" customWidth="1"/>
    <col min="1032" max="1032" width="8.7109375" style="5" customWidth="1"/>
    <col min="1033" max="1033" width="17.5703125" style="5" customWidth="1"/>
    <col min="1034" max="1034" width="20.85546875" style="5" customWidth="1"/>
    <col min="1035" max="1035" width="9.140625" style="5"/>
    <col min="1036" max="1036" width="19" style="5" customWidth="1"/>
    <col min="1037" max="1282" width="9.140625" style="5"/>
    <col min="1283" max="1283" width="2" style="5" customWidth="1"/>
    <col min="1284" max="1284" width="7.5703125" style="5" customWidth="1"/>
    <col min="1285" max="1285" width="2.42578125" style="5" customWidth="1"/>
    <col min="1286" max="1286" width="27.140625" style="5" customWidth="1"/>
    <col min="1287" max="1287" width="8" style="5" customWidth="1"/>
    <col min="1288" max="1288" width="8.7109375" style="5" customWidth="1"/>
    <col min="1289" max="1289" width="17.5703125" style="5" customWidth="1"/>
    <col min="1290" max="1290" width="20.85546875" style="5" customWidth="1"/>
    <col min="1291" max="1291" width="9.140625" style="5"/>
    <col min="1292" max="1292" width="19" style="5" customWidth="1"/>
    <col min="1293" max="1538" width="9.140625" style="5"/>
    <col min="1539" max="1539" width="2" style="5" customWidth="1"/>
    <col min="1540" max="1540" width="7.5703125" style="5" customWidth="1"/>
    <col min="1541" max="1541" width="2.42578125" style="5" customWidth="1"/>
    <col min="1542" max="1542" width="27.140625" style="5" customWidth="1"/>
    <col min="1543" max="1543" width="8" style="5" customWidth="1"/>
    <col min="1544" max="1544" width="8.7109375" style="5" customWidth="1"/>
    <col min="1545" max="1545" width="17.5703125" style="5" customWidth="1"/>
    <col min="1546" max="1546" width="20.85546875" style="5" customWidth="1"/>
    <col min="1547" max="1547" width="9.140625" style="5"/>
    <col min="1548" max="1548" width="19" style="5" customWidth="1"/>
    <col min="1549" max="1794" width="9.140625" style="5"/>
    <col min="1795" max="1795" width="2" style="5" customWidth="1"/>
    <col min="1796" max="1796" width="7.5703125" style="5" customWidth="1"/>
    <col min="1797" max="1797" width="2.42578125" style="5" customWidth="1"/>
    <col min="1798" max="1798" width="27.140625" style="5" customWidth="1"/>
    <col min="1799" max="1799" width="8" style="5" customWidth="1"/>
    <col min="1800" max="1800" width="8.7109375" style="5" customWidth="1"/>
    <col min="1801" max="1801" width="17.5703125" style="5" customWidth="1"/>
    <col min="1802" max="1802" width="20.85546875" style="5" customWidth="1"/>
    <col min="1803" max="1803" width="9.140625" style="5"/>
    <col min="1804" max="1804" width="19" style="5" customWidth="1"/>
    <col min="1805" max="2050" width="9.140625" style="5"/>
    <col min="2051" max="2051" width="2" style="5" customWidth="1"/>
    <col min="2052" max="2052" width="7.5703125" style="5" customWidth="1"/>
    <col min="2053" max="2053" width="2.42578125" style="5" customWidth="1"/>
    <col min="2054" max="2054" width="27.140625" style="5" customWidth="1"/>
    <col min="2055" max="2055" width="8" style="5" customWidth="1"/>
    <col min="2056" max="2056" width="8.7109375" style="5" customWidth="1"/>
    <col min="2057" max="2057" width="17.5703125" style="5" customWidth="1"/>
    <col min="2058" max="2058" width="20.85546875" style="5" customWidth="1"/>
    <col min="2059" max="2059" width="9.140625" style="5"/>
    <col min="2060" max="2060" width="19" style="5" customWidth="1"/>
    <col min="2061" max="2306" width="9.140625" style="5"/>
    <col min="2307" max="2307" width="2" style="5" customWidth="1"/>
    <col min="2308" max="2308" width="7.5703125" style="5" customWidth="1"/>
    <col min="2309" max="2309" width="2.42578125" style="5" customWidth="1"/>
    <col min="2310" max="2310" width="27.140625" style="5" customWidth="1"/>
    <col min="2311" max="2311" width="8" style="5" customWidth="1"/>
    <col min="2312" max="2312" width="8.7109375" style="5" customWidth="1"/>
    <col min="2313" max="2313" width="17.5703125" style="5" customWidth="1"/>
    <col min="2314" max="2314" width="20.85546875" style="5" customWidth="1"/>
    <col min="2315" max="2315" width="9.140625" style="5"/>
    <col min="2316" max="2316" width="19" style="5" customWidth="1"/>
    <col min="2317" max="2562" width="9.140625" style="5"/>
    <col min="2563" max="2563" width="2" style="5" customWidth="1"/>
    <col min="2564" max="2564" width="7.5703125" style="5" customWidth="1"/>
    <col min="2565" max="2565" width="2.42578125" style="5" customWidth="1"/>
    <col min="2566" max="2566" width="27.140625" style="5" customWidth="1"/>
    <col min="2567" max="2567" width="8" style="5" customWidth="1"/>
    <col min="2568" max="2568" width="8.7109375" style="5" customWidth="1"/>
    <col min="2569" max="2569" width="17.5703125" style="5" customWidth="1"/>
    <col min="2570" max="2570" width="20.85546875" style="5" customWidth="1"/>
    <col min="2571" max="2571" width="9.140625" style="5"/>
    <col min="2572" max="2572" width="19" style="5" customWidth="1"/>
    <col min="2573" max="2818" width="9.140625" style="5"/>
    <col min="2819" max="2819" width="2" style="5" customWidth="1"/>
    <col min="2820" max="2820" width="7.5703125" style="5" customWidth="1"/>
    <col min="2821" max="2821" width="2.42578125" style="5" customWidth="1"/>
    <col min="2822" max="2822" width="27.140625" style="5" customWidth="1"/>
    <col min="2823" max="2823" width="8" style="5" customWidth="1"/>
    <col min="2824" max="2824" width="8.7109375" style="5" customWidth="1"/>
    <col min="2825" max="2825" width="17.5703125" style="5" customWidth="1"/>
    <col min="2826" max="2826" width="20.85546875" style="5" customWidth="1"/>
    <col min="2827" max="2827" width="9.140625" style="5"/>
    <col min="2828" max="2828" width="19" style="5" customWidth="1"/>
    <col min="2829" max="3074" width="9.140625" style="5"/>
    <col min="3075" max="3075" width="2" style="5" customWidth="1"/>
    <col min="3076" max="3076" width="7.5703125" style="5" customWidth="1"/>
    <col min="3077" max="3077" width="2.42578125" style="5" customWidth="1"/>
    <col min="3078" max="3078" width="27.140625" style="5" customWidth="1"/>
    <col min="3079" max="3079" width="8" style="5" customWidth="1"/>
    <col min="3080" max="3080" width="8.7109375" style="5" customWidth="1"/>
    <col min="3081" max="3081" width="17.5703125" style="5" customWidth="1"/>
    <col min="3082" max="3082" width="20.85546875" style="5" customWidth="1"/>
    <col min="3083" max="3083" width="9.140625" style="5"/>
    <col min="3084" max="3084" width="19" style="5" customWidth="1"/>
    <col min="3085" max="3330" width="9.140625" style="5"/>
    <col min="3331" max="3331" width="2" style="5" customWidth="1"/>
    <col min="3332" max="3332" width="7.5703125" style="5" customWidth="1"/>
    <col min="3333" max="3333" width="2.42578125" style="5" customWidth="1"/>
    <col min="3334" max="3334" width="27.140625" style="5" customWidth="1"/>
    <col min="3335" max="3335" width="8" style="5" customWidth="1"/>
    <col min="3336" max="3336" width="8.7109375" style="5" customWidth="1"/>
    <col min="3337" max="3337" width="17.5703125" style="5" customWidth="1"/>
    <col min="3338" max="3338" width="20.85546875" style="5" customWidth="1"/>
    <col min="3339" max="3339" width="9.140625" style="5"/>
    <col min="3340" max="3340" width="19" style="5" customWidth="1"/>
    <col min="3341" max="3586" width="9.140625" style="5"/>
    <col min="3587" max="3587" width="2" style="5" customWidth="1"/>
    <col min="3588" max="3588" width="7.5703125" style="5" customWidth="1"/>
    <col min="3589" max="3589" width="2.42578125" style="5" customWidth="1"/>
    <col min="3590" max="3590" width="27.140625" style="5" customWidth="1"/>
    <col min="3591" max="3591" width="8" style="5" customWidth="1"/>
    <col min="3592" max="3592" width="8.7109375" style="5" customWidth="1"/>
    <col min="3593" max="3593" width="17.5703125" style="5" customWidth="1"/>
    <col min="3594" max="3594" width="20.85546875" style="5" customWidth="1"/>
    <col min="3595" max="3595" width="9.140625" style="5"/>
    <col min="3596" max="3596" width="19" style="5" customWidth="1"/>
    <col min="3597" max="3842" width="9.140625" style="5"/>
    <col min="3843" max="3843" width="2" style="5" customWidth="1"/>
    <col min="3844" max="3844" width="7.5703125" style="5" customWidth="1"/>
    <col min="3845" max="3845" width="2.42578125" style="5" customWidth="1"/>
    <col min="3846" max="3846" width="27.140625" style="5" customWidth="1"/>
    <col min="3847" max="3847" width="8" style="5" customWidth="1"/>
    <col min="3848" max="3848" width="8.7109375" style="5" customWidth="1"/>
    <col min="3849" max="3849" width="17.5703125" style="5" customWidth="1"/>
    <col min="3850" max="3850" width="20.85546875" style="5" customWidth="1"/>
    <col min="3851" max="3851" width="9.140625" style="5"/>
    <col min="3852" max="3852" width="19" style="5" customWidth="1"/>
    <col min="3853" max="4098" width="9.140625" style="5"/>
    <col min="4099" max="4099" width="2" style="5" customWidth="1"/>
    <col min="4100" max="4100" width="7.5703125" style="5" customWidth="1"/>
    <col min="4101" max="4101" width="2.42578125" style="5" customWidth="1"/>
    <col min="4102" max="4102" width="27.140625" style="5" customWidth="1"/>
    <col min="4103" max="4103" width="8" style="5" customWidth="1"/>
    <col min="4104" max="4104" width="8.7109375" style="5" customWidth="1"/>
    <col min="4105" max="4105" width="17.5703125" style="5" customWidth="1"/>
    <col min="4106" max="4106" width="20.85546875" style="5" customWidth="1"/>
    <col min="4107" max="4107" width="9.140625" style="5"/>
    <col min="4108" max="4108" width="19" style="5" customWidth="1"/>
    <col min="4109" max="4354" width="9.140625" style="5"/>
    <col min="4355" max="4355" width="2" style="5" customWidth="1"/>
    <col min="4356" max="4356" width="7.5703125" style="5" customWidth="1"/>
    <col min="4357" max="4357" width="2.42578125" style="5" customWidth="1"/>
    <col min="4358" max="4358" width="27.140625" style="5" customWidth="1"/>
    <col min="4359" max="4359" width="8" style="5" customWidth="1"/>
    <col min="4360" max="4360" width="8.7109375" style="5" customWidth="1"/>
    <col min="4361" max="4361" width="17.5703125" style="5" customWidth="1"/>
    <col min="4362" max="4362" width="20.85546875" style="5" customWidth="1"/>
    <col min="4363" max="4363" width="9.140625" style="5"/>
    <col min="4364" max="4364" width="19" style="5" customWidth="1"/>
    <col min="4365" max="4610" width="9.140625" style="5"/>
    <col min="4611" max="4611" width="2" style="5" customWidth="1"/>
    <col min="4612" max="4612" width="7.5703125" style="5" customWidth="1"/>
    <col min="4613" max="4613" width="2.42578125" style="5" customWidth="1"/>
    <col min="4614" max="4614" width="27.140625" style="5" customWidth="1"/>
    <col min="4615" max="4615" width="8" style="5" customWidth="1"/>
    <col min="4616" max="4616" width="8.7109375" style="5" customWidth="1"/>
    <col min="4617" max="4617" width="17.5703125" style="5" customWidth="1"/>
    <col min="4618" max="4618" width="20.85546875" style="5" customWidth="1"/>
    <col min="4619" max="4619" width="9.140625" style="5"/>
    <col min="4620" max="4620" width="19" style="5" customWidth="1"/>
    <col min="4621" max="4866" width="9.140625" style="5"/>
    <col min="4867" max="4867" width="2" style="5" customWidth="1"/>
    <col min="4868" max="4868" width="7.5703125" style="5" customWidth="1"/>
    <col min="4869" max="4869" width="2.42578125" style="5" customWidth="1"/>
    <col min="4870" max="4870" width="27.140625" style="5" customWidth="1"/>
    <col min="4871" max="4871" width="8" style="5" customWidth="1"/>
    <col min="4872" max="4872" width="8.7109375" style="5" customWidth="1"/>
    <col min="4873" max="4873" width="17.5703125" style="5" customWidth="1"/>
    <col min="4874" max="4874" width="20.85546875" style="5" customWidth="1"/>
    <col min="4875" max="4875" width="9.140625" style="5"/>
    <col min="4876" max="4876" width="19" style="5" customWidth="1"/>
    <col min="4877" max="5122" width="9.140625" style="5"/>
    <col min="5123" max="5123" width="2" style="5" customWidth="1"/>
    <col min="5124" max="5124" width="7.5703125" style="5" customWidth="1"/>
    <col min="5125" max="5125" width="2.42578125" style="5" customWidth="1"/>
    <col min="5126" max="5126" width="27.140625" style="5" customWidth="1"/>
    <col min="5127" max="5127" width="8" style="5" customWidth="1"/>
    <col min="5128" max="5128" width="8.7109375" style="5" customWidth="1"/>
    <col min="5129" max="5129" width="17.5703125" style="5" customWidth="1"/>
    <col min="5130" max="5130" width="20.85546875" style="5" customWidth="1"/>
    <col min="5131" max="5131" width="9.140625" style="5"/>
    <col min="5132" max="5132" width="19" style="5" customWidth="1"/>
    <col min="5133" max="5378" width="9.140625" style="5"/>
    <col min="5379" max="5379" width="2" style="5" customWidth="1"/>
    <col min="5380" max="5380" width="7.5703125" style="5" customWidth="1"/>
    <col min="5381" max="5381" width="2.42578125" style="5" customWidth="1"/>
    <col min="5382" max="5382" width="27.140625" style="5" customWidth="1"/>
    <col min="5383" max="5383" width="8" style="5" customWidth="1"/>
    <col min="5384" max="5384" width="8.7109375" style="5" customWidth="1"/>
    <col min="5385" max="5385" width="17.5703125" style="5" customWidth="1"/>
    <col min="5386" max="5386" width="20.85546875" style="5" customWidth="1"/>
    <col min="5387" max="5387" width="9.140625" style="5"/>
    <col min="5388" max="5388" width="19" style="5" customWidth="1"/>
    <col min="5389" max="5634" width="9.140625" style="5"/>
    <col min="5635" max="5635" width="2" style="5" customWidth="1"/>
    <col min="5636" max="5636" width="7.5703125" style="5" customWidth="1"/>
    <col min="5637" max="5637" width="2.42578125" style="5" customWidth="1"/>
    <col min="5638" max="5638" width="27.140625" style="5" customWidth="1"/>
    <col min="5639" max="5639" width="8" style="5" customWidth="1"/>
    <col min="5640" max="5640" width="8.7109375" style="5" customWidth="1"/>
    <col min="5641" max="5641" width="17.5703125" style="5" customWidth="1"/>
    <col min="5642" max="5642" width="20.85546875" style="5" customWidth="1"/>
    <col min="5643" max="5643" width="9.140625" style="5"/>
    <col min="5644" max="5644" width="19" style="5" customWidth="1"/>
    <col min="5645" max="5890" width="9.140625" style="5"/>
    <col min="5891" max="5891" width="2" style="5" customWidth="1"/>
    <col min="5892" max="5892" width="7.5703125" style="5" customWidth="1"/>
    <col min="5893" max="5893" width="2.42578125" style="5" customWidth="1"/>
    <col min="5894" max="5894" width="27.140625" style="5" customWidth="1"/>
    <col min="5895" max="5895" width="8" style="5" customWidth="1"/>
    <col min="5896" max="5896" width="8.7109375" style="5" customWidth="1"/>
    <col min="5897" max="5897" width="17.5703125" style="5" customWidth="1"/>
    <col min="5898" max="5898" width="20.85546875" style="5" customWidth="1"/>
    <col min="5899" max="5899" width="9.140625" style="5"/>
    <col min="5900" max="5900" width="19" style="5" customWidth="1"/>
    <col min="5901" max="6146" width="9.140625" style="5"/>
    <col min="6147" max="6147" width="2" style="5" customWidth="1"/>
    <col min="6148" max="6148" width="7.5703125" style="5" customWidth="1"/>
    <col min="6149" max="6149" width="2.42578125" style="5" customWidth="1"/>
    <col min="6150" max="6150" width="27.140625" style="5" customWidth="1"/>
    <col min="6151" max="6151" width="8" style="5" customWidth="1"/>
    <col min="6152" max="6152" width="8.7109375" style="5" customWidth="1"/>
    <col min="6153" max="6153" width="17.5703125" style="5" customWidth="1"/>
    <col min="6154" max="6154" width="20.85546875" style="5" customWidth="1"/>
    <col min="6155" max="6155" width="9.140625" style="5"/>
    <col min="6156" max="6156" width="19" style="5" customWidth="1"/>
    <col min="6157" max="6402" width="9.140625" style="5"/>
    <col min="6403" max="6403" width="2" style="5" customWidth="1"/>
    <col min="6404" max="6404" width="7.5703125" style="5" customWidth="1"/>
    <col min="6405" max="6405" width="2.42578125" style="5" customWidth="1"/>
    <col min="6406" max="6406" width="27.140625" style="5" customWidth="1"/>
    <col min="6407" max="6407" width="8" style="5" customWidth="1"/>
    <col min="6408" max="6408" width="8.7109375" style="5" customWidth="1"/>
    <col min="6409" max="6409" width="17.5703125" style="5" customWidth="1"/>
    <col min="6410" max="6410" width="20.85546875" style="5" customWidth="1"/>
    <col min="6411" max="6411" width="9.140625" style="5"/>
    <col min="6412" max="6412" width="19" style="5" customWidth="1"/>
    <col min="6413" max="6658" width="9.140625" style="5"/>
    <col min="6659" max="6659" width="2" style="5" customWidth="1"/>
    <col min="6660" max="6660" width="7.5703125" style="5" customWidth="1"/>
    <col min="6661" max="6661" width="2.42578125" style="5" customWidth="1"/>
    <col min="6662" max="6662" width="27.140625" style="5" customWidth="1"/>
    <col min="6663" max="6663" width="8" style="5" customWidth="1"/>
    <col min="6664" max="6664" width="8.7109375" style="5" customWidth="1"/>
    <col min="6665" max="6665" width="17.5703125" style="5" customWidth="1"/>
    <col min="6666" max="6666" width="20.85546875" style="5" customWidth="1"/>
    <col min="6667" max="6667" width="9.140625" style="5"/>
    <col min="6668" max="6668" width="19" style="5" customWidth="1"/>
    <col min="6669" max="6914" width="9.140625" style="5"/>
    <col min="6915" max="6915" width="2" style="5" customWidth="1"/>
    <col min="6916" max="6916" width="7.5703125" style="5" customWidth="1"/>
    <col min="6917" max="6917" width="2.42578125" style="5" customWidth="1"/>
    <col min="6918" max="6918" width="27.140625" style="5" customWidth="1"/>
    <col min="6919" max="6919" width="8" style="5" customWidth="1"/>
    <col min="6920" max="6920" width="8.7109375" style="5" customWidth="1"/>
    <col min="6921" max="6921" width="17.5703125" style="5" customWidth="1"/>
    <col min="6922" max="6922" width="20.85546875" style="5" customWidth="1"/>
    <col min="6923" max="6923" width="9.140625" style="5"/>
    <col min="6924" max="6924" width="19" style="5" customWidth="1"/>
    <col min="6925" max="7170" width="9.140625" style="5"/>
    <col min="7171" max="7171" width="2" style="5" customWidth="1"/>
    <col min="7172" max="7172" width="7.5703125" style="5" customWidth="1"/>
    <col min="7173" max="7173" width="2.42578125" style="5" customWidth="1"/>
    <col min="7174" max="7174" width="27.140625" style="5" customWidth="1"/>
    <col min="7175" max="7175" width="8" style="5" customWidth="1"/>
    <col min="7176" max="7176" width="8.7109375" style="5" customWidth="1"/>
    <col min="7177" max="7177" width="17.5703125" style="5" customWidth="1"/>
    <col min="7178" max="7178" width="20.85546875" style="5" customWidth="1"/>
    <col min="7179" max="7179" width="9.140625" style="5"/>
    <col min="7180" max="7180" width="19" style="5" customWidth="1"/>
    <col min="7181" max="7426" width="9.140625" style="5"/>
    <col min="7427" max="7427" width="2" style="5" customWidth="1"/>
    <col min="7428" max="7428" width="7.5703125" style="5" customWidth="1"/>
    <col min="7429" max="7429" width="2.42578125" style="5" customWidth="1"/>
    <col min="7430" max="7430" width="27.140625" style="5" customWidth="1"/>
    <col min="7431" max="7431" width="8" style="5" customWidth="1"/>
    <col min="7432" max="7432" width="8.7109375" style="5" customWidth="1"/>
    <col min="7433" max="7433" width="17.5703125" style="5" customWidth="1"/>
    <col min="7434" max="7434" width="20.85546875" style="5" customWidth="1"/>
    <col min="7435" max="7435" width="9.140625" style="5"/>
    <col min="7436" max="7436" width="19" style="5" customWidth="1"/>
    <col min="7437" max="7682" width="9.140625" style="5"/>
    <col min="7683" max="7683" width="2" style="5" customWidth="1"/>
    <col min="7684" max="7684" width="7.5703125" style="5" customWidth="1"/>
    <col min="7685" max="7685" width="2.42578125" style="5" customWidth="1"/>
    <col min="7686" max="7686" width="27.140625" style="5" customWidth="1"/>
    <col min="7687" max="7687" width="8" style="5" customWidth="1"/>
    <col min="7688" max="7688" width="8.7109375" style="5" customWidth="1"/>
    <col min="7689" max="7689" width="17.5703125" style="5" customWidth="1"/>
    <col min="7690" max="7690" width="20.85546875" style="5" customWidth="1"/>
    <col min="7691" max="7691" width="9.140625" style="5"/>
    <col min="7692" max="7692" width="19" style="5" customWidth="1"/>
    <col min="7693" max="7938" width="9.140625" style="5"/>
    <col min="7939" max="7939" width="2" style="5" customWidth="1"/>
    <col min="7940" max="7940" width="7.5703125" style="5" customWidth="1"/>
    <col min="7941" max="7941" width="2.42578125" style="5" customWidth="1"/>
    <col min="7942" max="7942" width="27.140625" style="5" customWidth="1"/>
    <col min="7943" max="7943" width="8" style="5" customWidth="1"/>
    <col min="7944" max="7944" width="8.7109375" style="5" customWidth="1"/>
    <col min="7945" max="7945" width="17.5703125" style="5" customWidth="1"/>
    <col min="7946" max="7946" width="20.85546875" style="5" customWidth="1"/>
    <col min="7947" max="7947" width="9.140625" style="5"/>
    <col min="7948" max="7948" width="19" style="5" customWidth="1"/>
    <col min="7949" max="8194" width="9.140625" style="5"/>
    <col min="8195" max="8195" width="2" style="5" customWidth="1"/>
    <col min="8196" max="8196" width="7.5703125" style="5" customWidth="1"/>
    <col min="8197" max="8197" width="2.42578125" style="5" customWidth="1"/>
    <col min="8198" max="8198" width="27.140625" style="5" customWidth="1"/>
    <col min="8199" max="8199" width="8" style="5" customWidth="1"/>
    <col min="8200" max="8200" width="8.7109375" style="5" customWidth="1"/>
    <col min="8201" max="8201" width="17.5703125" style="5" customWidth="1"/>
    <col min="8202" max="8202" width="20.85546875" style="5" customWidth="1"/>
    <col min="8203" max="8203" width="9.140625" style="5"/>
    <col min="8204" max="8204" width="19" style="5" customWidth="1"/>
    <col min="8205" max="8450" width="9.140625" style="5"/>
    <col min="8451" max="8451" width="2" style="5" customWidth="1"/>
    <col min="8452" max="8452" width="7.5703125" style="5" customWidth="1"/>
    <col min="8453" max="8453" width="2.42578125" style="5" customWidth="1"/>
    <col min="8454" max="8454" width="27.140625" style="5" customWidth="1"/>
    <col min="8455" max="8455" width="8" style="5" customWidth="1"/>
    <col min="8456" max="8456" width="8.7109375" style="5" customWidth="1"/>
    <col min="8457" max="8457" width="17.5703125" style="5" customWidth="1"/>
    <col min="8458" max="8458" width="20.85546875" style="5" customWidth="1"/>
    <col min="8459" max="8459" width="9.140625" style="5"/>
    <col min="8460" max="8460" width="19" style="5" customWidth="1"/>
    <col min="8461" max="8706" width="9.140625" style="5"/>
    <col min="8707" max="8707" width="2" style="5" customWidth="1"/>
    <col min="8708" max="8708" width="7.5703125" style="5" customWidth="1"/>
    <col min="8709" max="8709" width="2.42578125" style="5" customWidth="1"/>
    <col min="8710" max="8710" width="27.140625" style="5" customWidth="1"/>
    <col min="8711" max="8711" width="8" style="5" customWidth="1"/>
    <col min="8712" max="8712" width="8.7109375" style="5" customWidth="1"/>
    <col min="8713" max="8713" width="17.5703125" style="5" customWidth="1"/>
    <col min="8714" max="8714" width="20.85546875" style="5" customWidth="1"/>
    <col min="8715" max="8715" width="9.140625" style="5"/>
    <col min="8716" max="8716" width="19" style="5" customWidth="1"/>
    <col min="8717" max="8962" width="9.140625" style="5"/>
    <col min="8963" max="8963" width="2" style="5" customWidth="1"/>
    <col min="8964" max="8964" width="7.5703125" style="5" customWidth="1"/>
    <col min="8965" max="8965" width="2.42578125" style="5" customWidth="1"/>
    <col min="8966" max="8966" width="27.140625" style="5" customWidth="1"/>
    <col min="8967" max="8967" width="8" style="5" customWidth="1"/>
    <col min="8968" max="8968" width="8.7109375" style="5" customWidth="1"/>
    <col min="8969" max="8969" width="17.5703125" style="5" customWidth="1"/>
    <col min="8970" max="8970" width="20.85546875" style="5" customWidth="1"/>
    <col min="8971" max="8971" width="9.140625" style="5"/>
    <col min="8972" max="8972" width="19" style="5" customWidth="1"/>
    <col min="8973" max="9218" width="9.140625" style="5"/>
    <col min="9219" max="9219" width="2" style="5" customWidth="1"/>
    <col min="9220" max="9220" width="7.5703125" style="5" customWidth="1"/>
    <col min="9221" max="9221" width="2.42578125" style="5" customWidth="1"/>
    <col min="9222" max="9222" width="27.140625" style="5" customWidth="1"/>
    <col min="9223" max="9223" width="8" style="5" customWidth="1"/>
    <col min="9224" max="9224" width="8.7109375" style="5" customWidth="1"/>
    <col min="9225" max="9225" width="17.5703125" style="5" customWidth="1"/>
    <col min="9226" max="9226" width="20.85546875" style="5" customWidth="1"/>
    <col min="9227" max="9227" width="9.140625" style="5"/>
    <col min="9228" max="9228" width="19" style="5" customWidth="1"/>
    <col min="9229" max="9474" width="9.140625" style="5"/>
    <col min="9475" max="9475" width="2" style="5" customWidth="1"/>
    <col min="9476" max="9476" width="7.5703125" style="5" customWidth="1"/>
    <col min="9477" max="9477" width="2.42578125" style="5" customWidth="1"/>
    <col min="9478" max="9478" width="27.140625" style="5" customWidth="1"/>
    <col min="9479" max="9479" width="8" style="5" customWidth="1"/>
    <col min="9480" max="9480" width="8.7109375" style="5" customWidth="1"/>
    <col min="9481" max="9481" width="17.5703125" style="5" customWidth="1"/>
    <col min="9482" max="9482" width="20.85546875" style="5" customWidth="1"/>
    <col min="9483" max="9483" width="9.140625" style="5"/>
    <col min="9484" max="9484" width="19" style="5" customWidth="1"/>
    <col min="9485" max="9730" width="9.140625" style="5"/>
    <col min="9731" max="9731" width="2" style="5" customWidth="1"/>
    <col min="9732" max="9732" width="7.5703125" style="5" customWidth="1"/>
    <col min="9733" max="9733" width="2.42578125" style="5" customWidth="1"/>
    <col min="9734" max="9734" width="27.140625" style="5" customWidth="1"/>
    <col min="9735" max="9735" width="8" style="5" customWidth="1"/>
    <col min="9736" max="9736" width="8.7109375" style="5" customWidth="1"/>
    <col min="9737" max="9737" width="17.5703125" style="5" customWidth="1"/>
    <col min="9738" max="9738" width="20.85546875" style="5" customWidth="1"/>
    <col min="9739" max="9739" width="9.140625" style="5"/>
    <col min="9740" max="9740" width="19" style="5" customWidth="1"/>
    <col min="9741" max="9986" width="9.140625" style="5"/>
    <col min="9987" max="9987" width="2" style="5" customWidth="1"/>
    <col min="9988" max="9988" width="7.5703125" style="5" customWidth="1"/>
    <col min="9989" max="9989" width="2.42578125" style="5" customWidth="1"/>
    <col min="9990" max="9990" width="27.140625" style="5" customWidth="1"/>
    <col min="9991" max="9991" width="8" style="5" customWidth="1"/>
    <col min="9992" max="9992" width="8.7109375" style="5" customWidth="1"/>
    <col min="9993" max="9993" width="17.5703125" style="5" customWidth="1"/>
    <col min="9994" max="9994" width="20.85546875" style="5" customWidth="1"/>
    <col min="9995" max="9995" width="9.140625" style="5"/>
    <col min="9996" max="9996" width="19" style="5" customWidth="1"/>
    <col min="9997" max="10242" width="9.140625" style="5"/>
    <col min="10243" max="10243" width="2" style="5" customWidth="1"/>
    <col min="10244" max="10244" width="7.5703125" style="5" customWidth="1"/>
    <col min="10245" max="10245" width="2.42578125" style="5" customWidth="1"/>
    <col min="10246" max="10246" width="27.140625" style="5" customWidth="1"/>
    <col min="10247" max="10247" width="8" style="5" customWidth="1"/>
    <col min="10248" max="10248" width="8.7109375" style="5" customWidth="1"/>
    <col min="10249" max="10249" width="17.5703125" style="5" customWidth="1"/>
    <col min="10250" max="10250" width="20.85546875" style="5" customWidth="1"/>
    <col min="10251" max="10251" width="9.140625" style="5"/>
    <col min="10252" max="10252" width="19" style="5" customWidth="1"/>
    <col min="10253" max="10498" width="9.140625" style="5"/>
    <col min="10499" max="10499" width="2" style="5" customWidth="1"/>
    <col min="10500" max="10500" width="7.5703125" style="5" customWidth="1"/>
    <col min="10501" max="10501" width="2.42578125" style="5" customWidth="1"/>
    <col min="10502" max="10502" width="27.140625" style="5" customWidth="1"/>
    <col min="10503" max="10503" width="8" style="5" customWidth="1"/>
    <col min="10504" max="10504" width="8.7109375" style="5" customWidth="1"/>
    <col min="10505" max="10505" width="17.5703125" style="5" customWidth="1"/>
    <col min="10506" max="10506" width="20.85546875" style="5" customWidth="1"/>
    <col min="10507" max="10507" width="9.140625" style="5"/>
    <col min="10508" max="10508" width="19" style="5" customWidth="1"/>
    <col min="10509" max="10754" width="9.140625" style="5"/>
    <col min="10755" max="10755" width="2" style="5" customWidth="1"/>
    <col min="10756" max="10756" width="7.5703125" style="5" customWidth="1"/>
    <col min="10757" max="10757" width="2.42578125" style="5" customWidth="1"/>
    <col min="10758" max="10758" width="27.140625" style="5" customWidth="1"/>
    <col min="10759" max="10759" width="8" style="5" customWidth="1"/>
    <col min="10760" max="10760" width="8.7109375" style="5" customWidth="1"/>
    <col min="10761" max="10761" width="17.5703125" style="5" customWidth="1"/>
    <col min="10762" max="10762" width="20.85546875" style="5" customWidth="1"/>
    <col min="10763" max="10763" width="9.140625" style="5"/>
    <col min="10764" max="10764" width="19" style="5" customWidth="1"/>
    <col min="10765" max="11010" width="9.140625" style="5"/>
    <col min="11011" max="11011" width="2" style="5" customWidth="1"/>
    <col min="11012" max="11012" width="7.5703125" style="5" customWidth="1"/>
    <col min="11013" max="11013" width="2.42578125" style="5" customWidth="1"/>
    <col min="11014" max="11014" width="27.140625" style="5" customWidth="1"/>
    <col min="11015" max="11015" width="8" style="5" customWidth="1"/>
    <col min="11016" max="11016" width="8.7109375" style="5" customWidth="1"/>
    <col min="11017" max="11017" width="17.5703125" style="5" customWidth="1"/>
    <col min="11018" max="11018" width="20.85546875" style="5" customWidth="1"/>
    <col min="11019" max="11019" width="9.140625" style="5"/>
    <col min="11020" max="11020" width="19" style="5" customWidth="1"/>
    <col min="11021" max="11266" width="9.140625" style="5"/>
    <col min="11267" max="11267" width="2" style="5" customWidth="1"/>
    <col min="11268" max="11268" width="7.5703125" style="5" customWidth="1"/>
    <col min="11269" max="11269" width="2.42578125" style="5" customWidth="1"/>
    <col min="11270" max="11270" width="27.140625" style="5" customWidth="1"/>
    <col min="11271" max="11271" width="8" style="5" customWidth="1"/>
    <col min="11272" max="11272" width="8.7109375" style="5" customWidth="1"/>
    <col min="11273" max="11273" width="17.5703125" style="5" customWidth="1"/>
    <col min="11274" max="11274" width="20.85546875" style="5" customWidth="1"/>
    <col min="11275" max="11275" width="9.140625" style="5"/>
    <col min="11276" max="11276" width="19" style="5" customWidth="1"/>
    <col min="11277" max="11522" width="9.140625" style="5"/>
    <col min="11523" max="11523" width="2" style="5" customWidth="1"/>
    <col min="11524" max="11524" width="7.5703125" style="5" customWidth="1"/>
    <col min="11525" max="11525" width="2.42578125" style="5" customWidth="1"/>
    <col min="11526" max="11526" width="27.140625" style="5" customWidth="1"/>
    <col min="11527" max="11527" width="8" style="5" customWidth="1"/>
    <col min="11528" max="11528" width="8.7109375" style="5" customWidth="1"/>
    <col min="11529" max="11529" width="17.5703125" style="5" customWidth="1"/>
    <col min="11530" max="11530" width="20.85546875" style="5" customWidth="1"/>
    <col min="11531" max="11531" width="9.140625" style="5"/>
    <col min="11532" max="11532" width="19" style="5" customWidth="1"/>
    <col min="11533" max="11778" width="9.140625" style="5"/>
    <col min="11779" max="11779" width="2" style="5" customWidth="1"/>
    <col min="11780" max="11780" width="7.5703125" style="5" customWidth="1"/>
    <col min="11781" max="11781" width="2.42578125" style="5" customWidth="1"/>
    <col min="11782" max="11782" width="27.140625" style="5" customWidth="1"/>
    <col min="11783" max="11783" width="8" style="5" customWidth="1"/>
    <col min="11784" max="11784" width="8.7109375" style="5" customWidth="1"/>
    <col min="11785" max="11785" width="17.5703125" style="5" customWidth="1"/>
    <col min="11786" max="11786" width="20.85546875" style="5" customWidth="1"/>
    <col min="11787" max="11787" width="9.140625" style="5"/>
    <col min="11788" max="11788" width="19" style="5" customWidth="1"/>
    <col min="11789" max="12034" width="9.140625" style="5"/>
    <col min="12035" max="12035" width="2" style="5" customWidth="1"/>
    <col min="12036" max="12036" width="7.5703125" style="5" customWidth="1"/>
    <col min="12037" max="12037" width="2.42578125" style="5" customWidth="1"/>
    <col min="12038" max="12038" width="27.140625" style="5" customWidth="1"/>
    <col min="12039" max="12039" width="8" style="5" customWidth="1"/>
    <col min="12040" max="12040" width="8.7109375" style="5" customWidth="1"/>
    <col min="12041" max="12041" width="17.5703125" style="5" customWidth="1"/>
    <col min="12042" max="12042" width="20.85546875" style="5" customWidth="1"/>
    <col min="12043" max="12043" width="9.140625" style="5"/>
    <col min="12044" max="12044" width="19" style="5" customWidth="1"/>
    <col min="12045" max="12290" width="9.140625" style="5"/>
    <col min="12291" max="12291" width="2" style="5" customWidth="1"/>
    <col min="12292" max="12292" width="7.5703125" style="5" customWidth="1"/>
    <col min="12293" max="12293" width="2.42578125" style="5" customWidth="1"/>
    <col min="12294" max="12294" width="27.140625" style="5" customWidth="1"/>
    <col min="12295" max="12295" width="8" style="5" customWidth="1"/>
    <col min="12296" max="12296" width="8.7109375" style="5" customWidth="1"/>
    <col min="12297" max="12297" width="17.5703125" style="5" customWidth="1"/>
    <col min="12298" max="12298" width="20.85546875" style="5" customWidth="1"/>
    <col min="12299" max="12299" width="9.140625" style="5"/>
    <col min="12300" max="12300" width="19" style="5" customWidth="1"/>
    <col min="12301" max="12546" width="9.140625" style="5"/>
    <col min="12547" max="12547" width="2" style="5" customWidth="1"/>
    <col min="12548" max="12548" width="7.5703125" style="5" customWidth="1"/>
    <col min="12549" max="12549" width="2.42578125" style="5" customWidth="1"/>
    <col min="12550" max="12550" width="27.140625" style="5" customWidth="1"/>
    <col min="12551" max="12551" width="8" style="5" customWidth="1"/>
    <col min="12552" max="12552" width="8.7109375" style="5" customWidth="1"/>
    <col min="12553" max="12553" width="17.5703125" style="5" customWidth="1"/>
    <col min="12554" max="12554" width="20.85546875" style="5" customWidth="1"/>
    <col min="12555" max="12555" width="9.140625" style="5"/>
    <col min="12556" max="12556" width="19" style="5" customWidth="1"/>
    <col min="12557" max="12802" width="9.140625" style="5"/>
    <col min="12803" max="12803" width="2" style="5" customWidth="1"/>
    <col min="12804" max="12804" width="7.5703125" style="5" customWidth="1"/>
    <col min="12805" max="12805" width="2.42578125" style="5" customWidth="1"/>
    <col min="12806" max="12806" width="27.140625" style="5" customWidth="1"/>
    <col min="12807" max="12807" width="8" style="5" customWidth="1"/>
    <col min="12808" max="12808" width="8.7109375" style="5" customWidth="1"/>
    <col min="12809" max="12809" width="17.5703125" style="5" customWidth="1"/>
    <col min="12810" max="12810" width="20.85546875" style="5" customWidth="1"/>
    <col min="12811" max="12811" width="9.140625" style="5"/>
    <col min="12812" max="12812" width="19" style="5" customWidth="1"/>
    <col min="12813" max="13058" width="9.140625" style="5"/>
    <col min="13059" max="13059" width="2" style="5" customWidth="1"/>
    <col min="13060" max="13060" width="7.5703125" style="5" customWidth="1"/>
    <col min="13061" max="13061" width="2.42578125" style="5" customWidth="1"/>
    <col min="13062" max="13062" width="27.140625" style="5" customWidth="1"/>
    <col min="13063" max="13063" width="8" style="5" customWidth="1"/>
    <col min="13064" max="13064" width="8.7109375" style="5" customWidth="1"/>
    <col min="13065" max="13065" width="17.5703125" style="5" customWidth="1"/>
    <col min="13066" max="13066" width="20.85546875" style="5" customWidth="1"/>
    <col min="13067" max="13067" width="9.140625" style="5"/>
    <col min="13068" max="13068" width="19" style="5" customWidth="1"/>
    <col min="13069" max="13314" width="9.140625" style="5"/>
    <col min="13315" max="13315" width="2" style="5" customWidth="1"/>
    <col min="13316" max="13316" width="7.5703125" style="5" customWidth="1"/>
    <col min="13317" max="13317" width="2.42578125" style="5" customWidth="1"/>
    <col min="13318" max="13318" width="27.140625" style="5" customWidth="1"/>
    <col min="13319" max="13319" width="8" style="5" customWidth="1"/>
    <col min="13320" max="13320" width="8.7109375" style="5" customWidth="1"/>
    <col min="13321" max="13321" width="17.5703125" style="5" customWidth="1"/>
    <col min="13322" max="13322" width="20.85546875" style="5" customWidth="1"/>
    <col min="13323" max="13323" width="9.140625" style="5"/>
    <col min="13324" max="13324" width="19" style="5" customWidth="1"/>
    <col min="13325" max="13570" width="9.140625" style="5"/>
    <col min="13571" max="13571" width="2" style="5" customWidth="1"/>
    <col min="13572" max="13572" width="7.5703125" style="5" customWidth="1"/>
    <col min="13573" max="13573" width="2.42578125" style="5" customWidth="1"/>
    <col min="13574" max="13574" width="27.140625" style="5" customWidth="1"/>
    <col min="13575" max="13575" width="8" style="5" customWidth="1"/>
    <col min="13576" max="13576" width="8.7109375" style="5" customWidth="1"/>
    <col min="13577" max="13577" width="17.5703125" style="5" customWidth="1"/>
    <col min="13578" max="13578" width="20.85546875" style="5" customWidth="1"/>
    <col min="13579" max="13579" width="9.140625" style="5"/>
    <col min="13580" max="13580" width="19" style="5" customWidth="1"/>
    <col min="13581" max="13826" width="9.140625" style="5"/>
    <col min="13827" max="13827" width="2" style="5" customWidth="1"/>
    <col min="13828" max="13828" width="7.5703125" style="5" customWidth="1"/>
    <col min="13829" max="13829" width="2.42578125" style="5" customWidth="1"/>
    <col min="13830" max="13830" width="27.140625" style="5" customWidth="1"/>
    <col min="13831" max="13831" width="8" style="5" customWidth="1"/>
    <col min="13832" max="13832" width="8.7109375" style="5" customWidth="1"/>
    <col min="13833" max="13833" width="17.5703125" style="5" customWidth="1"/>
    <col min="13834" max="13834" width="20.85546875" style="5" customWidth="1"/>
    <col min="13835" max="13835" width="9.140625" style="5"/>
    <col min="13836" max="13836" width="19" style="5" customWidth="1"/>
    <col min="13837" max="14082" width="9.140625" style="5"/>
    <col min="14083" max="14083" width="2" style="5" customWidth="1"/>
    <col min="14084" max="14084" width="7.5703125" style="5" customWidth="1"/>
    <col min="14085" max="14085" width="2.42578125" style="5" customWidth="1"/>
    <col min="14086" max="14086" width="27.140625" style="5" customWidth="1"/>
    <col min="14087" max="14087" width="8" style="5" customWidth="1"/>
    <col min="14088" max="14088" width="8.7109375" style="5" customWidth="1"/>
    <col min="14089" max="14089" width="17.5703125" style="5" customWidth="1"/>
    <col min="14090" max="14090" width="20.85546875" style="5" customWidth="1"/>
    <col min="14091" max="14091" width="9.140625" style="5"/>
    <col min="14092" max="14092" width="19" style="5" customWidth="1"/>
    <col min="14093" max="14338" width="9.140625" style="5"/>
    <col min="14339" max="14339" width="2" style="5" customWidth="1"/>
    <col min="14340" max="14340" width="7.5703125" style="5" customWidth="1"/>
    <col min="14341" max="14341" width="2.42578125" style="5" customWidth="1"/>
    <col min="14342" max="14342" width="27.140625" style="5" customWidth="1"/>
    <col min="14343" max="14343" width="8" style="5" customWidth="1"/>
    <col min="14344" max="14344" width="8.7109375" style="5" customWidth="1"/>
    <col min="14345" max="14345" width="17.5703125" style="5" customWidth="1"/>
    <col min="14346" max="14346" width="20.85546875" style="5" customWidth="1"/>
    <col min="14347" max="14347" width="9.140625" style="5"/>
    <col min="14348" max="14348" width="19" style="5" customWidth="1"/>
    <col min="14349" max="14594" width="9.140625" style="5"/>
    <col min="14595" max="14595" width="2" style="5" customWidth="1"/>
    <col min="14596" max="14596" width="7.5703125" style="5" customWidth="1"/>
    <col min="14597" max="14597" width="2.42578125" style="5" customWidth="1"/>
    <col min="14598" max="14598" width="27.140625" style="5" customWidth="1"/>
    <col min="14599" max="14599" width="8" style="5" customWidth="1"/>
    <col min="14600" max="14600" width="8.7109375" style="5" customWidth="1"/>
    <col min="14601" max="14601" width="17.5703125" style="5" customWidth="1"/>
    <col min="14602" max="14602" width="20.85546875" style="5" customWidth="1"/>
    <col min="14603" max="14603" width="9.140625" style="5"/>
    <col min="14604" max="14604" width="19" style="5" customWidth="1"/>
    <col min="14605" max="14850" width="9.140625" style="5"/>
    <col min="14851" max="14851" width="2" style="5" customWidth="1"/>
    <col min="14852" max="14852" width="7.5703125" style="5" customWidth="1"/>
    <col min="14853" max="14853" width="2.42578125" style="5" customWidth="1"/>
    <col min="14854" max="14854" width="27.140625" style="5" customWidth="1"/>
    <col min="14855" max="14855" width="8" style="5" customWidth="1"/>
    <col min="14856" max="14856" width="8.7109375" style="5" customWidth="1"/>
    <col min="14857" max="14857" width="17.5703125" style="5" customWidth="1"/>
    <col min="14858" max="14858" width="20.85546875" style="5" customWidth="1"/>
    <col min="14859" max="14859" width="9.140625" style="5"/>
    <col min="14860" max="14860" width="19" style="5" customWidth="1"/>
    <col min="14861" max="15106" width="9.140625" style="5"/>
    <col min="15107" max="15107" width="2" style="5" customWidth="1"/>
    <col min="15108" max="15108" width="7.5703125" style="5" customWidth="1"/>
    <col min="15109" max="15109" width="2.42578125" style="5" customWidth="1"/>
    <col min="15110" max="15110" width="27.140625" style="5" customWidth="1"/>
    <col min="15111" max="15111" width="8" style="5" customWidth="1"/>
    <col min="15112" max="15112" width="8.7109375" style="5" customWidth="1"/>
    <col min="15113" max="15113" width="17.5703125" style="5" customWidth="1"/>
    <col min="15114" max="15114" width="20.85546875" style="5" customWidth="1"/>
    <col min="15115" max="15115" width="9.140625" style="5"/>
    <col min="15116" max="15116" width="19" style="5" customWidth="1"/>
    <col min="15117" max="15362" width="9.140625" style="5"/>
    <col min="15363" max="15363" width="2" style="5" customWidth="1"/>
    <col min="15364" max="15364" width="7.5703125" style="5" customWidth="1"/>
    <col min="15365" max="15365" width="2.42578125" style="5" customWidth="1"/>
    <col min="15366" max="15366" width="27.140625" style="5" customWidth="1"/>
    <col min="15367" max="15367" width="8" style="5" customWidth="1"/>
    <col min="15368" max="15368" width="8.7109375" style="5" customWidth="1"/>
    <col min="15369" max="15369" width="17.5703125" style="5" customWidth="1"/>
    <col min="15370" max="15370" width="20.85546875" style="5" customWidth="1"/>
    <col min="15371" max="15371" width="9.140625" style="5"/>
    <col min="15372" max="15372" width="19" style="5" customWidth="1"/>
    <col min="15373" max="15618" width="9.140625" style="5"/>
    <col min="15619" max="15619" width="2" style="5" customWidth="1"/>
    <col min="15620" max="15620" width="7.5703125" style="5" customWidth="1"/>
    <col min="15621" max="15621" width="2.42578125" style="5" customWidth="1"/>
    <col min="15622" max="15622" width="27.140625" style="5" customWidth="1"/>
    <col min="15623" max="15623" width="8" style="5" customWidth="1"/>
    <col min="15624" max="15624" width="8.7109375" style="5" customWidth="1"/>
    <col min="15625" max="15625" width="17.5703125" style="5" customWidth="1"/>
    <col min="15626" max="15626" width="20.85546875" style="5" customWidth="1"/>
    <col min="15627" max="15627" width="9.140625" style="5"/>
    <col min="15628" max="15628" width="19" style="5" customWidth="1"/>
    <col min="15629" max="15874" width="9.140625" style="5"/>
    <col min="15875" max="15875" width="2" style="5" customWidth="1"/>
    <col min="15876" max="15876" width="7.5703125" style="5" customWidth="1"/>
    <col min="15877" max="15877" width="2.42578125" style="5" customWidth="1"/>
    <col min="15878" max="15878" width="27.140625" style="5" customWidth="1"/>
    <col min="15879" max="15879" width="8" style="5" customWidth="1"/>
    <col min="15880" max="15880" width="8.7109375" style="5" customWidth="1"/>
    <col min="15881" max="15881" width="17.5703125" style="5" customWidth="1"/>
    <col min="15882" max="15882" width="20.85546875" style="5" customWidth="1"/>
    <col min="15883" max="15883" width="9.140625" style="5"/>
    <col min="15884" max="15884" width="19" style="5" customWidth="1"/>
    <col min="15885" max="16130" width="9.140625" style="5"/>
    <col min="16131" max="16131" width="2" style="5" customWidth="1"/>
    <col min="16132" max="16132" width="7.5703125" style="5" customWidth="1"/>
    <col min="16133" max="16133" width="2.42578125" style="5" customWidth="1"/>
    <col min="16134" max="16134" width="27.140625" style="5" customWidth="1"/>
    <col min="16135" max="16135" width="8" style="5" customWidth="1"/>
    <col min="16136" max="16136" width="8.7109375" style="5" customWidth="1"/>
    <col min="16137" max="16137" width="17.5703125" style="5" customWidth="1"/>
    <col min="16138" max="16138" width="20.85546875" style="5" customWidth="1"/>
    <col min="16139" max="16139" width="9.140625" style="5"/>
    <col min="16140" max="16140" width="19" style="5" customWidth="1"/>
    <col min="16141" max="16384" width="9.140625" style="5"/>
  </cols>
  <sheetData>
    <row r="1" spans="2:15">
      <c r="D1" s="181"/>
      <c r="E1" s="181"/>
    </row>
    <row r="2" spans="2:15" ht="15.75" customHeight="1">
      <c r="B2" s="351" t="s">
        <v>322</v>
      </c>
      <c r="C2" s="352"/>
      <c r="D2" s="352"/>
      <c r="E2" s="352"/>
      <c r="F2" s="352"/>
      <c r="G2" s="352"/>
      <c r="H2" s="353"/>
      <c r="I2" s="182"/>
    </row>
    <row r="3" spans="2:15" ht="13.5" customHeight="1">
      <c r="B3" s="354"/>
      <c r="C3" s="182"/>
      <c r="D3" s="355"/>
      <c r="E3" s="355"/>
      <c r="F3" s="182"/>
      <c r="G3" s="182"/>
      <c r="H3" s="356"/>
      <c r="I3" s="182"/>
    </row>
    <row r="4" spans="2:15">
      <c r="B4" s="188" t="s">
        <v>157</v>
      </c>
      <c r="C4" s="189"/>
      <c r="D4" s="190" t="s">
        <v>211</v>
      </c>
      <c r="E4" s="191" t="s">
        <v>212</v>
      </c>
      <c r="F4" s="192" t="s">
        <v>213</v>
      </c>
      <c r="G4" s="191" t="s">
        <v>214</v>
      </c>
      <c r="H4" s="193" t="s">
        <v>215</v>
      </c>
      <c r="I4" s="1165"/>
    </row>
    <row r="5" spans="2:15">
      <c r="B5" s="194"/>
      <c r="C5" s="195"/>
      <c r="D5" s="196"/>
      <c r="E5" s="197"/>
      <c r="F5" s="198"/>
      <c r="G5" s="197" t="s">
        <v>216</v>
      </c>
      <c r="H5" s="58" t="s">
        <v>216</v>
      </c>
      <c r="I5" s="1165"/>
    </row>
    <row r="6" spans="2:15">
      <c r="B6" s="239" t="s">
        <v>323</v>
      </c>
      <c r="C6" s="195" t="s">
        <v>324</v>
      </c>
      <c r="D6" s="357"/>
      <c r="E6" s="358"/>
      <c r="F6" s="359"/>
      <c r="G6" s="360"/>
      <c r="H6" s="361"/>
      <c r="I6" s="1169"/>
    </row>
    <row r="7" spans="2:15">
      <c r="B7" s="258"/>
      <c r="C7" s="66" t="s">
        <v>28</v>
      </c>
      <c r="D7" s="332" t="s">
        <v>325</v>
      </c>
      <c r="E7" s="277" t="s">
        <v>145</v>
      </c>
      <c r="F7" s="362">
        <v>1.05</v>
      </c>
      <c r="G7" s="363">
        <f>BAHAN!$E$138</f>
        <v>8665.8700000000008</v>
      </c>
      <c r="H7" s="364">
        <f t="shared" ref="H7:H12" si="0">F7*G7</f>
        <v>9099.1635000000006</v>
      </c>
      <c r="I7" s="1169"/>
    </row>
    <row r="8" spans="2:15">
      <c r="B8" s="267"/>
      <c r="C8" s="72" t="s">
        <v>28</v>
      </c>
      <c r="D8" s="279" t="s">
        <v>326</v>
      </c>
      <c r="E8" s="318" t="s">
        <v>145</v>
      </c>
      <c r="F8" s="365">
        <v>1.4999999999999999E-2</v>
      </c>
      <c r="G8" s="366">
        <f>BAHAN!$E$152</f>
        <v>17781.5</v>
      </c>
      <c r="H8" s="367">
        <f t="shared" si="0"/>
        <v>266.72249999999997</v>
      </c>
      <c r="I8" s="1169">
        <f>SUM(H7:H8)</f>
        <v>9365.8860000000004</v>
      </c>
    </row>
    <row r="9" spans="2:15">
      <c r="B9" s="267"/>
      <c r="C9" s="368" t="s">
        <v>28</v>
      </c>
      <c r="D9" s="279" t="s">
        <v>133</v>
      </c>
      <c r="E9" s="73" t="s">
        <v>132</v>
      </c>
      <c r="F9" s="365">
        <v>7.0000000000000001E-3</v>
      </c>
      <c r="G9" s="366">
        <f>UPAH!E26</f>
        <v>136000</v>
      </c>
      <c r="H9" s="367">
        <f t="shared" si="0"/>
        <v>952</v>
      </c>
      <c r="I9" s="1169"/>
    </row>
    <row r="10" spans="2:15">
      <c r="B10" s="267"/>
      <c r="C10" s="368" t="s">
        <v>28</v>
      </c>
      <c r="D10" s="279" t="s">
        <v>302</v>
      </c>
      <c r="E10" s="280" t="s">
        <v>132</v>
      </c>
      <c r="F10" s="365">
        <v>7.0000000000000001E-3</v>
      </c>
      <c r="G10" s="366">
        <f>UPAH!E18</f>
        <v>160000</v>
      </c>
      <c r="H10" s="367">
        <f t="shared" si="0"/>
        <v>1120</v>
      </c>
      <c r="I10" s="1169"/>
    </row>
    <row r="11" spans="2:15">
      <c r="B11" s="71"/>
      <c r="C11" s="368" t="s">
        <v>28</v>
      </c>
      <c r="D11" s="279" t="s">
        <v>140</v>
      </c>
      <c r="E11" s="280" t="s">
        <v>132</v>
      </c>
      <c r="F11" s="365">
        <v>6.9999999999999999E-4</v>
      </c>
      <c r="G11" s="366">
        <f>UPAH!E12</f>
        <v>170000</v>
      </c>
      <c r="H11" s="367">
        <f t="shared" si="0"/>
        <v>119</v>
      </c>
      <c r="I11" s="1169"/>
    </row>
    <row r="12" spans="2:15">
      <c r="B12" s="369"/>
      <c r="C12" s="370" t="s">
        <v>28</v>
      </c>
      <c r="D12" s="371" t="s">
        <v>136</v>
      </c>
      <c r="E12" s="372" t="s">
        <v>132</v>
      </c>
      <c r="F12" s="373">
        <v>2.9999999999999997E-4</v>
      </c>
      <c r="G12" s="366">
        <f>UPAH!E9</f>
        <v>180000</v>
      </c>
      <c r="H12" s="367">
        <f t="shared" si="0"/>
        <v>53.999999999999993</v>
      </c>
      <c r="I12" s="1169">
        <f>SUM(H9:H12)</f>
        <v>2245</v>
      </c>
    </row>
    <row r="13" spans="2:15">
      <c r="B13" s="236"/>
      <c r="C13" s="237"/>
      <c r="D13" s="84" t="s">
        <v>228</v>
      </c>
      <c r="E13" s="238"/>
      <c r="F13" s="374"/>
      <c r="G13" s="375"/>
      <c r="H13" s="376">
        <f>SUM(H7:H12)</f>
        <v>11610.886</v>
      </c>
      <c r="I13" s="1169"/>
    </row>
    <row r="14" spans="2:15">
      <c r="B14" s="54"/>
      <c r="C14" s="377" t="s">
        <v>229</v>
      </c>
      <c r="D14" s="378"/>
      <c r="E14" s="378"/>
      <c r="F14" s="378"/>
      <c r="G14" s="379"/>
      <c r="H14" s="379">
        <f>ROUND(H13,0)</f>
        <v>11611</v>
      </c>
      <c r="I14" s="1164"/>
    </row>
    <row r="15" spans="2:15">
      <c r="B15" s="239" t="s">
        <v>327</v>
      </c>
      <c r="C15" s="195" t="s">
        <v>328</v>
      </c>
      <c r="D15" s="357"/>
      <c r="E15" s="358"/>
      <c r="F15" s="359"/>
      <c r="G15" s="360"/>
      <c r="H15" s="361"/>
      <c r="I15" s="1169"/>
    </row>
    <row r="16" spans="2:15">
      <c r="B16" s="258"/>
      <c r="C16" s="66" t="s">
        <v>28</v>
      </c>
      <c r="D16" s="332" t="s">
        <v>329</v>
      </c>
      <c r="E16" s="277" t="s">
        <v>240</v>
      </c>
      <c r="F16" s="362">
        <v>1.01</v>
      </c>
      <c r="G16" s="363">
        <f>BAHAN!$E$156</f>
        <v>54554.293944738398</v>
      </c>
      <c r="H16" s="364">
        <f>F16*G16</f>
        <v>55099.836884185781</v>
      </c>
      <c r="I16" s="1169"/>
      <c r="J16" s="1467">
        <f>BOQ!$Q$57</f>
        <v>0</v>
      </c>
      <c r="K16" s="1393">
        <f>J16*F16</f>
        <v>0</v>
      </c>
      <c r="L16" s="1402" t="s">
        <v>240</v>
      </c>
      <c r="M16" s="1467"/>
      <c r="N16" s="1467" t="str">
        <f>BOQ!P57</f>
        <v>wiremesh</v>
      </c>
      <c r="O16" s="1467">
        <f>BOQ!Q57</f>
        <v>0</v>
      </c>
    </row>
    <row r="17" spans="2:15">
      <c r="B17" s="267"/>
      <c r="C17" s="72" t="s">
        <v>28</v>
      </c>
      <c r="D17" s="279" t="s">
        <v>330</v>
      </c>
      <c r="E17" s="318" t="s">
        <v>145</v>
      </c>
      <c r="F17" s="365">
        <v>0.1</v>
      </c>
      <c r="G17" s="366">
        <f>BAHAN!$E$392</f>
        <v>700</v>
      </c>
      <c r="H17" s="367">
        <f>F17*G17</f>
        <v>70</v>
      </c>
      <c r="I17" s="1169">
        <f>SUM(H16:H17)</f>
        <v>55169.836884185781</v>
      </c>
      <c r="J17" s="1467">
        <f>J16</f>
        <v>0</v>
      </c>
      <c r="K17" s="1393">
        <f>J17*F17</f>
        <v>0</v>
      </c>
      <c r="L17" s="1402" t="s">
        <v>145</v>
      </c>
      <c r="O17" s="1467">
        <f>O16</f>
        <v>0</v>
      </c>
    </row>
    <row r="18" spans="2:15">
      <c r="B18" s="267"/>
      <c r="C18" s="368" t="s">
        <v>28</v>
      </c>
      <c r="D18" s="279" t="s">
        <v>133</v>
      </c>
      <c r="E18" s="73" t="s">
        <v>132</v>
      </c>
      <c r="F18" s="365">
        <v>0.1</v>
      </c>
      <c r="G18" s="366">
        <f>G9</f>
        <v>136000</v>
      </c>
      <c r="H18" s="367">
        <f>F18*G18</f>
        <v>13600</v>
      </c>
      <c r="I18" s="1169"/>
    </row>
    <row r="19" spans="2:15">
      <c r="B19" s="267"/>
      <c r="C19" s="368" t="s">
        <v>28</v>
      </c>
      <c r="D19" s="279" t="s">
        <v>302</v>
      </c>
      <c r="E19" s="280" t="s">
        <v>132</v>
      </c>
      <c r="F19" s="365">
        <v>7.4999999999999997E-2</v>
      </c>
      <c r="G19" s="366">
        <f>G10</f>
        <v>160000</v>
      </c>
      <c r="H19" s="367">
        <f>F19*G19</f>
        <v>12000</v>
      </c>
      <c r="I19" s="1169"/>
    </row>
    <row r="20" spans="2:15">
      <c r="B20" s="369"/>
      <c r="C20" s="370" t="s">
        <v>28</v>
      </c>
      <c r="D20" s="371" t="s">
        <v>136</v>
      </c>
      <c r="E20" s="372" t="s">
        <v>132</v>
      </c>
      <c r="F20" s="373">
        <v>0.01</v>
      </c>
      <c r="G20" s="366">
        <f>G12</f>
        <v>180000</v>
      </c>
      <c r="H20" s="367">
        <f>F20*G20</f>
        <v>1800</v>
      </c>
      <c r="I20" s="1169">
        <f>SUM(H18:H20)</f>
        <v>27400</v>
      </c>
    </row>
    <row r="21" spans="2:15">
      <c r="B21" s="236"/>
      <c r="C21" s="237"/>
      <c r="D21" s="84" t="s">
        <v>228</v>
      </c>
      <c r="E21" s="238"/>
      <c r="F21" s="374"/>
      <c r="G21" s="375"/>
      <c r="H21" s="376">
        <f>SUM(H16:H20)</f>
        <v>82569.836884185788</v>
      </c>
      <c r="I21" s="1169"/>
    </row>
    <row r="22" spans="2:15">
      <c r="B22" s="54"/>
      <c r="C22" s="377" t="s">
        <v>229</v>
      </c>
      <c r="D22" s="378"/>
      <c r="E22" s="378"/>
      <c r="F22" s="378"/>
      <c r="G22" s="379"/>
      <c r="H22" s="379">
        <f>ROUND(H21,0)</f>
        <v>82570</v>
      </c>
      <c r="I22" s="1164"/>
    </row>
    <row r="23" spans="2:15">
      <c r="B23" s="269" t="s">
        <v>331</v>
      </c>
      <c r="C23" s="380" t="s">
        <v>332</v>
      </c>
      <c r="D23" s="357"/>
      <c r="E23" s="358"/>
      <c r="F23" s="359"/>
      <c r="G23" s="360"/>
      <c r="H23" s="361"/>
      <c r="I23" s="1169"/>
    </row>
    <row r="24" spans="2:15">
      <c r="B24" s="267"/>
      <c r="C24" s="368" t="s">
        <v>28</v>
      </c>
      <c r="D24" s="332" t="s">
        <v>333</v>
      </c>
      <c r="E24" s="280" t="s">
        <v>143</v>
      </c>
      <c r="F24" s="365">
        <v>1.7999999999999999E-2</v>
      </c>
      <c r="G24" s="366">
        <f>BAHAN!$E$66</f>
        <v>2100000</v>
      </c>
      <c r="H24" s="381">
        <f>F24*G24</f>
        <v>37800</v>
      </c>
      <c r="I24" s="1169"/>
      <c r="J24" s="1467">
        <v>0</v>
      </c>
      <c r="K24" s="1403">
        <f>J24*F24</f>
        <v>0</v>
      </c>
      <c r="O24" s="1467">
        <v>0</v>
      </c>
    </row>
    <row r="25" spans="2:15">
      <c r="B25" s="267"/>
      <c r="C25" s="368" t="s">
        <v>28</v>
      </c>
      <c r="D25" s="279" t="s">
        <v>334</v>
      </c>
      <c r="E25" s="280" t="s">
        <v>151</v>
      </c>
      <c r="F25" s="365">
        <v>0.35</v>
      </c>
      <c r="G25" s="363">
        <f>BAHAN!$E$97</f>
        <v>114500</v>
      </c>
      <c r="H25" s="381">
        <f>F25*G25</f>
        <v>40075</v>
      </c>
      <c r="I25" s="1169"/>
      <c r="J25" s="1467">
        <v>0</v>
      </c>
      <c r="K25" s="1403">
        <f>J25*F25</f>
        <v>0</v>
      </c>
      <c r="O25" s="1467">
        <v>0</v>
      </c>
    </row>
    <row r="26" spans="2:15">
      <c r="B26" s="267"/>
      <c r="C26" s="368" t="s">
        <v>28</v>
      </c>
      <c r="D26" s="279" t="s">
        <v>146</v>
      </c>
      <c r="E26" s="318" t="s">
        <v>145</v>
      </c>
      <c r="F26" s="365">
        <v>0.3</v>
      </c>
      <c r="G26" s="366">
        <f>BAHAN!$E$209</f>
        <v>17500</v>
      </c>
      <c r="H26" s="364">
        <f t="shared" ref="H26:H31" si="1">F26*G26</f>
        <v>5250</v>
      </c>
      <c r="I26" s="1169"/>
      <c r="J26" s="1467">
        <v>0</v>
      </c>
      <c r="K26" s="1403">
        <f>J26*F26</f>
        <v>0</v>
      </c>
      <c r="O26" s="1467">
        <v>0</v>
      </c>
    </row>
    <row r="27" spans="2:15">
      <c r="B27" s="267"/>
      <c r="C27" s="368" t="s">
        <v>28</v>
      </c>
      <c r="D27" s="279" t="s">
        <v>335</v>
      </c>
      <c r="E27" s="280" t="s">
        <v>149</v>
      </c>
      <c r="F27" s="365">
        <v>0.1</v>
      </c>
      <c r="G27" s="366">
        <f>BAHAN!$E$390</f>
        <v>32875</v>
      </c>
      <c r="H27" s="364">
        <f t="shared" si="1"/>
        <v>3287.5</v>
      </c>
      <c r="I27" s="1628">
        <f>SUM(H24:H27)</f>
        <v>86412.5</v>
      </c>
      <c r="J27" s="1467">
        <v>0</v>
      </c>
      <c r="K27" s="1403">
        <f>J27*F27</f>
        <v>0</v>
      </c>
      <c r="O27" s="1467">
        <v>0</v>
      </c>
    </row>
    <row r="28" spans="2:15">
      <c r="B28" s="267"/>
      <c r="C28" s="368" t="s">
        <v>28</v>
      </c>
      <c r="D28" s="279" t="s">
        <v>133</v>
      </c>
      <c r="E28" s="73" t="s">
        <v>132</v>
      </c>
      <c r="F28" s="365">
        <v>0.3</v>
      </c>
      <c r="G28" s="366">
        <f>G9</f>
        <v>136000</v>
      </c>
      <c r="H28" s="364">
        <f t="shared" si="1"/>
        <v>40800</v>
      </c>
      <c r="I28" s="1169"/>
    </row>
    <row r="29" spans="2:15">
      <c r="B29" s="267"/>
      <c r="C29" s="368" t="s">
        <v>28</v>
      </c>
      <c r="D29" s="279" t="s">
        <v>139</v>
      </c>
      <c r="E29" s="280" t="s">
        <v>132</v>
      </c>
      <c r="F29" s="365">
        <v>0.26</v>
      </c>
      <c r="G29" s="366">
        <f>UPAH!E17</f>
        <v>160000</v>
      </c>
      <c r="H29" s="364">
        <f t="shared" si="1"/>
        <v>41600</v>
      </c>
      <c r="I29" s="1169"/>
    </row>
    <row r="30" spans="2:15">
      <c r="B30" s="267"/>
      <c r="C30" s="368" t="s">
        <v>28</v>
      </c>
      <c r="D30" s="279" t="s">
        <v>140</v>
      </c>
      <c r="E30" s="280" t="s">
        <v>132</v>
      </c>
      <c r="F30" s="365">
        <v>2.5999999999999999E-2</v>
      </c>
      <c r="G30" s="366">
        <f>UPAH!E11</f>
        <v>150000</v>
      </c>
      <c r="H30" s="364">
        <f t="shared" si="1"/>
        <v>3900</v>
      </c>
      <c r="I30" s="1169"/>
    </row>
    <row r="31" spans="2:15">
      <c r="B31" s="369"/>
      <c r="C31" s="382" t="s">
        <v>28</v>
      </c>
      <c r="D31" s="383" t="s">
        <v>136</v>
      </c>
      <c r="E31" s="384" t="s">
        <v>132</v>
      </c>
      <c r="F31" s="385">
        <v>5.0000000000000001E-3</v>
      </c>
      <c r="G31" s="366">
        <f>G12</f>
        <v>180000</v>
      </c>
      <c r="H31" s="364">
        <f t="shared" si="1"/>
        <v>900</v>
      </c>
      <c r="I31" s="1628">
        <f>SUM(H28:H31)</f>
        <v>87200</v>
      </c>
    </row>
    <row r="32" spans="2:15">
      <c r="B32" s="236"/>
      <c r="C32" s="237"/>
      <c r="D32" s="84" t="s">
        <v>228</v>
      </c>
      <c r="E32" s="238"/>
      <c r="F32" s="374"/>
      <c r="G32" s="375"/>
      <c r="H32" s="376">
        <f>SUM(H24:H31)</f>
        <v>173612.5</v>
      </c>
      <c r="I32" s="1169"/>
    </row>
    <row r="33" spans="2:15">
      <c r="B33" s="54"/>
      <c r="C33" s="55" t="s">
        <v>229</v>
      </c>
      <c r="D33" s="56"/>
      <c r="E33" s="56"/>
      <c r="F33" s="56"/>
      <c r="G33" s="57"/>
      <c r="H33" s="57">
        <f>ROUND(H32,0)</f>
        <v>173613</v>
      </c>
      <c r="I33" s="1164"/>
    </row>
    <row r="34" spans="2:15">
      <c r="B34" s="269" t="s">
        <v>336</v>
      </c>
      <c r="C34" s="380" t="s">
        <v>337</v>
      </c>
      <c r="D34" s="357"/>
      <c r="E34" s="358"/>
      <c r="F34" s="359"/>
      <c r="G34" s="360"/>
      <c r="H34" s="361"/>
      <c r="I34" s="1169"/>
    </row>
    <row r="35" spans="2:15">
      <c r="B35" s="267"/>
      <c r="C35" s="368" t="s">
        <v>28</v>
      </c>
      <c r="D35" s="332" t="s">
        <v>333</v>
      </c>
      <c r="E35" s="280" t="s">
        <v>143</v>
      </c>
      <c r="F35" s="365">
        <v>1.7999999999999999E-2</v>
      </c>
      <c r="G35" s="366">
        <f>G24</f>
        <v>2100000</v>
      </c>
      <c r="H35" s="381">
        <f>F35*G35</f>
        <v>37800</v>
      </c>
      <c r="I35" s="1169"/>
    </row>
    <row r="36" spans="2:15">
      <c r="B36" s="267"/>
      <c r="C36" s="368" t="s">
        <v>28</v>
      </c>
      <c r="D36" s="279" t="s">
        <v>334</v>
      </c>
      <c r="E36" s="280" t="s">
        <v>151</v>
      </c>
      <c r="F36" s="365">
        <v>0.35</v>
      </c>
      <c r="G36" s="363">
        <f>G25</f>
        <v>114500</v>
      </c>
      <c r="H36" s="381">
        <f>F36*G36</f>
        <v>40075</v>
      </c>
      <c r="I36" s="1169"/>
    </row>
    <row r="37" spans="2:15">
      <c r="B37" s="267"/>
      <c r="C37" s="368" t="s">
        <v>28</v>
      </c>
      <c r="D37" s="279" t="s">
        <v>146</v>
      </c>
      <c r="E37" s="318" t="s">
        <v>145</v>
      </c>
      <c r="F37" s="365">
        <v>0.3</v>
      </c>
      <c r="G37" s="363">
        <f t="shared" ref="G37:G42" si="2">G26</f>
        <v>17500</v>
      </c>
      <c r="H37" s="364">
        <f t="shared" ref="H37:H42" si="3">F37*G37</f>
        <v>5250</v>
      </c>
      <c r="I37" s="1169"/>
    </row>
    <row r="38" spans="2:15">
      <c r="B38" s="267"/>
      <c r="C38" s="368" t="s">
        <v>28</v>
      </c>
      <c r="D38" s="279" t="s">
        <v>335</v>
      </c>
      <c r="E38" s="280" t="s">
        <v>149</v>
      </c>
      <c r="F38" s="365">
        <v>0.1</v>
      </c>
      <c r="G38" s="363">
        <f t="shared" si="2"/>
        <v>32875</v>
      </c>
      <c r="H38" s="364">
        <f t="shared" si="3"/>
        <v>3287.5</v>
      </c>
      <c r="I38" s="1169">
        <f>SUM(H35:H38)</f>
        <v>86412.5</v>
      </c>
    </row>
    <row r="39" spans="2:15">
      <c r="B39" s="267"/>
      <c r="C39" s="368" t="s">
        <v>28</v>
      </c>
      <c r="D39" s="279" t="s">
        <v>133</v>
      </c>
      <c r="E39" s="73" t="s">
        <v>132</v>
      </c>
      <c r="F39" s="365">
        <v>0.3</v>
      </c>
      <c r="G39" s="363">
        <f t="shared" si="2"/>
        <v>136000</v>
      </c>
      <c r="H39" s="364">
        <f t="shared" si="3"/>
        <v>40800</v>
      </c>
      <c r="I39" s="1169"/>
    </row>
    <row r="40" spans="2:15">
      <c r="B40" s="267"/>
      <c r="C40" s="368" t="s">
        <v>28</v>
      </c>
      <c r="D40" s="279" t="s">
        <v>139</v>
      </c>
      <c r="E40" s="280" t="s">
        <v>132</v>
      </c>
      <c r="F40" s="365">
        <v>0.26</v>
      </c>
      <c r="G40" s="363">
        <f t="shared" si="2"/>
        <v>160000</v>
      </c>
      <c r="H40" s="364">
        <f t="shared" si="3"/>
        <v>41600</v>
      </c>
      <c r="I40" s="1169"/>
    </row>
    <row r="41" spans="2:15">
      <c r="B41" s="267"/>
      <c r="C41" s="368" t="s">
        <v>28</v>
      </c>
      <c r="D41" s="279" t="s">
        <v>140</v>
      </c>
      <c r="E41" s="280" t="s">
        <v>132</v>
      </c>
      <c r="F41" s="365">
        <v>2.5999999999999999E-2</v>
      </c>
      <c r="G41" s="363">
        <f t="shared" si="2"/>
        <v>150000</v>
      </c>
      <c r="H41" s="364">
        <f t="shared" si="3"/>
        <v>3900</v>
      </c>
      <c r="I41" s="1169"/>
    </row>
    <row r="42" spans="2:15">
      <c r="B42" s="369"/>
      <c r="C42" s="382" t="s">
        <v>28</v>
      </c>
      <c r="D42" s="383" t="s">
        <v>136</v>
      </c>
      <c r="E42" s="384" t="s">
        <v>132</v>
      </c>
      <c r="F42" s="385">
        <v>5.0000000000000001E-3</v>
      </c>
      <c r="G42" s="363">
        <f t="shared" si="2"/>
        <v>180000</v>
      </c>
      <c r="H42" s="364">
        <f t="shared" si="3"/>
        <v>900</v>
      </c>
      <c r="I42" s="1169">
        <f>SUM(H39:H42)</f>
        <v>87200</v>
      </c>
    </row>
    <row r="43" spans="2:15">
      <c r="B43" s="236"/>
      <c r="C43" s="237"/>
      <c r="D43" s="84" t="s">
        <v>228</v>
      </c>
      <c r="E43" s="238"/>
      <c r="F43" s="374"/>
      <c r="G43" s="375"/>
      <c r="H43" s="376">
        <f>SUM(H35:H42)</f>
        <v>173612.5</v>
      </c>
      <c r="I43" s="1169"/>
    </row>
    <row r="44" spans="2:15">
      <c r="B44" s="54"/>
      <c r="C44" s="377" t="s">
        <v>229</v>
      </c>
      <c r="D44" s="378"/>
      <c r="E44" s="378"/>
      <c r="F44" s="378"/>
      <c r="G44" s="379"/>
      <c r="H44" s="379">
        <f>ROUND(H43,0)</f>
        <v>173613</v>
      </c>
      <c r="I44" s="1164"/>
    </row>
    <row r="45" spans="2:15">
      <c r="B45" s="269" t="s">
        <v>338</v>
      </c>
      <c r="C45" s="380" t="s">
        <v>339</v>
      </c>
      <c r="D45" s="357"/>
      <c r="E45" s="358"/>
      <c r="F45" s="359"/>
      <c r="G45" s="360"/>
      <c r="H45" s="361"/>
      <c r="I45" s="1169"/>
    </row>
    <row r="46" spans="2:15">
      <c r="B46" s="267"/>
      <c r="C46" s="368" t="s">
        <v>28</v>
      </c>
      <c r="D46" s="332" t="s">
        <v>333</v>
      </c>
      <c r="E46" s="280" t="s">
        <v>143</v>
      </c>
      <c r="F46" s="365">
        <v>1.7999999999999999E-2</v>
      </c>
      <c r="G46" s="366">
        <f>G35</f>
        <v>2100000</v>
      </c>
      <c r="H46" s="381">
        <f>F46*G46</f>
        <v>37800</v>
      </c>
      <c r="I46" s="1169"/>
      <c r="J46" s="1467">
        <f>BOQ!$E$62</f>
        <v>405.6</v>
      </c>
      <c r="K46" s="1393">
        <f>J46*F46</f>
        <v>7.3007999999999997</v>
      </c>
      <c r="L46" s="1402" t="s">
        <v>143</v>
      </c>
      <c r="N46" s="1467" t="str">
        <f>BOQ!D62</f>
        <v xml:space="preserve">tripleks dengan kaso </v>
      </c>
      <c r="O46" s="1467">
        <f>BOQ!E62</f>
        <v>405.6</v>
      </c>
    </row>
    <row r="47" spans="2:15">
      <c r="B47" s="267"/>
      <c r="C47" s="368" t="s">
        <v>28</v>
      </c>
      <c r="D47" s="279" t="s">
        <v>334</v>
      </c>
      <c r="E47" s="280" t="s">
        <v>151</v>
      </c>
      <c r="F47" s="365">
        <v>0.35</v>
      </c>
      <c r="G47" s="366">
        <f t="shared" ref="G47:G53" si="4">G36</f>
        <v>114500</v>
      </c>
      <c r="H47" s="381">
        <f>F47*G47</f>
        <v>40075</v>
      </c>
      <c r="I47" s="1169"/>
      <c r="J47" s="1467">
        <f>J46</f>
        <v>405.6</v>
      </c>
      <c r="K47" s="1393">
        <f>J47*F47</f>
        <v>141.96</v>
      </c>
      <c r="L47" s="1402" t="s">
        <v>151</v>
      </c>
      <c r="O47" s="1467">
        <f>O46</f>
        <v>405.6</v>
      </c>
    </row>
    <row r="48" spans="2:15">
      <c r="B48" s="267"/>
      <c r="C48" s="368" t="s">
        <v>28</v>
      </c>
      <c r="D48" s="279" t="s">
        <v>146</v>
      </c>
      <c r="E48" s="318" t="s">
        <v>145</v>
      </c>
      <c r="F48" s="365">
        <v>0.3</v>
      </c>
      <c r="G48" s="366">
        <f t="shared" si="4"/>
        <v>17500</v>
      </c>
      <c r="H48" s="364">
        <f t="shared" ref="H48:H53" si="5">F48*G48</f>
        <v>5250</v>
      </c>
      <c r="I48" s="1169"/>
      <c r="J48" s="1467">
        <f>J47</f>
        <v>405.6</v>
      </c>
      <c r="K48" s="1393">
        <f>J48*F48</f>
        <v>121.68</v>
      </c>
      <c r="L48" s="1402" t="s">
        <v>145</v>
      </c>
      <c r="O48" s="1467">
        <f>O47</f>
        <v>405.6</v>
      </c>
    </row>
    <row r="49" spans="2:15">
      <c r="B49" s="267"/>
      <c r="C49" s="368" t="s">
        <v>28</v>
      </c>
      <c r="D49" s="279" t="s">
        <v>335</v>
      </c>
      <c r="E49" s="280" t="s">
        <v>149</v>
      </c>
      <c r="F49" s="365">
        <v>0.15</v>
      </c>
      <c r="G49" s="366">
        <f t="shared" si="4"/>
        <v>32875</v>
      </c>
      <c r="H49" s="364">
        <f t="shared" si="5"/>
        <v>4931.25</v>
      </c>
      <c r="I49" s="1169">
        <f>SUM(H46:H49)</f>
        <v>88056.25</v>
      </c>
      <c r="J49" s="1467">
        <f>J48</f>
        <v>405.6</v>
      </c>
      <c r="K49" s="1393">
        <f>J49*F49</f>
        <v>60.84</v>
      </c>
      <c r="L49" s="1402" t="s">
        <v>149</v>
      </c>
      <c r="O49" s="1467">
        <f>O48</f>
        <v>405.6</v>
      </c>
    </row>
    <row r="50" spans="2:15">
      <c r="B50" s="267"/>
      <c r="C50" s="368" t="s">
        <v>28</v>
      </c>
      <c r="D50" s="279" t="s">
        <v>133</v>
      </c>
      <c r="E50" s="73" t="s">
        <v>132</v>
      </c>
      <c r="F50" s="365">
        <f>F28</f>
        <v>0.3</v>
      </c>
      <c r="G50" s="366">
        <f t="shared" si="4"/>
        <v>136000</v>
      </c>
      <c r="H50" s="364">
        <f t="shared" si="5"/>
        <v>40800</v>
      </c>
      <c r="I50" s="1169"/>
    </row>
    <row r="51" spans="2:15">
      <c r="B51" s="267"/>
      <c r="C51" s="368" t="s">
        <v>28</v>
      </c>
      <c r="D51" s="279" t="s">
        <v>139</v>
      </c>
      <c r="E51" s="280" t="s">
        <v>132</v>
      </c>
      <c r="F51" s="365">
        <f>F29</f>
        <v>0.26</v>
      </c>
      <c r="G51" s="366">
        <f t="shared" si="4"/>
        <v>160000</v>
      </c>
      <c r="H51" s="364">
        <f t="shared" si="5"/>
        <v>41600</v>
      </c>
      <c r="I51" s="1169"/>
    </row>
    <row r="52" spans="2:15">
      <c r="B52" s="267"/>
      <c r="C52" s="368" t="s">
        <v>28</v>
      </c>
      <c r="D52" s="279" t="s">
        <v>140</v>
      </c>
      <c r="E52" s="280" t="s">
        <v>132</v>
      </c>
      <c r="F52" s="365">
        <f>F30</f>
        <v>2.5999999999999999E-2</v>
      </c>
      <c r="G52" s="366">
        <f t="shared" si="4"/>
        <v>150000</v>
      </c>
      <c r="H52" s="364">
        <f t="shared" si="5"/>
        <v>3900</v>
      </c>
      <c r="I52" s="1169"/>
    </row>
    <row r="53" spans="2:15">
      <c r="B53" s="386"/>
      <c r="C53" s="382" t="s">
        <v>28</v>
      </c>
      <c r="D53" s="383" t="s">
        <v>136</v>
      </c>
      <c r="E53" s="384" t="s">
        <v>132</v>
      </c>
      <c r="F53" s="365">
        <f>F31</f>
        <v>5.0000000000000001E-3</v>
      </c>
      <c r="G53" s="366">
        <f t="shared" si="4"/>
        <v>180000</v>
      </c>
      <c r="H53" s="381">
        <f t="shared" si="5"/>
        <v>900</v>
      </c>
      <c r="I53" s="1169">
        <f>SUM(H50:H53)</f>
        <v>87200</v>
      </c>
    </row>
    <row r="54" spans="2:15">
      <c r="B54" s="251"/>
      <c r="C54" s="252"/>
      <c r="D54" s="253" t="s">
        <v>228</v>
      </c>
      <c r="E54" s="254"/>
      <c r="F54" s="387"/>
      <c r="G54" s="388"/>
      <c r="H54" s="389">
        <f>SUM(H46:H53)</f>
        <v>175256.25</v>
      </c>
      <c r="I54" s="1169"/>
    </row>
    <row r="55" spans="2:15">
      <c r="B55" s="54"/>
      <c r="C55" s="377" t="s">
        <v>229</v>
      </c>
      <c r="D55" s="378"/>
      <c r="E55" s="378"/>
      <c r="F55" s="378"/>
      <c r="G55" s="379"/>
      <c r="H55" s="379">
        <f>ROUND(H54,0)</f>
        <v>175256</v>
      </c>
      <c r="I55" s="1164"/>
    </row>
    <row r="56" spans="2:15">
      <c r="B56" s="269" t="s">
        <v>340</v>
      </c>
      <c r="C56" s="380" t="s">
        <v>341</v>
      </c>
      <c r="D56" s="357"/>
      <c r="E56" s="358"/>
      <c r="F56" s="359"/>
      <c r="G56" s="360"/>
      <c r="H56" s="361"/>
      <c r="I56" s="1169"/>
    </row>
    <row r="57" spans="2:15">
      <c r="B57" s="258"/>
      <c r="C57" s="66" t="s">
        <v>28</v>
      </c>
      <c r="D57" s="332" t="s">
        <v>333</v>
      </c>
      <c r="E57" s="277" t="s">
        <v>143</v>
      </c>
      <c r="F57" s="362">
        <v>0.04</v>
      </c>
      <c r="G57" s="363">
        <f>G46</f>
        <v>2100000</v>
      </c>
      <c r="H57" s="381">
        <f t="shared" ref="H57:H65" si="6">F57*G57</f>
        <v>84000</v>
      </c>
      <c r="I57" s="1169"/>
      <c r="J57" s="1467">
        <f>BOQ!$Q$61</f>
        <v>0</v>
      </c>
      <c r="K57" s="1393">
        <f>J57*F57</f>
        <v>0</v>
      </c>
      <c r="L57" s="1402" t="s">
        <v>143</v>
      </c>
      <c r="N57" s="1467" t="str">
        <f>BOQ!P61</f>
        <v>bekisting kolom</v>
      </c>
      <c r="O57" s="1467">
        <f>BOQ!Q61</f>
        <v>0</v>
      </c>
    </row>
    <row r="58" spans="2:15">
      <c r="B58" s="267"/>
      <c r="C58" s="368" t="s">
        <v>28</v>
      </c>
      <c r="D58" s="279" t="s">
        <v>146</v>
      </c>
      <c r="E58" s="318" t="s">
        <v>145</v>
      </c>
      <c r="F58" s="365">
        <v>0.4</v>
      </c>
      <c r="G58" s="363">
        <f>G48</f>
        <v>17500</v>
      </c>
      <c r="H58" s="381">
        <f t="shared" si="6"/>
        <v>7000</v>
      </c>
      <c r="I58" s="1169"/>
      <c r="J58" s="1467">
        <f>J57</f>
        <v>0</v>
      </c>
      <c r="K58" s="1393">
        <f>J58*F58</f>
        <v>0</v>
      </c>
      <c r="L58" s="1402" t="s">
        <v>145</v>
      </c>
      <c r="O58" s="1467">
        <f>O57</f>
        <v>0</v>
      </c>
    </row>
    <row r="59" spans="2:15">
      <c r="B59" s="267"/>
      <c r="C59" s="368" t="s">
        <v>28</v>
      </c>
      <c r="D59" s="279" t="s">
        <v>335</v>
      </c>
      <c r="E59" s="280" t="s">
        <v>149</v>
      </c>
      <c r="F59" s="365">
        <v>0.15</v>
      </c>
      <c r="G59" s="363">
        <f>G49</f>
        <v>32875</v>
      </c>
      <c r="H59" s="381">
        <f t="shared" si="6"/>
        <v>4931.25</v>
      </c>
      <c r="I59" s="1169"/>
      <c r="J59" s="1467">
        <f>J58</f>
        <v>0</v>
      </c>
      <c r="K59" s="1393">
        <f>J59*F59</f>
        <v>0</v>
      </c>
      <c r="L59" s="1402" t="s">
        <v>149</v>
      </c>
      <c r="O59" s="1467">
        <f>O58</f>
        <v>0</v>
      </c>
    </row>
    <row r="60" spans="2:15">
      <c r="B60" s="267"/>
      <c r="C60" s="368" t="s">
        <v>28</v>
      </c>
      <c r="D60" s="279" t="s">
        <v>334</v>
      </c>
      <c r="E60" s="280" t="s">
        <v>151</v>
      </c>
      <c r="F60" s="365">
        <v>0.35</v>
      </c>
      <c r="G60" s="363">
        <f>G47</f>
        <v>114500</v>
      </c>
      <c r="H60" s="381">
        <f t="shared" si="6"/>
        <v>40075</v>
      </c>
      <c r="I60" s="1169"/>
      <c r="J60" s="1467">
        <f>J59</f>
        <v>0</v>
      </c>
      <c r="K60" s="1393">
        <f>J60*F60</f>
        <v>0</v>
      </c>
      <c r="L60" s="1402" t="s">
        <v>151</v>
      </c>
      <c r="O60" s="1467">
        <f>O59</f>
        <v>0</v>
      </c>
    </row>
    <row r="61" spans="2:15">
      <c r="B61" s="267"/>
      <c r="C61" s="368" t="s">
        <v>28</v>
      </c>
      <c r="D61" s="279" t="s">
        <v>342</v>
      </c>
      <c r="E61" s="280" t="s">
        <v>220</v>
      </c>
      <c r="F61" s="365">
        <v>2</v>
      </c>
      <c r="G61" s="363">
        <f>BAHAN!$E$78</f>
        <v>30000</v>
      </c>
      <c r="H61" s="381">
        <f t="shared" si="6"/>
        <v>60000</v>
      </c>
      <c r="I61" s="1169">
        <f>SUM(H57:H61)</f>
        <v>196006.25</v>
      </c>
      <c r="J61" s="1467">
        <f>J60</f>
        <v>0</v>
      </c>
      <c r="K61" s="1393">
        <f>J61*F61</f>
        <v>0</v>
      </c>
      <c r="L61" s="1402" t="s">
        <v>220</v>
      </c>
      <c r="O61" s="1467">
        <f>O60</f>
        <v>0</v>
      </c>
    </row>
    <row r="62" spans="2:15">
      <c r="B62" s="267"/>
      <c r="C62" s="368" t="s">
        <v>28</v>
      </c>
      <c r="D62" s="279" t="s">
        <v>133</v>
      </c>
      <c r="E62" s="73" t="s">
        <v>132</v>
      </c>
      <c r="F62" s="365">
        <v>0.32</v>
      </c>
      <c r="G62" s="363">
        <f>G50</f>
        <v>136000</v>
      </c>
      <c r="H62" s="381">
        <f t="shared" si="6"/>
        <v>43520</v>
      </c>
      <c r="I62" s="1169"/>
    </row>
    <row r="63" spans="2:15">
      <c r="B63" s="267"/>
      <c r="C63" s="368" t="s">
        <v>28</v>
      </c>
      <c r="D63" s="279" t="s">
        <v>139</v>
      </c>
      <c r="E63" s="280" t="s">
        <v>132</v>
      </c>
      <c r="F63" s="365">
        <v>0.33</v>
      </c>
      <c r="G63" s="363">
        <f>G51</f>
        <v>160000</v>
      </c>
      <c r="H63" s="381">
        <f t="shared" si="6"/>
        <v>52800</v>
      </c>
      <c r="I63" s="1169"/>
    </row>
    <row r="64" spans="2:15">
      <c r="B64" s="267"/>
      <c r="C64" s="368" t="s">
        <v>28</v>
      </c>
      <c r="D64" s="279" t="s">
        <v>140</v>
      </c>
      <c r="E64" s="280" t="s">
        <v>132</v>
      </c>
      <c r="F64" s="365">
        <v>3.3000000000000002E-2</v>
      </c>
      <c r="G64" s="363">
        <f>G52</f>
        <v>150000</v>
      </c>
      <c r="H64" s="381">
        <f t="shared" si="6"/>
        <v>4950</v>
      </c>
      <c r="I64" s="1169"/>
    </row>
    <row r="65" spans="2:15">
      <c r="B65" s="369"/>
      <c r="C65" s="382" t="s">
        <v>28</v>
      </c>
      <c r="D65" s="383" t="s">
        <v>136</v>
      </c>
      <c r="E65" s="384" t="s">
        <v>132</v>
      </c>
      <c r="F65" s="385">
        <v>6.0000000000000001E-3</v>
      </c>
      <c r="G65" s="363">
        <f>G53</f>
        <v>180000</v>
      </c>
      <c r="H65" s="381">
        <f t="shared" si="6"/>
        <v>1080</v>
      </c>
      <c r="I65" s="1169">
        <f>SUM(H62:H65)</f>
        <v>102350</v>
      </c>
    </row>
    <row r="66" spans="2:15">
      <c r="B66" s="236"/>
      <c r="C66" s="237"/>
      <c r="D66" s="84" t="s">
        <v>228</v>
      </c>
      <c r="E66" s="238"/>
      <c r="F66" s="374"/>
      <c r="G66" s="375"/>
      <c r="H66" s="376">
        <f>SUM(H57:H65)</f>
        <v>298356.25</v>
      </c>
      <c r="I66" s="1169"/>
    </row>
    <row r="67" spans="2:15">
      <c r="B67" s="54"/>
      <c r="C67" s="377" t="s">
        <v>229</v>
      </c>
      <c r="D67" s="378"/>
      <c r="E67" s="378"/>
      <c r="F67" s="378"/>
      <c r="G67" s="379"/>
      <c r="H67" s="379">
        <f>ROUND(H66,0)</f>
        <v>298356</v>
      </c>
      <c r="I67" s="1164"/>
    </row>
    <row r="68" spans="2:15">
      <c r="B68" s="269" t="s">
        <v>343</v>
      </c>
      <c r="C68" s="380" t="s">
        <v>344</v>
      </c>
      <c r="D68" s="357"/>
      <c r="E68" s="358"/>
      <c r="F68" s="359"/>
      <c r="G68" s="360"/>
      <c r="H68" s="361"/>
      <c r="I68" s="1169"/>
    </row>
    <row r="69" spans="2:15">
      <c r="B69" s="232"/>
      <c r="C69" s="66" t="s">
        <v>28</v>
      </c>
      <c r="D69" s="332" t="s">
        <v>345</v>
      </c>
      <c r="E69" s="277" t="s">
        <v>143</v>
      </c>
      <c r="F69" s="362">
        <v>0.04</v>
      </c>
      <c r="G69" s="363">
        <f>BAHAN!$E$66</f>
        <v>2100000</v>
      </c>
      <c r="H69" s="381">
        <f t="shared" ref="H69:H78" si="7">F69*G69</f>
        <v>84000</v>
      </c>
      <c r="I69" s="1169"/>
      <c r="J69" s="1467">
        <f>BOQ!$Q$59</f>
        <v>0</v>
      </c>
      <c r="K69" s="1393">
        <f t="shared" ref="K69:K74" si="8">J69*F69</f>
        <v>0</v>
      </c>
      <c r="L69" s="1402" t="s">
        <v>143</v>
      </c>
      <c r="M69" s="1467"/>
      <c r="N69" s="1467" t="str">
        <f>BOQ!P59</f>
        <v>bekisting balok</v>
      </c>
      <c r="O69" s="1467">
        <f>BOQ!Q59</f>
        <v>0</v>
      </c>
    </row>
    <row r="70" spans="2:15">
      <c r="B70" s="267"/>
      <c r="C70" s="368" t="s">
        <v>28</v>
      </c>
      <c r="D70" s="279" t="s">
        <v>146</v>
      </c>
      <c r="E70" s="318" t="s">
        <v>145</v>
      </c>
      <c r="F70" s="365">
        <v>0.4</v>
      </c>
      <c r="G70" s="366">
        <f>G58</f>
        <v>17500</v>
      </c>
      <c r="H70" s="381">
        <f t="shared" si="7"/>
        <v>7000</v>
      </c>
      <c r="I70" s="1169"/>
      <c r="J70" s="1467">
        <f>J69</f>
        <v>0</v>
      </c>
      <c r="K70" s="1393">
        <f t="shared" si="8"/>
        <v>0</v>
      </c>
      <c r="L70" s="1402" t="s">
        <v>145</v>
      </c>
      <c r="O70" s="1467">
        <f>O69</f>
        <v>0</v>
      </c>
    </row>
    <row r="71" spans="2:15">
      <c r="B71" s="267"/>
      <c r="C71" s="368" t="s">
        <v>28</v>
      </c>
      <c r="D71" s="279" t="s">
        <v>335</v>
      </c>
      <c r="E71" s="280" t="s">
        <v>149</v>
      </c>
      <c r="F71" s="365">
        <v>0.15</v>
      </c>
      <c r="G71" s="366">
        <f>G59</f>
        <v>32875</v>
      </c>
      <c r="H71" s="381">
        <f>F71*G71</f>
        <v>4931.25</v>
      </c>
      <c r="I71" s="1169"/>
      <c r="J71" s="1467">
        <f>J70</f>
        <v>0</v>
      </c>
      <c r="K71" s="1393">
        <f t="shared" si="8"/>
        <v>0</v>
      </c>
      <c r="L71" s="1402" t="s">
        <v>149</v>
      </c>
      <c r="O71" s="1467">
        <f>O70</f>
        <v>0</v>
      </c>
    </row>
    <row r="72" spans="2:15">
      <c r="B72" s="267"/>
      <c r="C72" s="368" t="s">
        <v>28</v>
      </c>
      <c r="D72" s="332" t="s">
        <v>333</v>
      </c>
      <c r="E72" s="280" t="s">
        <v>143</v>
      </c>
      <c r="F72" s="365">
        <v>1.7999999999999999E-2</v>
      </c>
      <c r="G72" s="366">
        <f>G57</f>
        <v>2100000</v>
      </c>
      <c r="H72" s="381">
        <f t="shared" si="7"/>
        <v>37800</v>
      </c>
      <c r="I72" s="1169"/>
      <c r="J72" s="1467">
        <f>J71</f>
        <v>0</v>
      </c>
      <c r="K72" s="1393">
        <f t="shared" si="8"/>
        <v>0</v>
      </c>
      <c r="L72" s="1402" t="s">
        <v>143</v>
      </c>
      <c r="O72" s="1467">
        <f>O71</f>
        <v>0</v>
      </c>
    </row>
    <row r="73" spans="2:15">
      <c r="B73" s="267"/>
      <c r="C73" s="368" t="s">
        <v>28</v>
      </c>
      <c r="D73" s="279" t="s">
        <v>334</v>
      </c>
      <c r="E73" s="280" t="s">
        <v>151</v>
      </c>
      <c r="F73" s="365">
        <v>0.35</v>
      </c>
      <c r="G73" s="363">
        <f t="shared" ref="G73:G78" si="9">G60</f>
        <v>114500</v>
      </c>
      <c r="H73" s="381">
        <f t="shared" si="7"/>
        <v>40075</v>
      </c>
      <c r="I73" s="1169"/>
      <c r="J73" s="1467">
        <f>J72</f>
        <v>0</v>
      </c>
      <c r="K73" s="1393">
        <f t="shared" si="8"/>
        <v>0</v>
      </c>
      <c r="L73" s="1402" t="s">
        <v>151</v>
      </c>
      <c r="O73" s="1467">
        <f>O72</f>
        <v>0</v>
      </c>
    </row>
    <row r="74" spans="2:15">
      <c r="B74" s="267"/>
      <c r="C74" s="368" t="s">
        <v>28</v>
      </c>
      <c r="D74" s="279" t="str">
        <f>D61</f>
        <v>Dolken  Ø-8-10/4m</v>
      </c>
      <c r="E74" s="280" t="s">
        <v>220</v>
      </c>
      <c r="F74" s="365">
        <v>2</v>
      </c>
      <c r="G74" s="366">
        <f t="shared" si="9"/>
        <v>30000</v>
      </c>
      <c r="H74" s="381">
        <f t="shared" si="7"/>
        <v>60000</v>
      </c>
      <c r="I74" s="1169">
        <f>SUM(H69:H74)</f>
        <v>233806.25</v>
      </c>
      <c r="J74" s="1467">
        <f>J73</f>
        <v>0</v>
      </c>
      <c r="K74" s="1393">
        <f t="shared" si="8"/>
        <v>0</v>
      </c>
      <c r="L74" s="1402" t="s">
        <v>220</v>
      </c>
      <c r="O74" s="1467">
        <f>O73</f>
        <v>0</v>
      </c>
    </row>
    <row r="75" spans="2:15">
      <c r="B75" s="267"/>
      <c r="C75" s="368" t="s">
        <v>28</v>
      </c>
      <c r="D75" s="279" t="s">
        <v>133</v>
      </c>
      <c r="E75" s="280" t="s">
        <v>132</v>
      </c>
      <c r="F75" s="365">
        <v>0.32</v>
      </c>
      <c r="G75" s="366">
        <f t="shared" si="9"/>
        <v>136000</v>
      </c>
      <c r="H75" s="381">
        <f t="shared" si="7"/>
        <v>43520</v>
      </c>
      <c r="I75" s="1169"/>
      <c r="J75" s="1467"/>
      <c r="O75" s="1467"/>
    </row>
    <row r="76" spans="2:15">
      <c r="B76" s="267"/>
      <c r="C76" s="368" t="s">
        <v>28</v>
      </c>
      <c r="D76" s="279" t="s">
        <v>139</v>
      </c>
      <c r="E76" s="280" t="s">
        <v>132</v>
      </c>
      <c r="F76" s="365">
        <v>0.33</v>
      </c>
      <c r="G76" s="366">
        <f t="shared" si="9"/>
        <v>160000</v>
      </c>
      <c r="H76" s="381">
        <f t="shared" si="7"/>
        <v>52800</v>
      </c>
      <c r="I76" s="1169"/>
    </row>
    <row r="77" spans="2:15">
      <c r="B77" s="267"/>
      <c r="C77" s="368" t="s">
        <v>28</v>
      </c>
      <c r="D77" s="279" t="s">
        <v>140</v>
      </c>
      <c r="E77" s="280" t="s">
        <v>132</v>
      </c>
      <c r="F77" s="365">
        <v>3.3000000000000002E-2</v>
      </c>
      <c r="G77" s="366">
        <f t="shared" si="9"/>
        <v>150000</v>
      </c>
      <c r="H77" s="381">
        <f t="shared" si="7"/>
        <v>4950</v>
      </c>
      <c r="I77" s="1169"/>
    </row>
    <row r="78" spans="2:15">
      <c r="B78" s="386"/>
      <c r="C78" s="382" t="s">
        <v>28</v>
      </c>
      <c r="D78" s="383" t="s">
        <v>136</v>
      </c>
      <c r="E78" s="384" t="s">
        <v>132</v>
      </c>
      <c r="F78" s="365">
        <v>6.0000000000000001E-3</v>
      </c>
      <c r="G78" s="390">
        <f t="shared" si="9"/>
        <v>180000</v>
      </c>
      <c r="H78" s="381">
        <f t="shared" si="7"/>
        <v>1080</v>
      </c>
      <c r="I78" s="1169">
        <f>SUM(H75:H78)</f>
        <v>102350</v>
      </c>
    </row>
    <row r="79" spans="2:15">
      <c r="B79" s="251"/>
      <c r="C79" s="252"/>
      <c r="D79" s="253" t="s">
        <v>228</v>
      </c>
      <c r="E79" s="254"/>
      <c r="F79" s="387"/>
      <c r="G79" s="388"/>
      <c r="H79" s="389">
        <f>SUM(H69:H78)</f>
        <v>336156.25</v>
      </c>
      <c r="I79" s="1169"/>
    </row>
    <row r="80" spans="2:15">
      <c r="B80" s="54"/>
      <c r="C80" s="377" t="s">
        <v>229</v>
      </c>
      <c r="D80" s="378"/>
      <c r="E80" s="378"/>
      <c r="F80" s="378"/>
      <c r="G80" s="379"/>
      <c r="H80" s="379">
        <f>ROUND(H79,0)</f>
        <v>336156</v>
      </c>
      <c r="I80" s="1164"/>
    </row>
    <row r="81" spans="2:15">
      <c r="B81" s="239" t="s">
        <v>346</v>
      </c>
      <c r="C81" s="380" t="s">
        <v>347</v>
      </c>
      <c r="D81" s="391"/>
      <c r="E81" s="392"/>
      <c r="F81" s="393"/>
      <c r="G81" s="394"/>
      <c r="H81" s="395"/>
      <c r="I81" s="1169"/>
    </row>
    <row r="82" spans="2:15">
      <c r="B82" s="232"/>
      <c r="C82" s="66" t="s">
        <v>28</v>
      </c>
      <c r="D82" s="332" t="str">
        <f>D69</f>
        <v>Balok Kayu Kelas III</v>
      </c>
      <c r="E82" s="277" t="s">
        <v>143</v>
      </c>
      <c r="F82" s="362">
        <v>0.04</v>
      </c>
      <c r="G82" s="363">
        <f t="shared" ref="G82:G87" si="10">G69</f>
        <v>2100000</v>
      </c>
      <c r="H82" s="381">
        <f t="shared" ref="H82:H91" si="11">F82*G82</f>
        <v>84000</v>
      </c>
      <c r="I82" s="1169"/>
      <c r="J82" s="1467">
        <f>BOQ!$Q$62</f>
        <v>0</v>
      </c>
      <c r="K82" s="1393">
        <f t="shared" ref="K82:K87" si="12">J82*F82</f>
        <v>0</v>
      </c>
      <c r="L82" s="1402" t="s">
        <v>143</v>
      </c>
      <c r="N82" s="1467"/>
      <c r="O82" s="1467">
        <f>BOQ!E91</f>
        <v>4.2799999999999994</v>
      </c>
    </row>
    <row r="83" spans="2:15">
      <c r="B83" s="267"/>
      <c r="C83" s="368" t="s">
        <v>28</v>
      </c>
      <c r="D83" s="279" t="s">
        <v>146</v>
      </c>
      <c r="E83" s="318" t="s">
        <v>145</v>
      </c>
      <c r="F83" s="365">
        <v>0.4</v>
      </c>
      <c r="G83" s="363">
        <f t="shared" si="10"/>
        <v>17500</v>
      </c>
      <c r="H83" s="381">
        <f t="shared" si="11"/>
        <v>7000</v>
      </c>
      <c r="I83" s="1169"/>
      <c r="J83" s="1467">
        <f>$J$82</f>
        <v>0</v>
      </c>
      <c r="K83" s="1393">
        <f t="shared" si="12"/>
        <v>0</v>
      </c>
      <c r="L83" s="1402" t="s">
        <v>145</v>
      </c>
      <c r="O83" s="1467">
        <f>BOQ!$E$91</f>
        <v>4.2799999999999994</v>
      </c>
    </row>
    <row r="84" spans="2:15">
      <c r="B84" s="267"/>
      <c r="C84" s="368" t="s">
        <v>28</v>
      </c>
      <c r="D84" s="279" t="s">
        <v>335</v>
      </c>
      <c r="E84" s="280" t="s">
        <v>149</v>
      </c>
      <c r="F84" s="365">
        <v>0.2</v>
      </c>
      <c r="G84" s="363">
        <f t="shared" si="10"/>
        <v>32875</v>
      </c>
      <c r="H84" s="381">
        <f t="shared" si="11"/>
        <v>6575</v>
      </c>
      <c r="I84" s="1169"/>
      <c r="J84" s="1467">
        <f>$J$82</f>
        <v>0</v>
      </c>
      <c r="K84" s="1393">
        <f t="shared" si="12"/>
        <v>0</v>
      </c>
      <c r="L84" s="1402" t="s">
        <v>149</v>
      </c>
      <c r="O84" s="1467">
        <f>BOQ!$E$91</f>
        <v>4.2799999999999994</v>
      </c>
    </row>
    <row r="85" spans="2:15">
      <c r="B85" s="267"/>
      <c r="C85" s="368" t="s">
        <v>28</v>
      </c>
      <c r="D85" s="332" t="s">
        <v>333</v>
      </c>
      <c r="E85" s="280" t="s">
        <v>143</v>
      </c>
      <c r="F85" s="365">
        <v>1.4999999999999999E-2</v>
      </c>
      <c r="G85" s="363">
        <f t="shared" si="10"/>
        <v>2100000</v>
      </c>
      <c r="H85" s="381">
        <f t="shared" si="11"/>
        <v>31500</v>
      </c>
      <c r="I85" s="1169"/>
      <c r="J85" s="1467">
        <f>$J$82</f>
        <v>0</v>
      </c>
      <c r="K85" s="1393">
        <f t="shared" si="12"/>
        <v>0</v>
      </c>
      <c r="L85" s="1402" t="s">
        <v>143</v>
      </c>
      <c r="O85" s="1467">
        <f>BOQ!$E$91</f>
        <v>4.2799999999999994</v>
      </c>
    </row>
    <row r="86" spans="2:15">
      <c r="B86" s="267"/>
      <c r="C86" s="368" t="s">
        <v>28</v>
      </c>
      <c r="D86" s="279" t="s">
        <v>334</v>
      </c>
      <c r="E86" s="280" t="s">
        <v>151</v>
      </c>
      <c r="F86" s="365">
        <v>0.35</v>
      </c>
      <c r="G86" s="363">
        <f t="shared" si="10"/>
        <v>114500</v>
      </c>
      <c r="H86" s="381">
        <f t="shared" si="11"/>
        <v>40075</v>
      </c>
      <c r="I86" s="1169"/>
      <c r="J86" s="1467">
        <f>$J$82</f>
        <v>0</v>
      </c>
      <c r="K86" s="1393">
        <f t="shared" si="12"/>
        <v>0</v>
      </c>
      <c r="L86" s="1402" t="s">
        <v>151</v>
      </c>
      <c r="O86" s="1467">
        <f>BOQ!$E$91</f>
        <v>4.2799999999999994</v>
      </c>
    </row>
    <row r="87" spans="2:15">
      <c r="B87" s="267"/>
      <c r="C87" s="368" t="s">
        <v>28</v>
      </c>
      <c r="D87" s="279" t="str">
        <f>D74</f>
        <v>Dolken  Ø-8-10/4m</v>
      </c>
      <c r="E87" s="280" t="s">
        <v>220</v>
      </c>
      <c r="F87" s="365">
        <v>6</v>
      </c>
      <c r="G87" s="363">
        <f t="shared" si="10"/>
        <v>30000</v>
      </c>
      <c r="H87" s="381">
        <f t="shared" si="11"/>
        <v>180000</v>
      </c>
      <c r="I87" s="1169">
        <f>SUM(H82:H87)</f>
        <v>349150</v>
      </c>
      <c r="J87" s="1467">
        <f>$J$82</f>
        <v>0</v>
      </c>
      <c r="K87" s="1393">
        <f t="shared" si="12"/>
        <v>0</v>
      </c>
      <c r="L87" s="1402" t="s">
        <v>220</v>
      </c>
      <c r="O87" s="1467">
        <f>BOQ!$E$91</f>
        <v>4.2799999999999994</v>
      </c>
    </row>
    <row r="88" spans="2:15">
      <c r="B88" s="267"/>
      <c r="C88" s="368" t="s">
        <v>28</v>
      </c>
      <c r="D88" s="279" t="s">
        <v>133</v>
      </c>
      <c r="E88" s="73" t="s">
        <v>132</v>
      </c>
      <c r="F88" s="365">
        <v>0.32</v>
      </c>
      <c r="G88" s="366">
        <f>G62</f>
        <v>136000</v>
      </c>
      <c r="H88" s="381">
        <f t="shared" si="11"/>
        <v>43520</v>
      </c>
      <c r="I88" s="1169"/>
    </row>
    <row r="89" spans="2:15">
      <c r="B89" s="267"/>
      <c r="C89" s="368" t="s">
        <v>28</v>
      </c>
      <c r="D89" s="279" t="s">
        <v>139</v>
      </c>
      <c r="E89" s="280" t="s">
        <v>132</v>
      </c>
      <c r="F89" s="365">
        <v>0.33</v>
      </c>
      <c r="G89" s="366">
        <f>G63</f>
        <v>160000</v>
      </c>
      <c r="H89" s="381">
        <f t="shared" si="11"/>
        <v>52800</v>
      </c>
      <c r="I89" s="1169"/>
    </row>
    <row r="90" spans="2:15">
      <c r="B90" s="267"/>
      <c r="C90" s="368" t="s">
        <v>28</v>
      </c>
      <c r="D90" s="279" t="s">
        <v>140</v>
      </c>
      <c r="E90" s="280" t="s">
        <v>132</v>
      </c>
      <c r="F90" s="365">
        <v>3.3000000000000002E-2</v>
      </c>
      <c r="G90" s="366">
        <f>G64</f>
        <v>150000</v>
      </c>
      <c r="H90" s="381">
        <f t="shared" si="11"/>
        <v>4950</v>
      </c>
      <c r="I90" s="1169"/>
    </row>
    <row r="91" spans="2:15">
      <c r="B91" s="386"/>
      <c r="C91" s="382" t="s">
        <v>28</v>
      </c>
      <c r="D91" s="383" t="s">
        <v>136</v>
      </c>
      <c r="E91" s="384" t="s">
        <v>132</v>
      </c>
      <c r="F91" s="365">
        <v>6.0000000000000001E-3</v>
      </c>
      <c r="G91" s="390">
        <f>G65</f>
        <v>180000</v>
      </c>
      <c r="H91" s="381">
        <f t="shared" si="11"/>
        <v>1080</v>
      </c>
      <c r="I91" s="1169">
        <f>SUM(H88:H91)</f>
        <v>102350</v>
      </c>
    </row>
    <row r="92" spans="2:15">
      <c r="B92" s="251"/>
      <c r="C92" s="237"/>
      <c r="D92" s="84" t="s">
        <v>228</v>
      </c>
      <c r="E92" s="238"/>
      <c r="F92" s="374"/>
      <c r="G92" s="375"/>
      <c r="H92" s="376">
        <f>SUM(H82:H91)</f>
        <v>451500</v>
      </c>
      <c r="I92" s="1169"/>
    </row>
    <row r="93" spans="2:15">
      <c r="B93" s="396"/>
      <c r="C93" s="377" t="s">
        <v>229</v>
      </c>
      <c r="D93" s="378"/>
      <c r="E93" s="378"/>
      <c r="F93" s="378"/>
      <c r="G93" s="379"/>
      <c r="H93" s="379">
        <f>ROUND(H92,0)</f>
        <v>451500</v>
      </c>
      <c r="I93" s="1164"/>
    </row>
    <row r="94" spans="2:15">
      <c r="B94" s="269" t="s">
        <v>348</v>
      </c>
      <c r="C94" s="380" t="s">
        <v>349</v>
      </c>
      <c r="D94" s="328"/>
      <c r="E94" s="397"/>
      <c r="F94" s="398"/>
      <c r="G94" s="399"/>
      <c r="H94" s="400"/>
      <c r="I94" s="1169"/>
    </row>
    <row r="95" spans="2:15">
      <c r="B95" s="232"/>
      <c r="C95" s="66" t="s">
        <v>28</v>
      </c>
      <c r="D95" s="332" t="s">
        <v>345</v>
      </c>
      <c r="E95" s="277" t="s">
        <v>143</v>
      </c>
      <c r="F95" s="362">
        <v>0.03</v>
      </c>
      <c r="G95" s="363">
        <f t="shared" ref="G95:G100" si="13">G82</f>
        <v>2100000</v>
      </c>
      <c r="H95" s="401">
        <f t="shared" ref="H95:H104" si="14">F95*G95</f>
        <v>63000</v>
      </c>
      <c r="I95" s="1169"/>
      <c r="J95" s="1467">
        <f>BOQ!$E$85+BOQ!$E$177</f>
        <v>0</v>
      </c>
      <c r="K95" s="1393">
        <f t="shared" ref="K95:K100" si="15">J95*F95</f>
        <v>0</v>
      </c>
      <c r="L95" s="1402" t="s">
        <v>143</v>
      </c>
      <c r="N95" s="1467" t="str">
        <f>BOQ!D85</f>
        <v>tripleks dengan kaso</v>
      </c>
      <c r="O95" s="1467">
        <f>BOQ!E85</f>
        <v>0</v>
      </c>
    </row>
    <row r="96" spans="2:15">
      <c r="B96" s="267"/>
      <c r="C96" s="368" t="s">
        <v>28</v>
      </c>
      <c r="D96" s="279" t="s">
        <v>146</v>
      </c>
      <c r="E96" s="318" t="s">
        <v>145</v>
      </c>
      <c r="F96" s="365">
        <v>0.4</v>
      </c>
      <c r="G96" s="363">
        <f t="shared" si="13"/>
        <v>17500</v>
      </c>
      <c r="H96" s="381">
        <f t="shared" si="14"/>
        <v>7000</v>
      </c>
      <c r="I96" s="1169"/>
      <c r="J96" s="1467">
        <f>$J$95</f>
        <v>0</v>
      </c>
      <c r="K96" s="1393">
        <f t="shared" si="15"/>
        <v>0</v>
      </c>
      <c r="L96" s="1402" t="s">
        <v>145</v>
      </c>
      <c r="O96" s="1467">
        <f>BOQ!$E$85</f>
        <v>0</v>
      </c>
    </row>
    <row r="97" spans="2:15">
      <c r="B97" s="267"/>
      <c r="C97" s="368" t="s">
        <v>28</v>
      </c>
      <c r="D97" s="279" t="s">
        <v>335</v>
      </c>
      <c r="E97" s="280" t="s">
        <v>149</v>
      </c>
      <c r="F97" s="365">
        <v>0.15</v>
      </c>
      <c r="G97" s="363">
        <f t="shared" si="13"/>
        <v>32875</v>
      </c>
      <c r="H97" s="381">
        <f t="shared" si="14"/>
        <v>4931.25</v>
      </c>
      <c r="I97" s="1169"/>
      <c r="J97" s="1467">
        <f>$J$95</f>
        <v>0</v>
      </c>
      <c r="K97" s="1393">
        <f t="shared" si="15"/>
        <v>0</v>
      </c>
      <c r="L97" s="1402" t="s">
        <v>149</v>
      </c>
      <c r="O97" s="1467">
        <f>BOQ!$E$85</f>
        <v>0</v>
      </c>
    </row>
    <row r="98" spans="2:15">
      <c r="B98" s="267"/>
      <c r="C98" s="368" t="s">
        <v>28</v>
      </c>
      <c r="D98" s="332" t="s">
        <v>333</v>
      </c>
      <c r="E98" s="280" t="s">
        <v>143</v>
      </c>
      <c r="F98" s="365">
        <v>1.4999999999999999E-2</v>
      </c>
      <c r="G98" s="363">
        <f t="shared" si="13"/>
        <v>2100000</v>
      </c>
      <c r="H98" s="381">
        <f t="shared" si="14"/>
        <v>31500</v>
      </c>
      <c r="I98" s="1169"/>
      <c r="J98" s="1467">
        <f>$J$95</f>
        <v>0</v>
      </c>
      <c r="K98" s="1393">
        <f t="shared" si="15"/>
        <v>0</v>
      </c>
      <c r="L98" s="1402" t="s">
        <v>143</v>
      </c>
      <c r="O98" s="1467">
        <f>BOQ!$E$85</f>
        <v>0</v>
      </c>
    </row>
    <row r="99" spans="2:15">
      <c r="B99" s="267"/>
      <c r="C99" s="368" t="s">
        <v>28</v>
      </c>
      <c r="D99" s="279" t="s">
        <v>334</v>
      </c>
      <c r="E99" s="280" t="s">
        <v>151</v>
      </c>
      <c r="F99" s="365">
        <v>0.35</v>
      </c>
      <c r="G99" s="363">
        <f t="shared" si="13"/>
        <v>114500</v>
      </c>
      <c r="H99" s="381">
        <f t="shared" si="14"/>
        <v>40075</v>
      </c>
      <c r="I99" s="1169"/>
      <c r="J99" s="1467">
        <f>$J$95</f>
        <v>0</v>
      </c>
      <c r="K99" s="1393">
        <f t="shared" si="15"/>
        <v>0</v>
      </c>
      <c r="L99" s="1402" t="s">
        <v>151</v>
      </c>
      <c r="O99" s="1467">
        <f>BOQ!$E$85</f>
        <v>0</v>
      </c>
    </row>
    <row r="100" spans="2:15">
      <c r="B100" s="267"/>
      <c r="C100" s="368" t="s">
        <v>28</v>
      </c>
      <c r="D100" s="279" t="s">
        <v>342</v>
      </c>
      <c r="E100" s="280" t="s">
        <v>220</v>
      </c>
      <c r="F100" s="365">
        <v>2</v>
      </c>
      <c r="G100" s="363">
        <f t="shared" si="13"/>
        <v>30000</v>
      </c>
      <c r="H100" s="381">
        <f t="shared" si="14"/>
        <v>60000</v>
      </c>
      <c r="I100" s="1169">
        <f>SUM(H95:H100)</f>
        <v>206506.25</v>
      </c>
      <c r="J100" s="1467">
        <f>$J$95</f>
        <v>0</v>
      </c>
      <c r="K100" s="1393">
        <f t="shared" si="15"/>
        <v>0</v>
      </c>
      <c r="L100" s="1402" t="s">
        <v>220</v>
      </c>
      <c r="O100" s="1467">
        <f>BOQ!$E$85</f>
        <v>0</v>
      </c>
    </row>
    <row r="101" spans="2:15">
      <c r="B101" s="267"/>
      <c r="C101" s="368" t="s">
        <v>28</v>
      </c>
      <c r="D101" s="279" t="s">
        <v>133</v>
      </c>
      <c r="E101" s="73" t="s">
        <v>132</v>
      </c>
      <c r="F101" s="365">
        <v>0.32</v>
      </c>
      <c r="G101" s="363">
        <f>G88</f>
        <v>136000</v>
      </c>
      <c r="H101" s="381">
        <f t="shared" si="14"/>
        <v>43520</v>
      </c>
      <c r="I101" s="1169"/>
    </row>
    <row r="102" spans="2:15">
      <c r="B102" s="267"/>
      <c r="C102" s="368" t="s">
        <v>28</v>
      </c>
      <c r="D102" s="279" t="s">
        <v>139</v>
      </c>
      <c r="E102" s="280" t="s">
        <v>132</v>
      </c>
      <c r="F102" s="365">
        <v>0.33</v>
      </c>
      <c r="G102" s="363">
        <f>G89</f>
        <v>160000</v>
      </c>
      <c r="H102" s="381">
        <f t="shared" si="14"/>
        <v>52800</v>
      </c>
      <c r="I102" s="1169"/>
    </row>
    <row r="103" spans="2:15">
      <c r="B103" s="267"/>
      <c r="C103" s="368" t="s">
        <v>28</v>
      </c>
      <c r="D103" s="279" t="s">
        <v>140</v>
      </c>
      <c r="E103" s="280" t="s">
        <v>132</v>
      </c>
      <c r="F103" s="365">
        <v>3.3000000000000002E-2</v>
      </c>
      <c r="G103" s="363">
        <f>G90</f>
        <v>150000</v>
      </c>
      <c r="H103" s="381">
        <f t="shared" si="14"/>
        <v>4950</v>
      </c>
      <c r="I103" s="1169"/>
    </row>
    <row r="104" spans="2:15">
      <c r="B104" s="386"/>
      <c r="C104" s="382" t="s">
        <v>28</v>
      </c>
      <c r="D104" s="383" t="s">
        <v>136</v>
      </c>
      <c r="E104" s="384" t="s">
        <v>132</v>
      </c>
      <c r="F104" s="365">
        <v>6.0000000000000001E-3</v>
      </c>
      <c r="G104" s="363">
        <f>G91</f>
        <v>180000</v>
      </c>
      <c r="H104" s="381">
        <f t="shared" si="14"/>
        <v>1080</v>
      </c>
      <c r="I104" s="1169">
        <f>SUM(H101:H104)</f>
        <v>102350</v>
      </c>
    </row>
    <row r="105" spans="2:15">
      <c r="B105" s="251"/>
      <c r="C105" s="237"/>
      <c r="D105" s="84" t="s">
        <v>228</v>
      </c>
      <c r="E105" s="238"/>
      <c r="F105" s="374"/>
      <c r="G105" s="375"/>
      <c r="H105" s="376">
        <f>SUM(H95:H104)</f>
        <v>308856.25</v>
      </c>
      <c r="I105" s="1169"/>
    </row>
    <row r="106" spans="2:15">
      <c r="B106" s="396"/>
      <c r="C106" s="377" t="s">
        <v>229</v>
      </c>
      <c r="D106" s="378"/>
      <c r="E106" s="378"/>
      <c r="F106" s="378"/>
      <c r="G106" s="379"/>
      <c r="H106" s="379">
        <f>ROUND(H105,0)</f>
        <v>308856</v>
      </c>
      <c r="I106" s="1164"/>
    </row>
    <row r="107" spans="2:15">
      <c r="B107" s="402" t="s">
        <v>350</v>
      </c>
      <c r="C107" s="380" t="s">
        <v>351</v>
      </c>
      <c r="D107" s="270"/>
      <c r="E107" s="403"/>
      <c r="F107" s="404"/>
      <c r="G107" s="405"/>
      <c r="H107" s="406"/>
      <c r="I107" s="1169"/>
    </row>
    <row r="108" spans="2:15">
      <c r="B108" s="232"/>
      <c r="C108" s="66" t="s">
        <v>28</v>
      </c>
      <c r="D108" s="332" t="s">
        <v>345</v>
      </c>
      <c r="E108" s="277" t="s">
        <v>143</v>
      </c>
      <c r="F108" s="362">
        <v>0.03</v>
      </c>
      <c r="G108" s="363">
        <f t="shared" ref="G108:G113" si="16">G95</f>
        <v>2100000</v>
      </c>
      <c r="H108" s="381">
        <f t="shared" ref="H108:H118" si="17">F108*G108</f>
        <v>63000</v>
      </c>
      <c r="I108" s="1169"/>
      <c r="J108" s="1467">
        <f>BOQ!$E$108</f>
        <v>11.100000000000001</v>
      </c>
      <c r="K108" s="1467">
        <f t="shared" ref="K108:K113" si="18">J108*F108</f>
        <v>0.33300000000000002</v>
      </c>
      <c r="L108" s="1402" t="s">
        <v>143</v>
      </c>
      <c r="O108" s="1467">
        <f>BOQ!$E$108</f>
        <v>11.100000000000001</v>
      </c>
    </row>
    <row r="109" spans="2:15">
      <c r="B109" s="267"/>
      <c r="C109" s="368" t="s">
        <v>28</v>
      </c>
      <c r="D109" s="279" t="s">
        <v>146</v>
      </c>
      <c r="E109" s="318" t="s">
        <v>145</v>
      </c>
      <c r="F109" s="365">
        <v>0.4</v>
      </c>
      <c r="G109" s="363">
        <f t="shared" si="16"/>
        <v>17500</v>
      </c>
      <c r="H109" s="381">
        <f t="shared" si="17"/>
        <v>7000</v>
      </c>
      <c r="I109" s="1169"/>
      <c r="J109" s="1467">
        <f>$J$108</f>
        <v>11.100000000000001</v>
      </c>
      <c r="K109" s="1467">
        <f t="shared" si="18"/>
        <v>4.4400000000000004</v>
      </c>
      <c r="L109" s="1402" t="s">
        <v>145</v>
      </c>
      <c r="O109" s="1467">
        <f>$J$108</f>
        <v>11.100000000000001</v>
      </c>
    </row>
    <row r="110" spans="2:15">
      <c r="B110" s="267"/>
      <c r="C110" s="368" t="s">
        <v>28</v>
      </c>
      <c r="D110" s="279" t="s">
        <v>335</v>
      </c>
      <c r="E110" s="280" t="s">
        <v>149</v>
      </c>
      <c r="F110" s="365">
        <v>0.2</v>
      </c>
      <c r="G110" s="363">
        <f t="shared" si="16"/>
        <v>32875</v>
      </c>
      <c r="H110" s="381">
        <f t="shared" si="17"/>
        <v>6575</v>
      </c>
      <c r="I110" s="1169"/>
      <c r="J110" s="1467">
        <f>$J$108</f>
        <v>11.100000000000001</v>
      </c>
      <c r="K110" s="1467">
        <f t="shared" si="18"/>
        <v>2.2200000000000002</v>
      </c>
      <c r="L110" s="1402" t="s">
        <v>149</v>
      </c>
      <c r="O110" s="1467">
        <f>$J$108</f>
        <v>11.100000000000001</v>
      </c>
    </row>
    <row r="111" spans="2:15">
      <c r="B111" s="267"/>
      <c r="C111" s="368" t="s">
        <v>28</v>
      </c>
      <c r="D111" s="332" t="s">
        <v>333</v>
      </c>
      <c r="E111" s="280" t="s">
        <v>143</v>
      </c>
      <c r="F111" s="365">
        <v>0.02</v>
      </c>
      <c r="G111" s="363">
        <f t="shared" si="16"/>
        <v>2100000</v>
      </c>
      <c r="H111" s="381">
        <f t="shared" si="17"/>
        <v>42000</v>
      </c>
      <c r="I111" s="1169"/>
      <c r="J111" s="1467">
        <f>$J$108</f>
        <v>11.100000000000001</v>
      </c>
      <c r="K111" s="1467">
        <f t="shared" si="18"/>
        <v>0.22200000000000003</v>
      </c>
      <c r="L111" s="1402" t="s">
        <v>143</v>
      </c>
      <c r="O111" s="1467">
        <f>$J$108</f>
        <v>11.100000000000001</v>
      </c>
    </row>
    <row r="112" spans="2:15">
      <c r="B112" s="267"/>
      <c r="C112" s="368" t="s">
        <v>28</v>
      </c>
      <c r="D112" s="279" t="s">
        <v>334</v>
      </c>
      <c r="E112" s="280" t="s">
        <v>151</v>
      </c>
      <c r="F112" s="365">
        <v>0.35</v>
      </c>
      <c r="G112" s="363">
        <f t="shared" si="16"/>
        <v>114500</v>
      </c>
      <c r="H112" s="381">
        <f t="shared" si="17"/>
        <v>40075</v>
      </c>
      <c r="I112" s="1169"/>
      <c r="J112" s="1467">
        <f>$J$108</f>
        <v>11.100000000000001</v>
      </c>
      <c r="K112" s="1467">
        <f t="shared" si="18"/>
        <v>3.8850000000000002</v>
      </c>
      <c r="L112" s="1402" t="s">
        <v>151</v>
      </c>
      <c r="O112" s="1467">
        <f>$J$108</f>
        <v>11.100000000000001</v>
      </c>
    </row>
    <row r="113" spans="2:15">
      <c r="B113" s="267"/>
      <c r="C113" s="368" t="s">
        <v>28</v>
      </c>
      <c r="D113" s="279" t="s">
        <v>342</v>
      </c>
      <c r="E113" s="280" t="s">
        <v>220</v>
      </c>
      <c r="F113" s="365">
        <v>2</v>
      </c>
      <c r="G113" s="363">
        <f t="shared" si="16"/>
        <v>30000</v>
      </c>
      <c r="H113" s="381">
        <f t="shared" si="17"/>
        <v>60000</v>
      </c>
      <c r="I113" s="1169"/>
      <c r="J113" s="1467">
        <f>$J$108</f>
        <v>11.100000000000001</v>
      </c>
      <c r="K113" s="1467">
        <f t="shared" si="18"/>
        <v>22.200000000000003</v>
      </c>
      <c r="L113" s="1402" t="s">
        <v>220</v>
      </c>
      <c r="O113" s="1467">
        <f>$J$108</f>
        <v>11.100000000000001</v>
      </c>
    </row>
    <row r="114" spans="2:15">
      <c r="B114" s="267"/>
      <c r="C114" s="407" t="s">
        <v>28</v>
      </c>
      <c r="D114" s="279" t="s">
        <v>352</v>
      </c>
      <c r="E114" s="280" t="s">
        <v>353</v>
      </c>
      <c r="F114" s="365">
        <v>4</v>
      </c>
      <c r="G114" s="363">
        <f>BAHAN!$E$41</f>
        <v>5000</v>
      </c>
      <c r="H114" s="381">
        <f t="shared" si="17"/>
        <v>20000</v>
      </c>
      <c r="I114" s="1169">
        <f>SUM(H108:H114)</f>
        <v>238650</v>
      </c>
    </row>
    <row r="115" spans="2:15">
      <c r="B115" s="267"/>
      <c r="C115" s="368" t="s">
        <v>28</v>
      </c>
      <c r="D115" s="279" t="s">
        <v>133</v>
      </c>
      <c r="E115" s="73" t="s">
        <v>132</v>
      </c>
      <c r="F115" s="365">
        <v>0.32</v>
      </c>
      <c r="G115" s="363">
        <f>G101</f>
        <v>136000</v>
      </c>
      <c r="H115" s="381">
        <f t="shared" si="17"/>
        <v>43520</v>
      </c>
      <c r="I115" s="1169"/>
    </row>
    <row r="116" spans="2:15">
      <c r="B116" s="267"/>
      <c r="C116" s="368" t="s">
        <v>28</v>
      </c>
      <c r="D116" s="279" t="s">
        <v>139</v>
      </c>
      <c r="E116" s="280" t="s">
        <v>132</v>
      </c>
      <c r="F116" s="365">
        <v>0.33</v>
      </c>
      <c r="G116" s="363">
        <f>G102</f>
        <v>160000</v>
      </c>
      <c r="H116" s="381">
        <f t="shared" si="17"/>
        <v>52800</v>
      </c>
      <c r="I116" s="1169"/>
    </row>
    <row r="117" spans="2:15">
      <c r="B117" s="267"/>
      <c r="C117" s="368" t="s">
        <v>28</v>
      </c>
      <c r="D117" s="279" t="s">
        <v>140</v>
      </c>
      <c r="E117" s="280" t="s">
        <v>132</v>
      </c>
      <c r="F117" s="365">
        <v>3.3000000000000002E-2</v>
      </c>
      <c r="G117" s="363">
        <f>G103</f>
        <v>150000</v>
      </c>
      <c r="H117" s="381">
        <f t="shared" si="17"/>
        <v>4950</v>
      </c>
      <c r="I117" s="1169"/>
    </row>
    <row r="118" spans="2:15">
      <c r="B118" s="386"/>
      <c r="C118" s="382" t="s">
        <v>28</v>
      </c>
      <c r="D118" s="383" t="s">
        <v>136</v>
      </c>
      <c r="E118" s="384" t="s">
        <v>132</v>
      </c>
      <c r="F118" s="365">
        <v>6.0000000000000001E-3</v>
      </c>
      <c r="G118" s="363">
        <f>G104</f>
        <v>180000</v>
      </c>
      <c r="H118" s="381">
        <f t="shared" si="17"/>
        <v>1080</v>
      </c>
      <c r="I118" s="1169">
        <f>SUM(H115:H118)</f>
        <v>102350</v>
      </c>
    </row>
    <row r="119" spans="2:15">
      <c r="B119" s="251"/>
      <c r="C119" s="252"/>
      <c r="D119" s="253" t="s">
        <v>228</v>
      </c>
      <c r="E119" s="254"/>
      <c r="F119" s="387"/>
      <c r="G119" s="388"/>
      <c r="H119" s="389">
        <f>SUM(H108:H118)</f>
        <v>341000</v>
      </c>
      <c r="I119" s="1169"/>
    </row>
    <row r="120" spans="2:15">
      <c r="B120" s="396"/>
      <c r="C120" s="377" t="s">
        <v>229</v>
      </c>
      <c r="D120" s="378"/>
      <c r="E120" s="378"/>
      <c r="F120" s="378"/>
      <c r="G120" s="379"/>
      <c r="H120" s="379">
        <f>ROUND(H119,0)</f>
        <v>341000</v>
      </c>
      <c r="I120" s="1164"/>
    </row>
    <row r="121" spans="2:15">
      <c r="B121" s="402" t="s">
        <v>354</v>
      </c>
      <c r="C121" s="380" t="s">
        <v>355</v>
      </c>
      <c r="D121" s="270"/>
      <c r="E121" s="403"/>
      <c r="F121" s="404"/>
      <c r="G121" s="405"/>
      <c r="H121" s="406"/>
      <c r="I121" s="1169"/>
    </row>
    <row r="122" spans="2:15">
      <c r="B122" s="232"/>
      <c r="C122" s="66" t="s">
        <v>28</v>
      </c>
      <c r="D122" s="332" t="s">
        <v>356</v>
      </c>
      <c r="E122" s="277" t="s">
        <v>147</v>
      </c>
      <c r="F122" s="362">
        <v>1.01</v>
      </c>
      <c r="G122" s="363">
        <f>BAHAN!$E$144</f>
        <v>94268</v>
      </c>
      <c r="H122" s="381">
        <f t="shared" ref="H122:H127" si="19">F122*G122</f>
        <v>95210.680000000008</v>
      </c>
      <c r="I122" s="1169"/>
      <c r="J122" s="1467">
        <f>BOQ!$Q$57</f>
        <v>0</v>
      </c>
      <c r="K122" s="1393">
        <f>J122*F122</f>
        <v>0</v>
      </c>
      <c r="N122" s="1467" t="str">
        <f>BOQ!P57</f>
        <v>wiremesh</v>
      </c>
      <c r="O122" s="1467">
        <f>BOQ!Q57</f>
        <v>0</v>
      </c>
    </row>
    <row r="123" spans="2:15">
      <c r="B123" s="267"/>
      <c r="C123" s="368" t="s">
        <v>28</v>
      </c>
      <c r="D123" s="279" t="s">
        <v>357</v>
      </c>
      <c r="E123" s="318" t="s">
        <v>145</v>
      </c>
      <c r="F123" s="365">
        <v>0.1</v>
      </c>
      <c r="G123" s="363">
        <f>G17</f>
        <v>700</v>
      </c>
      <c r="H123" s="381">
        <f t="shared" si="19"/>
        <v>70</v>
      </c>
      <c r="I123" s="1169"/>
      <c r="J123" s="1467">
        <f>J122</f>
        <v>0</v>
      </c>
      <c r="K123" s="1393">
        <f>J123*F123</f>
        <v>0</v>
      </c>
      <c r="O123" s="1467">
        <f>O122</f>
        <v>0</v>
      </c>
    </row>
    <row r="124" spans="2:15">
      <c r="B124" s="267"/>
      <c r="C124" s="407" t="s">
        <v>28</v>
      </c>
      <c r="D124" s="279" t="s">
        <v>352</v>
      </c>
      <c r="E124" s="280" t="s">
        <v>353</v>
      </c>
      <c r="F124" s="365">
        <v>4</v>
      </c>
      <c r="G124" s="363">
        <f>G114</f>
        <v>5000</v>
      </c>
      <c r="H124" s="381">
        <f t="shared" si="19"/>
        <v>20000</v>
      </c>
      <c r="I124" s="1169">
        <f>SUM(H122:H124)</f>
        <v>115280.68000000001</v>
      </c>
      <c r="J124" s="1467">
        <f>J123</f>
        <v>0</v>
      </c>
      <c r="K124" s="1393">
        <f>J124*F124</f>
        <v>0</v>
      </c>
      <c r="O124" s="1467">
        <f>O123</f>
        <v>0</v>
      </c>
    </row>
    <row r="125" spans="2:15">
      <c r="B125" s="267"/>
      <c r="C125" s="368" t="s">
        <v>28</v>
      </c>
      <c r="D125" s="279" t="s">
        <v>133</v>
      </c>
      <c r="E125" s="73" t="s">
        <v>132</v>
      </c>
      <c r="F125" s="365">
        <v>0.05</v>
      </c>
      <c r="G125" s="363">
        <f>G115</f>
        <v>136000</v>
      </c>
      <c r="H125" s="381">
        <f t="shared" si="19"/>
        <v>6800</v>
      </c>
      <c r="I125" s="1169"/>
    </row>
    <row r="126" spans="2:15">
      <c r="B126" s="267"/>
      <c r="C126" s="368" t="s">
        <v>28</v>
      </c>
      <c r="D126" s="279" t="s">
        <v>358</v>
      </c>
      <c r="E126" s="280" t="s">
        <v>132</v>
      </c>
      <c r="F126" s="365">
        <v>0.03</v>
      </c>
      <c r="G126" s="363">
        <f>UPAH!E18</f>
        <v>160000</v>
      </c>
      <c r="H126" s="381">
        <f t="shared" si="19"/>
        <v>4800</v>
      </c>
      <c r="I126" s="1169"/>
    </row>
    <row r="127" spans="2:15">
      <c r="B127" s="386"/>
      <c r="C127" s="382" t="s">
        <v>28</v>
      </c>
      <c r="D127" s="383" t="s">
        <v>136</v>
      </c>
      <c r="E127" s="384" t="s">
        <v>132</v>
      </c>
      <c r="F127" s="365">
        <v>0.01</v>
      </c>
      <c r="G127" s="363">
        <f>G118</f>
        <v>180000</v>
      </c>
      <c r="H127" s="381">
        <f t="shared" si="19"/>
        <v>1800</v>
      </c>
      <c r="I127" s="1169">
        <f>SUM(H125:H127)</f>
        <v>13400</v>
      </c>
    </row>
    <row r="128" spans="2:15">
      <c r="B128" s="251"/>
      <c r="C128" s="252"/>
      <c r="D128" s="253" t="s">
        <v>228</v>
      </c>
      <c r="E128" s="254"/>
      <c r="F128" s="387"/>
      <c r="G128" s="388"/>
      <c r="H128" s="389">
        <f>SUM(H122:H127)</f>
        <v>128680.68000000001</v>
      </c>
      <c r="I128" s="1169"/>
    </row>
    <row r="129" spans="2:15">
      <c r="B129" s="396"/>
      <c r="C129" s="377" t="s">
        <v>229</v>
      </c>
      <c r="D129" s="378"/>
      <c r="E129" s="378"/>
      <c r="F129" s="378"/>
      <c r="G129" s="379"/>
      <c r="H129" s="379">
        <f>ROUND(H128,0)</f>
        <v>128681</v>
      </c>
      <c r="I129" s="1164"/>
    </row>
    <row r="130" spans="2:15">
      <c r="B130" s="269" t="s">
        <v>359</v>
      </c>
      <c r="C130" s="380" t="s">
        <v>1355</v>
      </c>
      <c r="D130" s="328"/>
      <c r="E130" s="397"/>
      <c r="F130" s="398"/>
      <c r="G130" s="399"/>
      <c r="H130" s="400"/>
      <c r="I130" s="1169"/>
    </row>
    <row r="131" spans="2:15">
      <c r="B131" s="232"/>
      <c r="C131" s="66" t="s">
        <v>28</v>
      </c>
      <c r="D131" s="332" t="s">
        <v>221</v>
      </c>
      <c r="E131" s="277" t="s">
        <v>145</v>
      </c>
      <c r="F131" s="362">
        <v>276</v>
      </c>
      <c r="G131" s="363">
        <f>BAHAN!$E$30/50</f>
        <v>1500</v>
      </c>
      <c r="H131" s="401">
        <f t="shared" ref="H131:H138" si="20">F131*G131</f>
        <v>414000</v>
      </c>
      <c r="I131" s="1169"/>
      <c r="J131" s="1467">
        <f>BOQ!$Q$55</f>
        <v>0</v>
      </c>
      <c r="K131" s="1393">
        <f>J131*F131</f>
        <v>0</v>
      </c>
      <c r="L131" s="1402" t="s">
        <v>145</v>
      </c>
      <c r="M131" s="1467" t="e">
        <f>BOQ!$E$44+BOQ!$E$75+BOQ!$E$87+BOQ!$E$93+BOQ!#REF!+BOQ!$E$133+BOQ!$E$185+BOQ!#REF!</f>
        <v>#REF!</v>
      </c>
      <c r="N131" s="1467" t="str">
        <f>BOQ!P55</f>
        <v>site mix k125</v>
      </c>
      <c r="O131" s="1467">
        <f>BOQ!Q55</f>
        <v>0</v>
      </c>
    </row>
    <row r="132" spans="2:15">
      <c r="B132" s="267"/>
      <c r="C132" s="368" t="s">
        <v>28</v>
      </c>
      <c r="D132" s="279" t="s">
        <v>361</v>
      </c>
      <c r="E132" s="318" t="s">
        <v>143</v>
      </c>
      <c r="F132" s="365">
        <f>828/1400</f>
        <v>0.59142857142857141</v>
      </c>
      <c r="G132" s="363">
        <f>BAHAN!$E$10</f>
        <v>345000</v>
      </c>
      <c r="H132" s="381">
        <f t="shared" si="20"/>
        <v>204042.85714285713</v>
      </c>
      <c r="I132" s="1169"/>
      <c r="J132" s="1467">
        <f>J131</f>
        <v>0</v>
      </c>
      <c r="K132" s="1393">
        <f>J132*F132</f>
        <v>0</v>
      </c>
      <c r="L132" s="1402" t="s">
        <v>143</v>
      </c>
      <c r="O132" s="1467">
        <f>O131</f>
        <v>0</v>
      </c>
    </row>
    <row r="133" spans="2:15">
      <c r="B133" s="267"/>
      <c r="C133" s="368" t="s">
        <v>28</v>
      </c>
      <c r="D133" s="41" t="s">
        <v>224</v>
      </c>
      <c r="E133" s="280" t="s">
        <v>143</v>
      </c>
      <c r="F133" s="365">
        <f>1012/1800</f>
        <v>0.56222222222222218</v>
      </c>
      <c r="G133" s="363">
        <f>BAHAN!$E$13</f>
        <v>297000</v>
      </c>
      <c r="H133" s="381">
        <f t="shared" si="20"/>
        <v>166980</v>
      </c>
      <c r="I133" s="1169"/>
      <c r="J133" s="1467">
        <f>J132</f>
        <v>0</v>
      </c>
      <c r="K133" s="1393">
        <f>J133*F133</f>
        <v>0</v>
      </c>
      <c r="L133" s="1402" t="s">
        <v>143</v>
      </c>
      <c r="O133" s="1467">
        <f>O132</f>
        <v>0</v>
      </c>
    </row>
    <row r="134" spans="2:15">
      <c r="B134" s="267"/>
      <c r="C134" s="407" t="s">
        <v>28</v>
      </c>
      <c r="D134" s="279" t="s">
        <v>300</v>
      </c>
      <c r="E134" s="280" t="s">
        <v>301</v>
      </c>
      <c r="F134" s="365">
        <v>215</v>
      </c>
      <c r="G134" s="366">
        <f>BAHAN!$E$40/5</f>
        <v>500</v>
      </c>
      <c r="H134" s="381">
        <f t="shared" si="20"/>
        <v>107500</v>
      </c>
      <c r="I134" s="1628">
        <f>SUM(H131:H134)</f>
        <v>892522.85714285716</v>
      </c>
      <c r="J134" s="1467">
        <f>J133</f>
        <v>0</v>
      </c>
      <c r="K134" s="1393">
        <f>J134*F134</f>
        <v>0</v>
      </c>
      <c r="L134" s="1402" t="s">
        <v>301</v>
      </c>
      <c r="O134" s="1467">
        <f>O133</f>
        <v>0</v>
      </c>
    </row>
    <row r="135" spans="2:15">
      <c r="B135" s="267"/>
      <c r="C135" s="368" t="s">
        <v>28</v>
      </c>
      <c r="D135" s="279" t="s">
        <v>133</v>
      </c>
      <c r="E135" s="73" t="s">
        <v>132</v>
      </c>
      <c r="F135" s="365">
        <v>1.65</v>
      </c>
      <c r="G135" s="363">
        <f>G146</f>
        <v>136000</v>
      </c>
      <c r="H135" s="381">
        <f t="shared" si="20"/>
        <v>224400</v>
      </c>
      <c r="I135" s="1169"/>
    </row>
    <row r="136" spans="2:15">
      <c r="B136" s="267"/>
      <c r="C136" s="368" t="s">
        <v>28</v>
      </c>
      <c r="D136" s="279" t="s">
        <v>245</v>
      </c>
      <c r="E136" s="280" t="s">
        <v>132</v>
      </c>
      <c r="F136" s="365">
        <v>0.27500000000000002</v>
      </c>
      <c r="G136" s="363">
        <f>G147</f>
        <v>160000</v>
      </c>
      <c r="H136" s="381">
        <f t="shared" si="20"/>
        <v>44000</v>
      </c>
      <c r="I136" s="1169"/>
    </row>
    <row r="137" spans="2:15">
      <c r="B137" s="267"/>
      <c r="C137" s="368" t="s">
        <v>28</v>
      </c>
      <c r="D137" s="279" t="s">
        <v>140</v>
      </c>
      <c r="E137" s="280" t="s">
        <v>132</v>
      </c>
      <c r="F137" s="365">
        <v>2.8000000000000001E-2</v>
      </c>
      <c r="G137" s="363">
        <f>G148</f>
        <v>170000</v>
      </c>
      <c r="H137" s="381">
        <f t="shared" si="20"/>
        <v>4760</v>
      </c>
      <c r="I137" s="1169"/>
    </row>
    <row r="138" spans="2:15">
      <c r="B138" s="386"/>
      <c r="C138" s="382" t="s">
        <v>28</v>
      </c>
      <c r="D138" s="383" t="s">
        <v>136</v>
      </c>
      <c r="E138" s="384" t="s">
        <v>132</v>
      </c>
      <c r="F138" s="365">
        <v>8.3000000000000004E-2</v>
      </c>
      <c r="G138" s="363">
        <f>G149</f>
        <v>180000</v>
      </c>
      <c r="H138" s="381">
        <f t="shared" si="20"/>
        <v>14940</v>
      </c>
      <c r="I138" s="1628">
        <f>SUM(H135:H138)</f>
        <v>288100</v>
      </c>
    </row>
    <row r="139" spans="2:15">
      <c r="B139" s="251"/>
      <c r="C139" s="252"/>
      <c r="D139" s="253" t="s">
        <v>228</v>
      </c>
      <c r="E139" s="254"/>
      <c r="F139" s="387"/>
      <c r="G139" s="363"/>
      <c r="H139" s="389">
        <f>SUM(H131:H138)</f>
        <v>1180622.8571428573</v>
      </c>
      <c r="I139" s="1169"/>
    </row>
    <row r="140" spans="2:15">
      <c r="B140" s="396"/>
      <c r="C140" s="377" t="s">
        <v>229</v>
      </c>
      <c r="D140" s="378"/>
      <c r="E140" s="378"/>
      <c r="F140" s="378"/>
      <c r="G140" s="379"/>
      <c r="H140" s="379">
        <f>ROUND(H139,0)</f>
        <v>1180623</v>
      </c>
      <c r="I140" s="1164"/>
    </row>
    <row r="141" spans="2:15">
      <c r="B141" s="269" t="s">
        <v>359</v>
      </c>
      <c r="C141" s="380" t="s">
        <v>360</v>
      </c>
      <c r="D141" s="328"/>
      <c r="E141" s="397"/>
      <c r="F141" s="398"/>
      <c r="G141" s="399"/>
      <c r="H141" s="400"/>
      <c r="I141" s="1169"/>
    </row>
    <row r="142" spans="2:15">
      <c r="B142" s="232"/>
      <c r="C142" s="66" t="s">
        <v>28</v>
      </c>
      <c r="D142" s="332" t="s">
        <v>221</v>
      </c>
      <c r="E142" s="277" t="s">
        <v>145</v>
      </c>
      <c r="F142" s="362">
        <v>352</v>
      </c>
      <c r="G142" s="363">
        <f>BAHAN!$E$30/50</f>
        <v>1500</v>
      </c>
      <c r="H142" s="401">
        <f t="shared" ref="H142:H149" si="21">F142*G142</f>
        <v>528000</v>
      </c>
      <c r="I142" s="1169"/>
    </row>
    <row r="143" spans="2:15">
      <c r="B143" s="267"/>
      <c r="C143" s="368" t="s">
        <v>28</v>
      </c>
      <c r="D143" s="279" t="s">
        <v>361</v>
      </c>
      <c r="E143" s="318" t="s">
        <v>143</v>
      </c>
      <c r="F143" s="365">
        <f>731/1600</f>
        <v>0.45687499999999998</v>
      </c>
      <c r="G143" s="363">
        <f>BAHAN!$E$10</f>
        <v>345000</v>
      </c>
      <c r="H143" s="381">
        <f t="shared" si="21"/>
        <v>157621.875</v>
      </c>
      <c r="I143" s="1169"/>
    </row>
    <row r="144" spans="2:15">
      <c r="B144" s="267"/>
      <c r="C144" s="368" t="s">
        <v>28</v>
      </c>
      <c r="D144" s="41" t="s">
        <v>224</v>
      </c>
      <c r="E144" s="280" t="s">
        <v>143</v>
      </c>
      <c r="F144" s="365">
        <f>1031/1500</f>
        <v>0.68733333333333335</v>
      </c>
      <c r="G144" s="363">
        <f>BAHAN!$E$13</f>
        <v>297000</v>
      </c>
      <c r="H144" s="381">
        <f t="shared" si="21"/>
        <v>204138</v>
      </c>
      <c r="I144" s="1169"/>
    </row>
    <row r="145" spans="2:15">
      <c r="B145" s="267"/>
      <c r="C145" s="407" t="s">
        <v>28</v>
      </c>
      <c r="D145" s="279" t="s">
        <v>300</v>
      </c>
      <c r="E145" s="280" t="s">
        <v>301</v>
      </c>
      <c r="F145" s="365">
        <v>215</v>
      </c>
      <c r="G145" s="366">
        <f>BAHAN!$E$40/5</f>
        <v>500</v>
      </c>
      <c r="H145" s="381">
        <f t="shared" si="21"/>
        <v>107500</v>
      </c>
      <c r="I145" s="1169">
        <f>SUM(H142:H145)</f>
        <v>997259.875</v>
      </c>
    </row>
    <row r="146" spans="2:15">
      <c r="B146" s="267"/>
      <c r="C146" s="368" t="s">
        <v>28</v>
      </c>
      <c r="D146" s="279" t="s">
        <v>133</v>
      </c>
      <c r="E146" s="73" t="s">
        <v>132</v>
      </c>
      <c r="F146" s="365">
        <v>1.65</v>
      </c>
      <c r="G146" s="363">
        <f>G115</f>
        <v>136000</v>
      </c>
      <c r="H146" s="381">
        <f t="shared" si="21"/>
        <v>224400</v>
      </c>
      <c r="I146" s="1169"/>
    </row>
    <row r="147" spans="2:15">
      <c r="B147" s="267"/>
      <c r="C147" s="368" t="s">
        <v>28</v>
      </c>
      <c r="D147" s="279" t="s">
        <v>245</v>
      </c>
      <c r="E147" s="280" t="s">
        <v>132</v>
      </c>
      <c r="F147" s="365">
        <v>0.27500000000000002</v>
      </c>
      <c r="G147" s="363">
        <f>UPAH!E16</f>
        <v>160000</v>
      </c>
      <c r="H147" s="381">
        <f t="shared" si="21"/>
        <v>44000</v>
      </c>
      <c r="I147" s="1169"/>
    </row>
    <row r="148" spans="2:15">
      <c r="B148" s="267"/>
      <c r="C148" s="368" t="s">
        <v>28</v>
      </c>
      <c r="D148" s="279" t="s">
        <v>140</v>
      </c>
      <c r="E148" s="280" t="s">
        <v>132</v>
      </c>
      <c r="F148" s="365">
        <v>2.8000000000000001E-2</v>
      </c>
      <c r="G148" s="363">
        <f>UPAH!E10</f>
        <v>170000</v>
      </c>
      <c r="H148" s="381">
        <f t="shared" si="21"/>
        <v>4760</v>
      </c>
      <c r="I148" s="1169"/>
    </row>
    <row r="149" spans="2:15">
      <c r="B149" s="386"/>
      <c r="C149" s="382" t="s">
        <v>28</v>
      </c>
      <c r="D149" s="383" t="s">
        <v>136</v>
      </c>
      <c r="E149" s="384" t="s">
        <v>132</v>
      </c>
      <c r="F149" s="365">
        <v>8.3000000000000004E-2</v>
      </c>
      <c r="G149" s="363">
        <f>G118</f>
        <v>180000</v>
      </c>
      <c r="H149" s="381">
        <f t="shared" si="21"/>
        <v>14940</v>
      </c>
      <c r="I149" s="1169">
        <f>SUM(H146:H149)</f>
        <v>288100</v>
      </c>
    </row>
    <row r="150" spans="2:15">
      <c r="B150" s="251"/>
      <c r="C150" s="252"/>
      <c r="D150" s="253" t="s">
        <v>228</v>
      </c>
      <c r="E150" s="254"/>
      <c r="F150" s="387"/>
      <c r="G150" s="388"/>
      <c r="H150" s="389">
        <f>SUM(H142:H149)</f>
        <v>1285359.875</v>
      </c>
      <c r="I150" s="1169"/>
    </row>
    <row r="151" spans="2:15">
      <c r="B151" s="396"/>
      <c r="C151" s="377" t="s">
        <v>229</v>
      </c>
      <c r="D151" s="378"/>
      <c r="E151" s="378"/>
      <c r="F151" s="378"/>
      <c r="G151" s="379"/>
      <c r="H151" s="379">
        <f>ROUND(H150,0)</f>
        <v>1285360</v>
      </c>
      <c r="I151" s="1164"/>
    </row>
    <row r="152" spans="2:15">
      <c r="B152" s="269" t="s">
        <v>362</v>
      </c>
      <c r="C152" s="380" t="s">
        <v>363</v>
      </c>
      <c r="D152" s="391"/>
      <c r="E152" s="392"/>
      <c r="F152" s="393"/>
      <c r="G152" s="394"/>
      <c r="H152" s="395"/>
      <c r="I152" s="1169"/>
    </row>
    <row r="153" spans="2:15">
      <c r="B153" s="232"/>
      <c r="C153" s="66" t="s">
        <v>28</v>
      </c>
      <c r="D153" s="332" t="s">
        <v>221</v>
      </c>
      <c r="E153" s="277" t="s">
        <v>145</v>
      </c>
      <c r="F153" s="362">
        <f>7.42*50</f>
        <v>371</v>
      </c>
      <c r="G153" s="363">
        <f>G142</f>
        <v>1500</v>
      </c>
      <c r="H153" s="381">
        <f t="shared" ref="H153:H160" si="22">F153*G153</f>
        <v>556500</v>
      </c>
      <c r="I153" s="1169"/>
      <c r="J153" s="1392">
        <v>0</v>
      </c>
      <c r="K153" s="1393">
        <f>J153*F153</f>
        <v>0</v>
      </c>
      <c r="L153" s="1402" t="s">
        <v>145</v>
      </c>
      <c r="O153" s="1392">
        <v>0</v>
      </c>
    </row>
    <row r="154" spans="2:15">
      <c r="B154" s="267"/>
      <c r="C154" s="368" t="s">
        <v>28</v>
      </c>
      <c r="D154" s="279" t="s">
        <v>361</v>
      </c>
      <c r="E154" s="318" t="s">
        <v>100</v>
      </c>
      <c r="F154" s="365">
        <v>0.499</v>
      </c>
      <c r="G154" s="363">
        <f t="shared" ref="G154:G160" si="23">G143</f>
        <v>345000</v>
      </c>
      <c r="H154" s="381">
        <f t="shared" si="22"/>
        <v>172155</v>
      </c>
      <c r="I154" s="1169"/>
      <c r="J154" s="1392">
        <f>$J$153</f>
        <v>0</v>
      </c>
      <c r="K154" s="1393">
        <f>J154*F154</f>
        <v>0</v>
      </c>
      <c r="L154" s="1402" t="s">
        <v>100</v>
      </c>
      <c r="O154" s="1392">
        <f>$J$153</f>
        <v>0</v>
      </c>
    </row>
    <row r="155" spans="2:15">
      <c r="B155" s="267"/>
      <c r="C155" s="368" t="s">
        <v>28</v>
      </c>
      <c r="D155" s="41" t="s">
        <v>224</v>
      </c>
      <c r="E155" s="280" t="s">
        <v>143</v>
      </c>
      <c r="F155" s="365">
        <v>0.77600000000000002</v>
      </c>
      <c r="G155" s="363">
        <f t="shared" si="23"/>
        <v>297000</v>
      </c>
      <c r="H155" s="381">
        <f t="shared" si="22"/>
        <v>230472</v>
      </c>
      <c r="I155" s="1169"/>
      <c r="J155" s="1392">
        <f>$J$153</f>
        <v>0</v>
      </c>
      <c r="K155" s="1393">
        <f>J155*F155</f>
        <v>0</v>
      </c>
      <c r="L155" s="1402" t="s">
        <v>143</v>
      </c>
      <c r="O155" s="1392">
        <f>$J$153</f>
        <v>0</v>
      </c>
    </row>
    <row r="156" spans="2:15">
      <c r="B156" s="267"/>
      <c r="C156" s="407" t="s">
        <v>28</v>
      </c>
      <c r="D156" s="279" t="s">
        <v>300</v>
      </c>
      <c r="E156" s="280" t="s">
        <v>301</v>
      </c>
      <c r="F156" s="365">
        <v>215</v>
      </c>
      <c r="G156" s="363">
        <f t="shared" si="23"/>
        <v>500</v>
      </c>
      <c r="H156" s="381">
        <f t="shared" si="22"/>
        <v>107500</v>
      </c>
      <c r="I156" s="1169">
        <f>SUM(H153:H156)</f>
        <v>1066627</v>
      </c>
      <c r="J156" s="1392">
        <f>$J$153</f>
        <v>0</v>
      </c>
      <c r="K156" s="1393">
        <f>J156*F156</f>
        <v>0</v>
      </c>
      <c r="L156" s="1402" t="s">
        <v>301</v>
      </c>
      <c r="O156" s="1392">
        <f>$J$153</f>
        <v>0</v>
      </c>
    </row>
    <row r="157" spans="2:15">
      <c r="B157" s="267"/>
      <c r="C157" s="368" t="s">
        <v>28</v>
      </c>
      <c r="D157" s="279" t="s">
        <v>133</v>
      </c>
      <c r="E157" s="73" t="s">
        <v>132</v>
      </c>
      <c r="F157" s="365">
        <v>1.65</v>
      </c>
      <c r="G157" s="363">
        <f t="shared" si="23"/>
        <v>136000</v>
      </c>
      <c r="H157" s="381">
        <f t="shared" si="22"/>
        <v>224400</v>
      </c>
      <c r="I157" s="1169"/>
    </row>
    <row r="158" spans="2:15">
      <c r="B158" s="267"/>
      <c r="C158" s="368" t="s">
        <v>28</v>
      </c>
      <c r="D158" s="279" t="s">
        <v>245</v>
      </c>
      <c r="E158" s="280" t="s">
        <v>132</v>
      </c>
      <c r="F158" s="365">
        <v>0.27500000000000002</v>
      </c>
      <c r="G158" s="363">
        <f t="shared" si="23"/>
        <v>160000</v>
      </c>
      <c r="H158" s="381">
        <f t="shared" si="22"/>
        <v>44000</v>
      </c>
      <c r="I158" s="1169"/>
    </row>
    <row r="159" spans="2:15">
      <c r="B159" s="267"/>
      <c r="C159" s="368" t="s">
        <v>28</v>
      </c>
      <c r="D159" s="279" t="s">
        <v>140</v>
      </c>
      <c r="E159" s="280" t="s">
        <v>132</v>
      </c>
      <c r="F159" s="365">
        <v>2.8000000000000001E-2</v>
      </c>
      <c r="G159" s="363">
        <f t="shared" si="23"/>
        <v>170000</v>
      </c>
      <c r="H159" s="381">
        <f t="shared" si="22"/>
        <v>4760</v>
      </c>
      <c r="I159" s="1169"/>
    </row>
    <row r="160" spans="2:15">
      <c r="B160" s="386"/>
      <c r="C160" s="382" t="s">
        <v>28</v>
      </c>
      <c r="D160" s="383" t="s">
        <v>136</v>
      </c>
      <c r="E160" s="384" t="s">
        <v>132</v>
      </c>
      <c r="F160" s="385">
        <v>8.3000000000000004E-2</v>
      </c>
      <c r="G160" s="363">
        <f t="shared" si="23"/>
        <v>180000</v>
      </c>
      <c r="H160" s="381">
        <f t="shared" si="22"/>
        <v>14940</v>
      </c>
      <c r="I160" s="1169">
        <f>SUM(H157:H160)</f>
        <v>288100</v>
      </c>
    </row>
    <row r="161" spans="2:12">
      <c r="B161" s="251"/>
      <c r="C161" s="237"/>
      <c r="D161" s="84" t="s">
        <v>228</v>
      </c>
      <c r="E161" s="238"/>
      <c r="F161" s="374"/>
      <c r="G161" s="375"/>
      <c r="H161" s="376">
        <f>SUM(H153:H160)</f>
        <v>1354727</v>
      </c>
      <c r="I161" s="1169"/>
    </row>
    <row r="162" spans="2:12">
      <c r="B162" s="396"/>
      <c r="C162" s="377" t="s">
        <v>229</v>
      </c>
      <c r="D162" s="378"/>
      <c r="E162" s="378"/>
      <c r="F162" s="378"/>
      <c r="G162" s="379"/>
      <c r="H162" s="379">
        <f>ROUND(H161,0)</f>
        <v>1354727</v>
      </c>
      <c r="I162" s="1164"/>
    </row>
    <row r="163" spans="2:12">
      <c r="B163" s="269" t="s">
        <v>364</v>
      </c>
      <c r="C163" s="380" t="s">
        <v>365</v>
      </c>
      <c r="D163" s="328"/>
      <c r="E163" s="397"/>
      <c r="F163" s="398"/>
      <c r="G163" s="399"/>
      <c r="H163" s="400"/>
      <c r="I163" s="1169"/>
    </row>
    <row r="164" spans="2:12">
      <c r="B164" s="232"/>
      <c r="C164" s="66" t="s">
        <v>28</v>
      </c>
      <c r="D164" s="332" t="s">
        <v>221</v>
      </c>
      <c r="E164" s="277" t="s">
        <v>145</v>
      </c>
      <c r="F164" s="362">
        <f>7.68*50</f>
        <v>384</v>
      </c>
      <c r="G164" s="363">
        <f t="shared" ref="G164:G171" si="24">G142</f>
        <v>1500</v>
      </c>
      <c r="H164" s="401">
        <f t="shared" ref="H164:H171" si="25">F164*G164</f>
        <v>576000</v>
      </c>
      <c r="I164" s="1169"/>
      <c r="K164" s="1393">
        <f>J206*F164</f>
        <v>0</v>
      </c>
      <c r="L164" s="1402"/>
    </row>
    <row r="165" spans="2:12">
      <c r="B165" s="267"/>
      <c r="C165" s="368" t="s">
        <v>28</v>
      </c>
      <c r="D165" s="279" t="s">
        <v>361</v>
      </c>
      <c r="E165" s="318" t="s">
        <v>143</v>
      </c>
      <c r="F165" s="365">
        <v>0.49399999999999999</v>
      </c>
      <c r="G165" s="363">
        <f t="shared" si="24"/>
        <v>345000</v>
      </c>
      <c r="H165" s="381">
        <f t="shared" si="25"/>
        <v>170430</v>
      </c>
      <c r="I165" s="1169"/>
      <c r="K165" s="1393">
        <f>J207*F165</f>
        <v>0</v>
      </c>
      <c r="L165" s="1402"/>
    </row>
    <row r="166" spans="2:12">
      <c r="B166" s="267"/>
      <c r="C166" s="368" t="s">
        <v>28</v>
      </c>
      <c r="D166" s="41" t="s">
        <v>224</v>
      </c>
      <c r="E166" s="280" t="s">
        <v>143</v>
      </c>
      <c r="F166" s="365">
        <v>0.77</v>
      </c>
      <c r="G166" s="363">
        <f t="shared" si="24"/>
        <v>297000</v>
      </c>
      <c r="H166" s="381">
        <f t="shared" si="25"/>
        <v>228690</v>
      </c>
      <c r="I166" s="1169"/>
      <c r="K166" s="1393">
        <f>J208*F166</f>
        <v>0</v>
      </c>
      <c r="L166" s="1402"/>
    </row>
    <row r="167" spans="2:12">
      <c r="B167" s="267"/>
      <c r="C167" s="407" t="s">
        <v>28</v>
      </c>
      <c r="D167" s="279" t="s">
        <v>300</v>
      </c>
      <c r="E167" s="280" t="s">
        <v>301</v>
      </c>
      <c r="F167" s="365">
        <v>215</v>
      </c>
      <c r="G167" s="366">
        <f t="shared" si="24"/>
        <v>500</v>
      </c>
      <c r="H167" s="381">
        <f t="shared" si="25"/>
        <v>107500</v>
      </c>
      <c r="I167" s="1628">
        <f>SUM(H164:H167)</f>
        <v>1082620</v>
      </c>
      <c r="K167" s="1393">
        <f>J209*F167</f>
        <v>0</v>
      </c>
      <c r="L167" s="1402"/>
    </row>
    <row r="168" spans="2:12">
      <c r="B168" s="267"/>
      <c r="C168" s="368" t="s">
        <v>28</v>
      </c>
      <c r="D168" s="279" t="s">
        <v>133</v>
      </c>
      <c r="E168" s="73" t="s">
        <v>132</v>
      </c>
      <c r="F168" s="365">
        <v>1.65</v>
      </c>
      <c r="G168" s="363">
        <f t="shared" si="24"/>
        <v>136000</v>
      </c>
      <c r="H168" s="381">
        <f t="shared" si="25"/>
        <v>224400</v>
      </c>
      <c r="I168" s="1169"/>
    </row>
    <row r="169" spans="2:12">
      <c r="B169" s="267"/>
      <c r="C169" s="368" t="s">
        <v>28</v>
      </c>
      <c r="D169" s="279" t="s">
        <v>245</v>
      </c>
      <c r="E169" s="280" t="s">
        <v>132</v>
      </c>
      <c r="F169" s="365">
        <v>0.27500000000000002</v>
      </c>
      <c r="G169" s="363">
        <f t="shared" si="24"/>
        <v>160000</v>
      </c>
      <c r="H169" s="381">
        <f t="shared" si="25"/>
        <v>44000</v>
      </c>
      <c r="I169" s="1169"/>
    </row>
    <row r="170" spans="2:12">
      <c r="B170" s="267"/>
      <c r="C170" s="368" t="s">
        <v>28</v>
      </c>
      <c r="D170" s="279" t="s">
        <v>140</v>
      </c>
      <c r="E170" s="280" t="s">
        <v>132</v>
      </c>
      <c r="F170" s="365">
        <v>2.8000000000000001E-2</v>
      </c>
      <c r="G170" s="363">
        <f t="shared" si="24"/>
        <v>170000</v>
      </c>
      <c r="H170" s="381">
        <f t="shared" si="25"/>
        <v>4760</v>
      </c>
      <c r="I170" s="1169"/>
    </row>
    <row r="171" spans="2:12">
      <c r="B171" s="386"/>
      <c r="C171" s="382" t="s">
        <v>28</v>
      </c>
      <c r="D171" s="383" t="s">
        <v>136</v>
      </c>
      <c r="E171" s="384" t="s">
        <v>132</v>
      </c>
      <c r="F171" s="365">
        <v>8.3000000000000004E-2</v>
      </c>
      <c r="G171" s="363">
        <f t="shared" si="24"/>
        <v>180000</v>
      </c>
      <c r="H171" s="381">
        <f t="shared" si="25"/>
        <v>14940</v>
      </c>
      <c r="I171" s="1628">
        <f>SUM(H168:H171)</f>
        <v>288100</v>
      </c>
    </row>
    <row r="172" spans="2:12">
      <c r="B172" s="251"/>
      <c r="C172" s="252"/>
      <c r="D172" s="253" t="s">
        <v>228</v>
      </c>
      <c r="E172" s="254"/>
      <c r="F172" s="387"/>
      <c r="G172" s="388"/>
      <c r="H172" s="389">
        <f>SUM(H164:H171)</f>
        <v>1370720</v>
      </c>
      <c r="I172" s="1169"/>
    </row>
    <row r="173" spans="2:12">
      <c r="B173" s="396"/>
      <c r="C173" s="377" t="s">
        <v>229</v>
      </c>
      <c r="D173" s="378"/>
      <c r="E173" s="378"/>
      <c r="F173" s="378"/>
      <c r="G173" s="379"/>
      <c r="H173" s="379">
        <f>ROUND(H172,0)</f>
        <v>1370720</v>
      </c>
      <c r="I173" s="1164"/>
    </row>
    <row r="174" spans="2:12">
      <c r="B174" s="402" t="s">
        <v>366</v>
      </c>
      <c r="C174" s="380" t="s">
        <v>367</v>
      </c>
      <c r="D174" s="391"/>
      <c r="E174" s="392"/>
      <c r="F174" s="393"/>
      <c r="G174" s="394"/>
      <c r="H174" s="395"/>
      <c r="I174" s="1169"/>
    </row>
    <row r="175" spans="2:12">
      <c r="B175" s="232"/>
      <c r="C175" s="66" t="s">
        <v>28</v>
      </c>
      <c r="D175" s="332" t="s">
        <v>221</v>
      </c>
      <c r="E175" s="277" t="s">
        <v>145</v>
      </c>
      <c r="F175" s="362">
        <f>8.12*50</f>
        <v>405.99999999999994</v>
      </c>
      <c r="G175" s="363">
        <f t="shared" ref="G175:G182" si="26">G153</f>
        <v>1500</v>
      </c>
      <c r="H175" s="381">
        <f t="shared" ref="H175:H182" si="27">F175*G175</f>
        <v>608999.99999999988</v>
      </c>
      <c r="I175" s="1169"/>
    </row>
    <row r="176" spans="2:12">
      <c r="B176" s="267"/>
      <c r="C176" s="368" t="s">
        <v>28</v>
      </c>
      <c r="D176" s="279" t="s">
        <v>361</v>
      </c>
      <c r="E176" s="318" t="s">
        <v>143</v>
      </c>
      <c r="F176" s="365">
        <v>0.48899999999999999</v>
      </c>
      <c r="G176" s="363">
        <f t="shared" si="26"/>
        <v>345000</v>
      </c>
      <c r="H176" s="381">
        <f t="shared" si="27"/>
        <v>168705</v>
      </c>
      <c r="I176" s="1169"/>
    </row>
    <row r="177" spans="2:15">
      <c r="B177" s="267"/>
      <c r="C177" s="368" t="s">
        <v>28</v>
      </c>
      <c r="D177" s="41" t="s">
        <v>224</v>
      </c>
      <c r="E177" s="280" t="s">
        <v>143</v>
      </c>
      <c r="F177" s="365">
        <v>0.76</v>
      </c>
      <c r="G177" s="363">
        <f t="shared" si="26"/>
        <v>297000</v>
      </c>
      <c r="H177" s="381">
        <f t="shared" si="27"/>
        <v>225720</v>
      </c>
      <c r="I177" s="1169"/>
    </row>
    <row r="178" spans="2:15">
      <c r="B178" s="267"/>
      <c r="C178" s="407" t="s">
        <v>28</v>
      </c>
      <c r="D178" s="279" t="s">
        <v>300</v>
      </c>
      <c r="E178" s="280" t="s">
        <v>301</v>
      </c>
      <c r="F178" s="365">
        <v>215</v>
      </c>
      <c r="G178" s="366">
        <f t="shared" si="26"/>
        <v>500</v>
      </c>
      <c r="H178" s="381">
        <f t="shared" si="27"/>
        <v>107500</v>
      </c>
      <c r="I178" s="1169">
        <f>SUM(H175:H178)</f>
        <v>1110925</v>
      </c>
    </row>
    <row r="179" spans="2:15">
      <c r="B179" s="267"/>
      <c r="C179" s="368" t="s">
        <v>28</v>
      </c>
      <c r="D179" s="279" t="s">
        <v>133</v>
      </c>
      <c r="E179" s="73" t="s">
        <v>132</v>
      </c>
      <c r="F179" s="365">
        <v>1.65</v>
      </c>
      <c r="G179" s="363">
        <f t="shared" si="26"/>
        <v>136000</v>
      </c>
      <c r="H179" s="381">
        <f t="shared" si="27"/>
        <v>224400</v>
      </c>
      <c r="I179" s="1169"/>
    </row>
    <row r="180" spans="2:15">
      <c r="B180" s="267"/>
      <c r="C180" s="368" t="s">
        <v>28</v>
      </c>
      <c r="D180" s="279" t="s">
        <v>245</v>
      </c>
      <c r="E180" s="280" t="s">
        <v>132</v>
      </c>
      <c r="F180" s="365">
        <v>0.27500000000000002</v>
      </c>
      <c r="G180" s="363">
        <f t="shared" si="26"/>
        <v>160000</v>
      </c>
      <c r="H180" s="381">
        <f t="shared" si="27"/>
        <v>44000</v>
      </c>
      <c r="I180" s="1169"/>
    </row>
    <row r="181" spans="2:15">
      <c r="B181" s="267"/>
      <c r="C181" s="368" t="s">
        <v>28</v>
      </c>
      <c r="D181" s="279" t="s">
        <v>140</v>
      </c>
      <c r="E181" s="280" t="s">
        <v>132</v>
      </c>
      <c r="F181" s="365">
        <v>2.8000000000000001E-2</v>
      </c>
      <c r="G181" s="363">
        <f t="shared" si="26"/>
        <v>170000</v>
      </c>
      <c r="H181" s="381">
        <f t="shared" si="27"/>
        <v>4760</v>
      </c>
      <c r="I181" s="1169"/>
    </row>
    <row r="182" spans="2:15">
      <c r="B182" s="386"/>
      <c r="C182" s="382" t="s">
        <v>28</v>
      </c>
      <c r="D182" s="383" t="s">
        <v>136</v>
      </c>
      <c r="E182" s="384" t="s">
        <v>132</v>
      </c>
      <c r="F182" s="365">
        <v>8.3000000000000004E-2</v>
      </c>
      <c r="G182" s="408">
        <f t="shared" si="26"/>
        <v>180000</v>
      </c>
      <c r="H182" s="381">
        <f t="shared" si="27"/>
        <v>14940</v>
      </c>
      <c r="I182" s="1169">
        <f>SUM(H179:H182)</f>
        <v>288100</v>
      </c>
    </row>
    <row r="183" spans="2:15">
      <c r="B183" s="251"/>
      <c r="C183" s="252"/>
      <c r="D183" s="253" t="s">
        <v>228</v>
      </c>
      <c r="E183" s="254"/>
      <c r="F183" s="387"/>
      <c r="G183" s="388"/>
      <c r="H183" s="389">
        <f>SUM(H175:H182)</f>
        <v>1399025</v>
      </c>
      <c r="I183" s="1169"/>
    </row>
    <row r="184" spans="2:15">
      <c r="B184" s="396"/>
      <c r="C184" s="377" t="s">
        <v>229</v>
      </c>
      <c r="D184" s="378"/>
      <c r="E184" s="378"/>
      <c r="F184" s="378"/>
      <c r="G184" s="379"/>
      <c r="H184" s="379">
        <f>ROUND(H183,0)</f>
        <v>1399025</v>
      </c>
      <c r="I184" s="1164"/>
    </row>
    <row r="185" spans="2:15">
      <c r="B185" s="269" t="s">
        <v>368</v>
      </c>
      <c r="C185" s="380" t="s">
        <v>369</v>
      </c>
      <c r="D185" s="270"/>
      <c r="E185" s="403"/>
      <c r="F185" s="404"/>
      <c r="G185" s="405"/>
      <c r="H185" s="406"/>
      <c r="I185" s="1169"/>
    </row>
    <row r="186" spans="2:15">
      <c r="B186" s="232"/>
      <c r="C186" s="66" t="s">
        <v>28</v>
      </c>
      <c r="D186" s="332" t="s">
        <v>221</v>
      </c>
      <c r="E186" s="277" t="s">
        <v>145</v>
      </c>
      <c r="F186" s="362">
        <v>413</v>
      </c>
      <c r="G186" s="363">
        <f>G175</f>
        <v>1500</v>
      </c>
      <c r="H186" s="381">
        <f t="shared" ref="H186:H193" si="28">F186*G186</f>
        <v>619500</v>
      </c>
      <c r="I186" s="1169"/>
      <c r="J186" s="1467">
        <f>BOQ!$Q$54</f>
        <v>0</v>
      </c>
      <c r="K186" s="1393">
        <f>J186*F186</f>
        <v>0</v>
      </c>
      <c r="N186" s="1467" t="str">
        <f>BOQ!P54</f>
        <v>site mix k300</v>
      </c>
      <c r="O186" s="1467">
        <f>BOQ!Q54</f>
        <v>0</v>
      </c>
    </row>
    <row r="187" spans="2:15">
      <c r="B187" s="267"/>
      <c r="C187" s="368" t="s">
        <v>28</v>
      </c>
      <c r="D187" s="279" t="s">
        <v>361</v>
      </c>
      <c r="E187" s="318" t="s">
        <v>143</v>
      </c>
      <c r="F187" s="365">
        <v>0.48599999999999999</v>
      </c>
      <c r="G187" s="363">
        <f t="shared" ref="G187:G193" si="29">G176</f>
        <v>345000</v>
      </c>
      <c r="H187" s="381">
        <f t="shared" si="28"/>
        <v>167670</v>
      </c>
      <c r="I187" s="1169"/>
      <c r="J187" s="1467">
        <f>$J$186</f>
        <v>0</v>
      </c>
      <c r="K187" s="1467">
        <f>J187*F187</f>
        <v>0</v>
      </c>
      <c r="O187" s="1467">
        <f>$J$186</f>
        <v>0</v>
      </c>
    </row>
    <row r="188" spans="2:15">
      <c r="B188" s="267"/>
      <c r="C188" s="368" t="s">
        <v>28</v>
      </c>
      <c r="D188" s="41" t="s">
        <v>224</v>
      </c>
      <c r="E188" s="280" t="s">
        <v>143</v>
      </c>
      <c r="F188" s="365">
        <v>0.75600000000000001</v>
      </c>
      <c r="G188" s="363">
        <f t="shared" si="29"/>
        <v>297000</v>
      </c>
      <c r="H188" s="381">
        <f t="shared" si="28"/>
        <v>224532</v>
      </c>
      <c r="I188" s="1169"/>
      <c r="J188" s="1467">
        <f>$J$186</f>
        <v>0</v>
      </c>
      <c r="K188" s="1467">
        <f>J188*F188</f>
        <v>0</v>
      </c>
      <c r="O188" s="1467">
        <f>$J$186</f>
        <v>0</v>
      </c>
    </row>
    <row r="189" spans="2:15">
      <c r="B189" s="267"/>
      <c r="C189" s="407" t="s">
        <v>28</v>
      </c>
      <c r="D189" s="279" t="s">
        <v>300</v>
      </c>
      <c r="E189" s="280" t="s">
        <v>301</v>
      </c>
      <c r="F189" s="365">
        <v>215</v>
      </c>
      <c r="G189" s="363">
        <f t="shared" si="29"/>
        <v>500</v>
      </c>
      <c r="H189" s="381">
        <f t="shared" si="28"/>
        <v>107500</v>
      </c>
      <c r="I189" s="1169">
        <f>SUM(H186:H189)</f>
        <v>1119202</v>
      </c>
      <c r="J189" s="1467">
        <f>$J$186</f>
        <v>0</v>
      </c>
      <c r="K189" s="1467">
        <f>J189*F189</f>
        <v>0</v>
      </c>
      <c r="O189" s="1467">
        <f>$J$186</f>
        <v>0</v>
      </c>
    </row>
    <row r="190" spans="2:15">
      <c r="B190" s="267"/>
      <c r="C190" s="368" t="s">
        <v>28</v>
      </c>
      <c r="D190" s="279" t="s">
        <v>133</v>
      </c>
      <c r="E190" s="73" t="s">
        <v>132</v>
      </c>
      <c r="F190" s="365">
        <v>1.65</v>
      </c>
      <c r="G190" s="363">
        <f t="shared" si="29"/>
        <v>136000</v>
      </c>
      <c r="H190" s="381">
        <f t="shared" si="28"/>
        <v>224400</v>
      </c>
      <c r="I190" s="1169"/>
      <c r="J190" s="1467"/>
      <c r="O190" s="1467"/>
    </row>
    <row r="191" spans="2:15">
      <c r="B191" s="267"/>
      <c r="C191" s="368" t="s">
        <v>28</v>
      </c>
      <c r="D191" s="279" t="s">
        <v>245</v>
      </c>
      <c r="E191" s="280" t="s">
        <v>132</v>
      </c>
      <c r="F191" s="365">
        <v>0.27500000000000002</v>
      </c>
      <c r="G191" s="363">
        <f t="shared" si="29"/>
        <v>160000</v>
      </c>
      <c r="H191" s="381">
        <f t="shared" si="28"/>
        <v>44000</v>
      </c>
      <c r="I191" s="1169"/>
      <c r="J191" s="1467"/>
      <c r="O191" s="1467"/>
    </row>
    <row r="192" spans="2:15">
      <c r="B192" s="267"/>
      <c r="C192" s="368" t="s">
        <v>28</v>
      </c>
      <c r="D192" s="279" t="s">
        <v>140</v>
      </c>
      <c r="E192" s="280" t="s">
        <v>132</v>
      </c>
      <c r="F192" s="365">
        <v>2.8000000000000001E-2</v>
      </c>
      <c r="G192" s="363">
        <f t="shared" si="29"/>
        <v>170000</v>
      </c>
      <c r="H192" s="381">
        <f t="shared" si="28"/>
        <v>4760</v>
      </c>
      <c r="I192" s="1169"/>
    </row>
    <row r="193" spans="2:15">
      <c r="B193" s="386"/>
      <c r="C193" s="382" t="s">
        <v>28</v>
      </c>
      <c r="D193" s="383" t="s">
        <v>136</v>
      </c>
      <c r="E193" s="384" t="s">
        <v>132</v>
      </c>
      <c r="F193" s="365">
        <v>8.3000000000000004E-2</v>
      </c>
      <c r="G193" s="363">
        <f t="shared" si="29"/>
        <v>180000</v>
      </c>
      <c r="H193" s="381">
        <f t="shared" si="28"/>
        <v>14940</v>
      </c>
      <c r="I193" s="1169">
        <f>SUM(H190:H193)</f>
        <v>288100</v>
      </c>
    </row>
    <row r="194" spans="2:15">
      <c r="B194" s="251"/>
      <c r="C194" s="252"/>
      <c r="D194" s="253" t="s">
        <v>228</v>
      </c>
      <c r="E194" s="254"/>
      <c r="F194" s="387"/>
      <c r="G194" s="388"/>
      <c r="H194" s="389">
        <f>SUM(H186:H193)</f>
        <v>1407302</v>
      </c>
      <c r="I194" s="1169"/>
    </row>
    <row r="195" spans="2:15">
      <c r="B195" s="396"/>
      <c r="C195" s="377" t="s">
        <v>229</v>
      </c>
      <c r="D195" s="378"/>
      <c r="E195" s="378"/>
      <c r="F195" s="378"/>
      <c r="G195" s="379"/>
      <c r="H195" s="379">
        <f>ROUND(H194,0)</f>
        <v>1407302</v>
      </c>
      <c r="I195" s="1164"/>
    </row>
    <row r="196" spans="2:15">
      <c r="B196" s="269" t="s">
        <v>370</v>
      </c>
      <c r="C196" s="380" t="s">
        <v>371</v>
      </c>
      <c r="D196" s="270"/>
      <c r="E196" s="403"/>
      <c r="F196" s="404"/>
      <c r="G196" s="405"/>
      <c r="H196" s="406"/>
      <c r="I196" s="1169"/>
    </row>
    <row r="197" spans="2:15">
      <c r="B197" s="232"/>
      <c r="C197" s="66" t="s">
        <v>28</v>
      </c>
      <c r="D197" s="332" t="s">
        <v>372</v>
      </c>
      <c r="E197" s="277" t="s">
        <v>143</v>
      </c>
      <c r="F197" s="362">
        <v>1.05</v>
      </c>
      <c r="G197" s="363">
        <f>BAHAN!$E$36</f>
        <v>770000</v>
      </c>
      <c r="H197" s="381">
        <f t="shared" ref="H197:H202" si="30">F197*G197</f>
        <v>808500</v>
      </c>
      <c r="I197" s="1169"/>
    </row>
    <row r="198" spans="2:15">
      <c r="B198" s="267"/>
      <c r="C198" s="368" t="s">
        <v>28</v>
      </c>
      <c r="D198" s="279" t="s">
        <v>373</v>
      </c>
      <c r="E198" s="318" t="s">
        <v>143</v>
      </c>
      <c r="F198" s="365">
        <v>1</v>
      </c>
      <c r="G198" s="363">
        <f>BAHAN!$E$38</f>
        <v>160000</v>
      </c>
      <c r="H198" s="381">
        <f t="shared" si="30"/>
        <v>160000</v>
      </c>
      <c r="I198" s="1169">
        <f>SUM(H197:H198)</f>
        <v>968500</v>
      </c>
    </row>
    <row r="199" spans="2:15">
      <c r="B199" s="267"/>
      <c r="C199" s="368" t="s">
        <v>28</v>
      </c>
      <c r="D199" s="279" t="s">
        <v>133</v>
      </c>
      <c r="E199" s="73" t="s">
        <v>132</v>
      </c>
      <c r="F199" s="365">
        <v>1.5</v>
      </c>
      <c r="G199" s="363">
        <f>G190</f>
        <v>136000</v>
      </c>
      <c r="H199" s="381">
        <f t="shared" si="30"/>
        <v>204000</v>
      </c>
      <c r="I199" s="1169"/>
    </row>
    <row r="200" spans="2:15">
      <c r="B200" s="267"/>
      <c r="C200" s="368" t="s">
        <v>28</v>
      </c>
      <c r="D200" s="279" t="s">
        <v>245</v>
      </c>
      <c r="E200" s="280" t="s">
        <v>132</v>
      </c>
      <c r="F200" s="365">
        <v>0.4</v>
      </c>
      <c r="G200" s="363">
        <f>G191</f>
        <v>160000</v>
      </c>
      <c r="H200" s="381">
        <f t="shared" si="30"/>
        <v>64000</v>
      </c>
      <c r="I200" s="1169"/>
    </row>
    <row r="201" spans="2:15">
      <c r="B201" s="267"/>
      <c r="C201" s="368" t="s">
        <v>28</v>
      </c>
      <c r="D201" s="279" t="s">
        <v>140</v>
      </c>
      <c r="E201" s="280" t="s">
        <v>132</v>
      </c>
      <c r="F201" s="365">
        <v>0.04</v>
      </c>
      <c r="G201" s="363">
        <f>G192</f>
        <v>170000</v>
      </c>
      <c r="H201" s="381">
        <f t="shared" si="30"/>
        <v>6800</v>
      </c>
      <c r="I201" s="1169"/>
    </row>
    <row r="202" spans="2:15">
      <c r="B202" s="386"/>
      <c r="C202" s="382" t="s">
        <v>28</v>
      </c>
      <c r="D202" s="383" t="s">
        <v>136</v>
      </c>
      <c r="E202" s="384" t="s">
        <v>132</v>
      </c>
      <c r="F202" s="365">
        <v>7.4999999999999997E-2</v>
      </c>
      <c r="G202" s="363">
        <f>G193</f>
        <v>180000</v>
      </c>
      <c r="H202" s="381">
        <f t="shared" si="30"/>
        <v>13500</v>
      </c>
      <c r="I202" s="1169">
        <f>SUM(H199:H202)</f>
        <v>288300</v>
      </c>
    </row>
    <row r="203" spans="2:15">
      <c r="B203" s="251"/>
      <c r="C203" s="252"/>
      <c r="D203" s="253" t="s">
        <v>228</v>
      </c>
      <c r="E203" s="254"/>
      <c r="F203" s="387"/>
      <c r="G203" s="388"/>
      <c r="H203" s="389">
        <f>SUM(H197:H202)</f>
        <v>1256800</v>
      </c>
      <c r="I203" s="1169"/>
    </row>
    <row r="204" spans="2:15">
      <c r="B204" s="396"/>
      <c r="C204" s="377" t="s">
        <v>229</v>
      </c>
      <c r="D204" s="378"/>
      <c r="E204" s="378"/>
      <c r="F204" s="378"/>
      <c r="G204" s="379"/>
      <c r="H204" s="379">
        <f>ROUND(H203,0)</f>
        <v>1256800</v>
      </c>
      <c r="I204" s="1164"/>
    </row>
    <row r="205" spans="2:15">
      <c r="B205" s="269" t="s">
        <v>374</v>
      </c>
      <c r="C205" s="380" t="s">
        <v>375</v>
      </c>
      <c r="D205" s="270"/>
      <c r="E205" s="403"/>
      <c r="F205" s="404"/>
      <c r="G205" s="405"/>
      <c r="H205" s="406"/>
      <c r="I205" s="1169"/>
    </row>
    <row r="206" spans="2:15">
      <c r="B206" s="232"/>
      <c r="C206" s="66" t="s">
        <v>28</v>
      </c>
      <c r="D206" s="332" t="s">
        <v>376</v>
      </c>
      <c r="E206" s="277" t="s">
        <v>143</v>
      </c>
      <c r="F206" s="362">
        <v>1.05</v>
      </c>
      <c r="G206" s="363">
        <f>BAHAN!$E$35</f>
        <v>810000</v>
      </c>
      <c r="H206" s="381">
        <f t="shared" ref="H206:H211" si="31">F206*G206</f>
        <v>850500</v>
      </c>
      <c r="I206" s="1169"/>
      <c r="J206" s="1467">
        <f>SUMIF(BOQ!$G$1:$G$2419,I207,BOQ!$E$1:$E$2419)</f>
        <v>0</v>
      </c>
      <c r="K206" s="1393">
        <f>F206*J206</f>
        <v>0</v>
      </c>
      <c r="L206" s="1402" t="s">
        <v>143</v>
      </c>
      <c r="M206" s="1467" t="e">
        <f>BOQ!#REF!+BOQ!#REF!+BOQ!$E$64+BOQ!$E$81+BOQ!#REF!+BOQ!#REF!+BOQ!$E$122+BOQ!#REF!+BOQ!$E$156+BOQ!$E$169+BOQ!#REF!+BOQ!#REF!+BOQ!#REF!+BOQ!#REF!</f>
        <v>#REF!</v>
      </c>
      <c r="O206" s="1467">
        <v>0</v>
      </c>
    </row>
    <row r="207" spans="2:15">
      <c r="B207" s="267"/>
      <c r="C207" s="368" t="s">
        <v>28</v>
      </c>
      <c r="D207" s="279" t="s">
        <v>373</v>
      </c>
      <c r="E207" s="318" t="s">
        <v>143</v>
      </c>
      <c r="F207" s="365">
        <v>1</v>
      </c>
      <c r="G207" s="363">
        <f>G198</f>
        <v>160000</v>
      </c>
      <c r="H207" s="381">
        <f t="shared" si="31"/>
        <v>160000</v>
      </c>
      <c r="I207" s="1169">
        <f>SUM(H206:H207)</f>
        <v>1010500</v>
      </c>
      <c r="J207" s="1467">
        <f>$J$206</f>
        <v>0</v>
      </c>
      <c r="K207" s="1467">
        <f>F207*J207</f>
        <v>0</v>
      </c>
      <c r="L207" s="1402" t="s">
        <v>143</v>
      </c>
      <c r="O207" s="1467">
        <f>$J$206</f>
        <v>0</v>
      </c>
    </row>
    <row r="208" spans="2:15">
      <c r="B208" s="267"/>
      <c r="C208" s="368" t="s">
        <v>28</v>
      </c>
      <c r="D208" s="279" t="s">
        <v>133</v>
      </c>
      <c r="E208" s="73" t="s">
        <v>132</v>
      </c>
      <c r="F208" s="365">
        <v>1.5</v>
      </c>
      <c r="G208" s="363">
        <f>G199</f>
        <v>136000</v>
      </c>
      <c r="H208" s="381">
        <f t="shared" si="31"/>
        <v>204000</v>
      </c>
      <c r="I208" s="1169"/>
      <c r="J208" s="1467"/>
      <c r="O208" s="1467"/>
    </row>
    <row r="209" spans="2:17">
      <c r="B209" s="267"/>
      <c r="C209" s="368" t="s">
        <v>28</v>
      </c>
      <c r="D209" s="279" t="s">
        <v>245</v>
      </c>
      <c r="E209" s="280" t="s">
        <v>132</v>
      </c>
      <c r="F209" s="365">
        <v>0.4</v>
      </c>
      <c r="G209" s="363">
        <f>G200</f>
        <v>160000</v>
      </c>
      <c r="H209" s="381">
        <f t="shared" si="31"/>
        <v>64000</v>
      </c>
      <c r="I209" s="1169"/>
      <c r="J209" s="1467"/>
      <c r="O209" s="1467"/>
    </row>
    <row r="210" spans="2:17">
      <c r="B210" s="267"/>
      <c r="C210" s="368" t="s">
        <v>28</v>
      </c>
      <c r="D210" s="279" t="s">
        <v>140</v>
      </c>
      <c r="E210" s="280" t="s">
        <v>132</v>
      </c>
      <c r="F210" s="365">
        <v>0.04</v>
      </c>
      <c r="G210" s="363">
        <f>G201</f>
        <v>170000</v>
      </c>
      <c r="H210" s="381">
        <f t="shared" si="31"/>
        <v>6800</v>
      </c>
      <c r="I210" s="1169"/>
    </row>
    <row r="211" spans="2:17">
      <c r="B211" s="386"/>
      <c r="C211" s="382" t="s">
        <v>28</v>
      </c>
      <c r="D211" s="383" t="s">
        <v>136</v>
      </c>
      <c r="E211" s="384" t="s">
        <v>132</v>
      </c>
      <c r="F211" s="365">
        <v>7.4999999999999997E-2</v>
      </c>
      <c r="G211" s="363">
        <f>G202</f>
        <v>180000</v>
      </c>
      <c r="H211" s="381">
        <f t="shared" si="31"/>
        <v>13500</v>
      </c>
      <c r="I211" s="1169">
        <f>SUM(H208:H211)</f>
        <v>288300</v>
      </c>
    </row>
    <row r="212" spans="2:17">
      <c r="B212" s="251"/>
      <c r="C212" s="252"/>
      <c r="D212" s="253" t="s">
        <v>228</v>
      </c>
      <c r="E212" s="254"/>
      <c r="F212" s="387"/>
      <c r="G212" s="388"/>
      <c r="H212" s="389">
        <f>SUM(H206:H211)</f>
        <v>1298800</v>
      </c>
      <c r="I212" s="1169"/>
    </row>
    <row r="213" spans="2:17">
      <c r="B213" s="396"/>
      <c r="C213" s="377" t="s">
        <v>229</v>
      </c>
      <c r="D213" s="378"/>
      <c r="E213" s="378"/>
      <c r="F213" s="378"/>
      <c r="G213" s="379"/>
      <c r="H213" s="379">
        <f>ROUND(H212,0)</f>
        <v>1298800</v>
      </c>
      <c r="I213" s="1164"/>
    </row>
    <row r="214" spans="2:17">
      <c r="B214" s="269" t="s">
        <v>377</v>
      </c>
      <c r="C214" s="380" t="s">
        <v>378</v>
      </c>
      <c r="D214" s="270"/>
      <c r="E214" s="403"/>
      <c r="F214" s="404"/>
      <c r="G214" s="405"/>
      <c r="H214" s="406"/>
      <c r="I214" s="1169"/>
    </row>
    <row r="215" spans="2:17">
      <c r="B215" s="232"/>
      <c r="C215" s="66" t="s">
        <v>28</v>
      </c>
      <c r="D215" s="332" t="s">
        <v>379</v>
      </c>
      <c r="E215" s="277" t="s">
        <v>143</v>
      </c>
      <c r="F215" s="362">
        <v>1.05</v>
      </c>
      <c r="G215" s="363">
        <f>BAHAN!$E$34</f>
        <v>860000</v>
      </c>
      <c r="H215" s="381">
        <f t="shared" ref="H215:H220" si="32">F215*G215</f>
        <v>903000</v>
      </c>
      <c r="I215" s="1169"/>
      <c r="J215" s="1467">
        <f>BOQ!$Q$56</f>
        <v>0</v>
      </c>
      <c r="K215" s="1829">
        <f>F215*J215</f>
        <v>0</v>
      </c>
      <c r="N215" s="1467" t="str">
        <f>BOQ!P56</f>
        <v>ready mix k300</v>
      </c>
      <c r="O215" s="1467">
        <f>BOQ!Q56</f>
        <v>0</v>
      </c>
    </row>
    <row r="216" spans="2:17">
      <c r="B216" s="267"/>
      <c r="C216" s="368" t="s">
        <v>28</v>
      </c>
      <c r="D216" s="279" t="s">
        <v>373</v>
      </c>
      <c r="E216" s="318" t="s">
        <v>143</v>
      </c>
      <c r="F216" s="365">
        <v>1</v>
      </c>
      <c r="G216" s="363">
        <f>G207</f>
        <v>160000</v>
      </c>
      <c r="H216" s="381">
        <f t="shared" si="32"/>
        <v>160000</v>
      </c>
      <c r="I216" s="1169">
        <f>SUM(H215:H216)</f>
        <v>1063000</v>
      </c>
      <c r="J216" s="1467">
        <f>J215</f>
        <v>0</v>
      </c>
      <c r="K216" s="1829">
        <f>F216*J216</f>
        <v>0</v>
      </c>
      <c r="O216" s="1467">
        <f>O215</f>
        <v>0</v>
      </c>
    </row>
    <row r="217" spans="2:17">
      <c r="B217" s="267"/>
      <c r="C217" s="368" t="s">
        <v>28</v>
      </c>
      <c r="D217" s="279" t="s">
        <v>133</v>
      </c>
      <c r="E217" s="73" t="s">
        <v>132</v>
      </c>
      <c r="F217" s="365">
        <v>1.5</v>
      </c>
      <c r="G217" s="363">
        <f>G208</f>
        <v>136000</v>
      </c>
      <c r="H217" s="381">
        <f t="shared" si="32"/>
        <v>204000</v>
      </c>
      <c r="I217" s="1169"/>
    </row>
    <row r="218" spans="2:17">
      <c r="B218" s="267"/>
      <c r="C218" s="368" t="s">
        <v>28</v>
      </c>
      <c r="D218" s="279" t="s">
        <v>245</v>
      </c>
      <c r="E218" s="280" t="s">
        <v>132</v>
      </c>
      <c r="F218" s="365">
        <v>0.4</v>
      </c>
      <c r="G218" s="363">
        <f>G209</f>
        <v>160000</v>
      </c>
      <c r="H218" s="381">
        <f t="shared" si="32"/>
        <v>64000</v>
      </c>
      <c r="I218" s="1169"/>
    </row>
    <row r="219" spans="2:17">
      <c r="B219" s="267"/>
      <c r="C219" s="368" t="s">
        <v>28</v>
      </c>
      <c r="D219" s="279" t="s">
        <v>140</v>
      </c>
      <c r="E219" s="280" t="s">
        <v>132</v>
      </c>
      <c r="F219" s="365">
        <v>0.04</v>
      </c>
      <c r="G219" s="363">
        <f>G210</f>
        <v>170000</v>
      </c>
      <c r="H219" s="381">
        <f t="shared" si="32"/>
        <v>6800</v>
      </c>
      <c r="I219" s="1169"/>
    </row>
    <row r="220" spans="2:17">
      <c r="B220" s="386"/>
      <c r="C220" s="382" t="s">
        <v>28</v>
      </c>
      <c r="D220" s="383" t="s">
        <v>136</v>
      </c>
      <c r="E220" s="384" t="s">
        <v>132</v>
      </c>
      <c r="F220" s="365">
        <v>7.4999999999999997E-2</v>
      </c>
      <c r="G220" s="363">
        <f>G211</f>
        <v>180000</v>
      </c>
      <c r="H220" s="381">
        <f t="shared" si="32"/>
        <v>13500</v>
      </c>
      <c r="I220" s="1169">
        <f>SUM(H217:H220)</f>
        <v>288300</v>
      </c>
    </row>
    <row r="221" spans="2:17">
      <c r="B221" s="251"/>
      <c r="C221" s="252"/>
      <c r="D221" s="253" t="s">
        <v>228</v>
      </c>
      <c r="E221" s="254"/>
      <c r="F221" s="387"/>
      <c r="G221" s="388"/>
      <c r="H221" s="389">
        <f>SUM(H215:H220)</f>
        <v>1351300</v>
      </c>
      <c r="I221" s="1169"/>
    </row>
    <row r="222" spans="2:17">
      <c r="B222" s="396"/>
      <c r="C222" s="377" t="s">
        <v>229</v>
      </c>
      <c r="D222" s="378"/>
      <c r="E222" s="378"/>
      <c r="F222" s="378"/>
      <c r="G222" s="379"/>
      <c r="H222" s="379">
        <f>ROUND(H221,0)</f>
        <v>1351300</v>
      </c>
      <c r="I222" s="1164"/>
    </row>
    <row r="223" spans="2:17">
      <c r="B223" s="239" t="s">
        <v>1335</v>
      </c>
      <c r="C223" s="195" t="s">
        <v>1336</v>
      </c>
      <c r="D223" s="357"/>
      <c r="E223" s="358"/>
      <c r="F223" s="359"/>
      <c r="G223" s="360"/>
      <c r="H223" s="361"/>
      <c r="I223" s="1169"/>
    </row>
    <row r="224" spans="2:17" s="1824" customFormat="1">
      <c r="B224" s="1831"/>
      <c r="C224" s="1832" t="s">
        <v>28</v>
      </c>
      <c r="D224" s="1833" t="s">
        <v>1337</v>
      </c>
      <c r="E224" s="1834" t="s">
        <v>145</v>
      </c>
      <c r="F224" s="1835">
        <v>1.05</v>
      </c>
      <c r="G224" s="1836">
        <f>BAHAN!$E$141</f>
        <v>8417.7199999999993</v>
      </c>
      <c r="H224" s="1837">
        <f t="shared" ref="H224:H229" si="33">F224*G224</f>
        <v>8838.6059999999998</v>
      </c>
      <c r="I224" s="1838"/>
      <c r="J224" s="1839">
        <f>BOQ!$Q$53</f>
        <v>0</v>
      </c>
      <c r="K224" s="1839">
        <f>J224*F224</f>
        <v>0</v>
      </c>
      <c r="L224" s="1840" t="s">
        <v>145</v>
      </c>
      <c r="M224" s="1839" t="e">
        <f>BOQ!#REF!+BOQ!E71+BOQ!E78+BOQ!E84+BOQ!E96+BOQ!#REF!+BOQ!#REF!+BOQ!E129+BOQ!E136+BOQ!#REF!+BOQ!E162+BOQ!E188+BOQ!#REF!+BOQ!#REF!+BOQ!#REF!+BOQ!#REF!+BOQ!#REF!+BOQ!#REF!+BOQ!#REF!+BOQ!#REF!</f>
        <v>#REF!</v>
      </c>
      <c r="N224" s="1839" t="str">
        <f>BOQ!P53</f>
        <v>Ø 8</v>
      </c>
      <c r="O224" s="1839">
        <f>BOQ!Q53</f>
        <v>0</v>
      </c>
      <c r="P224" s="1841"/>
      <c r="Q224" s="1841"/>
    </row>
    <row r="225" spans="2:17">
      <c r="B225" s="267"/>
      <c r="C225" s="72" t="s">
        <v>28</v>
      </c>
      <c r="D225" s="279" t="s">
        <v>326</v>
      </c>
      <c r="E225" s="318" t="s">
        <v>145</v>
      </c>
      <c r="F225" s="365">
        <v>1.4999999999999999E-2</v>
      </c>
      <c r="G225" s="366">
        <f>BAHAN!$E$152</f>
        <v>17781.5</v>
      </c>
      <c r="H225" s="367">
        <f t="shared" si="33"/>
        <v>266.72249999999997</v>
      </c>
      <c r="I225" s="1169">
        <f>SUM(H224:H225)</f>
        <v>9105.3284999999996</v>
      </c>
      <c r="J225" s="1393">
        <f>J224</f>
        <v>0</v>
      </c>
      <c r="K225" s="1393">
        <f>J225*F225</f>
        <v>0</v>
      </c>
      <c r="L225" s="1402" t="s">
        <v>145</v>
      </c>
      <c r="O225" s="1467">
        <f>O224</f>
        <v>0</v>
      </c>
    </row>
    <row r="226" spans="2:17">
      <c r="B226" s="267"/>
      <c r="C226" s="368" t="s">
        <v>28</v>
      </c>
      <c r="D226" s="279" t="s">
        <v>133</v>
      </c>
      <c r="E226" s="73" t="s">
        <v>132</v>
      </c>
      <c r="F226" s="365">
        <v>7.0000000000000001E-3</v>
      </c>
      <c r="G226" s="366">
        <f>G9</f>
        <v>136000</v>
      </c>
      <c r="H226" s="367">
        <f t="shared" si="33"/>
        <v>952</v>
      </c>
      <c r="I226" s="1169"/>
    </row>
    <row r="227" spans="2:17">
      <c r="B227" s="267"/>
      <c r="C227" s="368" t="s">
        <v>28</v>
      </c>
      <c r="D227" s="279" t="s">
        <v>302</v>
      </c>
      <c r="E227" s="280" t="s">
        <v>132</v>
      </c>
      <c r="F227" s="365">
        <v>7.0000000000000001E-3</v>
      </c>
      <c r="G227" s="366">
        <f>G10</f>
        <v>160000</v>
      </c>
      <c r="H227" s="367">
        <f t="shared" si="33"/>
        <v>1120</v>
      </c>
      <c r="I227" s="1169"/>
    </row>
    <row r="228" spans="2:17">
      <c r="B228" s="71"/>
      <c r="C228" s="368" t="s">
        <v>28</v>
      </c>
      <c r="D228" s="279" t="s">
        <v>140</v>
      </c>
      <c r="E228" s="280" t="s">
        <v>132</v>
      </c>
      <c r="F228" s="365">
        <v>6.9999999999999999E-4</v>
      </c>
      <c r="G228" s="366">
        <f>G11</f>
        <v>170000</v>
      </c>
      <c r="H228" s="367">
        <f t="shared" si="33"/>
        <v>119</v>
      </c>
      <c r="I228" s="1169"/>
    </row>
    <row r="229" spans="2:17">
      <c r="B229" s="369"/>
      <c r="C229" s="370" t="s">
        <v>28</v>
      </c>
      <c r="D229" s="371" t="s">
        <v>136</v>
      </c>
      <c r="E229" s="372" t="s">
        <v>132</v>
      </c>
      <c r="F229" s="373">
        <v>2.9999999999999997E-4</v>
      </c>
      <c r="G229" s="366">
        <f>G12</f>
        <v>180000</v>
      </c>
      <c r="H229" s="367">
        <f t="shared" si="33"/>
        <v>53.999999999999993</v>
      </c>
      <c r="I229" s="1169">
        <f>SUM(H226:H229)</f>
        <v>2245</v>
      </c>
    </row>
    <row r="230" spans="2:17">
      <c r="B230" s="236"/>
      <c r="C230" s="237"/>
      <c r="D230" s="84" t="s">
        <v>228</v>
      </c>
      <c r="E230" s="238"/>
      <c r="F230" s="374"/>
      <c r="G230" s="375"/>
      <c r="H230" s="376">
        <f>SUM(H224:H229)</f>
        <v>11350.3285</v>
      </c>
      <c r="I230" s="1169"/>
    </row>
    <row r="231" spans="2:17">
      <c r="B231" s="54"/>
      <c r="C231" s="377" t="s">
        <v>229</v>
      </c>
      <c r="D231" s="378"/>
      <c r="E231" s="378"/>
      <c r="F231" s="378"/>
      <c r="G231" s="379"/>
      <c r="H231" s="379">
        <f>ROUND(H230,0)</f>
        <v>11350</v>
      </c>
      <c r="I231" s="1164"/>
    </row>
    <row r="232" spans="2:17" s="1824" customFormat="1">
      <c r="B232" s="1844" t="s">
        <v>1338</v>
      </c>
      <c r="C232" s="1845" t="s">
        <v>1339</v>
      </c>
      <c r="D232" s="1846"/>
      <c r="E232" s="1847"/>
      <c r="F232" s="1848"/>
      <c r="G232" s="1849"/>
      <c r="H232" s="1850"/>
      <c r="I232" s="1838"/>
      <c r="J232" s="1841"/>
      <c r="K232" s="1841"/>
      <c r="L232" s="1841"/>
      <c r="M232" s="1841"/>
      <c r="N232" s="1841"/>
      <c r="O232" s="1841"/>
      <c r="P232" s="1841"/>
      <c r="Q232" s="1841"/>
    </row>
    <row r="233" spans="2:17">
      <c r="B233" s="258"/>
      <c r="C233" s="66" t="s">
        <v>28</v>
      </c>
      <c r="D233" s="332" t="s">
        <v>1340</v>
      </c>
      <c r="E233" s="277" t="s">
        <v>145</v>
      </c>
      <c r="F233" s="362">
        <v>1.05</v>
      </c>
      <c r="G233" s="363">
        <f>BAHAN!$E$142</f>
        <v>8225.2800000000007</v>
      </c>
      <c r="H233" s="364">
        <f t="shared" ref="H233:H238" si="34">F233*G233</f>
        <v>8636.5440000000017</v>
      </c>
      <c r="I233" s="1169"/>
      <c r="J233" s="1467">
        <f>BOQ!$Q$52</f>
        <v>0</v>
      </c>
      <c r="K233" s="1393">
        <f>J233*F233</f>
        <v>0</v>
      </c>
      <c r="L233" s="1402" t="s">
        <v>145</v>
      </c>
      <c r="M233" s="1467" t="e">
        <f>BOQ!E89+BOQ!E90+BOQ!E95+BOQ!E163+BOQ!E187+BOQ!#REF!+BOQ!#REF!</f>
        <v>#REF!</v>
      </c>
      <c r="O233" s="1467">
        <f>BOQ!$Q$52</f>
        <v>0</v>
      </c>
      <c r="P233" s="1393"/>
      <c r="Q233" s="1402"/>
    </row>
    <row r="234" spans="2:17">
      <c r="B234" s="267"/>
      <c r="C234" s="72" t="s">
        <v>28</v>
      </c>
      <c r="D234" s="279" t="s">
        <v>326</v>
      </c>
      <c r="E234" s="318" t="s">
        <v>145</v>
      </c>
      <c r="F234" s="365">
        <v>1.4999999999999999E-2</v>
      </c>
      <c r="G234" s="366">
        <f>BAHAN!$E$152</f>
        <v>17781.5</v>
      </c>
      <c r="H234" s="367">
        <f t="shared" si="34"/>
        <v>266.72249999999997</v>
      </c>
      <c r="I234" s="1169">
        <f>SUM(H233:H234)</f>
        <v>8903.2665000000015</v>
      </c>
      <c r="J234" s="1467">
        <f>J233</f>
        <v>0</v>
      </c>
      <c r="K234" s="1393">
        <f>J234*F234</f>
        <v>0</v>
      </c>
      <c r="L234" s="1402" t="s">
        <v>145</v>
      </c>
      <c r="O234" s="1467">
        <f>O233</f>
        <v>0</v>
      </c>
      <c r="P234" s="1393"/>
      <c r="Q234" s="1402"/>
    </row>
    <row r="235" spans="2:17">
      <c r="B235" s="267"/>
      <c r="C235" s="368" t="s">
        <v>28</v>
      </c>
      <c r="D235" s="279" t="s">
        <v>133</v>
      </c>
      <c r="E235" s="73" t="s">
        <v>132</v>
      </c>
      <c r="F235" s="365">
        <v>7.0000000000000001E-3</v>
      </c>
      <c r="G235" s="366">
        <f>G226</f>
        <v>136000</v>
      </c>
      <c r="H235" s="367">
        <f t="shared" si="34"/>
        <v>952</v>
      </c>
      <c r="I235" s="1169"/>
    </row>
    <row r="236" spans="2:17">
      <c r="B236" s="267"/>
      <c r="C236" s="368" t="s">
        <v>28</v>
      </c>
      <c r="D236" s="279" t="s">
        <v>302</v>
      </c>
      <c r="E236" s="280" t="s">
        <v>132</v>
      </c>
      <c r="F236" s="365">
        <v>7.0000000000000001E-3</v>
      </c>
      <c r="G236" s="366">
        <f>G227</f>
        <v>160000</v>
      </c>
      <c r="H236" s="367">
        <f t="shared" si="34"/>
        <v>1120</v>
      </c>
      <c r="I236" s="1169"/>
    </row>
    <row r="237" spans="2:17">
      <c r="B237" s="71"/>
      <c r="C237" s="368" t="s">
        <v>28</v>
      </c>
      <c r="D237" s="279" t="s">
        <v>140</v>
      </c>
      <c r="E237" s="280" t="s">
        <v>132</v>
      </c>
      <c r="F237" s="365">
        <v>6.9999999999999999E-4</v>
      </c>
      <c r="G237" s="366">
        <f>G228</f>
        <v>170000</v>
      </c>
      <c r="H237" s="367">
        <f t="shared" si="34"/>
        <v>119</v>
      </c>
      <c r="I237" s="1169"/>
    </row>
    <row r="238" spans="2:17">
      <c r="B238" s="369"/>
      <c r="C238" s="370" t="s">
        <v>28</v>
      </c>
      <c r="D238" s="371" t="s">
        <v>136</v>
      </c>
      <c r="E238" s="372" t="s">
        <v>132</v>
      </c>
      <c r="F238" s="373">
        <v>2.9999999999999997E-4</v>
      </c>
      <c r="G238" s="366">
        <f>G229</f>
        <v>180000</v>
      </c>
      <c r="H238" s="367">
        <f t="shared" si="34"/>
        <v>53.999999999999993</v>
      </c>
      <c r="I238" s="1169">
        <f>SUM(H235:H238)</f>
        <v>2245</v>
      </c>
    </row>
    <row r="239" spans="2:17">
      <c r="B239" s="236"/>
      <c r="C239" s="237"/>
      <c r="D239" s="84" t="s">
        <v>228</v>
      </c>
      <c r="E239" s="238"/>
      <c r="F239" s="374"/>
      <c r="G239" s="375"/>
      <c r="H239" s="376">
        <f>SUM(H233:H238)</f>
        <v>11148.266500000002</v>
      </c>
      <c r="I239" s="1169"/>
    </row>
    <row r="240" spans="2:17">
      <c r="B240" s="54"/>
      <c r="C240" s="377" t="s">
        <v>229</v>
      </c>
      <c r="D240" s="378"/>
      <c r="E240" s="378"/>
      <c r="F240" s="378"/>
      <c r="G240" s="379"/>
      <c r="H240" s="379">
        <f>ROUND(H239,0)</f>
        <v>11148</v>
      </c>
      <c r="I240" s="1164"/>
    </row>
    <row r="241" spans="2:17" s="1824" customFormat="1">
      <c r="B241" s="1844" t="s">
        <v>1341</v>
      </c>
      <c r="C241" s="1845" t="s">
        <v>1342</v>
      </c>
      <c r="D241" s="1846"/>
      <c r="E241" s="1847"/>
      <c r="F241" s="1848"/>
      <c r="G241" s="1849"/>
      <c r="H241" s="1850"/>
      <c r="I241" s="1838"/>
      <c r="J241" s="1841"/>
      <c r="K241" s="1841"/>
      <c r="L241" s="1841"/>
      <c r="M241" s="1841"/>
      <c r="N241" s="1841"/>
      <c r="O241" s="1841"/>
      <c r="P241" s="1841"/>
      <c r="Q241" s="1841"/>
    </row>
    <row r="242" spans="2:17">
      <c r="B242" s="258"/>
      <c r="C242" s="66" t="s">
        <v>28</v>
      </c>
      <c r="D242" s="332" t="s">
        <v>1343</v>
      </c>
      <c r="E242" s="277" t="s">
        <v>145</v>
      </c>
      <c r="F242" s="362">
        <v>1.05</v>
      </c>
      <c r="G242" s="363">
        <f>BAHAN!$E$143</f>
        <v>8079.95</v>
      </c>
      <c r="H242" s="364">
        <f t="shared" ref="H242:H247" si="35">F242*G242</f>
        <v>8483.9475000000002</v>
      </c>
      <c r="I242" s="1169"/>
      <c r="J242" s="1467">
        <f>BOQ!$Q$51</f>
        <v>0</v>
      </c>
      <c r="K242" s="1393">
        <f>J242*F242</f>
        <v>0</v>
      </c>
      <c r="L242" s="1402" t="s">
        <v>145</v>
      </c>
      <c r="M242" s="1467" t="e">
        <f>BOQ!E83+BOQ!#REF!</f>
        <v>#REF!</v>
      </c>
      <c r="O242" s="1467">
        <f>BOQ!$Q$51</f>
        <v>0</v>
      </c>
      <c r="P242" s="1393"/>
      <c r="Q242" s="1402"/>
    </row>
    <row r="243" spans="2:17">
      <c r="B243" s="267"/>
      <c r="C243" s="72" t="s">
        <v>28</v>
      </c>
      <c r="D243" s="279" t="s">
        <v>326</v>
      </c>
      <c r="E243" s="318" t="s">
        <v>145</v>
      </c>
      <c r="F243" s="365">
        <v>1.4999999999999999E-2</v>
      </c>
      <c r="G243" s="366">
        <f>BAHAN!$E$152</f>
        <v>17781.5</v>
      </c>
      <c r="H243" s="367">
        <f t="shared" si="35"/>
        <v>266.72249999999997</v>
      </c>
      <c r="I243" s="1628">
        <f>SUM(H242:H243)</f>
        <v>8750.67</v>
      </c>
      <c r="J243" s="1467">
        <f>J242</f>
        <v>0</v>
      </c>
      <c r="K243" s="1393">
        <f>J243*F243</f>
        <v>0</v>
      </c>
      <c r="L243" s="1402" t="s">
        <v>145</v>
      </c>
      <c r="O243" s="1467">
        <f>O242</f>
        <v>0</v>
      </c>
      <c r="P243" s="1393"/>
      <c r="Q243" s="1402"/>
    </row>
    <row r="244" spans="2:17">
      <c r="B244" s="267"/>
      <c r="C244" s="368" t="s">
        <v>28</v>
      </c>
      <c r="D244" s="279" t="s">
        <v>133</v>
      </c>
      <c r="E244" s="73" t="s">
        <v>132</v>
      </c>
      <c r="F244" s="365">
        <v>7.0000000000000001E-3</v>
      </c>
      <c r="G244" s="366">
        <f>G235</f>
        <v>136000</v>
      </c>
      <c r="H244" s="367">
        <f t="shared" si="35"/>
        <v>952</v>
      </c>
      <c r="I244" s="1169"/>
    </row>
    <row r="245" spans="2:17">
      <c r="B245" s="267"/>
      <c r="C245" s="368" t="s">
        <v>28</v>
      </c>
      <c r="D245" s="279" t="s">
        <v>302</v>
      </c>
      <c r="E245" s="280" t="s">
        <v>132</v>
      </c>
      <c r="F245" s="365">
        <v>7.0000000000000001E-3</v>
      </c>
      <c r="G245" s="366">
        <f>G236</f>
        <v>160000</v>
      </c>
      <c r="H245" s="367">
        <f t="shared" si="35"/>
        <v>1120</v>
      </c>
      <c r="I245" s="1169"/>
    </row>
    <row r="246" spans="2:17">
      <c r="B246" s="71"/>
      <c r="C246" s="368" t="s">
        <v>28</v>
      </c>
      <c r="D246" s="279" t="s">
        <v>140</v>
      </c>
      <c r="E246" s="280" t="s">
        <v>132</v>
      </c>
      <c r="F246" s="365">
        <v>6.9999999999999999E-4</v>
      </c>
      <c r="G246" s="366">
        <f>G237</f>
        <v>170000</v>
      </c>
      <c r="H246" s="367">
        <f t="shared" si="35"/>
        <v>119</v>
      </c>
      <c r="I246" s="1169"/>
    </row>
    <row r="247" spans="2:17">
      <c r="B247" s="369"/>
      <c r="C247" s="370" t="s">
        <v>28</v>
      </c>
      <c r="D247" s="371" t="s">
        <v>136</v>
      </c>
      <c r="E247" s="372" t="s">
        <v>132</v>
      </c>
      <c r="F247" s="373">
        <v>2.9999999999999997E-4</v>
      </c>
      <c r="G247" s="366">
        <f>G238</f>
        <v>180000</v>
      </c>
      <c r="H247" s="367">
        <f t="shared" si="35"/>
        <v>53.999999999999993</v>
      </c>
      <c r="I247" s="1628">
        <f>SUM(H244:H247)</f>
        <v>2245</v>
      </c>
    </row>
    <row r="248" spans="2:17">
      <c r="B248" s="236"/>
      <c r="C248" s="237"/>
      <c r="D248" s="84" t="s">
        <v>228</v>
      </c>
      <c r="E248" s="238"/>
      <c r="F248" s="374"/>
      <c r="G248" s="375"/>
      <c r="H248" s="376">
        <f>SUM(H242:H247)</f>
        <v>10995.67</v>
      </c>
      <c r="I248" s="1169"/>
    </row>
    <row r="249" spans="2:17">
      <c r="B249" s="54"/>
      <c r="C249" s="377" t="s">
        <v>229</v>
      </c>
      <c r="D249" s="378"/>
      <c r="E249" s="378"/>
      <c r="F249" s="378"/>
      <c r="G249" s="379"/>
      <c r="H249" s="379">
        <f>ROUND(H248,0)</f>
        <v>10996</v>
      </c>
      <c r="I249" s="1164"/>
    </row>
    <row r="250" spans="2:17">
      <c r="B250" s="239" t="s">
        <v>1344</v>
      </c>
      <c r="C250" s="195" t="s">
        <v>1811</v>
      </c>
      <c r="D250" s="357"/>
      <c r="E250" s="358"/>
      <c r="F250" s="359"/>
      <c r="G250" s="360"/>
      <c r="H250" s="361"/>
      <c r="I250" s="1169"/>
    </row>
    <row r="251" spans="2:17">
      <c r="B251" s="258"/>
      <c r="C251" s="66" t="s">
        <v>28</v>
      </c>
      <c r="D251" s="332" t="s">
        <v>1812</v>
      </c>
      <c r="E251" s="277" t="s">
        <v>145</v>
      </c>
      <c r="F251" s="362">
        <v>1.05</v>
      </c>
      <c r="G251" s="363">
        <f>BAHAN!$E$137</f>
        <v>9076.18</v>
      </c>
      <c r="H251" s="364">
        <f t="shared" ref="H251:H256" si="36">F251*G251</f>
        <v>9529.9890000000014</v>
      </c>
      <c r="I251" s="1169"/>
      <c r="J251" s="1467">
        <f>BOQ!$Q$50</f>
        <v>0</v>
      </c>
      <c r="K251" s="1393">
        <f>J251*F251</f>
        <v>0</v>
      </c>
      <c r="L251" s="1402" t="s">
        <v>145</v>
      </c>
      <c r="M251" s="1467" t="e">
        <f>BOQ!$E$77+BOQ!$E$135+BOQ!$E$161+BOQ!#REF!+BOQ!#REF!</f>
        <v>#REF!</v>
      </c>
      <c r="O251" s="1467">
        <f>BOQ!$Q$50</f>
        <v>0</v>
      </c>
    </row>
    <row r="252" spans="2:17">
      <c r="B252" s="267"/>
      <c r="C252" s="72" t="s">
        <v>28</v>
      </c>
      <c r="D252" s="279" t="s">
        <v>326</v>
      </c>
      <c r="E252" s="318" t="s">
        <v>145</v>
      </c>
      <c r="F252" s="365">
        <v>1.4999999999999999E-2</v>
      </c>
      <c r="G252" s="366">
        <f>BAHAN!$E$152</f>
        <v>17781.5</v>
      </c>
      <c r="H252" s="367">
        <f t="shared" si="36"/>
        <v>266.72249999999997</v>
      </c>
      <c r="I252" s="1169">
        <f>SUM(H251:H252)</f>
        <v>9796.7115000000013</v>
      </c>
      <c r="J252" s="1467">
        <f>J251</f>
        <v>0</v>
      </c>
      <c r="K252" s="1393">
        <f>J252*F252</f>
        <v>0</v>
      </c>
      <c r="L252" s="1402" t="s">
        <v>145</v>
      </c>
      <c r="O252" s="1467">
        <f>O251</f>
        <v>0</v>
      </c>
    </row>
    <row r="253" spans="2:17">
      <c r="B253" s="267"/>
      <c r="C253" s="368" t="s">
        <v>28</v>
      </c>
      <c r="D253" s="279" t="s">
        <v>133</v>
      </c>
      <c r="E253" s="73" t="s">
        <v>132</v>
      </c>
      <c r="F253" s="365">
        <v>7.0000000000000001E-3</v>
      </c>
      <c r="G253" s="366">
        <f>G235</f>
        <v>136000</v>
      </c>
      <c r="H253" s="367">
        <f t="shared" si="36"/>
        <v>952</v>
      </c>
      <c r="I253" s="1169"/>
    </row>
    <row r="254" spans="2:17">
      <c r="B254" s="267"/>
      <c r="C254" s="368" t="s">
        <v>28</v>
      </c>
      <c r="D254" s="279" t="s">
        <v>302</v>
      </c>
      <c r="E254" s="280" t="s">
        <v>132</v>
      </c>
      <c r="F254" s="365">
        <v>7.0000000000000001E-3</v>
      </c>
      <c r="G254" s="366">
        <f>G236</f>
        <v>160000</v>
      </c>
      <c r="H254" s="367">
        <f t="shared" si="36"/>
        <v>1120</v>
      </c>
      <c r="I254" s="1169"/>
    </row>
    <row r="255" spans="2:17">
      <c r="B255" s="71"/>
      <c r="C255" s="368" t="s">
        <v>28</v>
      </c>
      <c r="D255" s="279" t="s">
        <v>140</v>
      </c>
      <c r="E255" s="280" t="s">
        <v>132</v>
      </c>
      <c r="F255" s="365">
        <v>6.9999999999999999E-4</v>
      </c>
      <c r="G255" s="366">
        <f>G237</f>
        <v>170000</v>
      </c>
      <c r="H255" s="367">
        <f t="shared" si="36"/>
        <v>119</v>
      </c>
      <c r="I255" s="1169"/>
    </row>
    <row r="256" spans="2:17">
      <c r="B256" s="369"/>
      <c r="C256" s="370" t="s">
        <v>28</v>
      </c>
      <c r="D256" s="371" t="s">
        <v>136</v>
      </c>
      <c r="E256" s="372" t="s">
        <v>132</v>
      </c>
      <c r="F256" s="373">
        <v>2.9999999999999997E-4</v>
      </c>
      <c r="G256" s="366">
        <f>G238</f>
        <v>180000</v>
      </c>
      <c r="H256" s="367">
        <f t="shared" si="36"/>
        <v>53.999999999999993</v>
      </c>
      <c r="I256" s="1169">
        <f>SUM(H253:H256)</f>
        <v>2245</v>
      </c>
    </row>
    <row r="257" spans="2:15">
      <c r="B257" s="236"/>
      <c r="C257" s="237"/>
      <c r="D257" s="84" t="s">
        <v>228</v>
      </c>
      <c r="E257" s="238"/>
      <c r="F257" s="374"/>
      <c r="G257" s="375"/>
      <c r="H257" s="376">
        <f>SUM(H251:H256)</f>
        <v>12041.711500000001</v>
      </c>
      <c r="I257" s="1169"/>
    </row>
    <row r="258" spans="2:15">
      <c r="B258" s="54"/>
      <c r="C258" s="377" t="s">
        <v>229</v>
      </c>
      <c r="D258" s="378"/>
      <c r="E258" s="378"/>
      <c r="F258" s="378"/>
      <c r="G258" s="379"/>
      <c r="H258" s="379">
        <f>ROUND(H257,0)</f>
        <v>12042</v>
      </c>
      <c r="I258" s="1164"/>
    </row>
    <row r="259" spans="2:15">
      <c r="B259" s="239" t="s">
        <v>1347</v>
      </c>
      <c r="C259" s="195" t="s">
        <v>1345</v>
      </c>
      <c r="D259" s="357"/>
      <c r="E259" s="358"/>
      <c r="F259" s="359"/>
      <c r="G259" s="360"/>
      <c r="H259" s="361"/>
      <c r="I259" s="1169"/>
    </row>
    <row r="260" spans="2:15">
      <c r="B260" s="258"/>
      <c r="C260" s="66" t="s">
        <v>28</v>
      </c>
      <c r="D260" s="332" t="s">
        <v>1346</v>
      </c>
      <c r="E260" s="277" t="s">
        <v>145</v>
      </c>
      <c r="F260" s="362">
        <v>1.05</v>
      </c>
      <c r="G260" s="363">
        <f>BAHAN!$E$138</f>
        <v>8665.8700000000008</v>
      </c>
      <c r="H260" s="364">
        <f t="shared" ref="H260:H265" si="37">F260*G260</f>
        <v>9099.1635000000006</v>
      </c>
      <c r="I260" s="1169"/>
      <c r="J260" s="1467">
        <f>BOQ!$Q$49</f>
        <v>0</v>
      </c>
      <c r="K260" s="1393">
        <f>J260*F260</f>
        <v>0</v>
      </c>
      <c r="L260" s="1402" t="s">
        <v>145</v>
      </c>
      <c r="O260" s="1467">
        <v>0</v>
      </c>
    </row>
    <row r="261" spans="2:15">
      <c r="B261" s="267"/>
      <c r="C261" s="72" t="s">
        <v>28</v>
      </c>
      <c r="D261" s="279" t="s">
        <v>326</v>
      </c>
      <c r="E261" s="318" t="s">
        <v>145</v>
      </c>
      <c r="F261" s="365">
        <v>1.4999999999999999E-2</v>
      </c>
      <c r="G261" s="366">
        <f>BAHAN!$E$152</f>
        <v>17781.5</v>
      </c>
      <c r="H261" s="367">
        <f t="shared" si="37"/>
        <v>266.72249999999997</v>
      </c>
      <c r="I261" s="1169">
        <f>SUM(H260:H261)</f>
        <v>9365.8860000000004</v>
      </c>
      <c r="J261" s="1467">
        <f>J260</f>
        <v>0</v>
      </c>
      <c r="K261" s="1393">
        <f>J261*F261</f>
        <v>0</v>
      </c>
      <c r="L261" s="1402" t="s">
        <v>145</v>
      </c>
      <c r="O261" s="1467">
        <f>O260</f>
        <v>0</v>
      </c>
    </row>
    <row r="262" spans="2:15">
      <c r="B262" s="267"/>
      <c r="C262" s="368" t="s">
        <v>28</v>
      </c>
      <c r="D262" s="279" t="s">
        <v>133</v>
      </c>
      <c r="E262" s="73" t="s">
        <v>132</v>
      </c>
      <c r="F262" s="365">
        <v>7.0000000000000001E-3</v>
      </c>
      <c r="G262" s="366">
        <f>G244</f>
        <v>136000</v>
      </c>
      <c r="H262" s="367">
        <f t="shared" si="37"/>
        <v>952</v>
      </c>
      <c r="I262" s="1169"/>
    </row>
    <row r="263" spans="2:15">
      <c r="B263" s="267"/>
      <c r="C263" s="368" t="s">
        <v>28</v>
      </c>
      <c r="D263" s="279" t="s">
        <v>302</v>
      </c>
      <c r="E263" s="280" t="s">
        <v>132</v>
      </c>
      <c r="F263" s="365">
        <v>7.0000000000000001E-3</v>
      </c>
      <c r="G263" s="366">
        <f>G245</f>
        <v>160000</v>
      </c>
      <c r="H263" s="367">
        <f t="shared" si="37"/>
        <v>1120</v>
      </c>
      <c r="I263" s="1169"/>
    </row>
    <row r="264" spans="2:15">
      <c r="B264" s="71"/>
      <c r="C264" s="368" t="s">
        <v>28</v>
      </c>
      <c r="D264" s="279" t="s">
        <v>140</v>
      </c>
      <c r="E264" s="280" t="s">
        <v>132</v>
      </c>
      <c r="F264" s="365">
        <v>6.9999999999999999E-4</v>
      </c>
      <c r="G264" s="366">
        <f>G246</f>
        <v>170000</v>
      </c>
      <c r="H264" s="367">
        <f t="shared" si="37"/>
        <v>119</v>
      </c>
      <c r="I264" s="1169"/>
    </row>
    <row r="265" spans="2:15">
      <c r="B265" s="369"/>
      <c r="C265" s="370" t="s">
        <v>28</v>
      </c>
      <c r="D265" s="371" t="s">
        <v>136</v>
      </c>
      <c r="E265" s="372" t="s">
        <v>132</v>
      </c>
      <c r="F265" s="373">
        <v>2.9999999999999997E-4</v>
      </c>
      <c r="G265" s="366">
        <f>G247</f>
        <v>180000</v>
      </c>
      <c r="H265" s="367">
        <f t="shared" si="37"/>
        <v>53.999999999999993</v>
      </c>
      <c r="I265" s="1169">
        <f>SUM(H262:H265)</f>
        <v>2245</v>
      </c>
    </row>
    <row r="266" spans="2:15">
      <c r="B266" s="236"/>
      <c r="C266" s="237"/>
      <c r="D266" s="84" t="s">
        <v>228</v>
      </c>
      <c r="E266" s="238"/>
      <c r="F266" s="374"/>
      <c r="G266" s="375"/>
      <c r="H266" s="376">
        <f>SUM(H260:H265)</f>
        <v>11610.886</v>
      </c>
      <c r="I266" s="1169"/>
    </row>
    <row r="267" spans="2:15">
      <c r="B267" s="54"/>
      <c r="C267" s="377" t="s">
        <v>229</v>
      </c>
      <c r="D267" s="378"/>
      <c r="E267" s="378"/>
      <c r="F267" s="378"/>
      <c r="G267" s="379"/>
      <c r="H267" s="379">
        <f>ROUND(H266,0)</f>
        <v>11611</v>
      </c>
      <c r="I267" s="1164"/>
    </row>
    <row r="268" spans="2:15">
      <c r="B268" s="239" t="s">
        <v>1350</v>
      </c>
      <c r="C268" s="195" t="s">
        <v>1348</v>
      </c>
      <c r="D268" s="357"/>
      <c r="E268" s="358"/>
      <c r="F268" s="359"/>
      <c r="G268" s="360"/>
      <c r="H268" s="361"/>
      <c r="I268" s="1169"/>
    </row>
    <row r="269" spans="2:15">
      <c r="B269" s="258"/>
      <c r="C269" s="66" t="s">
        <v>28</v>
      </c>
      <c r="D269" s="332" t="s">
        <v>1349</v>
      </c>
      <c r="E269" s="277" t="s">
        <v>145</v>
      </c>
      <c r="F269" s="362">
        <v>1.05</v>
      </c>
      <c r="G269" s="363">
        <f>BAHAN!$E$139</f>
        <v>8583.86</v>
      </c>
      <c r="H269" s="364">
        <f t="shared" ref="H269:H274" si="38">F269*G269</f>
        <v>9013.0530000000017</v>
      </c>
      <c r="I269" s="1169"/>
      <c r="J269" s="1467">
        <f>BOQ!$Q$48</f>
        <v>0</v>
      </c>
      <c r="K269" s="1467">
        <f>J269*F269</f>
        <v>0</v>
      </c>
      <c r="L269" s="1402" t="s">
        <v>145</v>
      </c>
      <c r="M269" s="1467"/>
      <c r="O269" s="1467">
        <f>BOQ!$Q$48</f>
        <v>0</v>
      </c>
    </row>
    <row r="270" spans="2:15">
      <c r="B270" s="267"/>
      <c r="C270" s="72" t="s">
        <v>28</v>
      </c>
      <c r="D270" s="279" t="s">
        <v>326</v>
      </c>
      <c r="E270" s="318" t="s">
        <v>145</v>
      </c>
      <c r="F270" s="365">
        <v>1.4999999999999999E-2</v>
      </c>
      <c r="G270" s="366">
        <f>BAHAN!$E$152</f>
        <v>17781.5</v>
      </c>
      <c r="H270" s="367">
        <f t="shared" si="38"/>
        <v>266.72249999999997</v>
      </c>
      <c r="I270" s="1169">
        <f>SUM(H269:H270)</f>
        <v>9279.7755000000016</v>
      </c>
      <c r="J270" s="1467">
        <f>J269</f>
        <v>0</v>
      </c>
      <c r="K270" s="1467">
        <f>J270*F270</f>
        <v>0</v>
      </c>
      <c r="L270" s="1402" t="s">
        <v>145</v>
      </c>
      <c r="O270" s="1467">
        <f>O269</f>
        <v>0</v>
      </c>
    </row>
    <row r="271" spans="2:15">
      <c r="B271" s="267"/>
      <c r="C271" s="368" t="s">
        <v>28</v>
      </c>
      <c r="D271" s="279" t="s">
        <v>133</v>
      </c>
      <c r="E271" s="73" t="s">
        <v>132</v>
      </c>
      <c r="F271" s="365">
        <v>7.0000000000000001E-3</v>
      </c>
      <c r="G271" s="366">
        <f>G262</f>
        <v>136000</v>
      </c>
      <c r="H271" s="367">
        <f t="shared" si="38"/>
        <v>952</v>
      </c>
      <c r="I271" s="1169"/>
    </row>
    <row r="272" spans="2:15">
      <c r="B272" s="267"/>
      <c r="C272" s="368" t="s">
        <v>28</v>
      </c>
      <c r="D272" s="279" t="s">
        <v>302</v>
      </c>
      <c r="E272" s="280" t="s">
        <v>132</v>
      </c>
      <c r="F272" s="365">
        <v>7.0000000000000001E-3</v>
      </c>
      <c r="G272" s="366">
        <f>G263</f>
        <v>160000</v>
      </c>
      <c r="H272" s="367">
        <f t="shared" si="38"/>
        <v>1120</v>
      </c>
      <c r="I272" s="1169"/>
    </row>
    <row r="273" spans="2:15">
      <c r="B273" s="71"/>
      <c r="C273" s="368" t="s">
        <v>28</v>
      </c>
      <c r="D273" s="279" t="s">
        <v>140</v>
      </c>
      <c r="E273" s="280" t="s">
        <v>132</v>
      </c>
      <c r="F273" s="365">
        <v>6.9999999999999999E-4</v>
      </c>
      <c r="G273" s="366">
        <f>G264</f>
        <v>170000</v>
      </c>
      <c r="H273" s="367">
        <f t="shared" si="38"/>
        <v>119</v>
      </c>
      <c r="I273" s="1169"/>
    </row>
    <row r="274" spans="2:15">
      <c r="B274" s="369"/>
      <c r="C274" s="370" t="s">
        <v>28</v>
      </c>
      <c r="D274" s="371" t="s">
        <v>136</v>
      </c>
      <c r="E274" s="372" t="s">
        <v>132</v>
      </c>
      <c r="F274" s="373">
        <v>2.9999999999999997E-4</v>
      </c>
      <c r="G274" s="366">
        <f>G265</f>
        <v>180000</v>
      </c>
      <c r="H274" s="367">
        <f t="shared" si="38"/>
        <v>53.999999999999993</v>
      </c>
      <c r="I274" s="1169">
        <f>SUM(H271:H274)</f>
        <v>2245</v>
      </c>
    </row>
    <row r="275" spans="2:15">
      <c r="B275" s="236"/>
      <c r="C275" s="237"/>
      <c r="D275" s="84" t="s">
        <v>228</v>
      </c>
      <c r="E275" s="238"/>
      <c r="F275" s="374"/>
      <c r="G275" s="375"/>
      <c r="H275" s="376">
        <f>SUM(H269:H274)</f>
        <v>11524.775500000002</v>
      </c>
      <c r="I275" s="1169"/>
    </row>
    <row r="276" spans="2:15">
      <c r="B276" s="54"/>
      <c r="C276" s="377" t="s">
        <v>229</v>
      </c>
      <c r="D276" s="378"/>
      <c r="E276" s="378"/>
      <c r="F276" s="378"/>
      <c r="G276" s="379"/>
      <c r="H276" s="379">
        <f>ROUND(H275,0)</f>
        <v>11525</v>
      </c>
      <c r="I276" s="1164"/>
    </row>
    <row r="277" spans="2:15">
      <c r="B277" s="239" t="s">
        <v>1810</v>
      </c>
      <c r="C277" s="195" t="s">
        <v>1351</v>
      </c>
      <c r="D277" s="357"/>
      <c r="E277" s="358"/>
      <c r="F277" s="359"/>
      <c r="G277" s="360"/>
      <c r="H277" s="361"/>
      <c r="I277" s="1169"/>
    </row>
    <row r="278" spans="2:15">
      <c r="B278" s="258"/>
      <c r="C278" s="66" t="s">
        <v>28</v>
      </c>
      <c r="D278" s="332" t="s">
        <v>1352</v>
      </c>
      <c r="E278" s="277" t="s">
        <v>145</v>
      </c>
      <c r="F278" s="362">
        <v>1.05</v>
      </c>
      <c r="G278" s="363">
        <f>BAHAN!$E$140</f>
        <v>16013.888888888891</v>
      </c>
      <c r="H278" s="364">
        <f t="shared" ref="H278:H283" si="39">F278*G278</f>
        <v>16814.583333333336</v>
      </c>
      <c r="I278" s="1169"/>
    </row>
    <row r="279" spans="2:15">
      <c r="B279" s="267"/>
      <c r="C279" s="72" t="s">
        <v>28</v>
      </c>
      <c r="D279" s="279" t="s">
        <v>326</v>
      </c>
      <c r="E279" s="318" t="s">
        <v>145</v>
      </c>
      <c r="F279" s="365">
        <v>1.4999999999999999E-2</v>
      </c>
      <c r="G279" s="366">
        <f>BAHAN!$E$152</f>
        <v>17781.5</v>
      </c>
      <c r="H279" s="367">
        <f t="shared" si="39"/>
        <v>266.72249999999997</v>
      </c>
      <c r="I279" s="1169">
        <f>SUM(H278:H279)</f>
        <v>17081.305833333336</v>
      </c>
    </row>
    <row r="280" spans="2:15">
      <c r="B280" s="267"/>
      <c r="C280" s="368" t="s">
        <v>28</v>
      </c>
      <c r="D280" s="279" t="s">
        <v>133</v>
      </c>
      <c r="E280" s="73" t="s">
        <v>132</v>
      </c>
      <c r="F280" s="365">
        <v>7.0000000000000001E-3</v>
      </c>
      <c r="G280" s="366">
        <f>G271</f>
        <v>136000</v>
      </c>
      <c r="H280" s="367">
        <f t="shared" si="39"/>
        <v>952</v>
      </c>
      <c r="I280" s="1169"/>
    </row>
    <row r="281" spans="2:15">
      <c r="B281" s="267"/>
      <c r="C281" s="368" t="s">
        <v>28</v>
      </c>
      <c r="D281" s="279" t="s">
        <v>302</v>
      </c>
      <c r="E281" s="280" t="s">
        <v>132</v>
      </c>
      <c r="F281" s="365">
        <v>7.0000000000000001E-3</v>
      </c>
      <c r="G281" s="366">
        <f>G272</f>
        <v>160000</v>
      </c>
      <c r="H281" s="367">
        <f t="shared" si="39"/>
        <v>1120</v>
      </c>
      <c r="I281" s="1169"/>
    </row>
    <row r="282" spans="2:15">
      <c r="B282" s="71"/>
      <c r="C282" s="368" t="s">
        <v>28</v>
      </c>
      <c r="D282" s="279" t="s">
        <v>140</v>
      </c>
      <c r="E282" s="280" t="s">
        <v>132</v>
      </c>
      <c r="F282" s="365">
        <v>6.9999999999999999E-4</v>
      </c>
      <c r="G282" s="366">
        <f>G273</f>
        <v>170000</v>
      </c>
      <c r="H282" s="367">
        <f t="shared" si="39"/>
        <v>119</v>
      </c>
      <c r="I282" s="1169"/>
    </row>
    <row r="283" spans="2:15">
      <c r="B283" s="369"/>
      <c r="C283" s="370" t="s">
        <v>28</v>
      </c>
      <c r="D283" s="371" t="s">
        <v>136</v>
      </c>
      <c r="E283" s="372" t="s">
        <v>132</v>
      </c>
      <c r="F283" s="373">
        <v>2.9999999999999997E-4</v>
      </c>
      <c r="G283" s="366">
        <f>G274</f>
        <v>180000</v>
      </c>
      <c r="H283" s="367">
        <f t="shared" si="39"/>
        <v>53.999999999999993</v>
      </c>
      <c r="I283" s="1169">
        <f>SUM(H280:H283)</f>
        <v>2245</v>
      </c>
    </row>
    <row r="284" spans="2:15">
      <c r="B284" s="236"/>
      <c r="C284" s="237"/>
      <c r="D284" s="84" t="s">
        <v>228</v>
      </c>
      <c r="E284" s="238"/>
      <c r="F284" s="374"/>
      <c r="G284" s="375"/>
      <c r="H284" s="376">
        <f>SUM(H278:H283)</f>
        <v>19326.305833333336</v>
      </c>
      <c r="I284" s="1169"/>
    </row>
    <row r="285" spans="2:15">
      <c r="B285" s="54"/>
      <c r="C285" s="377" t="s">
        <v>229</v>
      </c>
      <c r="D285" s="378"/>
      <c r="E285" s="378"/>
      <c r="F285" s="378"/>
      <c r="G285" s="379"/>
      <c r="H285" s="379">
        <f>ROUND(H284,0)</f>
        <v>19326</v>
      </c>
      <c r="I285" s="1164"/>
    </row>
    <row r="286" spans="2:15">
      <c r="B286" s="239" t="s">
        <v>1885</v>
      </c>
      <c r="C286" s="195" t="str">
        <f>"1 m' Pemasangan "&amp;BAHAN!$C$147</f>
        <v>1 m' Pemasangan Baja WF 300x150x6,5x9 mm</v>
      </c>
      <c r="D286" s="357"/>
      <c r="E286" s="358"/>
      <c r="F286" s="359"/>
      <c r="G286" s="360"/>
      <c r="H286" s="361"/>
      <c r="I286" s="1169"/>
    </row>
    <row r="287" spans="2:15">
      <c r="B287" s="258"/>
      <c r="C287" s="66" t="s">
        <v>28</v>
      </c>
      <c r="D287" s="332" t="str">
        <f>BAHAN!$C$147</f>
        <v>Baja WF 300x150x6,5x9 mm</v>
      </c>
      <c r="E287" s="277" t="s">
        <v>503</v>
      </c>
      <c r="F287" s="362">
        <v>1</v>
      </c>
      <c r="G287" s="363">
        <f>BAHAN!$E$147</f>
        <v>410368.5</v>
      </c>
      <c r="H287" s="364">
        <f>F287*G287</f>
        <v>410368.5</v>
      </c>
      <c r="I287" s="1169"/>
      <c r="J287" s="1635">
        <f>SUMIF(BOQ!$G$1:$G$2430,I288,BOQ!$E$1:$E$2430)</f>
        <v>0</v>
      </c>
      <c r="K287" s="1392">
        <f>F287*J287</f>
        <v>0</v>
      </c>
      <c r="L287" s="1563" t="s">
        <v>503</v>
      </c>
      <c r="O287" s="1635">
        <v>0</v>
      </c>
    </row>
    <row r="288" spans="2:15">
      <c r="B288" s="267"/>
      <c r="C288" s="72" t="s">
        <v>28</v>
      </c>
      <c r="D288" s="279" t="s">
        <v>1886</v>
      </c>
      <c r="E288" s="318" t="s">
        <v>313</v>
      </c>
      <c r="F288" s="365">
        <v>0.1</v>
      </c>
      <c r="G288" s="366">
        <f>H287</f>
        <v>410368.5</v>
      </c>
      <c r="H288" s="367">
        <f>F288*G288</f>
        <v>41036.850000000006</v>
      </c>
      <c r="I288" s="1169">
        <f>SUM(H287:H288)</f>
        <v>451405.35</v>
      </c>
      <c r="J288" s="1467">
        <v>0</v>
      </c>
      <c r="K288" s="1392">
        <f>F288*J288</f>
        <v>0</v>
      </c>
      <c r="L288" s="1563" t="s">
        <v>503</v>
      </c>
      <c r="O288" s="1467">
        <v>0</v>
      </c>
    </row>
    <row r="289" spans="2:15">
      <c r="B289" s="267"/>
      <c r="C289" s="368" t="s">
        <v>28</v>
      </c>
      <c r="D289" s="279" t="s">
        <v>271</v>
      </c>
      <c r="E289" s="73" t="s">
        <v>503</v>
      </c>
      <c r="F289" s="365">
        <v>0.3</v>
      </c>
      <c r="G289" s="366">
        <f>H287</f>
        <v>410368.5</v>
      </c>
      <c r="H289" s="367">
        <f>F289*G289</f>
        <v>123110.54999999999</v>
      </c>
      <c r="I289" s="1169">
        <f>H289</f>
        <v>123110.54999999999</v>
      </c>
      <c r="J289" s="5"/>
      <c r="O289" s="5"/>
    </row>
    <row r="290" spans="2:15">
      <c r="B290" s="236"/>
      <c r="C290" s="237"/>
      <c r="D290" s="84" t="s">
        <v>228</v>
      </c>
      <c r="E290" s="238"/>
      <c r="F290" s="374"/>
      <c r="G290" s="375"/>
      <c r="H290" s="376">
        <f>SUM(H287:H289)</f>
        <v>574515.89999999991</v>
      </c>
      <c r="I290" s="1169"/>
    </row>
    <row r="291" spans="2:15">
      <c r="B291" s="54"/>
      <c r="C291" s="377" t="s">
        <v>229</v>
      </c>
      <c r="D291" s="378"/>
      <c r="E291" s="378"/>
      <c r="F291" s="378"/>
      <c r="G291" s="379"/>
      <c r="H291" s="379">
        <f>ROUND(H290,0)</f>
        <v>574516</v>
      </c>
      <c r="I291" s="1164"/>
    </row>
    <row r="292" spans="2:15">
      <c r="B292" s="239" t="s">
        <v>1885</v>
      </c>
      <c r="C292" s="195" t="s">
        <v>2527</v>
      </c>
      <c r="D292" s="357"/>
      <c r="E292" s="358"/>
      <c r="F292" s="359"/>
      <c r="G292" s="360"/>
      <c r="H292" s="361"/>
      <c r="I292" s="1169"/>
    </row>
    <row r="293" spans="2:15">
      <c r="B293" s="258"/>
      <c r="C293" s="66" t="s">
        <v>28</v>
      </c>
      <c r="D293" s="332" t="s">
        <v>2539</v>
      </c>
      <c r="E293" s="277" t="s">
        <v>503</v>
      </c>
      <c r="F293" s="362">
        <v>1</v>
      </c>
      <c r="G293" s="363">
        <f>BAHAN!$E$148</f>
        <v>323455</v>
      </c>
      <c r="H293" s="364">
        <f>F293*G293</f>
        <v>323455</v>
      </c>
      <c r="I293" s="1169"/>
      <c r="J293" s="1635">
        <f>SUMIF(BOQ!$G$1:$G$2430,I294,BOQ!$E$1:$E$2430)</f>
        <v>0</v>
      </c>
      <c r="K293" s="1392">
        <f>F293*J293</f>
        <v>0</v>
      </c>
      <c r="L293" s="1563" t="s">
        <v>503</v>
      </c>
      <c r="O293" s="1635">
        <v>0</v>
      </c>
    </row>
    <row r="294" spans="2:15">
      <c r="B294" s="267"/>
      <c r="C294" s="72" t="s">
        <v>28</v>
      </c>
      <c r="D294" s="279" t="s">
        <v>1886</v>
      </c>
      <c r="E294" s="318" t="s">
        <v>313</v>
      </c>
      <c r="F294" s="365">
        <v>0.1</v>
      </c>
      <c r="G294" s="366">
        <f>H293</f>
        <v>323455</v>
      </c>
      <c r="H294" s="367">
        <f>F294*G294</f>
        <v>32345.5</v>
      </c>
      <c r="I294" s="1169">
        <f>SUM(H293:H294)</f>
        <v>355800.5</v>
      </c>
      <c r="J294" s="1467">
        <v>0</v>
      </c>
      <c r="K294" s="1392">
        <f>F294*J294</f>
        <v>0</v>
      </c>
      <c r="L294" s="1563" t="s">
        <v>503</v>
      </c>
      <c r="O294" s="1467">
        <v>0</v>
      </c>
    </row>
    <row r="295" spans="2:15">
      <c r="B295" s="267"/>
      <c r="C295" s="368" t="s">
        <v>28</v>
      </c>
      <c r="D295" s="279" t="s">
        <v>271</v>
      </c>
      <c r="E295" s="73" t="s">
        <v>503</v>
      </c>
      <c r="F295" s="365">
        <v>0.3</v>
      </c>
      <c r="G295" s="366">
        <f>H293</f>
        <v>323455</v>
      </c>
      <c r="H295" s="367">
        <f>F295*G295</f>
        <v>97036.5</v>
      </c>
      <c r="I295" s="1169">
        <f>H295</f>
        <v>97036.5</v>
      </c>
      <c r="J295" s="5"/>
      <c r="O295" s="5"/>
    </row>
    <row r="296" spans="2:15">
      <c r="B296" s="236"/>
      <c r="C296" s="237"/>
      <c r="D296" s="84" t="s">
        <v>228</v>
      </c>
      <c r="E296" s="238"/>
      <c r="F296" s="374"/>
      <c r="G296" s="375"/>
      <c r="H296" s="376">
        <f>SUM(H293:H295)</f>
        <v>452837</v>
      </c>
      <c r="I296" s="1169"/>
    </row>
    <row r="297" spans="2:15">
      <c r="B297" s="54"/>
      <c r="C297" s="377" t="s">
        <v>229</v>
      </c>
      <c r="D297" s="378"/>
      <c r="E297" s="378"/>
      <c r="F297" s="378"/>
      <c r="G297" s="379"/>
      <c r="H297" s="379">
        <f>ROUND(H296,0)</f>
        <v>452837</v>
      </c>
      <c r="I297" s="1164"/>
    </row>
    <row r="298" spans="2:15">
      <c r="B298" s="239" t="s">
        <v>1885</v>
      </c>
      <c r="C298" s="195" t="s">
        <v>2263</v>
      </c>
      <c r="D298" s="357"/>
      <c r="E298" s="358"/>
      <c r="F298" s="359"/>
      <c r="G298" s="360"/>
      <c r="H298" s="361"/>
      <c r="I298" s="1169"/>
    </row>
    <row r="299" spans="2:15">
      <c r="B299" s="258"/>
      <c r="C299" s="66" t="s">
        <v>28</v>
      </c>
      <c r="D299" s="332" t="s">
        <v>2264</v>
      </c>
      <c r="E299" s="277" t="s">
        <v>503</v>
      </c>
      <c r="F299" s="362">
        <v>1</v>
      </c>
      <c r="G299" s="363">
        <f>BAHAN!$E$149</f>
        <v>168375.16666666669</v>
      </c>
      <c r="H299" s="364">
        <f>F299*G299</f>
        <v>168375.16666666669</v>
      </c>
      <c r="I299" s="1169"/>
      <c r="J299" s="1635">
        <f>SUMIF(BOQ!$G$1:$G$2430,I300,BOQ!$E$1:$E$2430)</f>
        <v>0</v>
      </c>
      <c r="K299" s="1392">
        <f>F299*J299</f>
        <v>0</v>
      </c>
      <c r="L299" s="1563" t="s">
        <v>503</v>
      </c>
      <c r="O299" s="1635">
        <v>0</v>
      </c>
    </row>
    <row r="300" spans="2:15">
      <c r="B300" s="267"/>
      <c r="C300" s="72" t="s">
        <v>28</v>
      </c>
      <c r="D300" s="279" t="s">
        <v>1886</v>
      </c>
      <c r="E300" s="318" t="s">
        <v>313</v>
      </c>
      <c r="F300" s="365">
        <v>0.1</v>
      </c>
      <c r="G300" s="366">
        <f>H299</f>
        <v>168375.16666666669</v>
      </c>
      <c r="H300" s="367">
        <f>F300*G300</f>
        <v>16837.51666666667</v>
      </c>
      <c r="I300" s="1169">
        <f>SUM(H299:H300)</f>
        <v>185212.68333333335</v>
      </c>
      <c r="J300" s="1467">
        <v>0</v>
      </c>
      <c r="K300" s="1392">
        <f>F300*J300</f>
        <v>0</v>
      </c>
      <c r="L300" s="1563" t="s">
        <v>503</v>
      </c>
      <c r="O300" s="1467">
        <v>0</v>
      </c>
    </row>
    <row r="301" spans="2:15">
      <c r="B301" s="267"/>
      <c r="C301" s="368" t="s">
        <v>28</v>
      </c>
      <c r="D301" s="279" t="s">
        <v>271</v>
      </c>
      <c r="E301" s="73" t="s">
        <v>503</v>
      </c>
      <c r="F301" s="365">
        <v>0.3</v>
      </c>
      <c r="G301" s="366">
        <f>H299</f>
        <v>168375.16666666669</v>
      </c>
      <c r="H301" s="367">
        <f>F301*G301</f>
        <v>50512.55</v>
      </c>
      <c r="I301" s="1169">
        <f>H301</f>
        <v>50512.55</v>
      </c>
      <c r="J301" s="5"/>
      <c r="O301" s="5"/>
    </row>
    <row r="302" spans="2:15">
      <c r="B302" s="236"/>
      <c r="C302" s="237"/>
      <c r="D302" s="84" t="s">
        <v>228</v>
      </c>
      <c r="E302" s="238"/>
      <c r="F302" s="374"/>
      <c r="G302" s="375"/>
      <c r="H302" s="376">
        <f>SUM(H299:H301)</f>
        <v>235725.23333333334</v>
      </c>
      <c r="I302" s="1169"/>
    </row>
    <row r="303" spans="2:15">
      <c r="B303" s="54"/>
      <c r="C303" s="377" t="s">
        <v>229</v>
      </c>
      <c r="D303" s="378"/>
      <c r="E303" s="378"/>
      <c r="F303" s="378"/>
      <c r="G303" s="379"/>
      <c r="H303" s="379">
        <f>ROUND(H302,0)</f>
        <v>235725</v>
      </c>
      <c r="I303" s="1164"/>
    </row>
    <row r="304" spans="2:15">
      <c r="B304" s="239" t="s">
        <v>2265</v>
      </c>
      <c r="C304" s="195" t="s">
        <v>2266</v>
      </c>
      <c r="D304" s="357"/>
      <c r="E304" s="358"/>
      <c r="F304" s="359"/>
      <c r="G304" s="360"/>
      <c r="H304" s="361"/>
      <c r="I304" s="1169"/>
    </row>
    <row r="305" spans="2:15">
      <c r="B305" s="258"/>
      <c r="C305" s="66" t="s">
        <v>28</v>
      </c>
      <c r="D305" s="332" t="s">
        <v>2246</v>
      </c>
      <c r="E305" s="277" t="s">
        <v>503</v>
      </c>
      <c r="F305" s="362">
        <v>1</v>
      </c>
      <c r="G305" s="363">
        <f>BAHAN!$E$150</f>
        <v>153448.5</v>
      </c>
      <c r="H305" s="364">
        <f>F305*G305</f>
        <v>153448.5</v>
      </c>
      <c r="I305" s="1169"/>
      <c r="J305" s="1635">
        <f>SUMIF(BOQ!$G$1:$G$2430,I306,BOQ!$E$1:$E$2430)</f>
        <v>0</v>
      </c>
      <c r="K305" s="1392">
        <f>F305*J305</f>
        <v>0</v>
      </c>
      <c r="L305" s="1563" t="s">
        <v>503</v>
      </c>
      <c r="O305" s="1635">
        <v>0</v>
      </c>
    </row>
    <row r="306" spans="2:15">
      <c r="B306" s="267"/>
      <c r="C306" s="72" t="s">
        <v>28</v>
      </c>
      <c r="D306" s="279" t="s">
        <v>1886</v>
      </c>
      <c r="E306" s="318" t="s">
        <v>313</v>
      </c>
      <c r="F306" s="365">
        <v>0.1</v>
      </c>
      <c r="G306" s="366">
        <f>H305</f>
        <v>153448.5</v>
      </c>
      <c r="H306" s="367">
        <f>F306*G306</f>
        <v>15344.85</v>
      </c>
      <c r="I306" s="1169">
        <f>SUM(H305:H306)</f>
        <v>168793.35</v>
      </c>
      <c r="J306" s="1467">
        <f>J305</f>
        <v>0</v>
      </c>
      <c r="K306" s="1392">
        <f>F306*J306</f>
        <v>0</v>
      </c>
      <c r="L306" s="1563" t="s">
        <v>503</v>
      </c>
      <c r="O306" s="1467">
        <v>0</v>
      </c>
    </row>
    <row r="307" spans="2:15">
      <c r="B307" s="267"/>
      <c r="C307" s="368" t="s">
        <v>28</v>
      </c>
      <c r="D307" s="279" t="s">
        <v>271</v>
      </c>
      <c r="E307" s="73" t="s">
        <v>503</v>
      </c>
      <c r="F307" s="365">
        <v>0.3</v>
      </c>
      <c r="G307" s="366">
        <f>H305</f>
        <v>153448.5</v>
      </c>
      <c r="H307" s="367">
        <f>F307*G307</f>
        <v>46034.549999999996</v>
      </c>
      <c r="I307" s="1169">
        <f>H307</f>
        <v>46034.549999999996</v>
      </c>
      <c r="J307" s="5"/>
      <c r="O307" s="5"/>
    </row>
    <row r="308" spans="2:15">
      <c r="B308" s="236"/>
      <c r="C308" s="237"/>
      <c r="D308" s="84" t="s">
        <v>228</v>
      </c>
      <c r="E308" s="238"/>
      <c r="F308" s="374"/>
      <c r="G308" s="375"/>
      <c r="H308" s="376">
        <f>SUM(H305:H307)</f>
        <v>214827.9</v>
      </c>
      <c r="I308" s="1169"/>
    </row>
    <row r="309" spans="2:15">
      <c r="B309" s="54"/>
      <c r="C309" s="377" t="s">
        <v>229</v>
      </c>
      <c r="D309" s="378"/>
      <c r="E309" s="378"/>
      <c r="F309" s="378"/>
      <c r="G309" s="379"/>
      <c r="H309" s="379">
        <f>ROUND(H308,0)</f>
        <v>214828</v>
      </c>
      <c r="I309" s="1164"/>
    </row>
    <row r="310" spans="2:15" ht="15.75" thickBot="1"/>
    <row r="311" spans="2:15">
      <c r="C311" s="1392"/>
      <c r="D311" s="2922" t="s">
        <v>2354</v>
      </c>
      <c r="E311" s="2923"/>
      <c r="F311" s="1392"/>
    </row>
    <row r="312" spans="2:15">
      <c r="C312" s="1392"/>
      <c r="D312" s="2035" t="s">
        <v>326</v>
      </c>
      <c r="E312" s="2032">
        <f>SUMIF($D$7:$D$307,D312,$K$7:$K$307)</f>
        <v>0</v>
      </c>
      <c r="F312" s="1392"/>
    </row>
    <row r="313" spans="2:15">
      <c r="C313" s="1392"/>
      <c r="D313" s="2035" t="s">
        <v>221</v>
      </c>
      <c r="E313" s="2032">
        <f t="shared" ref="E313:E322" si="40">SUMIF($D$7:$D$307,D313,$K$7:$K$307)</f>
        <v>0</v>
      </c>
      <c r="F313" s="1392"/>
    </row>
    <row r="314" spans="2:15">
      <c r="C314" s="1392"/>
      <c r="D314" s="2035" t="s">
        <v>361</v>
      </c>
      <c r="E314" s="2032">
        <f t="shared" si="40"/>
        <v>0</v>
      </c>
      <c r="F314" s="1392"/>
    </row>
    <row r="315" spans="2:15">
      <c r="C315" s="1392"/>
      <c r="D315" s="2033" t="s">
        <v>224</v>
      </c>
      <c r="E315" s="2032">
        <f t="shared" si="40"/>
        <v>0</v>
      </c>
      <c r="F315" s="1392"/>
    </row>
    <row r="316" spans="2:15">
      <c r="C316" s="1392"/>
      <c r="D316" s="2035" t="s">
        <v>345</v>
      </c>
      <c r="E316" s="2032">
        <f t="shared" si="40"/>
        <v>0.33300000000000002</v>
      </c>
      <c r="F316" s="1392"/>
    </row>
    <row r="317" spans="2:15">
      <c r="C317" s="1392"/>
      <c r="D317" s="2035" t="s">
        <v>146</v>
      </c>
      <c r="E317" s="2032">
        <f t="shared" si="40"/>
        <v>126.12</v>
      </c>
      <c r="F317" s="1392"/>
    </row>
    <row r="318" spans="2:15">
      <c r="C318" s="1392"/>
      <c r="D318" s="2035" t="s">
        <v>335</v>
      </c>
      <c r="E318" s="2032">
        <f t="shared" si="40"/>
        <v>63.06</v>
      </c>
      <c r="F318" s="1392"/>
    </row>
    <row r="319" spans="2:15">
      <c r="C319" s="1392"/>
      <c r="D319" s="2035" t="s">
        <v>333</v>
      </c>
      <c r="E319" s="2032">
        <f t="shared" si="40"/>
        <v>7.5228000000000002</v>
      </c>
      <c r="F319" s="1392"/>
    </row>
    <row r="320" spans="2:15">
      <c r="C320" s="1392"/>
      <c r="D320" s="2035" t="s">
        <v>334</v>
      </c>
      <c r="E320" s="2032">
        <f t="shared" si="40"/>
        <v>145.845</v>
      </c>
      <c r="F320" s="1392"/>
    </row>
    <row r="321" spans="3:6">
      <c r="C321" s="1392"/>
      <c r="D321" s="2035" t="s">
        <v>342</v>
      </c>
      <c r="E321" s="2032">
        <f t="shared" si="40"/>
        <v>22.200000000000003</v>
      </c>
      <c r="F321" s="1392"/>
    </row>
    <row r="322" spans="3:6" ht="15.75" thickBot="1">
      <c r="C322" s="1392"/>
      <c r="D322" s="2036" t="s">
        <v>352</v>
      </c>
      <c r="E322" s="2037">
        <f t="shared" si="40"/>
        <v>0</v>
      </c>
      <c r="F322" s="1392"/>
    </row>
    <row r="323" spans="3:6">
      <c r="C323" s="1392"/>
      <c r="D323" s="2030"/>
      <c r="E323" s="1392"/>
      <c r="F323" s="1392"/>
    </row>
    <row r="324" spans="3:6">
      <c r="C324" s="1392"/>
      <c r="D324" s="1392"/>
      <c r="E324" s="1392"/>
      <c r="F324" s="1392"/>
    </row>
    <row r="325" spans="3:6">
      <c r="C325" s="1392"/>
      <c r="D325" s="1392"/>
      <c r="E325" s="1392"/>
      <c r="F325" s="1392"/>
    </row>
  </sheetData>
  <mergeCells count="1">
    <mergeCell ref="D311:E311"/>
  </mergeCells>
  <hyperlinks>
    <hyperlink ref="I134" location="BOQ!J45" display="BOQ!J45" xr:uid="{00000000-0004-0000-1800-000000000000}"/>
    <hyperlink ref="I138" location="BOQ!K45" display="BOQ!K45" xr:uid="{00000000-0004-0000-1800-000001000000}"/>
    <hyperlink ref="I167" location="BOQ!J47" display="BOQ!J47" xr:uid="{00000000-0004-0000-1800-000002000000}"/>
    <hyperlink ref="I171" location="BOQ!K47" display="BOQ!K47" xr:uid="{00000000-0004-0000-1800-000003000000}"/>
    <hyperlink ref="I243" location="BOQ!J49" display="BOQ!J49" xr:uid="{00000000-0004-0000-1800-000004000000}"/>
    <hyperlink ref="I247" location="BOQ!K49" display="BOQ!K49" xr:uid="{00000000-0004-0000-1800-000005000000}"/>
    <hyperlink ref="I27" location="BOQ!J51" display="BOQ!J51" xr:uid="{00000000-0004-0000-1800-000006000000}"/>
    <hyperlink ref="I31" location="BOQ!K51" display="BOQ!K51" xr:uid="{00000000-0004-0000-1800-000007000000}"/>
    <hyperlink ref="O299" location="BOQ!H528" display="BOQ!H528" xr:uid="{00000000-0004-0000-1800-000008000000}"/>
    <hyperlink ref="O305" location="BOQ!H528" display="BOQ!H528" xr:uid="{00000000-0004-0000-1800-000009000000}"/>
    <hyperlink ref="O293" location="BOQ!H528" display="BOQ!H528" xr:uid="{00000000-0004-0000-1800-00000A000000}"/>
    <hyperlink ref="O287" location="BOQ!H528" display="BOQ!H528" xr:uid="{00000000-0004-0000-1800-00000B000000}"/>
  </hyperlinks>
  <pageMargins left="1.19" right="0.59055118110236204" top="0.78740157480314998" bottom="0.78740157480314998" header="0.31496062992126" footer="0.31496062992126"/>
  <pageSetup paperSize="5" scale="80" orientation="portrait" r:id="rId1"/>
  <rowBreaks count="2" manualBreakCount="2">
    <brk id="67" min="1" max="7" man="1"/>
    <brk id="173" min="1" max="7" man="1"/>
  </rowBreaks>
  <legacy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5"/>
  <dimension ref="B2:S352"/>
  <sheetViews>
    <sheetView topLeftCell="A30" zoomScale="120" zoomScaleNormal="120" zoomScaleSheetLayoutView="100" workbookViewId="0">
      <selection activeCell="I39" sqref="I39"/>
    </sheetView>
  </sheetViews>
  <sheetFormatPr defaultRowHeight="15"/>
  <cols>
    <col min="1" max="1" width="1.42578125" style="5" customWidth="1"/>
    <col min="2" max="2" width="4.42578125" style="5" customWidth="1"/>
    <col min="3" max="3" width="1.28515625" style="5" customWidth="1"/>
    <col min="4" max="4" width="27.5703125" style="5" customWidth="1"/>
    <col min="5" max="5" width="7.85546875" style="5" customWidth="1"/>
    <col min="6" max="6" width="10.5703125" style="5" bestFit="1" customWidth="1"/>
    <col min="7" max="7" width="15.28515625" style="5" customWidth="1"/>
    <col min="8" max="9" width="16.42578125" style="5" customWidth="1"/>
    <col min="10" max="10" width="10" style="1392" bestFit="1" customWidth="1"/>
    <col min="11" max="11" width="17.28515625" style="1392" customWidth="1"/>
    <col min="12" max="12" width="14.28515625" style="1392" bestFit="1" customWidth="1"/>
    <col min="13" max="13" width="10" style="1392" bestFit="1" customWidth="1"/>
    <col min="14" max="15" width="9.140625" style="1392"/>
    <col min="16" max="257" width="9.140625" style="5"/>
    <col min="258" max="258" width="1.42578125" style="5" customWidth="1"/>
    <col min="259" max="259" width="4.42578125" style="5" customWidth="1"/>
    <col min="260" max="260" width="1.28515625" style="5" customWidth="1"/>
    <col min="261" max="261" width="27.5703125" style="5" customWidth="1"/>
    <col min="262" max="262" width="7.85546875" style="5" customWidth="1"/>
    <col min="263" max="263" width="9.140625" style="5"/>
    <col min="264" max="264" width="15.28515625" style="5" customWidth="1"/>
    <col min="265" max="265" width="16.42578125" style="5" customWidth="1"/>
    <col min="266" max="267" width="9.140625" style="5"/>
    <col min="268" max="268" width="14.28515625" style="5" bestFit="1" customWidth="1"/>
    <col min="269" max="513" width="9.140625" style="5"/>
    <col min="514" max="514" width="1.42578125" style="5" customWidth="1"/>
    <col min="515" max="515" width="4.42578125" style="5" customWidth="1"/>
    <col min="516" max="516" width="1.28515625" style="5" customWidth="1"/>
    <col min="517" max="517" width="27.5703125" style="5" customWidth="1"/>
    <col min="518" max="518" width="7.85546875" style="5" customWidth="1"/>
    <col min="519" max="519" width="9.140625" style="5"/>
    <col min="520" max="520" width="15.28515625" style="5" customWidth="1"/>
    <col min="521" max="521" width="16.42578125" style="5" customWidth="1"/>
    <col min="522" max="523" width="9.140625" style="5"/>
    <col min="524" max="524" width="14.28515625" style="5" bestFit="1" customWidth="1"/>
    <col min="525" max="769" width="9.140625" style="5"/>
    <col min="770" max="770" width="1.42578125" style="5" customWidth="1"/>
    <col min="771" max="771" width="4.42578125" style="5" customWidth="1"/>
    <col min="772" max="772" width="1.28515625" style="5" customWidth="1"/>
    <col min="773" max="773" width="27.5703125" style="5" customWidth="1"/>
    <col min="774" max="774" width="7.85546875" style="5" customWidth="1"/>
    <col min="775" max="775" width="9.140625" style="5"/>
    <col min="776" max="776" width="15.28515625" style="5" customWidth="1"/>
    <col min="777" max="777" width="16.42578125" style="5" customWidth="1"/>
    <col min="778" max="779" width="9.140625" style="5"/>
    <col min="780" max="780" width="14.28515625" style="5" bestFit="1" customWidth="1"/>
    <col min="781" max="1025" width="9.140625" style="5"/>
    <col min="1026" max="1026" width="1.42578125" style="5" customWidth="1"/>
    <col min="1027" max="1027" width="4.42578125" style="5" customWidth="1"/>
    <col min="1028" max="1028" width="1.28515625" style="5" customWidth="1"/>
    <col min="1029" max="1029" width="27.5703125" style="5" customWidth="1"/>
    <col min="1030" max="1030" width="7.85546875" style="5" customWidth="1"/>
    <col min="1031" max="1031" width="9.140625" style="5"/>
    <col min="1032" max="1032" width="15.28515625" style="5" customWidth="1"/>
    <col min="1033" max="1033" width="16.42578125" style="5" customWidth="1"/>
    <col min="1034" max="1035" width="9.140625" style="5"/>
    <col min="1036" max="1036" width="14.28515625" style="5" bestFit="1" customWidth="1"/>
    <col min="1037" max="1281" width="9.140625" style="5"/>
    <col min="1282" max="1282" width="1.42578125" style="5" customWidth="1"/>
    <col min="1283" max="1283" width="4.42578125" style="5" customWidth="1"/>
    <col min="1284" max="1284" width="1.28515625" style="5" customWidth="1"/>
    <col min="1285" max="1285" width="27.5703125" style="5" customWidth="1"/>
    <col min="1286" max="1286" width="7.85546875" style="5" customWidth="1"/>
    <col min="1287" max="1287" width="9.140625" style="5"/>
    <col min="1288" max="1288" width="15.28515625" style="5" customWidth="1"/>
    <col min="1289" max="1289" width="16.42578125" style="5" customWidth="1"/>
    <col min="1290" max="1291" width="9.140625" style="5"/>
    <col min="1292" max="1292" width="14.28515625" style="5" bestFit="1" customWidth="1"/>
    <col min="1293" max="1537" width="9.140625" style="5"/>
    <col min="1538" max="1538" width="1.42578125" style="5" customWidth="1"/>
    <col min="1539" max="1539" width="4.42578125" style="5" customWidth="1"/>
    <col min="1540" max="1540" width="1.28515625" style="5" customWidth="1"/>
    <col min="1541" max="1541" width="27.5703125" style="5" customWidth="1"/>
    <col min="1542" max="1542" width="7.85546875" style="5" customWidth="1"/>
    <col min="1543" max="1543" width="9.140625" style="5"/>
    <col min="1544" max="1544" width="15.28515625" style="5" customWidth="1"/>
    <col min="1545" max="1545" width="16.42578125" style="5" customWidth="1"/>
    <col min="1546" max="1547" width="9.140625" style="5"/>
    <col min="1548" max="1548" width="14.28515625" style="5" bestFit="1" customWidth="1"/>
    <col min="1549" max="1793" width="9.140625" style="5"/>
    <col min="1794" max="1794" width="1.42578125" style="5" customWidth="1"/>
    <col min="1795" max="1795" width="4.42578125" style="5" customWidth="1"/>
    <col min="1796" max="1796" width="1.28515625" style="5" customWidth="1"/>
    <col min="1797" max="1797" width="27.5703125" style="5" customWidth="1"/>
    <col min="1798" max="1798" width="7.85546875" style="5" customWidth="1"/>
    <col min="1799" max="1799" width="9.140625" style="5"/>
    <col min="1800" max="1800" width="15.28515625" style="5" customWidth="1"/>
    <col min="1801" max="1801" width="16.42578125" style="5" customWidth="1"/>
    <col min="1802" max="1803" width="9.140625" style="5"/>
    <col min="1804" max="1804" width="14.28515625" style="5" bestFit="1" customWidth="1"/>
    <col min="1805" max="2049" width="9.140625" style="5"/>
    <col min="2050" max="2050" width="1.42578125" style="5" customWidth="1"/>
    <col min="2051" max="2051" width="4.42578125" style="5" customWidth="1"/>
    <col min="2052" max="2052" width="1.28515625" style="5" customWidth="1"/>
    <col min="2053" max="2053" width="27.5703125" style="5" customWidth="1"/>
    <col min="2054" max="2054" width="7.85546875" style="5" customWidth="1"/>
    <col min="2055" max="2055" width="9.140625" style="5"/>
    <col min="2056" max="2056" width="15.28515625" style="5" customWidth="1"/>
    <col min="2057" max="2057" width="16.42578125" style="5" customWidth="1"/>
    <col min="2058" max="2059" width="9.140625" style="5"/>
    <col min="2060" max="2060" width="14.28515625" style="5" bestFit="1" customWidth="1"/>
    <col min="2061" max="2305" width="9.140625" style="5"/>
    <col min="2306" max="2306" width="1.42578125" style="5" customWidth="1"/>
    <col min="2307" max="2307" width="4.42578125" style="5" customWidth="1"/>
    <col min="2308" max="2308" width="1.28515625" style="5" customWidth="1"/>
    <col min="2309" max="2309" width="27.5703125" style="5" customWidth="1"/>
    <col min="2310" max="2310" width="7.85546875" style="5" customWidth="1"/>
    <col min="2311" max="2311" width="9.140625" style="5"/>
    <col min="2312" max="2312" width="15.28515625" style="5" customWidth="1"/>
    <col min="2313" max="2313" width="16.42578125" style="5" customWidth="1"/>
    <col min="2314" max="2315" width="9.140625" style="5"/>
    <col min="2316" max="2316" width="14.28515625" style="5" bestFit="1" customWidth="1"/>
    <col min="2317" max="2561" width="9.140625" style="5"/>
    <col min="2562" max="2562" width="1.42578125" style="5" customWidth="1"/>
    <col min="2563" max="2563" width="4.42578125" style="5" customWidth="1"/>
    <col min="2564" max="2564" width="1.28515625" style="5" customWidth="1"/>
    <col min="2565" max="2565" width="27.5703125" style="5" customWidth="1"/>
    <col min="2566" max="2566" width="7.85546875" style="5" customWidth="1"/>
    <col min="2567" max="2567" width="9.140625" style="5"/>
    <col min="2568" max="2568" width="15.28515625" style="5" customWidth="1"/>
    <col min="2569" max="2569" width="16.42578125" style="5" customWidth="1"/>
    <col min="2570" max="2571" width="9.140625" style="5"/>
    <col min="2572" max="2572" width="14.28515625" style="5" bestFit="1" customWidth="1"/>
    <col min="2573" max="2817" width="9.140625" style="5"/>
    <col min="2818" max="2818" width="1.42578125" style="5" customWidth="1"/>
    <col min="2819" max="2819" width="4.42578125" style="5" customWidth="1"/>
    <col min="2820" max="2820" width="1.28515625" style="5" customWidth="1"/>
    <col min="2821" max="2821" width="27.5703125" style="5" customWidth="1"/>
    <col min="2822" max="2822" width="7.85546875" style="5" customWidth="1"/>
    <col min="2823" max="2823" width="9.140625" style="5"/>
    <col min="2824" max="2824" width="15.28515625" style="5" customWidth="1"/>
    <col min="2825" max="2825" width="16.42578125" style="5" customWidth="1"/>
    <col min="2826" max="2827" width="9.140625" style="5"/>
    <col min="2828" max="2828" width="14.28515625" style="5" bestFit="1" customWidth="1"/>
    <col min="2829" max="3073" width="9.140625" style="5"/>
    <col min="3074" max="3074" width="1.42578125" style="5" customWidth="1"/>
    <col min="3075" max="3075" width="4.42578125" style="5" customWidth="1"/>
    <col min="3076" max="3076" width="1.28515625" style="5" customWidth="1"/>
    <col min="3077" max="3077" width="27.5703125" style="5" customWidth="1"/>
    <col min="3078" max="3078" width="7.85546875" style="5" customWidth="1"/>
    <col min="3079" max="3079" width="9.140625" style="5"/>
    <col min="3080" max="3080" width="15.28515625" style="5" customWidth="1"/>
    <col min="3081" max="3081" width="16.42578125" style="5" customWidth="1"/>
    <col min="3082" max="3083" width="9.140625" style="5"/>
    <col min="3084" max="3084" width="14.28515625" style="5" bestFit="1" customWidth="1"/>
    <col min="3085" max="3329" width="9.140625" style="5"/>
    <col min="3330" max="3330" width="1.42578125" style="5" customWidth="1"/>
    <col min="3331" max="3331" width="4.42578125" style="5" customWidth="1"/>
    <col min="3332" max="3332" width="1.28515625" style="5" customWidth="1"/>
    <col min="3333" max="3333" width="27.5703125" style="5" customWidth="1"/>
    <col min="3334" max="3334" width="7.85546875" style="5" customWidth="1"/>
    <col min="3335" max="3335" width="9.140625" style="5"/>
    <col min="3336" max="3336" width="15.28515625" style="5" customWidth="1"/>
    <col min="3337" max="3337" width="16.42578125" style="5" customWidth="1"/>
    <col min="3338" max="3339" width="9.140625" style="5"/>
    <col min="3340" max="3340" width="14.28515625" style="5" bestFit="1" customWidth="1"/>
    <col min="3341" max="3585" width="9.140625" style="5"/>
    <col min="3586" max="3586" width="1.42578125" style="5" customWidth="1"/>
    <col min="3587" max="3587" width="4.42578125" style="5" customWidth="1"/>
    <col min="3588" max="3588" width="1.28515625" style="5" customWidth="1"/>
    <col min="3589" max="3589" width="27.5703125" style="5" customWidth="1"/>
    <col min="3590" max="3590" width="7.85546875" style="5" customWidth="1"/>
    <col min="3591" max="3591" width="9.140625" style="5"/>
    <col min="3592" max="3592" width="15.28515625" style="5" customWidth="1"/>
    <col min="3593" max="3593" width="16.42578125" style="5" customWidth="1"/>
    <col min="3594" max="3595" width="9.140625" style="5"/>
    <col min="3596" max="3596" width="14.28515625" style="5" bestFit="1" customWidth="1"/>
    <col min="3597" max="3841" width="9.140625" style="5"/>
    <col min="3842" max="3842" width="1.42578125" style="5" customWidth="1"/>
    <col min="3843" max="3843" width="4.42578125" style="5" customWidth="1"/>
    <col min="3844" max="3844" width="1.28515625" style="5" customWidth="1"/>
    <col min="3845" max="3845" width="27.5703125" style="5" customWidth="1"/>
    <col min="3846" max="3846" width="7.85546875" style="5" customWidth="1"/>
    <col min="3847" max="3847" width="9.140625" style="5"/>
    <col min="3848" max="3848" width="15.28515625" style="5" customWidth="1"/>
    <col min="3849" max="3849" width="16.42578125" style="5" customWidth="1"/>
    <col min="3850" max="3851" width="9.140625" style="5"/>
    <col min="3852" max="3852" width="14.28515625" style="5" bestFit="1" customWidth="1"/>
    <col min="3853" max="4097" width="9.140625" style="5"/>
    <col min="4098" max="4098" width="1.42578125" style="5" customWidth="1"/>
    <col min="4099" max="4099" width="4.42578125" style="5" customWidth="1"/>
    <col min="4100" max="4100" width="1.28515625" style="5" customWidth="1"/>
    <col min="4101" max="4101" width="27.5703125" style="5" customWidth="1"/>
    <col min="4102" max="4102" width="7.85546875" style="5" customWidth="1"/>
    <col min="4103" max="4103" width="9.140625" style="5"/>
    <col min="4104" max="4104" width="15.28515625" style="5" customWidth="1"/>
    <col min="4105" max="4105" width="16.42578125" style="5" customWidth="1"/>
    <col min="4106" max="4107" width="9.140625" style="5"/>
    <col min="4108" max="4108" width="14.28515625" style="5" bestFit="1" customWidth="1"/>
    <col min="4109" max="4353" width="9.140625" style="5"/>
    <col min="4354" max="4354" width="1.42578125" style="5" customWidth="1"/>
    <col min="4355" max="4355" width="4.42578125" style="5" customWidth="1"/>
    <col min="4356" max="4356" width="1.28515625" style="5" customWidth="1"/>
    <col min="4357" max="4357" width="27.5703125" style="5" customWidth="1"/>
    <col min="4358" max="4358" width="7.85546875" style="5" customWidth="1"/>
    <col min="4359" max="4359" width="9.140625" style="5"/>
    <col min="4360" max="4360" width="15.28515625" style="5" customWidth="1"/>
    <col min="4361" max="4361" width="16.42578125" style="5" customWidth="1"/>
    <col min="4362" max="4363" width="9.140625" style="5"/>
    <col min="4364" max="4364" width="14.28515625" style="5" bestFit="1" customWidth="1"/>
    <col min="4365" max="4609" width="9.140625" style="5"/>
    <col min="4610" max="4610" width="1.42578125" style="5" customWidth="1"/>
    <col min="4611" max="4611" width="4.42578125" style="5" customWidth="1"/>
    <col min="4612" max="4612" width="1.28515625" style="5" customWidth="1"/>
    <col min="4613" max="4613" width="27.5703125" style="5" customWidth="1"/>
    <col min="4614" max="4614" width="7.85546875" style="5" customWidth="1"/>
    <col min="4615" max="4615" width="9.140625" style="5"/>
    <col min="4616" max="4616" width="15.28515625" style="5" customWidth="1"/>
    <col min="4617" max="4617" width="16.42578125" style="5" customWidth="1"/>
    <col min="4618" max="4619" width="9.140625" style="5"/>
    <col min="4620" max="4620" width="14.28515625" style="5" bestFit="1" customWidth="1"/>
    <col min="4621" max="4865" width="9.140625" style="5"/>
    <col min="4866" max="4866" width="1.42578125" style="5" customWidth="1"/>
    <col min="4867" max="4867" width="4.42578125" style="5" customWidth="1"/>
    <col min="4868" max="4868" width="1.28515625" style="5" customWidth="1"/>
    <col min="4869" max="4869" width="27.5703125" style="5" customWidth="1"/>
    <col min="4870" max="4870" width="7.85546875" style="5" customWidth="1"/>
    <col min="4871" max="4871" width="9.140625" style="5"/>
    <col min="4872" max="4872" width="15.28515625" style="5" customWidth="1"/>
    <col min="4873" max="4873" width="16.42578125" style="5" customWidth="1"/>
    <col min="4874" max="4875" width="9.140625" style="5"/>
    <col min="4876" max="4876" width="14.28515625" style="5" bestFit="1" customWidth="1"/>
    <col min="4877" max="5121" width="9.140625" style="5"/>
    <col min="5122" max="5122" width="1.42578125" style="5" customWidth="1"/>
    <col min="5123" max="5123" width="4.42578125" style="5" customWidth="1"/>
    <col min="5124" max="5124" width="1.28515625" style="5" customWidth="1"/>
    <col min="5125" max="5125" width="27.5703125" style="5" customWidth="1"/>
    <col min="5126" max="5126" width="7.85546875" style="5" customWidth="1"/>
    <col min="5127" max="5127" width="9.140625" style="5"/>
    <col min="5128" max="5128" width="15.28515625" style="5" customWidth="1"/>
    <col min="5129" max="5129" width="16.42578125" style="5" customWidth="1"/>
    <col min="5130" max="5131" width="9.140625" style="5"/>
    <col min="5132" max="5132" width="14.28515625" style="5" bestFit="1" customWidth="1"/>
    <col min="5133" max="5377" width="9.140625" style="5"/>
    <col min="5378" max="5378" width="1.42578125" style="5" customWidth="1"/>
    <col min="5379" max="5379" width="4.42578125" style="5" customWidth="1"/>
    <col min="5380" max="5380" width="1.28515625" style="5" customWidth="1"/>
    <col min="5381" max="5381" width="27.5703125" style="5" customWidth="1"/>
    <col min="5382" max="5382" width="7.85546875" style="5" customWidth="1"/>
    <col min="5383" max="5383" width="9.140625" style="5"/>
    <col min="5384" max="5384" width="15.28515625" style="5" customWidth="1"/>
    <col min="5385" max="5385" width="16.42578125" style="5" customWidth="1"/>
    <col min="5386" max="5387" width="9.140625" style="5"/>
    <col min="5388" max="5388" width="14.28515625" style="5" bestFit="1" customWidth="1"/>
    <col min="5389" max="5633" width="9.140625" style="5"/>
    <col min="5634" max="5634" width="1.42578125" style="5" customWidth="1"/>
    <col min="5635" max="5635" width="4.42578125" style="5" customWidth="1"/>
    <col min="5636" max="5636" width="1.28515625" style="5" customWidth="1"/>
    <col min="5637" max="5637" width="27.5703125" style="5" customWidth="1"/>
    <col min="5638" max="5638" width="7.85546875" style="5" customWidth="1"/>
    <col min="5639" max="5639" width="9.140625" style="5"/>
    <col min="5640" max="5640" width="15.28515625" style="5" customWidth="1"/>
    <col min="5641" max="5641" width="16.42578125" style="5" customWidth="1"/>
    <col min="5642" max="5643" width="9.140625" style="5"/>
    <col min="5644" max="5644" width="14.28515625" style="5" bestFit="1" customWidth="1"/>
    <col min="5645" max="5889" width="9.140625" style="5"/>
    <col min="5890" max="5890" width="1.42578125" style="5" customWidth="1"/>
    <col min="5891" max="5891" width="4.42578125" style="5" customWidth="1"/>
    <col min="5892" max="5892" width="1.28515625" style="5" customWidth="1"/>
    <col min="5893" max="5893" width="27.5703125" style="5" customWidth="1"/>
    <col min="5894" max="5894" width="7.85546875" style="5" customWidth="1"/>
    <col min="5895" max="5895" width="9.140625" style="5"/>
    <col min="5896" max="5896" width="15.28515625" style="5" customWidth="1"/>
    <col min="5897" max="5897" width="16.42578125" style="5" customWidth="1"/>
    <col min="5898" max="5899" width="9.140625" style="5"/>
    <col min="5900" max="5900" width="14.28515625" style="5" bestFit="1" customWidth="1"/>
    <col min="5901" max="6145" width="9.140625" style="5"/>
    <col min="6146" max="6146" width="1.42578125" style="5" customWidth="1"/>
    <col min="6147" max="6147" width="4.42578125" style="5" customWidth="1"/>
    <col min="6148" max="6148" width="1.28515625" style="5" customWidth="1"/>
    <col min="6149" max="6149" width="27.5703125" style="5" customWidth="1"/>
    <col min="6150" max="6150" width="7.85546875" style="5" customWidth="1"/>
    <col min="6151" max="6151" width="9.140625" style="5"/>
    <col min="6152" max="6152" width="15.28515625" style="5" customWidth="1"/>
    <col min="6153" max="6153" width="16.42578125" style="5" customWidth="1"/>
    <col min="6154" max="6155" width="9.140625" style="5"/>
    <col min="6156" max="6156" width="14.28515625" style="5" bestFit="1" customWidth="1"/>
    <col min="6157" max="6401" width="9.140625" style="5"/>
    <col min="6402" max="6402" width="1.42578125" style="5" customWidth="1"/>
    <col min="6403" max="6403" width="4.42578125" style="5" customWidth="1"/>
    <col min="6404" max="6404" width="1.28515625" style="5" customWidth="1"/>
    <col min="6405" max="6405" width="27.5703125" style="5" customWidth="1"/>
    <col min="6406" max="6406" width="7.85546875" style="5" customWidth="1"/>
    <col min="6407" max="6407" width="9.140625" style="5"/>
    <col min="6408" max="6408" width="15.28515625" style="5" customWidth="1"/>
    <col min="6409" max="6409" width="16.42578125" style="5" customWidth="1"/>
    <col min="6410" max="6411" width="9.140625" style="5"/>
    <col min="6412" max="6412" width="14.28515625" style="5" bestFit="1" customWidth="1"/>
    <col min="6413" max="6657" width="9.140625" style="5"/>
    <col min="6658" max="6658" width="1.42578125" style="5" customWidth="1"/>
    <col min="6659" max="6659" width="4.42578125" style="5" customWidth="1"/>
    <col min="6660" max="6660" width="1.28515625" style="5" customWidth="1"/>
    <col min="6661" max="6661" width="27.5703125" style="5" customWidth="1"/>
    <col min="6662" max="6662" width="7.85546875" style="5" customWidth="1"/>
    <col min="6663" max="6663" width="9.140625" style="5"/>
    <col min="6664" max="6664" width="15.28515625" style="5" customWidth="1"/>
    <col min="6665" max="6665" width="16.42578125" style="5" customWidth="1"/>
    <col min="6666" max="6667" width="9.140625" style="5"/>
    <col min="6668" max="6668" width="14.28515625" style="5" bestFit="1" customWidth="1"/>
    <col min="6669" max="6913" width="9.140625" style="5"/>
    <col min="6914" max="6914" width="1.42578125" style="5" customWidth="1"/>
    <col min="6915" max="6915" width="4.42578125" style="5" customWidth="1"/>
    <col min="6916" max="6916" width="1.28515625" style="5" customWidth="1"/>
    <col min="6917" max="6917" width="27.5703125" style="5" customWidth="1"/>
    <col min="6918" max="6918" width="7.85546875" style="5" customWidth="1"/>
    <col min="6919" max="6919" width="9.140625" style="5"/>
    <col min="6920" max="6920" width="15.28515625" style="5" customWidth="1"/>
    <col min="6921" max="6921" width="16.42578125" style="5" customWidth="1"/>
    <col min="6922" max="6923" width="9.140625" style="5"/>
    <col min="6924" max="6924" width="14.28515625" style="5" bestFit="1" customWidth="1"/>
    <col min="6925" max="7169" width="9.140625" style="5"/>
    <col min="7170" max="7170" width="1.42578125" style="5" customWidth="1"/>
    <col min="7171" max="7171" width="4.42578125" style="5" customWidth="1"/>
    <col min="7172" max="7172" width="1.28515625" style="5" customWidth="1"/>
    <col min="7173" max="7173" width="27.5703125" style="5" customWidth="1"/>
    <col min="7174" max="7174" width="7.85546875" style="5" customWidth="1"/>
    <col min="7175" max="7175" width="9.140625" style="5"/>
    <col min="7176" max="7176" width="15.28515625" style="5" customWidth="1"/>
    <col min="7177" max="7177" width="16.42578125" style="5" customWidth="1"/>
    <col min="7178" max="7179" width="9.140625" style="5"/>
    <col min="7180" max="7180" width="14.28515625" style="5" bestFit="1" customWidth="1"/>
    <col min="7181" max="7425" width="9.140625" style="5"/>
    <col min="7426" max="7426" width="1.42578125" style="5" customWidth="1"/>
    <col min="7427" max="7427" width="4.42578125" style="5" customWidth="1"/>
    <col min="7428" max="7428" width="1.28515625" style="5" customWidth="1"/>
    <col min="7429" max="7429" width="27.5703125" style="5" customWidth="1"/>
    <col min="7430" max="7430" width="7.85546875" style="5" customWidth="1"/>
    <col min="7431" max="7431" width="9.140625" style="5"/>
    <col min="7432" max="7432" width="15.28515625" style="5" customWidth="1"/>
    <col min="7433" max="7433" width="16.42578125" style="5" customWidth="1"/>
    <col min="7434" max="7435" width="9.140625" style="5"/>
    <col min="7436" max="7436" width="14.28515625" style="5" bestFit="1" customWidth="1"/>
    <col min="7437" max="7681" width="9.140625" style="5"/>
    <col min="7682" max="7682" width="1.42578125" style="5" customWidth="1"/>
    <col min="7683" max="7683" width="4.42578125" style="5" customWidth="1"/>
    <col min="7684" max="7684" width="1.28515625" style="5" customWidth="1"/>
    <col min="7685" max="7685" width="27.5703125" style="5" customWidth="1"/>
    <col min="7686" max="7686" width="7.85546875" style="5" customWidth="1"/>
    <col min="7687" max="7687" width="9.140625" style="5"/>
    <col min="7688" max="7688" width="15.28515625" style="5" customWidth="1"/>
    <col min="7689" max="7689" width="16.42578125" style="5" customWidth="1"/>
    <col min="7690" max="7691" width="9.140625" style="5"/>
    <col min="7692" max="7692" width="14.28515625" style="5" bestFit="1" customWidth="1"/>
    <col min="7693" max="7937" width="9.140625" style="5"/>
    <col min="7938" max="7938" width="1.42578125" style="5" customWidth="1"/>
    <col min="7939" max="7939" width="4.42578125" style="5" customWidth="1"/>
    <col min="7940" max="7940" width="1.28515625" style="5" customWidth="1"/>
    <col min="7941" max="7941" width="27.5703125" style="5" customWidth="1"/>
    <col min="7942" max="7942" width="7.85546875" style="5" customWidth="1"/>
    <col min="7943" max="7943" width="9.140625" style="5"/>
    <col min="7944" max="7944" width="15.28515625" style="5" customWidth="1"/>
    <col min="7945" max="7945" width="16.42578125" style="5" customWidth="1"/>
    <col min="7946" max="7947" width="9.140625" style="5"/>
    <col min="7948" max="7948" width="14.28515625" style="5" bestFit="1" customWidth="1"/>
    <col min="7949" max="8193" width="9.140625" style="5"/>
    <col min="8194" max="8194" width="1.42578125" style="5" customWidth="1"/>
    <col min="8195" max="8195" width="4.42578125" style="5" customWidth="1"/>
    <col min="8196" max="8196" width="1.28515625" style="5" customWidth="1"/>
    <col min="8197" max="8197" width="27.5703125" style="5" customWidth="1"/>
    <col min="8198" max="8198" width="7.85546875" style="5" customWidth="1"/>
    <col min="8199" max="8199" width="9.140625" style="5"/>
    <col min="8200" max="8200" width="15.28515625" style="5" customWidth="1"/>
    <col min="8201" max="8201" width="16.42578125" style="5" customWidth="1"/>
    <col min="8202" max="8203" width="9.140625" style="5"/>
    <col min="8204" max="8204" width="14.28515625" style="5" bestFit="1" customWidth="1"/>
    <col min="8205" max="8449" width="9.140625" style="5"/>
    <col min="8450" max="8450" width="1.42578125" style="5" customWidth="1"/>
    <col min="8451" max="8451" width="4.42578125" style="5" customWidth="1"/>
    <col min="8452" max="8452" width="1.28515625" style="5" customWidth="1"/>
    <col min="8453" max="8453" width="27.5703125" style="5" customWidth="1"/>
    <col min="8454" max="8454" width="7.85546875" style="5" customWidth="1"/>
    <col min="8455" max="8455" width="9.140625" style="5"/>
    <col min="8456" max="8456" width="15.28515625" style="5" customWidth="1"/>
    <col min="8457" max="8457" width="16.42578125" style="5" customWidth="1"/>
    <col min="8458" max="8459" width="9.140625" style="5"/>
    <col min="8460" max="8460" width="14.28515625" style="5" bestFit="1" customWidth="1"/>
    <col min="8461" max="8705" width="9.140625" style="5"/>
    <col min="8706" max="8706" width="1.42578125" style="5" customWidth="1"/>
    <col min="8707" max="8707" width="4.42578125" style="5" customWidth="1"/>
    <col min="8708" max="8708" width="1.28515625" style="5" customWidth="1"/>
    <col min="8709" max="8709" width="27.5703125" style="5" customWidth="1"/>
    <col min="8710" max="8710" width="7.85546875" style="5" customWidth="1"/>
    <col min="8711" max="8711" width="9.140625" style="5"/>
    <col min="8712" max="8712" width="15.28515625" style="5" customWidth="1"/>
    <col min="8713" max="8713" width="16.42578125" style="5" customWidth="1"/>
    <col min="8714" max="8715" width="9.140625" style="5"/>
    <col min="8716" max="8716" width="14.28515625" style="5" bestFit="1" customWidth="1"/>
    <col min="8717" max="8961" width="9.140625" style="5"/>
    <col min="8962" max="8962" width="1.42578125" style="5" customWidth="1"/>
    <col min="8963" max="8963" width="4.42578125" style="5" customWidth="1"/>
    <col min="8964" max="8964" width="1.28515625" style="5" customWidth="1"/>
    <col min="8965" max="8965" width="27.5703125" style="5" customWidth="1"/>
    <col min="8966" max="8966" width="7.85546875" style="5" customWidth="1"/>
    <col min="8967" max="8967" width="9.140625" style="5"/>
    <col min="8968" max="8968" width="15.28515625" style="5" customWidth="1"/>
    <col min="8969" max="8969" width="16.42578125" style="5" customWidth="1"/>
    <col min="8970" max="8971" width="9.140625" style="5"/>
    <col min="8972" max="8972" width="14.28515625" style="5" bestFit="1" customWidth="1"/>
    <col min="8973" max="9217" width="9.140625" style="5"/>
    <col min="9218" max="9218" width="1.42578125" style="5" customWidth="1"/>
    <col min="9219" max="9219" width="4.42578125" style="5" customWidth="1"/>
    <col min="9220" max="9220" width="1.28515625" style="5" customWidth="1"/>
    <col min="9221" max="9221" width="27.5703125" style="5" customWidth="1"/>
    <col min="9222" max="9222" width="7.85546875" style="5" customWidth="1"/>
    <col min="9223" max="9223" width="9.140625" style="5"/>
    <col min="9224" max="9224" width="15.28515625" style="5" customWidth="1"/>
    <col min="9225" max="9225" width="16.42578125" style="5" customWidth="1"/>
    <col min="9226" max="9227" width="9.140625" style="5"/>
    <col min="9228" max="9228" width="14.28515625" style="5" bestFit="1" customWidth="1"/>
    <col min="9229" max="9473" width="9.140625" style="5"/>
    <col min="9474" max="9474" width="1.42578125" style="5" customWidth="1"/>
    <col min="9475" max="9475" width="4.42578125" style="5" customWidth="1"/>
    <col min="9476" max="9476" width="1.28515625" style="5" customWidth="1"/>
    <col min="9477" max="9477" width="27.5703125" style="5" customWidth="1"/>
    <col min="9478" max="9478" width="7.85546875" style="5" customWidth="1"/>
    <col min="9479" max="9479" width="9.140625" style="5"/>
    <col min="9480" max="9480" width="15.28515625" style="5" customWidth="1"/>
    <col min="9481" max="9481" width="16.42578125" style="5" customWidth="1"/>
    <col min="9482" max="9483" width="9.140625" style="5"/>
    <col min="9484" max="9484" width="14.28515625" style="5" bestFit="1" customWidth="1"/>
    <col min="9485" max="9729" width="9.140625" style="5"/>
    <col min="9730" max="9730" width="1.42578125" style="5" customWidth="1"/>
    <col min="9731" max="9731" width="4.42578125" style="5" customWidth="1"/>
    <col min="9732" max="9732" width="1.28515625" style="5" customWidth="1"/>
    <col min="9733" max="9733" width="27.5703125" style="5" customWidth="1"/>
    <col min="9734" max="9734" width="7.85546875" style="5" customWidth="1"/>
    <col min="9735" max="9735" width="9.140625" style="5"/>
    <col min="9736" max="9736" width="15.28515625" style="5" customWidth="1"/>
    <col min="9737" max="9737" width="16.42578125" style="5" customWidth="1"/>
    <col min="9738" max="9739" width="9.140625" style="5"/>
    <col min="9740" max="9740" width="14.28515625" style="5" bestFit="1" customWidth="1"/>
    <col min="9741" max="9985" width="9.140625" style="5"/>
    <col min="9986" max="9986" width="1.42578125" style="5" customWidth="1"/>
    <col min="9987" max="9987" width="4.42578125" style="5" customWidth="1"/>
    <col min="9988" max="9988" width="1.28515625" style="5" customWidth="1"/>
    <col min="9989" max="9989" width="27.5703125" style="5" customWidth="1"/>
    <col min="9990" max="9990" width="7.85546875" style="5" customWidth="1"/>
    <col min="9991" max="9991" width="9.140625" style="5"/>
    <col min="9992" max="9992" width="15.28515625" style="5" customWidth="1"/>
    <col min="9993" max="9993" width="16.42578125" style="5" customWidth="1"/>
    <col min="9994" max="9995" width="9.140625" style="5"/>
    <col min="9996" max="9996" width="14.28515625" style="5" bestFit="1" customWidth="1"/>
    <col min="9997" max="10241" width="9.140625" style="5"/>
    <col min="10242" max="10242" width="1.42578125" style="5" customWidth="1"/>
    <col min="10243" max="10243" width="4.42578125" style="5" customWidth="1"/>
    <col min="10244" max="10244" width="1.28515625" style="5" customWidth="1"/>
    <col min="10245" max="10245" width="27.5703125" style="5" customWidth="1"/>
    <col min="10246" max="10246" width="7.85546875" style="5" customWidth="1"/>
    <col min="10247" max="10247" width="9.140625" style="5"/>
    <col min="10248" max="10248" width="15.28515625" style="5" customWidth="1"/>
    <col min="10249" max="10249" width="16.42578125" style="5" customWidth="1"/>
    <col min="10250" max="10251" width="9.140625" style="5"/>
    <col min="10252" max="10252" width="14.28515625" style="5" bestFit="1" customWidth="1"/>
    <col min="10253" max="10497" width="9.140625" style="5"/>
    <col min="10498" max="10498" width="1.42578125" style="5" customWidth="1"/>
    <col min="10499" max="10499" width="4.42578125" style="5" customWidth="1"/>
    <col min="10500" max="10500" width="1.28515625" style="5" customWidth="1"/>
    <col min="10501" max="10501" width="27.5703125" style="5" customWidth="1"/>
    <col min="10502" max="10502" width="7.85546875" style="5" customWidth="1"/>
    <col min="10503" max="10503" width="9.140625" style="5"/>
    <col min="10504" max="10504" width="15.28515625" style="5" customWidth="1"/>
    <col min="10505" max="10505" width="16.42578125" style="5" customWidth="1"/>
    <col min="10506" max="10507" width="9.140625" style="5"/>
    <col min="10508" max="10508" width="14.28515625" style="5" bestFit="1" customWidth="1"/>
    <col min="10509" max="10753" width="9.140625" style="5"/>
    <col min="10754" max="10754" width="1.42578125" style="5" customWidth="1"/>
    <col min="10755" max="10755" width="4.42578125" style="5" customWidth="1"/>
    <col min="10756" max="10756" width="1.28515625" style="5" customWidth="1"/>
    <col min="10757" max="10757" width="27.5703125" style="5" customWidth="1"/>
    <col min="10758" max="10758" width="7.85546875" style="5" customWidth="1"/>
    <col min="10759" max="10759" width="9.140625" style="5"/>
    <col min="10760" max="10760" width="15.28515625" style="5" customWidth="1"/>
    <col min="10761" max="10761" width="16.42578125" style="5" customWidth="1"/>
    <col min="10762" max="10763" width="9.140625" style="5"/>
    <col min="10764" max="10764" width="14.28515625" style="5" bestFit="1" customWidth="1"/>
    <col min="10765" max="11009" width="9.140625" style="5"/>
    <col min="11010" max="11010" width="1.42578125" style="5" customWidth="1"/>
    <col min="11011" max="11011" width="4.42578125" style="5" customWidth="1"/>
    <col min="11012" max="11012" width="1.28515625" style="5" customWidth="1"/>
    <col min="11013" max="11013" width="27.5703125" style="5" customWidth="1"/>
    <col min="11014" max="11014" width="7.85546875" style="5" customWidth="1"/>
    <col min="11015" max="11015" width="9.140625" style="5"/>
    <col min="11016" max="11016" width="15.28515625" style="5" customWidth="1"/>
    <col min="11017" max="11017" width="16.42578125" style="5" customWidth="1"/>
    <col min="11018" max="11019" width="9.140625" style="5"/>
    <col min="11020" max="11020" width="14.28515625" style="5" bestFit="1" customWidth="1"/>
    <col min="11021" max="11265" width="9.140625" style="5"/>
    <col min="11266" max="11266" width="1.42578125" style="5" customWidth="1"/>
    <col min="11267" max="11267" width="4.42578125" style="5" customWidth="1"/>
    <col min="11268" max="11268" width="1.28515625" style="5" customWidth="1"/>
    <col min="11269" max="11269" width="27.5703125" style="5" customWidth="1"/>
    <col min="11270" max="11270" width="7.85546875" style="5" customWidth="1"/>
    <col min="11271" max="11271" width="9.140625" style="5"/>
    <col min="11272" max="11272" width="15.28515625" style="5" customWidth="1"/>
    <col min="11273" max="11273" width="16.42578125" style="5" customWidth="1"/>
    <col min="11274" max="11275" width="9.140625" style="5"/>
    <col min="11276" max="11276" width="14.28515625" style="5" bestFit="1" customWidth="1"/>
    <col min="11277" max="11521" width="9.140625" style="5"/>
    <col min="11522" max="11522" width="1.42578125" style="5" customWidth="1"/>
    <col min="11523" max="11523" width="4.42578125" style="5" customWidth="1"/>
    <col min="11524" max="11524" width="1.28515625" style="5" customWidth="1"/>
    <col min="11525" max="11525" width="27.5703125" style="5" customWidth="1"/>
    <col min="11526" max="11526" width="7.85546875" style="5" customWidth="1"/>
    <col min="11527" max="11527" width="9.140625" style="5"/>
    <col min="11528" max="11528" width="15.28515625" style="5" customWidth="1"/>
    <col min="11529" max="11529" width="16.42578125" style="5" customWidth="1"/>
    <col min="11530" max="11531" width="9.140625" style="5"/>
    <col min="11532" max="11532" width="14.28515625" style="5" bestFit="1" customWidth="1"/>
    <col min="11533" max="11777" width="9.140625" style="5"/>
    <col min="11778" max="11778" width="1.42578125" style="5" customWidth="1"/>
    <col min="11779" max="11779" width="4.42578125" style="5" customWidth="1"/>
    <col min="11780" max="11780" width="1.28515625" style="5" customWidth="1"/>
    <col min="11781" max="11781" width="27.5703125" style="5" customWidth="1"/>
    <col min="11782" max="11782" width="7.85546875" style="5" customWidth="1"/>
    <col min="11783" max="11783" width="9.140625" style="5"/>
    <col min="11784" max="11784" width="15.28515625" style="5" customWidth="1"/>
    <col min="11785" max="11785" width="16.42578125" style="5" customWidth="1"/>
    <col min="11786" max="11787" width="9.140625" style="5"/>
    <col min="11788" max="11788" width="14.28515625" style="5" bestFit="1" customWidth="1"/>
    <col min="11789" max="12033" width="9.140625" style="5"/>
    <col min="12034" max="12034" width="1.42578125" style="5" customWidth="1"/>
    <col min="12035" max="12035" width="4.42578125" style="5" customWidth="1"/>
    <col min="12036" max="12036" width="1.28515625" style="5" customWidth="1"/>
    <col min="12037" max="12037" width="27.5703125" style="5" customWidth="1"/>
    <col min="12038" max="12038" width="7.85546875" style="5" customWidth="1"/>
    <col min="12039" max="12039" width="9.140625" style="5"/>
    <col min="12040" max="12040" width="15.28515625" style="5" customWidth="1"/>
    <col min="12041" max="12041" width="16.42578125" style="5" customWidth="1"/>
    <col min="12042" max="12043" width="9.140625" style="5"/>
    <col min="12044" max="12044" width="14.28515625" style="5" bestFit="1" customWidth="1"/>
    <col min="12045" max="12289" width="9.140625" style="5"/>
    <col min="12290" max="12290" width="1.42578125" style="5" customWidth="1"/>
    <col min="12291" max="12291" width="4.42578125" style="5" customWidth="1"/>
    <col min="12292" max="12292" width="1.28515625" style="5" customWidth="1"/>
    <col min="12293" max="12293" width="27.5703125" style="5" customWidth="1"/>
    <col min="12294" max="12294" width="7.85546875" style="5" customWidth="1"/>
    <col min="12295" max="12295" width="9.140625" style="5"/>
    <col min="12296" max="12296" width="15.28515625" style="5" customWidth="1"/>
    <col min="12297" max="12297" width="16.42578125" style="5" customWidth="1"/>
    <col min="12298" max="12299" width="9.140625" style="5"/>
    <col min="12300" max="12300" width="14.28515625" style="5" bestFit="1" customWidth="1"/>
    <col min="12301" max="12545" width="9.140625" style="5"/>
    <col min="12546" max="12546" width="1.42578125" style="5" customWidth="1"/>
    <col min="12547" max="12547" width="4.42578125" style="5" customWidth="1"/>
    <col min="12548" max="12548" width="1.28515625" style="5" customWidth="1"/>
    <col min="12549" max="12549" width="27.5703125" style="5" customWidth="1"/>
    <col min="12550" max="12550" width="7.85546875" style="5" customWidth="1"/>
    <col min="12551" max="12551" width="9.140625" style="5"/>
    <col min="12552" max="12552" width="15.28515625" style="5" customWidth="1"/>
    <col min="12553" max="12553" width="16.42578125" style="5" customWidth="1"/>
    <col min="12554" max="12555" width="9.140625" style="5"/>
    <col min="12556" max="12556" width="14.28515625" style="5" bestFit="1" customWidth="1"/>
    <col min="12557" max="12801" width="9.140625" style="5"/>
    <col min="12802" max="12802" width="1.42578125" style="5" customWidth="1"/>
    <col min="12803" max="12803" width="4.42578125" style="5" customWidth="1"/>
    <col min="12804" max="12804" width="1.28515625" style="5" customWidth="1"/>
    <col min="12805" max="12805" width="27.5703125" style="5" customWidth="1"/>
    <col min="12806" max="12806" width="7.85546875" style="5" customWidth="1"/>
    <col min="12807" max="12807" width="9.140625" style="5"/>
    <col min="12808" max="12808" width="15.28515625" style="5" customWidth="1"/>
    <col min="12809" max="12809" width="16.42578125" style="5" customWidth="1"/>
    <col min="12810" max="12811" width="9.140625" style="5"/>
    <col min="12812" max="12812" width="14.28515625" style="5" bestFit="1" customWidth="1"/>
    <col min="12813" max="13057" width="9.140625" style="5"/>
    <col min="13058" max="13058" width="1.42578125" style="5" customWidth="1"/>
    <col min="13059" max="13059" width="4.42578125" style="5" customWidth="1"/>
    <col min="13060" max="13060" width="1.28515625" style="5" customWidth="1"/>
    <col min="13061" max="13061" width="27.5703125" style="5" customWidth="1"/>
    <col min="13062" max="13062" width="7.85546875" style="5" customWidth="1"/>
    <col min="13063" max="13063" width="9.140625" style="5"/>
    <col min="13064" max="13064" width="15.28515625" style="5" customWidth="1"/>
    <col min="13065" max="13065" width="16.42578125" style="5" customWidth="1"/>
    <col min="13066" max="13067" width="9.140625" style="5"/>
    <col min="13068" max="13068" width="14.28515625" style="5" bestFit="1" customWidth="1"/>
    <col min="13069" max="13313" width="9.140625" style="5"/>
    <col min="13314" max="13314" width="1.42578125" style="5" customWidth="1"/>
    <col min="13315" max="13315" width="4.42578125" style="5" customWidth="1"/>
    <col min="13316" max="13316" width="1.28515625" style="5" customWidth="1"/>
    <col min="13317" max="13317" width="27.5703125" style="5" customWidth="1"/>
    <col min="13318" max="13318" width="7.85546875" style="5" customWidth="1"/>
    <col min="13319" max="13319" width="9.140625" style="5"/>
    <col min="13320" max="13320" width="15.28515625" style="5" customWidth="1"/>
    <col min="13321" max="13321" width="16.42578125" style="5" customWidth="1"/>
    <col min="13322" max="13323" width="9.140625" style="5"/>
    <col min="13324" max="13324" width="14.28515625" style="5" bestFit="1" customWidth="1"/>
    <col min="13325" max="13569" width="9.140625" style="5"/>
    <col min="13570" max="13570" width="1.42578125" style="5" customWidth="1"/>
    <col min="13571" max="13571" width="4.42578125" style="5" customWidth="1"/>
    <col min="13572" max="13572" width="1.28515625" style="5" customWidth="1"/>
    <col min="13573" max="13573" width="27.5703125" style="5" customWidth="1"/>
    <col min="13574" max="13574" width="7.85546875" style="5" customWidth="1"/>
    <col min="13575" max="13575" width="9.140625" style="5"/>
    <col min="13576" max="13576" width="15.28515625" style="5" customWidth="1"/>
    <col min="13577" max="13577" width="16.42578125" style="5" customWidth="1"/>
    <col min="13578" max="13579" width="9.140625" style="5"/>
    <col min="13580" max="13580" width="14.28515625" style="5" bestFit="1" customWidth="1"/>
    <col min="13581" max="13825" width="9.140625" style="5"/>
    <col min="13826" max="13826" width="1.42578125" style="5" customWidth="1"/>
    <col min="13827" max="13827" width="4.42578125" style="5" customWidth="1"/>
    <col min="13828" max="13828" width="1.28515625" style="5" customWidth="1"/>
    <col min="13829" max="13829" width="27.5703125" style="5" customWidth="1"/>
    <col min="13830" max="13830" width="7.85546875" style="5" customWidth="1"/>
    <col min="13831" max="13831" width="9.140625" style="5"/>
    <col min="13832" max="13832" width="15.28515625" style="5" customWidth="1"/>
    <col min="13833" max="13833" width="16.42578125" style="5" customWidth="1"/>
    <col min="13834" max="13835" width="9.140625" style="5"/>
    <col min="13836" max="13836" width="14.28515625" style="5" bestFit="1" customWidth="1"/>
    <col min="13837" max="14081" width="9.140625" style="5"/>
    <col min="14082" max="14082" width="1.42578125" style="5" customWidth="1"/>
    <col min="14083" max="14083" width="4.42578125" style="5" customWidth="1"/>
    <col min="14084" max="14084" width="1.28515625" style="5" customWidth="1"/>
    <col min="14085" max="14085" width="27.5703125" style="5" customWidth="1"/>
    <col min="14086" max="14086" width="7.85546875" style="5" customWidth="1"/>
    <col min="14087" max="14087" width="9.140625" style="5"/>
    <col min="14088" max="14088" width="15.28515625" style="5" customWidth="1"/>
    <col min="14089" max="14089" width="16.42578125" style="5" customWidth="1"/>
    <col min="14090" max="14091" width="9.140625" style="5"/>
    <col min="14092" max="14092" width="14.28515625" style="5" bestFit="1" customWidth="1"/>
    <col min="14093" max="14337" width="9.140625" style="5"/>
    <col min="14338" max="14338" width="1.42578125" style="5" customWidth="1"/>
    <col min="14339" max="14339" width="4.42578125" style="5" customWidth="1"/>
    <col min="14340" max="14340" width="1.28515625" style="5" customWidth="1"/>
    <col min="14341" max="14341" width="27.5703125" style="5" customWidth="1"/>
    <col min="14342" max="14342" width="7.85546875" style="5" customWidth="1"/>
    <col min="14343" max="14343" width="9.140625" style="5"/>
    <col min="14344" max="14344" width="15.28515625" style="5" customWidth="1"/>
    <col min="14345" max="14345" width="16.42578125" style="5" customWidth="1"/>
    <col min="14346" max="14347" width="9.140625" style="5"/>
    <col min="14348" max="14348" width="14.28515625" style="5" bestFit="1" customWidth="1"/>
    <col min="14349" max="14593" width="9.140625" style="5"/>
    <col min="14594" max="14594" width="1.42578125" style="5" customWidth="1"/>
    <col min="14595" max="14595" width="4.42578125" style="5" customWidth="1"/>
    <col min="14596" max="14596" width="1.28515625" style="5" customWidth="1"/>
    <col min="14597" max="14597" width="27.5703125" style="5" customWidth="1"/>
    <col min="14598" max="14598" width="7.85546875" style="5" customWidth="1"/>
    <col min="14599" max="14599" width="9.140625" style="5"/>
    <col min="14600" max="14600" width="15.28515625" style="5" customWidth="1"/>
    <col min="14601" max="14601" width="16.42578125" style="5" customWidth="1"/>
    <col min="14602" max="14603" width="9.140625" style="5"/>
    <col min="14604" max="14604" width="14.28515625" style="5" bestFit="1" customWidth="1"/>
    <col min="14605" max="14849" width="9.140625" style="5"/>
    <col min="14850" max="14850" width="1.42578125" style="5" customWidth="1"/>
    <col min="14851" max="14851" width="4.42578125" style="5" customWidth="1"/>
    <col min="14852" max="14852" width="1.28515625" style="5" customWidth="1"/>
    <col min="14853" max="14853" width="27.5703125" style="5" customWidth="1"/>
    <col min="14854" max="14854" width="7.85546875" style="5" customWidth="1"/>
    <col min="14855" max="14855" width="9.140625" style="5"/>
    <col min="14856" max="14856" width="15.28515625" style="5" customWidth="1"/>
    <col min="14857" max="14857" width="16.42578125" style="5" customWidth="1"/>
    <col min="14858" max="14859" width="9.140625" style="5"/>
    <col min="14860" max="14860" width="14.28515625" style="5" bestFit="1" customWidth="1"/>
    <col min="14861" max="15105" width="9.140625" style="5"/>
    <col min="15106" max="15106" width="1.42578125" style="5" customWidth="1"/>
    <col min="15107" max="15107" width="4.42578125" style="5" customWidth="1"/>
    <col min="15108" max="15108" width="1.28515625" style="5" customWidth="1"/>
    <col min="15109" max="15109" width="27.5703125" style="5" customWidth="1"/>
    <col min="15110" max="15110" width="7.85546875" style="5" customWidth="1"/>
    <col min="15111" max="15111" width="9.140625" style="5"/>
    <col min="15112" max="15112" width="15.28515625" style="5" customWidth="1"/>
    <col min="15113" max="15113" width="16.42578125" style="5" customWidth="1"/>
    <col min="15114" max="15115" width="9.140625" style="5"/>
    <col min="15116" max="15116" width="14.28515625" style="5" bestFit="1" customWidth="1"/>
    <col min="15117" max="15361" width="9.140625" style="5"/>
    <col min="15362" max="15362" width="1.42578125" style="5" customWidth="1"/>
    <col min="15363" max="15363" width="4.42578125" style="5" customWidth="1"/>
    <col min="15364" max="15364" width="1.28515625" style="5" customWidth="1"/>
    <col min="15365" max="15365" width="27.5703125" style="5" customWidth="1"/>
    <col min="15366" max="15366" width="7.85546875" style="5" customWidth="1"/>
    <col min="15367" max="15367" width="9.140625" style="5"/>
    <col min="15368" max="15368" width="15.28515625" style="5" customWidth="1"/>
    <col min="15369" max="15369" width="16.42578125" style="5" customWidth="1"/>
    <col min="15370" max="15371" width="9.140625" style="5"/>
    <col min="15372" max="15372" width="14.28515625" style="5" bestFit="1" customWidth="1"/>
    <col min="15373" max="15617" width="9.140625" style="5"/>
    <col min="15618" max="15618" width="1.42578125" style="5" customWidth="1"/>
    <col min="15619" max="15619" width="4.42578125" style="5" customWidth="1"/>
    <col min="15620" max="15620" width="1.28515625" style="5" customWidth="1"/>
    <col min="15621" max="15621" width="27.5703125" style="5" customWidth="1"/>
    <col min="15622" max="15622" width="7.85546875" style="5" customWidth="1"/>
    <col min="15623" max="15623" width="9.140625" style="5"/>
    <col min="15624" max="15624" width="15.28515625" style="5" customWidth="1"/>
    <col min="15625" max="15625" width="16.42578125" style="5" customWidth="1"/>
    <col min="15626" max="15627" width="9.140625" style="5"/>
    <col min="15628" max="15628" width="14.28515625" style="5" bestFit="1" customWidth="1"/>
    <col min="15629" max="15873" width="9.140625" style="5"/>
    <col min="15874" max="15874" width="1.42578125" style="5" customWidth="1"/>
    <col min="15875" max="15875" width="4.42578125" style="5" customWidth="1"/>
    <col min="15876" max="15876" width="1.28515625" style="5" customWidth="1"/>
    <col min="15877" max="15877" width="27.5703125" style="5" customWidth="1"/>
    <col min="15878" max="15878" width="7.85546875" style="5" customWidth="1"/>
    <col min="15879" max="15879" width="9.140625" style="5"/>
    <col min="15880" max="15880" width="15.28515625" style="5" customWidth="1"/>
    <col min="15881" max="15881" width="16.42578125" style="5" customWidth="1"/>
    <col min="15882" max="15883" width="9.140625" style="5"/>
    <col min="15884" max="15884" width="14.28515625" style="5" bestFit="1" customWidth="1"/>
    <col min="15885" max="16129" width="9.140625" style="5"/>
    <col min="16130" max="16130" width="1.42578125" style="5" customWidth="1"/>
    <col min="16131" max="16131" width="4.42578125" style="5" customWidth="1"/>
    <col min="16132" max="16132" width="1.28515625" style="5" customWidth="1"/>
    <col min="16133" max="16133" width="27.5703125" style="5" customWidth="1"/>
    <col min="16134" max="16134" width="7.85546875" style="5" customWidth="1"/>
    <col min="16135" max="16135" width="9.140625" style="5"/>
    <col min="16136" max="16136" width="15.28515625" style="5" customWidth="1"/>
    <col min="16137" max="16137" width="16.42578125" style="5" customWidth="1"/>
    <col min="16138" max="16139" width="9.140625" style="5"/>
    <col min="16140" max="16140" width="14.28515625" style="5" bestFit="1" customWidth="1"/>
    <col min="16141" max="16384" width="9.140625" style="5"/>
  </cols>
  <sheetData>
    <row r="2" spans="2:11" ht="15.75">
      <c r="B2" s="182" t="s">
        <v>380</v>
      </c>
      <c r="C2" s="182"/>
      <c r="D2" s="182"/>
      <c r="E2" s="182"/>
      <c r="F2" s="182"/>
      <c r="G2" s="409"/>
      <c r="H2" s="182"/>
      <c r="I2" s="182"/>
    </row>
    <row r="3" spans="2:11">
      <c r="B3" s="410"/>
      <c r="C3" s="411"/>
      <c r="D3" s="411"/>
      <c r="E3" s="412"/>
      <c r="F3" s="413"/>
      <c r="G3" s="414"/>
      <c r="H3" s="411"/>
      <c r="I3" s="411"/>
    </row>
    <row r="4" spans="2:11">
      <c r="B4" s="188" t="s">
        <v>157</v>
      </c>
      <c r="C4" s="415"/>
      <c r="D4" s="191" t="s">
        <v>211</v>
      </c>
      <c r="E4" s="191" t="s">
        <v>212</v>
      </c>
      <c r="F4" s="416" t="s">
        <v>213</v>
      </c>
      <c r="G4" s="417" t="s">
        <v>214</v>
      </c>
      <c r="H4" s="190" t="s">
        <v>215</v>
      </c>
      <c r="I4" s="1165"/>
    </row>
    <row r="5" spans="2:11">
      <c r="B5" s="418"/>
      <c r="C5" s="419"/>
      <c r="D5" s="420"/>
      <c r="E5" s="420"/>
      <c r="F5" s="421"/>
      <c r="G5" s="422" t="s">
        <v>216</v>
      </c>
      <c r="H5" s="423" t="s">
        <v>216</v>
      </c>
      <c r="I5" s="1170"/>
    </row>
    <row r="6" spans="2:11">
      <c r="B6" s="216" t="s">
        <v>381</v>
      </c>
      <c r="C6" s="424" t="s">
        <v>382</v>
      </c>
      <c r="D6" s="425"/>
      <c r="E6" s="426"/>
      <c r="F6" s="427"/>
      <c r="G6" s="428"/>
      <c r="H6" s="429"/>
      <c r="I6" s="1166"/>
    </row>
    <row r="7" spans="2:11">
      <c r="B7" s="205"/>
      <c r="C7" s="206" t="s">
        <v>28</v>
      </c>
      <c r="D7" s="207" t="s">
        <v>238</v>
      </c>
      <c r="E7" s="208" t="s">
        <v>239</v>
      </c>
      <c r="F7" s="68">
        <v>140</v>
      </c>
      <c r="G7" s="430">
        <f>PSP!$G$40</f>
        <v>1100</v>
      </c>
      <c r="H7" s="431">
        <f>F7*G7</f>
        <v>154000</v>
      </c>
      <c r="I7" s="440"/>
      <c r="K7" s="1403"/>
    </row>
    <row r="8" spans="2:11">
      <c r="B8" s="71"/>
      <c r="C8" s="368" t="s">
        <v>28</v>
      </c>
      <c r="D8" s="332" t="s">
        <v>221</v>
      </c>
      <c r="E8" s="73" t="s">
        <v>145</v>
      </c>
      <c r="F8" s="74">
        <v>32.950000000000003</v>
      </c>
      <c r="G8" s="75">
        <f>PSP!$G$36</f>
        <v>1500</v>
      </c>
      <c r="H8" s="432">
        <f t="shared" ref="H8:H13" si="0">F8*G8</f>
        <v>49425.000000000007</v>
      </c>
      <c r="I8" s="440"/>
      <c r="K8" s="1403"/>
    </row>
    <row r="9" spans="2:11">
      <c r="B9" s="71"/>
      <c r="C9" s="368" t="s">
        <v>28</v>
      </c>
      <c r="D9" s="41" t="s">
        <v>237</v>
      </c>
      <c r="E9" s="73" t="s">
        <v>143</v>
      </c>
      <c r="F9" s="74">
        <v>9.0999999999999998E-2</v>
      </c>
      <c r="G9" s="75">
        <f>PSP!$G$37</f>
        <v>246000</v>
      </c>
      <c r="H9" s="432">
        <f>F9*G9</f>
        <v>22386</v>
      </c>
      <c r="I9" s="440">
        <f>SUM(H7:H9)</f>
        <v>225811</v>
      </c>
      <c r="K9" s="1403"/>
    </row>
    <row r="10" spans="2:11">
      <c r="B10" s="71"/>
      <c r="C10" s="368" t="s">
        <v>28</v>
      </c>
      <c r="D10" s="76" t="s">
        <v>133</v>
      </c>
      <c r="E10" s="73" t="s">
        <v>132</v>
      </c>
      <c r="F10" s="74">
        <v>0.65</v>
      </c>
      <c r="G10" s="75">
        <f>UPAH!$E$26</f>
        <v>136000</v>
      </c>
      <c r="H10" s="432">
        <f t="shared" si="0"/>
        <v>88400</v>
      </c>
      <c r="I10" s="440"/>
    </row>
    <row r="11" spans="2:11">
      <c r="B11" s="71"/>
      <c r="C11" s="368" t="s">
        <v>28</v>
      </c>
      <c r="D11" s="76" t="s">
        <v>245</v>
      </c>
      <c r="E11" s="73" t="s">
        <v>132</v>
      </c>
      <c r="F11" s="74">
        <v>0.2</v>
      </c>
      <c r="G11" s="75">
        <f>UPAH!$E$16</f>
        <v>160000</v>
      </c>
      <c r="H11" s="432">
        <f t="shared" si="0"/>
        <v>32000</v>
      </c>
      <c r="I11" s="440"/>
    </row>
    <row r="12" spans="2:11">
      <c r="B12" s="71"/>
      <c r="C12" s="368" t="s">
        <v>28</v>
      </c>
      <c r="D12" s="76" t="s">
        <v>140</v>
      </c>
      <c r="E12" s="73" t="s">
        <v>132</v>
      </c>
      <c r="F12" s="74">
        <v>0.02</v>
      </c>
      <c r="G12" s="75">
        <f>UPAH!$E$10</f>
        <v>170000</v>
      </c>
      <c r="H12" s="432">
        <f t="shared" si="0"/>
        <v>3400</v>
      </c>
      <c r="I12" s="440"/>
    </row>
    <row r="13" spans="2:11">
      <c r="B13" s="369"/>
      <c r="C13" s="433" t="s">
        <v>28</v>
      </c>
      <c r="D13" s="434" t="s">
        <v>136</v>
      </c>
      <c r="E13" s="435" t="s">
        <v>132</v>
      </c>
      <c r="F13" s="436">
        <v>0.03</v>
      </c>
      <c r="G13" s="437">
        <f>UPAH!$E$9</f>
        <v>180000</v>
      </c>
      <c r="H13" s="438">
        <f t="shared" si="0"/>
        <v>5400</v>
      </c>
      <c r="I13" s="440">
        <f>SUM(H10:H13)</f>
        <v>129200</v>
      </c>
    </row>
    <row r="14" spans="2:11">
      <c r="B14" s="216"/>
      <c r="C14" s="439"/>
      <c r="D14" s="425" t="s">
        <v>228</v>
      </c>
      <c r="E14" s="426"/>
      <c r="F14" s="1"/>
      <c r="G14" s="440"/>
      <c r="H14" s="441">
        <f>SUM(H7:H13)</f>
        <v>355011</v>
      </c>
      <c r="I14" s="440"/>
    </row>
    <row r="15" spans="2:11">
      <c r="B15" s="396"/>
      <c r="C15" s="442" t="s">
        <v>229</v>
      </c>
      <c r="D15" s="443"/>
      <c r="E15" s="443"/>
      <c r="F15" s="443"/>
      <c r="G15" s="443"/>
      <c r="H15" s="444">
        <f>ROUND(H14,0)</f>
        <v>355011</v>
      </c>
      <c r="I15" s="1164"/>
    </row>
    <row r="16" spans="2:11">
      <c r="B16" s="226" t="s">
        <v>383</v>
      </c>
      <c r="C16" s="424" t="s">
        <v>384</v>
      </c>
      <c r="D16" s="287"/>
      <c r="E16" s="288"/>
      <c r="F16" s="445"/>
      <c r="G16" s="446"/>
      <c r="H16" s="447"/>
      <c r="I16" s="440"/>
    </row>
    <row r="17" spans="2:11">
      <c r="B17" s="205"/>
      <c r="C17" s="66" t="s">
        <v>28</v>
      </c>
      <c r="D17" s="207" t="s">
        <v>238</v>
      </c>
      <c r="E17" s="67" t="s">
        <v>239</v>
      </c>
      <c r="F17" s="68">
        <v>140</v>
      </c>
      <c r="G17" s="69">
        <f t="shared" ref="G17:G23" si="1">G7</f>
        <v>1100</v>
      </c>
      <c r="H17" s="432">
        <f t="shared" ref="H17:H23" si="2">F17*G17</f>
        <v>154000</v>
      </c>
      <c r="I17" s="440"/>
    </row>
    <row r="18" spans="2:11">
      <c r="B18" s="71"/>
      <c r="C18" s="368" t="s">
        <v>28</v>
      </c>
      <c r="D18" s="332" t="s">
        <v>221</v>
      </c>
      <c r="E18" s="73" t="s">
        <v>145</v>
      </c>
      <c r="F18" s="74">
        <v>22.2</v>
      </c>
      <c r="G18" s="69">
        <f t="shared" si="1"/>
        <v>1500</v>
      </c>
      <c r="H18" s="432">
        <f t="shared" si="2"/>
        <v>33300</v>
      </c>
      <c r="I18" s="440"/>
    </row>
    <row r="19" spans="2:11">
      <c r="B19" s="71"/>
      <c r="C19" s="368" t="s">
        <v>28</v>
      </c>
      <c r="D19" s="41" t="s">
        <v>237</v>
      </c>
      <c r="E19" s="73" t="s">
        <v>143</v>
      </c>
      <c r="F19" s="74">
        <v>0.10199999999999999</v>
      </c>
      <c r="G19" s="69">
        <f t="shared" si="1"/>
        <v>246000</v>
      </c>
      <c r="H19" s="432">
        <f t="shared" si="2"/>
        <v>25092</v>
      </c>
      <c r="I19" s="440">
        <f>SUM(H17:H19)</f>
        <v>212392</v>
      </c>
    </row>
    <row r="20" spans="2:11">
      <c r="B20" s="71"/>
      <c r="C20" s="368" t="s">
        <v>28</v>
      </c>
      <c r="D20" s="76" t="s">
        <v>133</v>
      </c>
      <c r="E20" s="73" t="s">
        <v>132</v>
      </c>
      <c r="F20" s="74">
        <v>0.65</v>
      </c>
      <c r="G20" s="69">
        <f t="shared" si="1"/>
        <v>136000</v>
      </c>
      <c r="H20" s="432">
        <f t="shared" si="2"/>
        <v>88400</v>
      </c>
      <c r="I20" s="440"/>
    </row>
    <row r="21" spans="2:11">
      <c r="B21" s="71"/>
      <c r="C21" s="368" t="s">
        <v>28</v>
      </c>
      <c r="D21" s="76" t="s">
        <v>245</v>
      </c>
      <c r="E21" s="73" t="s">
        <v>132</v>
      </c>
      <c r="F21" s="74">
        <v>0.2</v>
      </c>
      <c r="G21" s="69">
        <f t="shared" si="1"/>
        <v>160000</v>
      </c>
      <c r="H21" s="432">
        <f t="shared" si="2"/>
        <v>32000</v>
      </c>
      <c r="I21" s="440"/>
    </row>
    <row r="22" spans="2:11">
      <c r="B22" s="71"/>
      <c r="C22" s="368" t="s">
        <v>28</v>
      </c>
      <c r="D22" s="76" t="s">
        <v>140</v>
      </c>
      <c r="E22" s="73" t="s">
        <v>132</v>
      </c>
      <c r="F22" s="74">
        <v>0.02</v>
      </c>
      <c r="G22" s="69">
        <f t="shared" si="1"/>
        <v>170000</v>
      </c>
      <c r="H22" s="432">
        <f t="shared" si="2"/>
        <v>3400</v>
      </c>
      <c r="I22" s="440"/>
    </row>
    <row r="23" spans="2:11">
      <c r="B23" s="369"/>
      <c r="C23" s="382" t="s">
        <v>28</v>
      </c>
      <c r="D23" s="448" t="s">
        <v>136</v>
      </c>
      <c r="E23" s="449" t="s">
        <v>132</v>
      </c>
      <c r="F23" s="450">
        <v>0.03</v>
      </c>
      <c r="G23" s="69">
        <f t="shared" si="1"/>
        <v>180000</v>
      </c>
      <c r="H23" s="432">
        <f t="shared" si="2"/>
        <v>5400</v>
      </c>
      <c r="I23" s="440">
        <f>SUM(H20:H23)</f>
        <v>129200</v>
      </c>
    </row>
    <row r="24" spans="2:11">
      <c r="B24" s="216"/>
      <c r="C24" s="83"/>
      <c r="D24" s="84" t="s">
        <v>228</v>
      </c>
      <c r="E24" s="85"/>
      <c r="F24" s="86"/>
      <c r="G24" s="87"/>
      <c r="H24" s="88">
        <f>SUM(H17:H23)</f>
        <v>341592</v>
      </c>
      <c r="I24" s="440"/>
    </row>
    <row r="25" spans="2:11">
      <c r="B25" s="451"/>
      <c r="C25" s="452" t="s">
        <v>229</v>
      </c>
      <c r="D25" s="453"/>
      <c r="E25" s="453"/>
      <c r="F25" s="453"/>
      <c r="G25" s="454"/>
      <c r="H25" s="454">
        <f>ROUND(H24,0)</f>
        <v>341592</v>
      </c>
      <c r="I25" s="1164"/>
    </row>
    <row r="26" spans="2:11">
      <c r="B26" s="269" t="s">
        <v>385</v>
      </c>
      <c r="C26" s="328" t="s">
        <v>386</v>
      </c>
      <c r="D26" s="328"/>
      <c r="E26" s="397"/>
      <c r="F26" s="445"/>
      <c r="G26" s="455"/>
      <c r="H26" s="456"/>
      <c r="I26" s="440"/>
    </row>
    <row r="27" spans="2:11">
      <c r="B27" s="232"/>
      <c r="C27" s="66" t="s">
        <v>28</v>
      </c>
      <c r="D27" s="233" t="s">
        <v>238</v>
      </c>
      <c r="E27" s="67" t="s">
        <v>239</v>
      </c>
      <c r="F27" s="1135">
        <f>70</f>
        <v>70</v>
      </c>
      <c r="G27" s="69">
        <f t="shared" ref="G27:G33" si="3">G17</f>
        <v>1100</v>
      </c>
      <c r="H27" s="458">
        <f t="shared" ref="H27:H33" si="4">F27*G27</f>
        <v>77000</v>
      </c>
      <c r="I27" s="440"/>
      <c r="J27" s="1392">
        <f>M!$K$298+M!$K$403</f>
        <v>15</v>
      </c>
      <c r="K27" s="1403">
        <f>J27*F27</f>
        <v>1050</v>
      </c>
    </row>
    <row r="28" spans="2:11">
      <c r="B28" s="267"/>
      <c r="C28" s="368" t="s">
        <v>28</v>
      </c>
      <c r="D28" s="332" t="s">
        <v>221</v>
      </c>
      <c r="E28" s="73" t="s">
        <v>145</v>
      </c>
      <c r="F28" s="459">
        <v>14.37</v>
      </c>
      <c r="G28" s="69">
        <f t="shared" si="3"/>
        <v>1500</v>
      </c>
      <c r="H28" s="432">
        <f t="shared" si="4"/>
        <v>21555</v>
      </c>
      <c r="I28" s="440"/>
      <c r="J28" s="1392">
        <f>M!$K$298+M!$K$403</f>
        <v>15</v>
      </c>
      <c r="K28" s="1403">
        <f>J28*F28</f>
        <v>215.54999999999998</v>
      </c>
    </row>
    <row r="29" spans="2:11">
      <c r="B29" s="267"/>
      <c r="C29" s="368" t="s">
        <v>28</v>
      </c>
      <c r="D29" s="41" t="s">
        <v>237</v>
      </c>
      <c r="E29" s="73" t="s">
        <v>143</v>
      </c>
      <c r="F29" s="459">
        <v>0.04</v>
      </c>
      <c r="G29" s="69">
        <f t="shared" si="3"/>
        <v>246000</v>
      </c>
      <c r="H29" s="432">
        <f t="shared" si="4"/>
        <v>9840</v>
      </c>
      <c r="I29" s="440">
        <f>SUM(H27:H29)</f>
        <v>108395</v>
      </c>
      <c r="J29" s="1392">
        <f>M!$K$298+M!$K$403</f>
        <v>15</v>
      </c>
      <c r="K29" s="1403">
        <f>J29*F29</f>
        <v>0.6</v>
      </c>
    </row>
    <row r="30" spans="2:11">
      <c r="B30" s="267"/>
      <c r="C30" s="368" t="s">
        <v>28</v>
      </c>
      <c r="D30" s="76" t="s">
        <v>133</v>
      </c>
      <c r="E30" s="73" t="s">
        <v>132</v>
      </c>
      <c r="F30" s="459">
        <v>0.32</v>
      </c>
      <c r="G30" s="69">
        <f t="shared" si="3"/>
        <v>136000</v>
      </c>
      <c r="H30" s="432">
        <f t="shared" si="4"/>
        <v>43520</v>
      </c>
      <c r="I30" s="440"/>
    </row>
    <row r="31" spans="2:11">
      <c r="B31" s="267"/>
      <c r="C31" s="368" t="s">
        <v>28</v>
      </c>
      <c r="D31" s="76" t="s">
        <v>245</v>
      </c>
      <c r="E31" s="73" t="s">
        <v>132</v>
      </c>
      <c r="F31" s="459">
        <v>0.1</v>
      </c>
      <c r="G31" s="69">
        <f t="shared" si="3"/>
        <v>160000</v>
      </c>
      <c r="H31" s="432">
        <f t="shared" si="4"/>
        <v>16000</v>
      </c>
      <c r="I31" s="440"/>
    </row>
    <row r="32" spans="2:11">
      <c r="B32" s="267"/>
      <c r="C32" s="368" t="s">
        <v>28</v>
      </c>
      <c r="D32" s="76" t="s">
        <v>140</v>
      </c>
      <c r="E32" s="73" t="s">
        <v>132</v>
      </c>
      <c r="F32" s="459">
        <v>0.01</v>
      </c>
      <c r="G32" s="69">
        <f t="shared" si="3"/>
        <v>170000</v>
      </c>
      <c r="H32" s="432">
        <f t="shared" si="4"/>
        <v>1700</v>
      </c>
      <c r="I32" s="440"/>
    </row>
    <row r="33" spans="2:15">
      <c r="B33" s="460"/>
      <c r="C33" s="382" t="s">
        <v>28</v>
      </c>
      <c r="D33" s="448" t="s">
        <v>136</v>
      </c>
      <c r="E33" s="449" t="s">
        <v>132</v>
      </c>
      <c r="F33" s="461">
        <v>1.4999999999999999E-2</v>
      </c>
      <c r="G33" s="462">
        <f t="shared" si="3"/>
        <v>180000</v>
      </c>
      <c r="H33" s="438">
        <f t="shared" si="4"/>
        <v>2700</v>
      </c>
      <c r="I33" s="440">
        <f>SUM(H30:H33)</f>
        <v>63920</v>
      </c>
    </row>
    <row r="34" spans="2:15">
      <c r="B34" s="251"/>
      <c r="C34" s="252"/>
      <c r="D34" s="253" t="s">
        <v>228</v>
      </c>
      <c r="E34" s="254"/>
      <c r="F34" s="463"/>
      <c r="G34" s="464"/>
      <c r="H34" s="431">
        <f>SUM(H27:H33)</f>
        <v>172315</v>
      </c>
      <c r="I34" s="440"/>
    </row>
    <row r="35" spans="2:15">
      <c r="B35" s="451"/>
      <c r="C35" s="452" t="s">
        <v>229</v>
      </c>
      <c r="D35" s="453"/>
      <c r="E35" s="453"/>
      <c r="F35" s="453"/>
      <c r="G35" s="454"/>
      <c r="H35" s="454">
        <f>ROUND(H34,0)</f>
        <v>172315</v>
      </c>
      <c r="I35" s="1164"/>
    </row>
    <row r="36" spans="2:15">
      <c r="B36" s="269" t="s">
        <v>387</v>
      </c>
      <c r="C36" s="328" t="s">
        <v>388</v>
      </c>
      <c r="D36" s="328"/>
      <c r="E36" s="397"/>
      <c r="F36" s="445"/>
      <c r="G36" s="455"/>
      <c r="H36" s="456"/>
      <c r="I36" s="440"/>
    </row>
    <row r="37" spans="2:15" s="1688" customFormat="1">
      <c r="B37" s="1690"/>
      <c r="C37" s="1691" t="s">
        <v>28</v>
      </c>
      <c r="D37" s="1692" t="s">
        <v>238</v>
      </c>
      <c r="E37" s="1693" t="s">
        <v>239</v>
      </c>
      <c r="F37" s="1694">
        <v>70</v>
      </c>
      <c r="G37" s="1695">
        <f>G27</f>
        <v>1100</v>
      </c>
      <c r="H37" s="1696">
        <f t="shared" ref="H37:H43" si="5">F37*G37</f>
        <v>77000</v>
      </c>
      <c r="I37" s="1687"/>
      <c r="J37" s="1467">
        <f>SUMIF(BOQ!$G$435:$G$463,E!I39,BOQ!$E$435:$E$463)</f>
        <v>0</v>
      </c>
      <c r="K37" s="1403">
        <f>J37*F37</f>
        <v>0</v>
      </c>
      <c r="L37" s="1697"/>
      <c r="M37" s="1697"/>
      <c r="N37" s="1697"/>
      <c r="O37" s="1697"/>
    </row>
    <row r="38" spans="2:15">
      <c r="B38" s="267"/>
      <c r="C38" s="368" t="s">
        <v>28</v>
      </c>
      <c r="D38" s="332" t="s">
        <v>221</v>
      </c>
      <c r="E38" s="73" t="s">
        <v>145</v>
      </c>
      <c r="F38" s="459">
        <v>9.68</v>
      </c>
      <c r="G38" s="69">
        <f t="shared" ref="G38:G43" si="6">G28</f>
        <v>1500</v>
      </c>
      <c r="H38" s="432">
        <f t="shared" si="5"/>
        <v>14520</v>
      </c>
      <c r="I38" s="440"/>
      <c r="J38" s="1392">
        <f>$J$37</f>
        <v>0</v>
      </c>
      <c r="K38" s="1403">
        <f>J38*F38</f>
        <v>0</v>
      </c>
    </row>
    <row r="39" spans="2:15">
      <c r="B39" s="267"/>
      <c r="C39" s="368" t="s">
        <v>28</v>
      </c>
      <c r="D39" s="41" t="s">
        <v>237</v>
      </c>
      <c r="E39" s="73" t="s">
        <v>143</v>
      </c>
      <c r="F39" s="459">
        <v>4.4999999999999998E-2</v>
      </c>
      <c r="G39" s="69">
        <f t="shared" si="6"/>
        <v>246000</v>
      </c>
      <c r="H39" s="432">
        <f t="shared" si="5"/>
        <v>11070</v>
      </c>
      <c r="I39" s="440">
        <f>SUM(H37:H39)</f>
        <v>102590</v>
      </c>
      <c r="J39" s="1392">
        <f>$J$37</f>
        <v>0</v>
      </c>
      <c r="K39" s="1403">
        <f>J39*F39</f>
        <v>0</v>
      </c>
    </row>
    <row r="40" spans="2:15">
      <c r="B40" s="267"/>
      <c r="C40" s="368" t="s">
        <v>28</v>
      </c>
      <c r="D40" s="76" t="s">
        <v>133</v>
      </c>
      <c r="E40" s="73" t="s">
        <v>132</v>
      </c>
      <c r="F40" s="459">
        <v>0.32</v>
      </c>
      <c r="G40" s="69">
        <f t="shared" si="6"/>
        <v>136000</v>
      </c>
      <c r="H40" s="432">
        <f t="shared" si="5"/>
        <v>43520</v>
      </c>
      <c r="I40" s="440"/>
    </row>
    <row r="41" spans="2:15">
      <c r="B41" s="267"/>
      <c r="C41" s="368" t="s">
        <v>28</v>
      </c>
      <c r="D41" s="76" t="s">
        <v>245</v>
      </c>
      <c r="E41" s="73" t="s">
        <v>132</v>
      </c>
      <c r="F41" s="459">
        <v>0.1</v>
      </c>
      <c r="G41" s="69">
        <f t="shared" si="6"/>
        <v>160000</v>
      </c>
      <c r="H41" s="432">
        <f t="shared" si="5"/>
        <v>16000</v>
      </c>
      <c r="I41" s="440"/>
    </row>
    <row r="42" spans="2:15">
      <c r="B42" s="267"/>
      <c r="C42" s="368" t="s">
        <v>28</v>
      </c>
      <c r="D42" s="76" t="s">
        <v>140</v>
      </c>
      <c r="E42" s="73" t="s">
        <v>132</v>
      </c>
      <c r="F42" s="459">
        <v>0.01</v>
      </c>
      <c r="G42" s="69">
        <f t="shared" si="6"/>
        <v>170000</v>
      </c>
      <c r="H42" s="432">
        <f t="shared" si="5"/>
        <v>1700</v>
      </c>
      <c r="I42" s="440"/>
    </row>
    <row r="43" spans="2:15">
      <c r="B43" s="386"/>
      <c r="C43" s="382" t="s">
        <v>28</v>
      </c>
      <c r="D43" s="448" t="s">
        <v>136</v>
      </c>
      <c r="E43" s="449" t="s">
        <v>132</v>
      </c>
      <c r="F43" s="461">
        <v>1.4999999999999999E-2</v>
      </c>
      <c r="G43" s="69">
        <f t="shared" si="6"/>
        <v>180000</v>
      </c>
      <c r="H43" s="432">
        <f t="shared" si="5"/>
        <v>2700</v>
      </c>
      <c r="I43" s="440">
        <f>SUM(H40:H43)</f>
        <v>63920</v>
      </c>
    </row>
    <row r="44" spans="2:15">
      <c r="B44" s="251"/>
      <c r="C44" s="252"/>
      <c r="D44" s="253" t="s">
        <v>228</v>
      </c>
      <c r="E44" s="254"/>
      <c r="F44" s="463"/>
      <c r="G44" s="464"/>
      <c r="H44" s="431">
        <f>SUM(H37:H43)</f>
        <v>166510</v>
      </c>
      <c r="I44" s="440"/>
    </row>
    <row r="45" spans="2:15">
      <c r="B45" s="451"/>
      <c r="C45" s="452" t="s">
        <v>229</v>
      </c>
      <c r="D45" s="453"/>
      <c r="E45" s="453"/>
      <c r="F45" s="453"/>
      <c r="G45" s="454"/>
      <c r="H45" s="454">
        <f>ROUND(H44,0)</f>
        <v>166510</v>
      </c>
      <c r="I45" s="1164"/>
    </row>
    <row r="46" spans="2:15">
      <c r="B46" s="269" t="s">
        <v>389</v>
      </c>
      <c r="C46" s="328" t="s">
        <v>390</v>
      </c>
      <c r="D46" s="328"/>
      <c r="E46" s="397"/>
      <c r="F46" s="445"/>
      <c r="G46" s="455"/>
      <c r="H46" s="456"/>
      <c r="I46" s="440"/>
    </row>
    <row r="47" spans="2:15">
      <c r="B47" s="232"/>
      <c r="C47" s="465" t="s">
        <v>28</v>
      </c>
      <c r="D47" s="332" t="s">
        <v>391</v>
      </c>
      <c r="E47" s="277" t="s">
        <v>239</v>
      </c>
      <c r="F47" s="457">
        <v>25</v>
      </c>
      <c r="G47" s="462">
        <f>BAHAN!$E$26</f>
        <v>9500</v>
      </c>
      <c r="H47" s="458">
        <f t="shared" ref="H47:H53" si="7">F47*G47</f>
        <v>237500</v>
      </c>
      <c r="I47" s="440"/>
      <c r="J47" s="1467">
        <f>SUMIF(BOQ!$G$1:$G$2410,I49,BOQ!$E$1:$E$2410)</f>
        <v>0</v>
      </c>
      <c r="K47" s="1393">
        <f>J47*F47</f>
        <v>0</v>
      </c>
    </row>
    <row r="48" spans="2:15">
      <c r="B48" s="267"/>
      <c r="C48" s="368" t="s">
        <v>28</v>
      </c>
      <c r="D48" s="332" t="s">
        <v>221</v>
      </c>
      <c r="E48" s="318" t="s">
        <v>145</v>
      </c>
      <c r="F48" s="459">
        <v>11</v>
      </c>
      <c r="G48" s="466">
        <f t="shared" ref="G48:G53" si="8">G38</f>
        <v>1500</v>
      </c>
      <c r="H48" s="432">
        <f t="shared" si="7"/>
        <v>16500</v>
      </c>
      <c r="I48" s="440"/>
      <c r="J48" s="1467">
        <f>J47</f>
        <v>0</v>
      </c>
      <c r="K48" s="1393">
        <f>J48*F48</f>
        <v>0</v>
      </c>
    </row>
    <row r="49" spans="2:13">
      <c r="B49" s="267"/>
      <c r="C49" s="368" t="s">
        <v>28</v>
      </c>
      <c r="D49" s="41" t="s">
        <v>237</v>
      </c>
      <c r="E49" s="318" t="s">
        <v>143</v>
      </c>
      <c r="F49" s="459">
        <v>3.5000000000000003E-2</v>
      </c>
      <c r="G49" s="466">
        <f t="shared" si="8"/>
        <v>246000</v>
      </c>
      <c r="H49" s="432">
        <f t="shared" si="7"/>
        <v>8610</v>
      </c>
      <c r="I49" s="440">
        <f>SUM(H47:H49)</f>
        <v>262610</v>
      </c>
      <c r="J49" s="1467">
        <f>J47</f>
        <v>0</v>
      </c>
      <c r="K49" s="1393">
        <f>J49*F49</f>
        <v>0</v>
      </c>
      <c r="M49" s="1392">
        <f>0.6*0.2</f>
        <v>0.12</v>
      </c>
    </row>
    <row r="50" spans="2:13">
      <c r="B50" s="267"/>
      <c r="C50" s="368" t="s">
        <v>28</v>
      </c>
      <c r="D50" s="279" t="s">
        <v>133</v>
      </c>
      <c r="E50" s="73" t="s">
        <v>132</v>
      </c>
      <c r="F50" s="459">
        <v>0.3</v>
      </c>
      <c r="G50" s="466">
        <f t="shared" si="8"/>
        <v>136000</v>
      </c>
      <c r="H50" s="432">
        <f t="shared" si="7"/>
        <v>40800</v>
      </c>
      <c r="I50" s="440"/>
      <c r="M50" s="1392">
        <f>1/M49</f>
        <v>8.3333333333333339</v>
      </c>
    </row>
    <row r="51" spans="2:13">
      <c r="B51" s="71"/>
      <c r="C51" s="368" t="s">
        <v>28</v>
      </c>
      <c r="D51" s="279" t="s">
        <v>245</v>
      </c>
      <c r="E51" s="280" t="s">
        <v>132</v>
      </c>
      <c r="F51" s="459">
        <v>0.1</v>
      </c>
      <c r="G51" s="466">
        <f t="shared" si="8"/>
        <v>160000</v>
      </c>
      <c r="H51" s="432">
        <f t="shared" si="7"/>
        <v>16000</v>
      </c>
      <c r="I51" s="440"/>
    </row>
    <row r="52" spans="2:13">
      <c r="B52" s="71"/>
      <c r="C52" s="368" t="s">
        <v>28</v>
      </c>
      <c r="D52" s="279" t="s">
        <v>140</v>
      </c>
      <c r="E52" s="280" t="s">
        <v>132</v>
      </c>
      <c r="F52" s="459">
        <v>0.01</v>
      </c>
      <c r="G52" s="466">
        <f t="shared" si="8"/>
        <v>170000</v>
      </c>
      <c r="H52" s="432">
        <f t="shared" si="7"/>
        <v>1700</v>
      </c>
      <c r="I52" s="440"/>
    </row>
    <row r="53" spans="2:13">
      <c r="B53" s="386"/>
      <c r="C53" s="382" t="s">
        <v>28</v>
      </c>
      <c r="D53" s="383" t="s">
        <v>136</v>
      </c>
      <c r="E53" s="384" t="s">
        <v>132</v>
      </c>
      <c r="F53" s="461">
        <v>1.4999999999999999E-2</v>
      </c>
      <c r="G53" s="466">
        <f t="shared" si="8"/>
        <v>180000</v>
      </c>
      <c r="H53" s="438">
        <f t="shared" si="7"/>
        <v>2700</v>
      </c>
      <c r="I53" s="440">
        <f>SUM(H50:H53)</f>
        <v>61200</v>
      </c>
    </row>
    <row r="54" spans="2:13">
      <c r="B54" s="251"/>
      <c r="C54" s="252"/>
      <c r="D54" s="253" t="s">
        <v>228</v>
      </c>
      <c r="E54" s="254"/>
      <c r="F54" s="467"/>
      <c r="G54" s="464"/>
      <c r="H54" s="431">
        <f>SUM(H47:H53)</f>
        <v>323810</v>
      </c>
      <c r="I54" s="440"/>
    </row>
    <row r="55" spans="2:13">
      <c r="B55" s="451"/>
      <c r="C55" s="452" t="s">
        <v>229</v>
      </c>
      <c r="D55" s="453"/>
      <c r="E55" s="453"/>
      <c r="F55" s="453"/>
      <c r="G55" s="454"/>
      <c r="H55" s="454">
        <f>ROUND(H54,0)</f>
        <v>323810</v>
      </c>
      <c r="I55" s="1164"/>
    </row>
    <row r="56" spans="2:13">
      <c r="B56" s="269" t="s">
        <v>392</v>
      </c>
      <c r="C56" s="328" t="s">
        <v>393</v>
      </c>
      <c r="D56" s="328"/>
      <c r="E56" s="397"/>
      <c r="F56" s="445"/>
      <c r="G56" s="455"/>
      <c r="H56" s="456"/>
      <c r="I56" s="440"/>
    </row>
    <row r="57" spans="2:13">
      <c r="B57" s="232"/>
      <c r="C57" s="465" t="s">
        <v>28</v>
      </c>
      <c r="D57" s="332" t="s">
        <v>394</v>
      </c>
      <c r="E57" s="277" t="s">
        <v>143</v>
      </c>
      <c r="F57" s="457">
        <v>0.1</v>
      </c>
      <c r="G57" s="462">
        <f>BAHAN!$E$25</f>
        <v>600000</v>
      </c>
      <c r="H57" s="458">
        <f t="shared" ref="H57:H62" si="9">F57*G57</f>
        <v>60000</v>
      </c>
      <c r="I57" s="440"/>
      <c r="J57" s="1467">
        <f>SUMIF(BOQ!$G$435:$G$463,E!I58,BOQ!$E$435:$E$463)</f>
        <v>0</v>
      </c>
      <c r="K57" s="1393">
        <f>J57*F57</f>
        <v>0</v>
      </c>
      <c r="L57" s="1402" t="s">
        <v>143</v>
      </c>
      <c r="M57" s="1467"/>
    </row>
    <row r="58" spans="2:13">
      <c r="B58" s="267"/>
      <c r="C58" s="368" t="s">
        <v>28</v>
      </c>
      <c r="D58" s="279" t="s">
        <v>395</v>
      </c>
      <c r="E58" s="318" t="s">
        <v>396</v>
      </c>
      <c r="F58" s="459">
        <v>0.105</v>
      </c>
      <c r="G58" s="466">
        <f>BAHAN!$E$32</f>
        <v>84000</v>
      </c>
      <c r="H58" s="432">
        <f t="shared" si="9"/>
        <v>8820</v>
      </c>
      <c r="I58" s="1628">
        <f>SUM(H57:H58)</f>
        <v>68820</v>
      </c>
      <c r="J58" s="1467">
        <f>J57</f>
        <v>0</v>
      </c>
      <c r="K58" s="1393">
        <f>J58*F58</f>
        <v>0</v>
      </c>
      <c r="L58" s="1402" t="s">
        <v>396</v>
      </c>
    </row>
    <row r="59" spans="2:13">
      <c r="B59" s="267"/>
      <c r="C59" s="368" t="s">
        <v>28</v>
      </c>
      <c r="D59" s="279" t="s">
        <v>133</v>
      </c>
      <c r="E59" s="73" t="s">
        <v>132</v>
      </c>
      <c r="F59" s="459">
        <f>0.34/2</f>
        <v>0.17</v>
      </c>
      <c r="G59" s="466">
        <f>G50</f>
        <v>136000</v>
      </c>
      <c r="H59" s="432">
        <f t="shared" si="9"/>
        <v>23120</v>
      </c>
      <c r="I59" s="440"/>
    </row>
    <row r="60" spans="2:13">
      <c r="B60" s="71"/>
      <c r="C60" s="368" t="s">
        <v>28</v>
      </c>
      <c r="D60" s="279" t="s">
        <v>245</v>
      </c>
      <c r="E60" s="280" t="s">
        <v>132</v>
      </c>
      <c r="F60" s="459">
        <f>0.13/2</f>
        <v>6.5000000000000002E-2</v>
      </c>
      <c r="G60" s="466">
        <f>G51</f>
        <v>160000</v>
      </c>
      <c r="H60" s="432">
        <f t="shared" si="9"/>
        <v>10400</v>
      </c>
      <c r="I60" s="440"/>
    </row>
    <row r="61" spans="2:13">
      <c r="B61" s="71"/>
      <c r="C61" s="368" t="s">
        <v>28</v>
      </c>
      <c r="D61" s="279" t="s">
        <v>140</v>
      </c>
      <c r="E61" s="280" t="s">
        <v>132</v>
      </c>
      <c r="F61" s="459">
        <f>0.0137/2</f>
        <v>6.8500000000000002E-3</v>
      </c>
      <c r="G61" s="466">
        <f>G52</f>
        <v>170000</v>
      </c>
      <c r="H61" s="432">
        <f t="shared" si="9"/>
        <v>1164.5</v>
      </c>
      <c r="I61" s="440"/>
    </row>
    <row r="62" spans="2:13">
      <c r="B62" s="386"/>
      <c r="C62" s="382" t="s">
        <v>28</v>
      </c>
      <c r="D62" s="383" t="s">
        <v>136</v>
      </c>
      <c r="E62" s="384" t="s">
        <v>132</v>
      </c>
      <c r="F62" s="461">
        <f>0.017/2</f>
        <v>8.5000000000000006E-3</v>
      </c>
      <c r="G62" s="466">
        <f>G53</f>
        <v>180000</v>
      </c>
      <c r="H62" s="432">
        <f t="shared" si="9"/>
        <v>1530</v>
      </c>
      <c r="I62" s="1628">
        <f>SUM(H59:H62)</f>
        <v>36214.5</v>
      </c>
    </row>
    <row r="63" spans="2:13">
      <c r="B63" s="251"/>
      <c r="C63" s="252"/>
      <c r="D63" s="253" t="s">
        <v>228</v>
      </c>
      <c r="E63" s="254"/>
      <c r="F63" s="467"/>
      <c r="G63" s="464"/>
      <c r="H63" s="431">
        <f>SUM(H57:H62)</f>
        <v>105034.5</v>
      </c>
      <c r="I63" s="440"/>
    </row>
    <row r="64" spans="2:13">
      <c r="B64" s="451"/>
      <c r="C64" s="452" t="s">
        <v>229</v>
      </c>
      <c r="D64" s="453"/>
      <c r="E64" s="453"/>
      <c r="F64" s="453"/>
      <c r="G64" s="454"/>
      <c r="H64" s="454">
        <f>ROUND(H63,0)</f>
        <v>105035</v>
      </c>
      <c r="I64" s="1164"/>
    </row>
    <row r="65" spans="2:13">
      <c r="B65" s="269" t="s">
        <v>397</v>
      </c>
      <c r="C65" s="328" t="s">
        <v>398</v>
      </c>
      <c r="D65" s="328"/>
      <c r="E65" s="397"/>
      <c r="F65" s="445"/>
      <c r="G65" s="455"/>
      <c r="H65" s="456"/>
      <c r="I65" s="440"/>
    </row>
    <row r="66" spans="2:13">
      <c r="B66" s="232"/>
      <c r="C66" s="368" t="s">
        <v>28</v>
      </c>
      <c r="D66" s="332" t="s">
        <v>399</v>
      </c>
      <c r="E66" s="277" t="s">
        <v>143</v>
      </c>
      <c r="F66" s="457">
        <v>7.4999999999999997E-2</v>
      </c>
      <c r="G66" s="462">
        <f>BAHAN!$E$24</f>
        <v>600000</v>
      </c>
      <c r="H66" s="458">
        <f t="shared" ref="H66:H71" si="10">F66*G66</f>
        <v>45000</v>
      </c>
      <c r="I66" s="440"/>
    </row>
    <row r="67" spans="2:13">
      <c r="B67" s="267"/>
      <c r="C67" s="368" t="s">
        <v>28</v>
      </c>
      <c r="D67" s="279" t="s">
        <v>395</v>
      </c>
      <c r="E67" s="318" t="s">
        <v>396</v>
      </c>
      <c r="F67" s="459">
        <v>7.9000000000000001E-2</v>
      </c>
      <c r="G67" s="466">
        <f>G58</f>
        <v>84000</v>
      </c>
      <c r="H67" s="432">
        <f t="shared" si="10"/>
        <v>6636</v>
      </c>
      <c r="I67" s="440">
        <f>SUM(H66:H67)</f>
        <v>51636</v>
      </c>
    </row>
    <row r="68" spans="2:13">
      <c r="B68" s="267"/>
      <c r="C68" s="368" t="s">
        <v>28</v>
      </c>
      <c r="D68" s="279" t="s">
        <v>133</v>
      </c>
      <c r="E68" s="73" t="s">
        <v>132</v>
      </c>
      <c r="F68" s="459">
        <f>0.34/2</f>
        <v>0.17</v>
      </c>
      <c r="G68" s="466">
        <f>G59</f>
        <v>136000</v>
      </c>
      <c r="H68" s="432">
        <f t="shared" si="10"/>
        <v>23120</v>
      </c>
      <c r="I68" s="440"/>
    </row>
    <row r="69" spans="2:13">
      <c r="B69" s="71"/>
      <c r="C69" s="368" t="s">
        <v>28</v>
      </c>
      <c r="D69" s="279" t="s">
        <v>245</v>
      </c>
      <c r="E69" s="280" t="s">
        <v>132</v>
      </c>
      <c r="F69" s="459">
        <f>0.13/2</f>
        <v>6.5000000000000002E-2</v>
      </c>
      <c r="G69" s="466">
        <f>G60</f>
        <v>160000</v>
      </c>
      <c r="H69" s="432">
        <f t="shared" si="10"/>
        <v>10400</v>
      </c>
      <c r="I69" s="440"/>
    </row>
    <row r="70" spans="2:13">
      <c r="B70" s="71"/>
      <c r="C70" s="368" t="s">
        <v>28</v>
      </c>
      <c r="D70" s="279" t="s">
        <v>140</v>
      </c>
      <c r="E70" s="280" t="s">
        <v>132</v>
      </c>
      <c r="F70" s="459">
        <f>0.0137/2</f>
        <v>6.8500000000000002E-3</v>
      </c>
      <c r="G70" s="466">
        <f>G61</f>
        <v>170000</v>
      </c>
      <c r="H70" s="432">
        <f t="shared" si="10"/>
        <v>1164.5</v>
      </c>
      <c r="I70" s="440"/>
    </row>
    <row r="71" spans="2:13">
      <c r="B71" s="386"/>
      <c r="C71" s="382" t="s">
        <v>28</v>
      </c>
      <c r="D71" s="383" t="s">
        <v>136</v>
      </c>
      <c r="E71" s="384" t="s">
        <v>132</v>
      </c>
      <c r="F71" s="461">
        <f>0.017/2</f>
        <v>8.5000000000000006E-3</v>
      </c>
      <c r="G71" s="466">
        <f>G62</f>
        <v>180000</v>
      </c>
      <c r="H71" s="432">
        <f t="shared" si="10"/>
        <v>1530</v>
      </c>
      <c r="I71" s="440">
        <f>SUM(H68:H71)</f>
        <v>36214.5</v>
      </c>
    </row>
    <row r="72" spans="2:13">
      <c r="B72" s="251"/>
      <c r="C72" s="252"/>
      <c r="D72" s="253" t="s">
        <v>228</v>
      </c>
      <c r="E72" s="254"/>
      <c r="F72" s="467"/>
      <c r="G72" s="464"/>
      <c r="H72" s="431">
        <f>SUM(H66:H71)</f>
        <v>87850.5</v>
      </c>
      <c r="I72" s="440"/>
    </row>
    <row r="73" spans="2:13">
      <c r="B73" s="451"/>
      <c r="C73" s="452" t="s">
        <v>229</v>
      </c>
      <c r="D73" s="453"/>
      <c r="E73" s="453"/>
      <c r="F73" s="453"/>
      <c r="G73" s="454"/>
      <c r="H73" s="454">
        <f>ROUND(H72,0)</f>
        <v>87851</v>
      </c>
      <c r="I73" s="1164"/>
    </row>
    <row r="74" spans="2:13">
      <c r="B74" s="269" t="s">
        <v>400</v>
      </c>
      <c r="C74" s="468" t="str">
        <f>"1 M2 Dinding Kamar Mandi "&amp;BAHAN!C104&amp;" "&amp;BAHAN!$F$104</f>
        <v>1 M2 Dinding Kamar Mandi Keramik Dinding 30x60 Ex. Roman dBritannia Rhombus W63843R</v>
      </c>
      <c r="D74" s="469"/>
      <c r="E74" s="470"/>
      <c r="F74" s="471"/>
      <c r="G74" s="472"/>
      <c r="H74" s="473"/>
      <c r="I74" s="1171"/>
    </row>
    <row r="75" spans="2:13">
      <c r="B75" s="474"/>
      <c r="C75" s="475" t="s">
        <v>28</v>
      </c>
      <c r="D75" s="476" t="s">
        <v>2269</v>
      </c>
      <c r="E75" s="477" t="s">
        <v>147</v>
      </c>
      <c r="F75" s="478">
        <v>1</v>
      </c>
      <c r="G75" s="479">
        <f>BAHAN!$E$104</f>
        <v>174445.55555555556</v>
      </c>
      <c r="H75" s="480">
        <f t="shared" ref="H75:H82" si="11">G75*F75</f>
        <v>174445.55555555556</v>
      </c>
      <c r="I75" s="1171"/>
      <c r="J75" s="1467">
        <f>SUMIF(BOQ!$G$1:$G$2430,I78,BOQ!$E$1:$E$2430)</f>
        <v>0</v>
      </c>
      <c r="K75" s="1393">
        <f>J75*F75</f>
        <v>0</v>
      </c>
      <c r="L75" s="1395" t="s">
        <v>147</v>
      </c>
      <c r="M75" s="1467"/>
    </row>
    <row r="76" spans="2:13">
      <c r="B76" s="481"/>
      <c r="C76" s="482" t="s">
        <v>28</v>
      </c>
      <c r="D76" s="332" t="s">
        <v>221</v>
      </c>
      <c r="E76" s="483" t="s">
        <v>145</v>
      </c>
      <c r="F76" s="484">
        <v>8</v>
      </c>
      <c r="G76" s="485">
        <f>G38</f>
        <v>1500</v>
      </c>
      <c r="H76" s="486">
        <f t="shared" si="11"/>
        <v>12000</v>
      </c>
      <c r="I76" s="1171"/>
      <c r="J76" s="1467">
        <f>J75</f>
        <v>0</v>
      </c>
      <c r="K76" s="1393">
        <f>J76*F76</f>
        <v>0</v>
      </c>
      <c r="L76" s="1395" t="s">
        <v>145</v>
      </c>
    </row>
    <row r="77" spans="2:13">
      <c r="B77" s="481"/>
      <c r="C77" s="482" t="s">
        <v>28</v>
      </c>
      <c r="D77" s="487" t="s">
        <v>237</v>
      </c>
      <c r="E77" s="483" t="s">
        <v>143</v>
      </c>
      <c r="F77" s="484">
        <v>1.7999999999999999E-2</v>
      </c>
      <c r="G77" s="485">
        <f>G49</f>
        <v>246000</v>
      </c>
      <c r="H77" s="486">
        <f t="shared" si="11"/>
        <v>4428</v>
      </c>
      <c r="I77" s="1171"/>
      <c r="J77" s="1467">
        <f>J76</f>
        <v>0</v>
      </c>
      <c r="K77" s="1393">
        <f>J77*F77</f>
        <v>0</v>
      </c>
      <c r="L77" s="1395" t="s">
        <v>143</v>
      </c>
    </row>
    <row r="78" spans="2:13">
      <c r="B78" s="481"/>
      <c r="C78" s="482" t="s">
        <v>28</v>
      </c>
      <c r="D78" s="487" t="s">
        <v>401</v>
      </c>
      <c r="E78" s="483" t="s">
        <v>145</v>
      </c>
      <c r="F78" s="484">
        <v>1.2999999999999999E-2</v>
      </c>
      <c r="G78" s="485">
        <f>BAHAN!$E$39</f>
        <v>16000</v>
      </c>
      <c r="H78" s="486">
        <f t="shared" si="11"/>
        <v>208</v>
      </c>
      <c r="I78" s="1171">
        <f>SUM(H75:H78)</f>
        <v>191081.55555555556</v>
      </c>
      <c r="J78" s="1467">
        <f>J77</f>
        <v>0</v>
      </c>
      <c r="K78" s="1393">
        <f>J78*F78</f>
        <v>0</v>
      </c>
      <c r="L78" s="1395" t="s">
        <v>145</v>
      </c>
    </row>
    <row r="79" spans="2:13">
      <c r="B79" s="481"/>
      <c r="C79" s="482" t="s">
        <v>28</v>
      </c>
      <c r="D79" s="487" t="s">
        <v>133</v>
      </c>
      <c r="E79" s="483" t="s">
        <v>132</v>
      </c>
      <c r="F79" s="484">
        <v>0.1875</v>
      </c>
      <c r="G79" s="485">
        <f>G68</f>
        <v>136000</v>
      </c>
      <c r="H79" s="486">
        <f t="shared" si="11"/>
        <v>25500</v>
      </c>
      <c r="I79" s="1171"/>
    </row>
    <row r="80" spans="2:13">
      <c r="B80" s="481"/>
      <c r="C80" s="482" t="s">
        <v>28</v>
      </c>
      <c r="D80" s="487" t="s">
        <v>402</v>
      </c>
      <c r="E80" s="483" t="s">
        <v>132</v>
      </c>
      <c r="F80" s="484">
        <v>0.375</v>
      </c>
      <c r="G80" s="485">
        <f>G69</f>
        <v>160000</v>
      </c>
      <c r="H80" s="486">
        <f t="shared" si="11"/>
        <v>60000</v>
      </c>
      <c r="I80" s="1171"/>
    </row>
    <row r="81" spans="2:12">
      <c r="B81" s="481"/>
      <c r="C81" s="482" t="s">
        <v>28</v>
      </c>
      <c r="D81" s="487" t="s">
        <v>135</v>
      </c>
      <c r="E81" s="483" t="s">
        <v>132</v>
      </c>
      <c r="F81" s="484">
        <v>4.4999999999999998E-2</v>
      </c>
      <c r="G81" s="485">
        <f>G70</f>
        <v>170000</v>
      </c>
      <c r="H81" s="486">
        <f t="shared" si="11"/>
        <v>7650</v>
      </c>
      <c r="I81" s="1171"/>
    </row>
    <row r="82" spans="2:12">
      <c r="B82" s="488"/>
      <c r="C82" s="489" t="s">
        <v>28</v>
      </c>
      <c r="D82" s="490" t="s">
        <v>136</v>
      </c>
      <c r="E82" s="491" t="s">
        <v>132</v>
      </c>
      <c r="F82" s="492">
        <v>1.8800000000000001E-2</v>
      </c>
      <c r="G82" s="485">
        <f>G71</f>
        <v>180000</v>
      </c>
      <c r="H82" s="493">
        <f t="shared" si="11"/>
        <v>3384</v>
      </c>
      <c r="I82" s="1171">
        <f>SUM(H79:H82)</f>
        <v>96534</v>
      </c>
    </row>
    <row r="83" spans="2:12">
      <c r="B83" s="494"/>
      <c r="C83" s="495"/>
      <c r="D83" s="496" t="s">
        <v>228</v>
      </c>
      <c r="E83" s="497"/>
      <c r="F83" s="498"/>
      <c r="G83" s="499"/>
      <c r="H83" s="500">
        <f>SUM(H75:H82)</f>
        <v>287615.55555555556</v>
      </c>
      <c r="I83" s="1171"/>
    </row>
    <row r="84" spans="2:12">
      <c r="B84" s="451"/>
      <c r="C84" s="452" t="s">
        <v>229</v>
      </c>
      <c r="D84" s="453"/>
      <c r="E84" s="453"/>
      <c r="F84" s="453"/>
      <c r="G84" s="454"/>
      <c r="H84" s="454">
        <f>ROUND(H83,0)</f>
        <v>287616</v>
      </c>
      <c r="I84" s="1164"/>
    </row>
    <row r="85" spans="2:12">
      <c r="B85" s="269" t="s">
        <v>403</v>
      </c>
      <c r="C85" s="468" t="s">
        <v>404</v>
      </c>
      <c r="D85" s="469"/>
      <c r="E85" s="470"/>
      <c r="F85" s="471"/>
      <c r="G85" s="472"/>
      <c r="H85" s="473"/>
      <c r="I85" s="1171"/>
    </row>
    <row r="86" spans="2:12">
      <c r="B86" s="474"/>
      <c r="C86" s="475" t="s">
        <v>28</v>
      </c>
      <c r="D86" s="476" t="s">
        <v>405</v>
      </c>
      <c r="E86" s="477" t="s">
        <v>147</v>
      </c>
      <c r="F86" s="478">
        <v>1</v>
      </c>
      <c r="G86" s="479">
        <f>BAHAN!$E$106</f>
        <v>129000</v>
      </c>
      <c r="H86" s="480">
        <f t="shared" ref="H86:H93" si="12">G86*F86</f>
        <v>129000</v>
      </c>
      <c r="I86" s="1171"/>
      <c r="J86" s="1392">
        <v>0</v>
      </c>
      <c r="K86" s="1403">
        <f>J86*F86</f>
        <v>0</v>
      </c>
      <c r="L86" s="1395" t="s">
        <v>147</v>
      </c>
    </row>
    <row r="87" spans="2:12">
      <c r="B87" s="481"/>
      <c r="C87" s="482" t="s">
        <v>28</v>
      </c>
      <c r="D87" s="332" t="s">
        <v>221</v>
      </c>
      <c r="E87" s="483" t="s">
        <v>145</v>
      </c>
      <c r="F87" s="484">
        <v>8</v>
      </c>
      <c r="G87" s="485">
        <f t="shared" ref="G87:G93" si="13">G76</f>
        <v>1500</v>
      </c>
      <c r="H87" s="486">
        <f t="shared" si="12"/>
        <v>12000</v>
      </c>
      <c r="I87" s="1171"/>
      <c r="J87" s="1392">
        <v>0</v>
      </c>
      <c r="K87" s="1403">
        <f>J87*F87</f>
        <v>0</v>
      </c>
      <c r="L87" s="1395" t="s">
        <v>145</v>
      </c>
    </row>
    <row r="88" spans="2:12">
      <c r="B88" s="481"/>
      <c r="C88" s="482" t="s">
        <v>28</v>
      </c>
      <c r="D88" s="487" t="s">
        <v>237</v>
      </c>
      <c r="E88" s="483" t="s">
        <v>143</v>
      </c>
      <c r="F88" s="484">
        <v>1.7999999999999999E-2</v>
      </c>
      <c r="G88" s="485">
        <f t="shared" si="13"/>
        <v>246000</v>
      </c>
      <c r="H88" s="486">
        <f t="shared" si="12"/>
        <v>4428</v>
      </c>
      <c r="I88" s="1171"/>
      <c r="J88" s="1392">
        <v>0</v>
      </c>
      <c r="K88" s="1403">
        <f>J88*F88</f>
        <v>0</v>
      </c>
      <c r="L88" s="1395" t="s">
        <v>143</v>
      </c>
    </row>
    <row r="89" spans="2:12">
      <c r="B89" s="481"/>
      <c r="C89" s="482" t="s">
        <v>28</v>
      </c>
      <c r="D89" s="487" t="s">
        <v>401</v>
      </c>
      <c r="E89" s="483" t="s">
        <v>145</v>
      </c>
      <c r="F89" s="484">
        <v>1.2999999999999999E-2</v>
      </c>
      <c r="G89" s="485">
        <f t="shared" si="13"/>
        <v>16000</v>
      </c>
      <c r="H89" s="486">
        <f t="shared" si="12"/>
        <v>208</v>
      </c>
      <c r="I89" s="1171">
        <f>SUM(H86:H89)</f>
        <v>145636</v>
      </c>
      <c r="J89" s="1392">
        <v>0</v>
      </c>
      <c r="K89" s="1403">
        <f>J89*F89</f>
        <v>0</v>
      </c>
      <c r="L89" s="1395" t="s">
        <v>145</v>
      </c>
    </row>
    <row r="90" spans="2:12">
      <c r="B90" s="481"/>
      <c r="C90" s="482" t="s">
        <v>28</v>
      </c>
      <c r="D90" s="487" t="s">
        <v>133</v>
      </c>
      <c r="E90" s="483" t="s">
        <v>132</v>
      </c>
      <c r="F90" s="484">
        <v>0.1875</v>
      </c>
      <c r="G90" s="485">
        <f t="shared" si="13"/>
        <v>136000</v>
      </c>
      <c r="H90" s="486">
        <f t="shared" si="12"/>
        <v>25500</v>
      </c>
      <c r="I90" s="1171"/>
    </row>
    <row r="91" spans="2:12">
      <c r="B91" s="481"/>
      <c r="C91" s="482" t="s">
        <v>28</v>
      </c>
      <c r="D91" s="487" t="s">
        <v>402</v>
      </c>
      <c r="E91" s="483" t="s">
        <v>132</v>
      </c>
      <c r="F91" s="484">
        <v>0.375</v>
      </c>
      <c r="G91" s="485">
        <f t="shared" si="13"/>
        <v>160000</v>
      </c>
      <c r="H91" s="486">
        <f t="shared" si="12"/>
        <v>60000</v>
      </c>
      <c r="I91" s="1171"/>
    </row>
    <row r="92" spans="2:12">
      <c r="B92" s="481"/>
      <c r="C92" s="482" t="s">
        <v>28</v>
      </c>
      <c r="D92" s="487" t="s">
        <v>135</v>
      </c>
      <c r="E92" s="483" t="s">
        <v>132</v>
      </c>
      <c r="F92" s="484">
        <v>4.4999999999999998E-2</v>
      </c>
      <c r="G92" s="485">
        <f t="shared" si="13"/>
        <v>170000</v>
      </c>
      <c r="H92" s="486">
        <f t="shared" si="12"/>
        <v>7650</v>
      </c>
      <c r="I92" s="1171"/>
    </row>
    <row r="93" spans="2:12">
      <c r="B93" s="488"/>
      <c r="C93" s="489" t="s">
        <v>28</v>
      </c>
      <c r="D93" s="490" t="s">
        <v>136</v>
      </c>
      <c r="E93" s="491" t="s">
        <v>132</v>
      </c>
      <c r="F93" s="492">
        <v>1.8800000000000001E-2</v>
      </c>
      <c r="G93" s="485">
        <f t="shared" si="13"/>
        <v>180000</v>
      </c>
      <c r="H93" s="493">
        <f t="shared" si="12"/>
        <v>3384</v>
      </c>
      <c r="I93" s="1171">
        <f>SUM(H90:H93)</f>
        <v>96534</v>
      </c>
    </row>
    <row r="94" spans="2:12">
      <c r="B94" s="494"/>
      <c r="C94" s="495"/>
      <c r="D94" s="496" t="s">
        <v>228</v>
      </c>
      <c r="E94" s="497"/>
      <c r="F94" s="498"/>
      <c r="G94" s="499"/>
      <c r="H94" s="500">
        <f>SUM(H86:H93)</f>
        <v>242170</v>
      </c>
      <c r="I94" s="1171"/>
    </row>
    <row r="95" spans="2:12">
      <c r="B95" s="451"/>
      <c r="C95" s="452" t="s">
        <v>229</v>
      </c>
      <c r="D95" s="453"/>
      <c r="E95" s="453"/>
      <c r="F95" s="453"/>
      <c r="G95" s="454"/>
      <c r="H95" s="454">
        <f>ROUND(H94,0)</f>
        <v>242170</v>
      </c>
      <c r="I95" s="1164"/>
    </row>
    <row r="96" spans="2:12">
      <c r="B96" s="269" t="s">
        <v>406</v>
      </c>
      <c r="C96" s="468" t="str">
        <f>"1 M2 Dinding "&amp;BAHAN!$C$108&amp;" "&amp;BAHAN!$F$108</f>
        <v>1 M2 Dinding Keramik 25x40 Ex. Gemilang Fiorentina Beige</v>
      </c>
      <c r="D96" s="469"/>
      <c r="E96" s="470"/>
      <c r="F96" s="471"/>
      <c r="G96" s="472"/>
      <c r="H96" s="473"/>
      <c r="I96" s="1171"/>
    </row>
    <row r="97" spans="2:11">
      <c r="B97" s="474"/>
      <c r="C97" s="475" t="s">
        <v>28</v>
      </c>
      <c r="D97" s="476" t="s">
        <v>1914</v>
      </c>
      <c r="E97" s="477" t="s">
        <v>147</v>
      </c>
      <c r="F97" s="478">
        <v>1</v>
      </c>
      <c r="G97" s="479">
        <f>BAHAN!$E$108</f>
        <v>50500</v>
      </c>
      <c r="H97" s="480">
        <f t="shared" ref="H97:H104" si="14">G97*F97</f>
        <v>50500</v>
      </c>
      <c r="I97" s="1171"/>
      <c r="J97" s="1467">
        <f>BOQ!$E$1271</f>
        <v>0</v>
      </c>
      <c r="K97" s="1393">
        <f>J97*F97</f>
        <v>0</v>
      </c>
    </row>
    <row r="98" spans="2:11">
      <c r="B98" s="481"/>
      <c r="C98" s="482" t="s">
        <v>28</v>
      </c>
      <c r="D98" s="332" t="s">
        <v>221</v>
      </c>
      <c r="E98" s="483" t="s">
        <v>145</v>
      </c>
      <c r="F98" s="484">
        <v>8</v>
      </c>
      <c r="G98" s="485">
        <f>G87</f>
        <v>1500</v>
      </c>
      <c r="H98" s="486">
        <f t="shared" si="14"/>
        <v>12000</v>
      </c>
      <c r="I98" s="1171"/>
      <c r="J98" s="1467">
        <f>J97</f>
        <v>0</v>
      </c>
      <c r="K98" s="1393">
        <f>J98*F98</f>
        <v>0</v>
      </c>
    </row>
    <row r="99" spans="2:11">
      <c r="B99" s="481"/>
      <c r="C99" s="482" t="s">
        <v>28</v>
      </c>
      <c r="D99" s="487" t="s">
        <v>237</v>
      </c>
      <c r="E99" s="483" t="s">
        <v>143</v>
      </c>
      <c r="F99" s="484">
        <v>1.7999999999999999E-2</v>
      </c>
      <c r="G99" s="485">
        <f t="shared" ref="G99:G104" si="15">G88</f>
        <v>246000</v>
      </c>
      <c r="H99" s="486">
        <f t="shared" si="14"/>
        <v>4428</v>
      </c>
      <c r="I99" s="1171"/>
      <c r="J99" s="1467">
        <f>J97</f>
        <v>0</v>
      </c>
      <c r="K99" s="1393">
        <f>J99*F99</f>
        <v>0</v>
      </c>
    </row>
    <row r="100" spans="2:11">
      <c r="B100" s="481"/>
      <c r="C100" s="482" t="s">
        <v>28</v>
      </c>
      <c r="D100" s="487" t="s">
        <v>401</v>
      </c>
      <c r="E100" s="483" t="s">
        <v>145</v>
      </c>
      <c r="F100" s="484">
        <v>1.2999999999999999E-2</v>
      </c>
      <c r="G100" s="485">
        <f t="shared" si="15"/>
        <v>16000</v>
      </c>
      <c r="H100" s="486">
        <f t="shared" si="14"/>
        <v>208</v>
      </c>
      <c r="I100" s="1171">
        <f>SUM(H97:H100)</f>
        <v>67136</v>
      </c>
      <c r="J100" s="1467">
        <f>J97</f>
        <v>0</v>
      </c>
      <c r="K100" s="1393">
        <f>J100*F100</f>
        <v>0</v>
      </c>
    </row>
    <row r="101" spans="2:11">
      <c r="B101" s="481"/>
      <c r="C101" s="482" t="s">
        <v>28</v>
      </c>
      <c r="D101" s="487" t="s">
        <v>133</v>
      </c>
      <c r="E101" s="483" t="s">
        <v>132</v>
      </c>
      <c r="F101" s="484">
        <v>0.62</v>
      </c>
      <c r="G101" s="485">
        <f t="shared" si="15"/>
        <v>136000</v>
      </c>
      <c r="H101" s="486">
        <f t="shared" si="14"/>
        <v>84320</v>
      </c>
      <c r="I101" s="1171"/>
    </row>
    <row r="102" spans="2:11">
      <c r="B102" s="481"/>
      <c r="C102" s="482" t="s">
        <v>28</v>
      </c>
      <c r="D102" s="487" t="s">
        <v>402</v>
      </c>
      <c r="E102" s="483" t="s">
        <v>132</v>
      </c>
      <c r="F102" s="484">
        <v>0.35</v>
      </c>
      <c r="G102" s="485">
        <f t="shared" si="15"/>
        <v>160000</v>
      </c>
      <c r="H102" s="486">
        <f t="shared" si="14"/>
        <v>56000</v>
      </c>
      <c r="I102" s="1171"/>
    </row>
    <row r="103" spans="2:11">
      <c r="B103" s="481"/>
      <c r="C103" s="482" t="s">
        <v>28</v>
      </c>
      <c r="D103" s="487" t="s">
        <v>135</v>
      </c>
      <c r="E103" s="483" t="s">
        <v>132</v>
      </c>
      <c r="F103" s="484">
        <v>3.5000000000000003E-2</v>
      </c>
      <c r="G103" s="485">
        <f t="shared" si="15"/>
        <v>170000</v>
      </c>
      <c r="H103" s="486">
        <f t="shared" si="14"/>
        <v>5950.0000000000009</v>
      </c>
      <c r="I103" s="1171"/>
    </row>
    <row r="104" spans="2:11">
      <c r="B104" s="488"/>
      <c r="C104" s="501" t="s">
        <v>28</v>
      </c>
      <c r="D104" s="502" t="s">
        <v>136</v>
      </c>
      <c r="E104" s="503" t="s">
        <v>132</v>
      </c>
      <c r="F104" s="484">
        <v>0.03</v>
      </c>
      <c r="G104" s="485">
        <f t="shared" si="15"/>
        <v>180000</v>
      </c>
      <c r="H104" s="504">
        <f t="shared" si="14"/>
        <v>5400</v>
      </c>
      <c r="I104" s="1171">
        <f>SUM(H101:H104)</f>
        <v>151670</v>
      </c>
    </row>
    <row r="105" spans="2:11">
      <c r="B105" s="505"/>
      <c r="C105" s="495"/>
      <c r="D105" s="506" t="s">
        <v>228</v>
      </c>
      <c r="E105" s="507"/>
      <c r="F105" s="508"/>
      <c r="G105" s="509"/>
      <c r="H105" s="510">
        <f>SUM(H97:H104)</f>
        <v>218806</v>
      </c>
      <c r="I105" s="1171"/>
    </row>
    <row r="106" spans="2:11">
      <c r="B106" s="451"/>
      <c r="C106" s="452" t="s">
        <v>229</v>
      </c>
      <c r="D106" s="453"/>
      <c r="E106" s="453"/>
      <c r="F106" s="453"/>
      <c r="G106" s="454"/>
      <c r="H106" s="454">
        <f>ROUND(H105,0)</f>
        <v>218806</v>
      </c>
      <c r="I106" s="1164"/>
    </row>
    <row r="107" spans="2:11">
      <c r="B107" s="1230" t="s">
        <v>406</v>
      </c>
      <c r="C107" s="468" t="s">
        <v>2174</v>
      </c>
      <c r="D107" s="469"/>
      <c r="E107" s="470"/>
      <c r="F107" s="471"/>
      <c r="G107" s="472"/>
      <c r="H107" s="473"/>
      <c r="I107" s="1171"/>
    </row>
    <row r="108" spans="2:11">
      <c r="B108" s="474"/>
      <c r="C108" s="475" t="s">
        <v>28</v>
      </c>
      <c r="D108" s="476" t="s">
        <v>2175</v>
      </c>
      <c r="E108" s="477" t="s">
        <v>147</v>
      </c>
      <c r="F108" s="478">
        <v>1.25</v>
      </c>
      <c r="G108" s="479">
        <f>BAHAN!$E$107</f>
        <v>147000</v>
      </c>
      <c r="H108" s="480">
        <f t="shared" ref="H108:H115" si="16">G108*F108</f>
        <v>183750</v>
      </c>
      <c r="I108" s="1171"/>
      <c r="J108" s="1392">
        <f>SUMIF(BOQ!$G$1:$G$2419,I111,BOQ!$G$1:$G$2419)</f>
        <v>0</v>
      </c>
      <c r="K108" s="1467">
        <f>J108*F108</f>
        <v>0</v>
      </c>
    </row>
    <row r="109" spans="2:11">
      <c r="B109" s="481"/>
      <c r="C109" s="482" t="s">
        <v>28</v>
      </c>
      <c r="D109" s="332" t="s">
        <v>221</v>
      </c>
      <c r="E109" s="483" t="s">
        <v>145</v>
      </c>
      <c r="F109" s="484">
        <v>8</v>
      </c>
      <c r="G109" s="485">
        <f>G98</f>
        <v>1500</v>
      </c>
      <c r="H109" s="486">
        <f t="shared" si="16"/>
        <v>12000</v>
      </c>
      <c r="I109" s="1171"/>
      <c r="J109" s="1392">
        <f>$J$108</f>
        <v>0</v>
      </c>
      <c r="K109" s="1467">
        <f>J109*F109</f>
        <v>0</v>
      </c>
    </row>
    <row r="110" spans="2:11">
      <c r="B110" s="481"/>
      <c r="C110" s="482" t="s">
        <v>28</v>
      </c>
      <c r="D110" s="487" t="s">
        <v>237</v>
      </c>
      <c r="E110" s="483" t="s">
        <v>143</v>
      </c>
      <c r="F110" s="484">
        <v>1.7999999999999999E-2</v>
      </c>
      <c r="G110" s="485">
        <f t="shared" ref="G110:G115" si="17">G99</f>
        <v>246000</v>
      </c>
      <c r="H110" s="486">
        <f t="shared" si="16"/>
        <v>4428</v>
      </c>
      <c r="I110" s="1171"/>
      <c r="J110" s="1392">
        <f>$J$108</f>
        <v>0</v>
      </c>
      <c r="K110" s="1467">
        <f>J110*F110</f>
        <v>0</v>
      </c>
    </row>
    <row r="111" spans="2:11">
      <c r="B111" s="481"/>
      <c r="C111" s="482" t="s">
        <v>28</v>
      </c>
      <c r="D111" s="487" t="s">
        <v>401</v>
      </c>
      <c r="E111" s="483" t="s">
        <v>145</v>
      </c>
      <c r="F111" s="484">
        <v>1.2999999999999999E-2</v>
      </c>
      <c r="G111" s="485">
        <f t="shared" si="17"/>
        <v>16000</v>
      </c>
      <c r="H111" s="486">
        <f t="shared" si="16"/>
        <v>208</v>
      </c>
      <c r="I111" s="1171">
        <f>SUM(H108:H111)</f>
        <v>200386</v>
      </c>
      <c r="J111" s="1392">
        <f>$J$108</f>
        <v>0</v>
      </c>
      <c r="K111" s="1467">
        <f>J111*F111</f>
        <v>0</v>
      </c>
    </row>
    <row r="112" spans="2:11">
      <c r="B112" s="481"/>
      <c r="C112" s="482" t="s">
        <v>28</v>
      </c>
      <c r="D112" s="487" t="s">
        <v>133</v>
      </c>
      <c r="E112" s="483" t="s">
        <v>132</v>
      </c>
      <c r="F112" s="484">
        <v>0.62</v>
      </c>
      <c r="G112" s="485">
        <f t="shared" si="17"/>
        <v>136000</v>
      </c>
      <c r="H112" s="486">
        <f t="shared" si="16"/>
        <v>84320</v>
      </c>
      <c r="I112" s="1171"/>
    </row>
    <row r="113" spans="2:11">
      <c r="B113" s="481"/>
      <c r="C113" s="482" t="s">
        <v>28</v>
      </c>
      <c r="D113" s="487" t="s">
        <v>402</v>
      </c>
      <c r="E113" s="483" t="s">
        <v>132</v>
      </c>
      <c r="F113" s="484">
        <v>0.35</v>
      </c>
      <c r="G113" s="485">
        <f t="shared" si="17"/>
        <v>160000</v>
      </c>
      <c r="H113" s="486">
        <f t="shared" si="16"/>
        <v>56000</v>
      </c>
      <c r="I113" s="1171"/>
    </row>
    <row r="114" spans="2:11">
      <c r="B114" s="481"/>
      <c r="C114" s="482" t="s">
        <v>28</v>
      </c>
      <c r="D114" s="487" t="s">
        <v>135</v>
      </c>
      <c r="E114" s="483" t="s">
        <v>132</v>
      </c>
      <c r="F114" s="484">
        <v>3.5000000000000003E-2</v>
      </c>
      <c r="G114" s="485">
        <f t="shared" si="17"/>
        <v>170000</v>
      </c>
      <c r="H114" s="486">
        <f t="shared" si="16"/>
        <v>5950.0000000000009</v>
      </c>
      <c r="I114" s="1171"/>
    </row>
    <row r="115" spans="2:11">
      <c r="B115" s="488"/>
      <c r="C115" s="501" t="s">
        <v>28</v>
      </c>
      <c r="D115" s="502" t="s">
        <v>136</v>
      </c>
      <c r="E115" s="503" t="s">
        <v>132</v>
      </c>
      <c r="F115" s="484">
        <v>0.03</v>
      </c>
      <c r="G115" s="485">
        <f t="shared" si="17"/>
        <v>180000</v>
      </c>
      <c r="H115" s="504">
        <f t="shared" si="16"/>
        <v>5400</v>
      </c>
      <c r="I115" s="1171">
        <f>SUM(H112:H115)</f>
        <v>151670</v>
      </c>
    </row>
    <row r="116" spans="2:11">
      <c r="B116" s="505"/>
      <c r="C116" s="495"/>
      <c r="D116" s="506" t="s">
        <v>228</v>
      </c>
      <c r="E116" s="507"/>
      <c r="F116" s="508"/>
      <c r="G116" s="509"/>
      <c r="H116" s="510">
        <f>SUM(H108:H115)</f>
        <v>352056</v>
      </c>
      <c r="I116" s="1171"/>
    </row>
    <row r="117" spans="2:11">
      <c r="B117" s="451"/>
      <c r="C117" s="452" t="s">
        <v>229</v>
      </c>
      <c r="D117" s="453"/>
      <c r="E117" s="453"/>
      <c r="F117" s="453"/>
      <c r="G117" s="454"/>
      <c r="H117" s="454">
        <f>ROUND(H116,0)</f>
        <v>352056</v>
      </c>
      <c r="I117" s="1164"/>
    </row>
    <row r="118" spans="2:11">
      <c r="B118" s="269" t="s">
        <v>406</v>
      </c>
      <c r="C118" s="468" t="str">
        <f>"1 M2 Dinding "&amp;BAHAN!$C$110&amp;" "&amp;BAHAN!$F$110</f>
        <v>1 M2 Dinding Keramik 30x60 Ex. Habitat Brescia Gris</v>
      </c>
      <c r="D118" s="469"/>
      <c r="E118" s="470"/>
      <c r="F118" s="471"/>
      <c r="G118" s="472"/>
      <c r="H118" s="473"/>
      <c r="I118" s="1171"/>
    </row>
    <row r="119" spans="2:11">
      <c r="B119" s="474"/>
      <c r="C119" s="475" t="s">
        <v>28</v>
      </c>
      <c r="D119" s="476" t="s">
        <v>1699</v>
      </c>
      <c r="E119" s="477" t="s">
        <v>147</v>
      </c>
      <c r="F119" s="478">
        <v>1</v>
      </c>
      <c r="G119" s="479">
        <f>BAHAN!$E$110</f>
        <v>122000</v>
      </c>
      <c r="H119" s="480">
        <f t="shared" ref="H119:H126" si="18">G119*F119</f>
        <v>122000</v>
      </c>
      <c r="I119" s="1171"/>
      <c r="J119" s="1392">
        <f>SUMIF(BOQ!$G$1:$G$2419,I122,BOQ!$E$1:$E$2419)</f>
        <v>0</v>
      </c>
      <c r="K119" s="1393">
        <f>J119*F119</f>
        <v>0</v>
      </c>
    </row>
    <row r="120" spans="2:11">
      <c r="B120" s="481"/>
      <c r="C120" s="482" t="s">
        <v>28</v>
      </c>
      <c r="D120" s="332" t="s">
        <v>221</v>
      </c>
      <c r="E120" s="483" t="s">
        <v>145</v>
      </c>
      <c r="F120" s="484">
        <v>8</v>
      </c>
      <c r="G120" s="485">
        <f t="shared" ref="G120:G126" si="19">G98</f>
        <v>1500</v>
      </c>
      <c r="H120" s="486">
        <f t="shared" si="18"/>
        <v>12000</v>
      </c>
      <c r="I120" s="1171"/>
      <c r="J120" s="1392">
        <f>J119</f>
        <v>0</v>
      </c>
      <c r="K120" s="1393">
        <f>J120*F120</f>
        <v>0</v>
      </c>
    </row>
    <row r="121" spans="2:11">
      <c r="B121" s="481"/>
      <c r="C121" s="482" t="s">
        <v>28</v>
      </c>
      <c r="D121" s="487" t="s">
        <v>237</v>
      </c>
      <c r="E121" s="483" t="s">
        <v>143</v>
      </c>
      <c r="F121" s="484">
        <v>1.7999999999999999E-2</v>
      </c>
      <c r="G121" s="485">
        <f t="shared" si="19"/>
        <v>246000</v>
      </c>
      <c r="H121" s="486">
        <f t="shared" si="18"/>
        <v>4428</v>
      </c>
      <c r="I121" s="1171"/>
      <c r="J121" s="1392">
        <f>J120</f>
        <v>0</v>
      </c>
      <c r="K121" s="1393">
        <f>J121*F121</f>
        <v>0</v>
      </c>
    </row>
    <row r="122" spans="2:11">
      <c r="B122" s="481"/>
      <c r="C122" s="482" t="s">
        <v>28</v>
      </c>
      <c r="D122" s="487" t="s">
        <v>401</v>
      </c>
      <c r="E122" s="483" t="s">
        <v>145</v>
      </c>
      <c r="F122" s="484">
        <v>1.2999999999999999E-2</v>
      </c>
      <c r="G122" s="485">
        <f t="shared" si="19"/>
        <v>16000</v>
      </c>
      <c r="H122" s="486">
        <f t="shared" si="18"/>
        <v>208</v>
      </c>
      <c r="I122" s="1171">
        <f>SUM(H119:H122)</f>
        <v>138636</v>
      </c>
      <c r="J122" s="1392">
        <f>J121</f>
        <v>0</v>
      </c>
      <c r="K122" s="1393">
        <f>J122*F122</f>
        <v>0</v>
      </c>
    </row>
    <row r="123" spans="2:11">
      <c r="B123" s="481"/>
      <c r="C123" s="482" t="s">
        <v>28</v>
      </c>
      <c r="D123" s="487" t="s">
        <v>133</v>
      </c>
      <c r="E123" s="483" t="s">
        <v>132</v>
      </c>
      <c r="F123" s="484">
        <v>0.62</v>
      </c>
      <c r="G123" s="485">
        <f t="shared" si="19"/>
        <v>136000</v>
      </c>
      <c r="H123" s="486">
        <f t="shared" si="18"/>
        <v>84320</v>
      </c>
      <c r="I123" s="1171"/>
    </row>
    <row r="124" spans="2:11">
      <c r="B124" s="481"/>
      <c r="C124" s="482" t="s">
        <v>28</v>
      </c>
      <c r="D124" s="487" t="s">
        <v>402</v>
      </c>
      <c r="E124" s="483" t="s">
        <v>132</v>
      </c>
      <c r="F124" s="484">
        <v>0.35</v>
      </c>
      <c r="G124" s="485">
        <f t="shared" si="19"/>
        <v>160000</v>
      </c>
      <c r="H124" s="486">
        <f t="shared" si="18"/>
        <v>56000</v>
      </c>
      <c r="I124" s="1171"/>
    </row>
    <row r="125" spans="2:11">
      <c r="B125" s="481"/>
      <c r="C125" s="482" t="s">
        <v>28</v>
      </c>
      <c r="D125" s="487" t="s">
        <v>135</v>
      </c>
      <c r="E125" s="483" t="s">
        <v>132</v>
      </c>
      <c r="F125" s="484">
        <v>3.5000000000000003E-2</v>
      </c>
      <c r="G125" s="485">
        <f t="shared" si="19"/>
        <v>170000</v>
      </c>
      <c r="H125" s="486">
        <f t="shared" si="18"/>
        <v>5950.0000000000009</v>
      </c>
      <c r="I125" s="1171"/>
    </row>
    <row r="126" spans="2:11">
      <c r="B126" s="488"/>
      <c r="C126" s="501" t="s">
        <v>28</v>
      </c>
      <c r="D126" s="502" t="s">
        <v>136</v>
      </c>
      <c r="E126" s="503" t="s">
        <v>132</v>
      </c>
      <c r="F126" s="484">
        <v>0.03</v>
      </c>
      <c r="G126" s="485">
        <f t="shared" si="19"/>
        <v>180000</v>
      </c>
      <c r="H126" s="504">
        <f t="shared" si="18"/>
        <v>5400</v>
      </c>
      <c r="I126" s="1171">
        <f>SUM(H123:H126)</f>
        <v>151670</v>
      </c>
    </row>
    <row r="127" spans="2:11">
      <c r="B127" s="505"/>
      <c r="C127" s="495"/>
      <c r="D127" s="506" t="s">
        <v>228</v>
      </c>
      <c r="E127" s="507"/>
      <c r="F127" s="508"/>
      <c r="G127" s="509"/>
      <c r="H127" s="510">
        <f>SUM(H119:H126)</f>
        <v>290306</v>
      </c>
      <c r="I127" s="1171"/>
    </row>
    <row r="128" spans="2:11">
      <c r="B128" s="451"/>
      <c r="C128" s="452" t="s">
        <v>229</v>
      </c>
      <c r="D128" s="453"/>
      <c r="E128" s="453"/>
      <c r="F128" s="453"/>
      <c r="G128" s="454"/>
      <c r="H128" s="454">
        <f>ROUND(H127,0)</f>
        <v>290306</v>
      </c>
      <c r="I128" s="1164"/>
    </row>
    <row r="129" spans="2:11">
      <c r="B129" s="1272" t="s">
        <v>400</v>
      </c>
      <c r="C129" s="1273" t="s">
        <v>1756</v>
      </c>
      <c r="D129" s="1274"/>
      <c r="E129" s="1275"/>
      <c r="F129" s="1276"/>
      <c r="G129" s="1277"/>
      <c r="H129" s="1278"/>
      <c r="I129" s="1171"/>
    </row>
    <row r="130" spans="2:11">
      <c r="B130" s="1279"/>
      <c r="C130" s="583" t="s">
        <v>28</v>
      </c>
      <c r="D130" s="1280" t="s">
        <v>1757</v>
      </c>
      <c r="E130" s="1254" t="s">
        <v>147</v>
      </c>
      <c r="F130" s="1281">
        <v>1</v>
      </c>
      <c r="G130" s="1255">
        <f>BAHAN!$E$105</f>
        <v>228000</v>
      </c>
      <c r="H130" s="1256">
        <f t="shared" ref="H130:H137" si="20">G130*F130</f>
        <v>228000</v>
      </c>
      <c r="I130" s="1171"/>
      <c r="J130" s="1467">
        <v>0</v>
      </c>
      <c r="K130" s="1392">
        <f>J130*F130</f>
        <v>0</v>
      </c>
    </row>
    <row r="131" spans="2:11">
      <c r="B131" s="1257"/>
      <c r="C131" s="1258" t="s">
        <v>28</v>
      </c>
      <c r="D131" s="1282" t="s">
        <v>221</v>
      </c>
      <c r="E131" s="1260" t="s">
        <v>145</v>
      </c>
      <c r="F131" s="1261">
        <v>8</v>
      </c>
      <c r="G131" s="1262">
        <f>G120</f>
        <v>1500</v>
      </c>
      <c r="H131" s="1263">
        <f t="shared" si="20"/>
        <v>12000</v>
      </c>
      <c r="I131" s="1171"/>
      <c r="J131" s="1467">
        <f>J130</f>
        <v>0</v>
      </c>
      <c r="K131" s="1392">
        <f>J131*F131</f>
        <v>0</v>
      </c>
    </row>
    <row r="132" spans="2:11">
      <c r="B132" s="1257"/>
      <c r="C132" s="1258" t="s">
        <v>28</v>
      </c>
      <c r="D132" s="1259" t="s">
        <v>237</v>
      </c>
      <c r="E132" s="1260" t="s">
        <v>143</v>
      </c>
      <c r="F132" s="1261">
        <v>1.7999999999999999E-2</v>
      </c>
      <c r="G132" s="1262">
        <f t="shared" ref="G132:G137" si="21">G121</f>
        <v>246000</v>
      </c>
      <c r="H132" s="1263">
        <f t="shared" si="20"/>
        <v>4428</v>
      </c>
      <c r="I132" s="1171"/>
      <c r="J132" s="1467">
        <f>J131</f>
        <v>0</v>
      </c>
      <c r="K132" s="1392">
        <f>J132*F132</f>
        <v>0</v>
      </c>
    </row>
    <row r="133" spans="2:11">
      <c r="B133" s="1257"/>
      <c r="C133" s="1258" t="s">
        <v>28</v>
      </c>
      <c r="D133" s="1259" t="s">
        <v>401</v>
      </c>
      <c r="E133" s="1260" t="s">
        <v>145</v>
      </c>
      <c r="F133" s="1261">
        <v>1.2999999999999999E-2</v>
      </c>
      <c r="G133" s="1262">
        <f t="shared" si="21"/>
        <v>16000</v>
      </c>
      <c r="H133" s="1263">
        <f t="shared" si="20"/>
        <v>208</v>
      </c>
      <c r="I133" s="1171">
        <f>SUM(H130:H133)</f>
        <v>244636</v>
      </c>
      <c r="J133" s="1467">
        <f>J132</f>
        <v>0</v>
      </c>
      <c r="K133" s="1392">
        <f>J133*F133</f>
        <v>0</v>
      </c>
    </row>
    <row r="134" spans="2:11">
      <c r="B134" s="1257"/>
      <c r="C134" s="1258" t="s">
        <v>28</v>
      </c>
      <c r="D134" s="1259" t="s">
        <v>133</v>
      </c>
      <c r="E134" s="1260" t="s">
        <v>132</v>
      </c>
      <c r="F134" s="1261">
        <v>0.1875</v>
      </c>
      <c r="G134" s="1262">
        <f t="shared" si="21"/>
        <v>136000</v>
      </c>
      <c r="H134" s="1263">
        <f t="shared" si="20"/>
        <v>25500</v>
      </c>
      <c r="I134" s="1171"/>
      <c r="J134" s="1467"/>
    </row>
    <row r="135" spans="2:11">
      <c r="B135" s="1257"/>
      <c r="C135" s="1258" t="s">
        <v>28</v>
      </c>
      <c r="D135" s="1259" t="s">
        <v>402</v>
      </c>
      <c r="E135" s="1260" t="s">
        <v>132</v>
      </c>
      <c r="F135" s="1261">
        <v>0.375</v>
      </c>
      <c r="G135" s="1262">
        <f t="shared" si="21"/>
        <v>160000</v>
      </c>
      <c r="H135" s="1263">
        <f t="shared" si="20"/>
        <v>60000</v>
      </c>
      <c r="I135" s="1171"/>
      <c r="J135" s="1467"/>
    </row>
    <row r="136" spans="2:11">
      <c r="B136" s="1257"/>
      <c r="C136" s="1258" t="s">
        <v>28</v>
      </c>
      <c r="D136" s="1259" t="s">
        <v>135</v>
      </c>
      <c r="E136" s="1260" t="s">
        <v>132</v>
      </c>
      <c r="F136" s="1261">
        <v>4.4999999999999998E-2</v>
      </c>
      <c r="G136" s="1262">
        <f t="shared" si="21"/>
        <v>170000</v>
      </c>
      <c r="H136" s="1263">
        <f t="shared" si="20"/>
        <v>7650</v>
      </c>
      <c r="I136" s="1171"/>
      <c r="J136" s="1467"/>
    </row>
    <row r="137" spans="2:11">
      <c r="B137" s="1195"/>
      <c r="C137" s="1283" t="s">
        <v>28</v>
      </c>
      <c r="D137" s="1284" t="s">
        <v>136</v>
      </c>
      <c r="E137" s="1285" t="s">
        <v>132</v>
      </c>
      <c r="F137" s="1286">
        <v>1.8800000000000001E-2</v>
      </c>
      <c r="G137" s="1262">
        <f t="shared" si="21"/>
        <v>180000</v>
      </c>
      <c r="H137" s="1287">
        <f t="shared" si="20"/>
        <v>3384</v>
      </c>
      <c r="I137" s="1171">
        <f>SUM(H134:H137)</f>
        <v>96534</v>
      </c>
      <c r="J137" s="1467"/>
    </row>
    <row r="138" spans="2:11">
      <c r="B138" s="1288"/>
      <c r="C138" s="1269"/>
      <c r="D138" s="1289" t="s">
        <v>228</v>
      </c>
      <c r="E138" s="1290"/>
      <c r="F138" s="1291"/>
      <c r="G138" s="1292"/>
      <c r="H138" s="1293">
        <f>SUM(H130:H137)</f>
        <v>341170</v>
      </c>
      <c r="I138" s="1171"/>
      <c r="J138" s="1467"/>
    </row>
    <row r="139" spans="2:11">
      <c r="B139" s="451"/>
      <c r="C139" s="1294" t="s">
        <v>229</v>
      </c>
      <c r="D139" s="992"/>
      <c r="E139" s="992"/>
      <c r="F139" s="992"/>
      <c r="G139" s="1295"/>
      <c r="H139" s="1295">
        <f>ROUND(H138,0)</f>
        <v>341170</v>
      </c>
      <c r="I139" s="1164"/>
      <c r="J139" s="1467"/>
    </row>
    <row r="140" spans="2:11">
      <c r="B140" s="269" t="s">
        <v>407</v>
      </c>
      <c r="C140" s="1273" t="s">
        <v>1832</v>
      </c>
      <c r="D140" s="469"/>
      <c r="E140" s="511"/>
      <c r="F140" s="512"/>
      <c r="G140" s="472"/>
      <c r="H140" s="473"/>
      <c r="I140" s="1171"/>
      <c r="J140" s="1467"/>
    </row>
    <row r="141" spans="2:11">
      <c r="B141" s="474"/>
      <c r="C141" s="475" t="s">
        <v>28</v>
      </c>
      <c r="D141" s="1280" t="s">
        <v>1833</v>
      </c>
      <c r="E141" s="477" t="s">
        <v>240</v>
      </c>
      <c r="F141" s="478">
        <v>1.05</v>
      </c>
      <c r="G141" s="479">
        <f>BAHAN!$E$128</f>
        <v>390804.59770114941</v>
      </c>
      <c r="H141" s="480">
        <f t="shared" ref="H141:H147" si="22">G141*F141</f>
        <v>410344.8275862069</v>
      </c>
      <c r="I141" s="1171"/>
      <c r="J141" s="1467">
        <f>BOQ!$E$1272</f>
        <v>0</v>
      </c>
      <c r="K141" s="1393">
        <f>J141*F141</f>
        <v>0</v>
      </c>
    </row>
    <row r="142" spans="2:11">
      <c r="B142" s="481"/>
      <c r="C142" s="482" t="s">
        <v>28</v>
      </c>
      <c r="D142" s="332" t="s">
        <v>221</v>
      </c>
      <c r="E142" s="483" t="s">
        <v>145</v>
      </c>
      <c r="F142" s="484">
        <v>11.75</v>
      </c>
      <c r="G142" s="485">
        <f>G98</f>
        <v>1500</v>
      </c>
      <c r="H142" s="486">
        <f t="shared" si="22"/>
        <v>17625</v>
      </c>
      <c r="I142" s="1171"/>
      <c r="J142" s="1467">
        <f>J141</f>
        <v>0</v>
      </c>
      <c r="K142" s="1393">
        <f>J142*F142</f>
        <v>0</v>
      </c>
    </row>
    <row r="143" spans="2:11">
      <c r="B143" s="481"/>
      <c r="C143" s="482" t="s">
        <v>28</v>
      </c>
      <c r="D143" s="487" t="s">
        <v>237</v>
      </c>
      <c r="E143" s="483" t="s">
        <v>143</v>
      </c>
      <c r="F143" s="484">
        <v>3.5000000000000003E-2</v>
      </c>
      <c r="G143" s="485">
        <f>G99</f>
        <v>246000</v>
      </c>
      <c r="H143" s="486">
        <f t="shared" si="22"/>
        <v>8610</v>
      </c>
      <c r="I143" s="1171">
        <f>SUM(H141:H143)</f>
        <v>436579.8275862069</v>
      </c>
      <c r="J143" s="1467">
        <f>J142</f>
        <v>0</v>
      </c>
      <c r="K143" s="1393">
        <f>J143*F143</f>
        <v>0</v>
      </c>
    </row>
    <row r="144" spans="2:11">
      <c r="B144" s="481"/>
      <c r="C144" s="482" t="s">
        <v>28</v>
      </c>
      <c r="D144" s="487" t="s">
        <v>133</v>
      </c>
      <c r="E144" s="483" t="s">
        <v>132</v>
      </c>
      <c r="F144" s="484">
        <v>0.62</v>
      </c>
      <c r="G144" s="485">
        <f>G101</f>
        <v>136000</v>
      </c>
      <c r="H144" s="486">
        <f t="shared" si="22"/>
        <v>84320</v>
      </c>
      <c r="I144" s="1171"/>
      <c r="J144" s="1467">
        <f>J143</f>
        <v>0</v>
      </c>
      <c r="K144" s="1393">
        <f>J144*F144</f>
        <v>0</v>
      </c>
    </row>
    <row r="145" spans="2:11">
      <c r="B145" s="481"/>
      <c r="C145" s="482" t="s">
        <v>28</v>
      </c>
      <c r="D145" s="487" t="s">
        <v>402</v>
      </c>
      <c r="E145" s="483" t="s">
        <v>132</v>
      </c>
      <c r="F145" s="484">
        <v>0.35</v>
      </c>
      <c r="G145" s="485">
        <f>G102</f>
        <v>160000</v>
      </c>
      <c r="H145" s="486">
        <f t="shared" si="22"/>
        <v>56000</v>
      </c>
      <c r="I145" s="1171"/>
    </row>
    <row r="146" spans="2:11">
      <c r="B146" s="481"/>
      <c r="C146" s="482" t="s">
        <v>28</v>
      </c>
      <c r="D146" s="487" t="s">
        <v>135</v>
      </c>
      <c r="E146" s="483" t="s">
        <v>132</v>
      </c>
      <c r="F146" s="484">
        <v>3.5000000000000003E-2</v>
      </c>
      <c r="G146" s="485">
        <f>G103</f>
        <v>170000</v>
      </c>
      <c r="H146" s="486">
        <f t="shared" si="22"/>
        <v>5950.0000000000009</v>
      </c>
      <c r="I146" s="1171"/>
    </row>
    <row r="147" spans="2:11">
      <c r="B147" s="488"/>
      <c r="C147" s="501" t="s">
        <v>28</v>
      </c>
      <c r="D147" s="502" t="s">
        <v>136</v>
      </c>
      <c r="E147" s="503" t="s">
        <v>132</v>
      </c>
      <c r="F147" s="516">
        <v>0.03</v>
      </c>
      <c r="G147" s="485">
        <f>G104</f>
        <v>180000</v>
      </c>
      <c r="H147" s="504">
        <f t="shared" si="22"/>
        <v>5400</v>
      </c>
      <c r="I147" s="1171">
        <f>SUM(H144:H147)</f>
        <v>151670</v>
      </c>
    </row>
    <row r="148" spans="2:11">
      <c r="B148" s="505"/>
      <c r="C148" s="495"/>
      <c r="D148" s="506" t="s">
        <v>228</v>
      </c>
      <c r="E148" s="507"/>
      <c r="F148" s="508"/>
      <c r="G148" s="509"/>
      <c r="H148" s="510">
        <f>SUM(H141:H147)</f>
        <v>588249.82758620684</v>
      </c>
      <c r="I148" s="1171"/>
    </row>
    <row r="149" spans="2:11">
      <c r="B149" s="451"/>
      <c r="C149" s="452" t="s">
        <v>229</v>
      </c>
      <c r="D149" s="453"/>
      <c r="E149" s="453"/>
      <c r="F149" s="453"/>
      <c r="G149" s="454"/>
      <c r="H149" s="454">
        <f>ROUND(H148,0)</f>
        <v>588250</v>
      </c>
      <c r="I149" s="1164"/>
    </row>
    <row r="150" spans="2:11">
      <c r="B150" s="269" t="s">
        <v>408</v>
      </c>
      <c r="C150" s="468" t="s">
        <v>1687</v>
      </c>
      <c r="D150" s="469"/>
      <c r="E150" s="470"/>
      <c r="F150" s="471"/>
      <c r="G150" s="472"/>
      <c r="H150" s="473"/>
      <c r="I150" s="1171"/>
    </row>
    <row r="151" spans="2:11">
      <c r="B151" s="474"/>
      <c r="C151" s="475" t="s">
        <v>28</v>
      </c>
      <c r="D151" s="476" t="s">
        <v>1686</v>
      </c>
      <c r="E151" s="477" t="s">
        <v>240</v>
      </c>
      <c r="F151" s="478">
        <v>1.05</v>
      </c>
      <c r="G151" s="479">
        <f>BAHAN!$E$18</f>
        <v>125000</v>
      </c>
      <c r="H151" s="480">
        <f t="shared" ref="H151:H157" si="23">G151*F151</f>
        <v>131250</v>
      </c>
      <c r="I151" s="1171"/>
      <c r="J151" s="1467">
        <f>SUMIF(BOQ!$G$1:$G$3041,I153,BOQ!$E$1:$E$3041)</f>
        <v>0</v>
      </c>
      <c r="K151" s="1393">
        <f>J151*F151</f>
        <v>0</v>
      </c>
    </row>
    <row r="152" spans="2:11">
      <c r="B152" s="481"/>
      <c r="C152" s="482" t="s">
        <v>28</v>
      </c>
      <c r="D152" s="332" t="s">
        <v>221</v>
      </c>
      <c r="E152" s="483" t="s">
        <v>145</v>
      </c>
      <c r="F152" s="484">
        <v>11.75</v>
      </c>
      <c r="G152" s="485">
        <f>$G$142</f>
        <v>1500</v>
      </c>
      <c r="H152" s="486">
        <f t="shared" si="23"/>
        <v>17625</v>
      </c>
      <c r="I152" s="1171"/>
      <c r="J152" s="1467">
        <f>J151</f>
        <v>0</v>
      </c>
      <c r="K152" s="1393">
        <f>J152*F152</f>
        <v>0</v>
      </c>
    </row>
    <row r="153" spans="2:11">
      <c r="B153" s="481"/>
      <c r="C153" s="482" t="s">
        <v>28</v>
      </c>
      <c r="D153" s="487" t="s">
        <v>237</v>
      </c>
      <c r="E153" s="483" t="s">
        <v>143</v>
      </c>
      <c r="F153" s="484">
        <v>3.5000000000000003E-2</v>
      </c>
      <c r="G153" s="485">
        <f>$G$143</f>
        <v>246000</v>
      </c>
      <c r="H153" s="486">
        <f t="shared" si="23"/>
        <v>8610</v>
      </c>
      <c r="I153" s="1171">
        <f>SUM(H151:H153)</f>
        <v>157485</v>
      </c>
      <c r="J153" s="1467">
        <f>J152</f>
        <v>0</v>
      </c>
      <c r="K153" s="1393">
        <f>J153*F153</f>
        <v>0</v>
      </c>
    </row>
    <row r="154" spans="2:11">
      <c r="B154" s="481"/>
      <c r="C154" s="482" t="s">
        <v>28</v>
      </c>
      <c r="D154" s="487" t="s">
        <v>133</v>
      </c>
      <c r="E154" s="483" t="s">
        <v>132</v>
      </c>
      <c r="F154" s="484">
        <v>0.62</v>
      </c>
      <c r="G154" s="485">
        <f>$G$144</f>
        <v>136000</v>
      </c>
      <c r="H154" s="486">
        <f t="shared" si="23"/>
        <v>84320</v>
      </c>
      <c r="I154" s="1171"/>
      <c r="J154" s="1467">
        <f>J153</f>
        <v>0</v>
      </c>
      <c r="K154" s="1393">
        <f>J154*F154</f>
        <v>0</v>
      </c>
    </row>
    <row r="155" spans="2:11">
      <c r="B155" s="481"/>
      <c r="C155" s="482" t="s">
        <v>28</v>
      </c>
      <c r="D155" s="487" t="s">
        <v>402</v>
      </c>
      <c r="E155" s="483" t="s">
        <v>132</v>
      </c>
      <c r="F155" s="484">
        <v>0.35</v>
      </c>
      <c r="G155" s="485">
        <f>$G$145</f>
        <v>160000</v>
      </c>
      <c r="H155" s="486">
        <f t="shared" si="23"/>
        <v>56000</v>
      </c>
      <c r="I155" s="1171"/>
    </row>
    <row r="156" spans="2:11">
      <c r="B156" s="481"/>
      <c r="C156" s="482" t="s">
        <v>28</v>
      </c>
      <c r="D156" s="487" t="s">
        <v>135</v>
      </c>
      <c r="E156" s="483" t="s">
        <v>132</v>
      </c>
      <c r="F156" s="484">
        <v>3.5000000000000003E-2</v>
      </c>
      <c r="G156" s="485">
        <f>$G$146</f>
        <v>170000</v>
      </c>
      <c r="H156" s="486">
        <f t="shared" si="23"/>
        <v>5950.0000000000009</v>
      </c>
      <c r="I156" s="1171"/>
    </row>
    <row r="157" spans="2:11">
      <c r="B157" s="514"/>
      <c r="C157" s="501" t="s">
        <v>28</v>
      </c>
      <c r="D157" s="515" t="s">
        <v>136</v>
      </c>
      <c r="E157" s="503" t="s">
        <v>132</v>
      </c>
      <c r="F157" s="516">
        <v>0.03</v>
      </c>
      <c r="G157" s="485">
        <f>$G$147</f>
        <v>180000</v>
      </c>
      <c r="H157" s="504">
        <f t="shared" si="23"/>
        <v>5400</v>
      </c>
      <c r="I157" s="1171">
        <f>SUM(H154:H157)</f>
        <v>151670</v>
      </c>
    </row>
    <row r="158" spans="2:11">
      <c r="B158" s="494"/>
      <c r="C158" s="495"/>
      <c r="D158" s="496" t="s">
        <v>228</v>
      </c>
      <c r="E158" s="497"/>
      <c r="F158" s="517"/>
      <c r="G158" s="499"/>
      <c r="H158" s="500">
        <f>SUM(H151:H157)</f>
        <v>309155</v>
      </c>
      <c r="I158" s="1171"/>
    </row>
    <row r="159" spans="2:11">
      <c r="B159" s="396"/>
      <c r="C159" s="442" t="s">
        <v>229</v>
      </c>
      <c r="D159" s="378"/>
      <c r="E159" s="378"/>
      <c r="F159" s="378"/>
      <c r="G159" s="518"/>
      <c r="H159" s="518">
        <f>ROUND(H158,0)</f>
        <v>309155</v>
      </c>
      <c r="I159" s="1164"/>
    </row>
    <row r="160" spans="2:11">
      <c r="B160" s="269" t="s">
        <v>408</v>
      </c>
      <c r="C160" s="468" t="s">
        <v>2801</v>
      </c>
      <c r="D160" s="469"/>
      <c r="E160" s="470"/>
      <c r="F160" s="471"/>
      <c r="G160" s="472"/>
      <c r="H160" s="473"/>
      <c r="I160" s="1171"/>
    </row>
    <row r="161" spans="2:11">
      <c r="B161" s="474"/>
      <c r="C161" s="475" t="s">
        <v>28</v>
      </c>
      <c r="D161" s="476" t="s">
        <v>2802</v>
      </c>
      <c r="E161" s="477" t="s">
        <v>240</v>
      </c>
      <c r="F161" s="478">
        <v>1.05</v>
      </c>
      <c r="G161" s="479">
        <f>BAHAN!E19</f>
        <v>100000</v>
      </c>
      <c r="H161" s="480">
        <f t="shared" ref="H161:H167" si="24">G161*F161</f>
        <v>105000</v>
      </c>
      <c r="I161" s="1171"/>
      <c r="J161" s="1392">
        <f>BOQ!$E$1275</f>
        <v>0</v>
      </c>
      <c r="K161" s="1393">
        <f>J161*F161</f>
        <v>0</v>
      </c>
    </row>
    <row r="162" spans="2:11">
      <c r="B162" s="481"/>
      <c r="C162" s="482" t="s">
        <v>28</v>
      </c>
      <c r="D162" s="332" t="s">
        <v>221</v>
      </c>
      <c r="E162" s="483" t="s">
        <v>145</v>
      </c>
      <c r="F162" s="484">
        <v>11.75</v>
      </c>
      <c r="G162" s="485">
        <f t="shared" ref="G162:G167" si="25">G152</f>
        <v>1500</v>
      </c>
      <c r="H162" s="486">
        <f t="shared" si="24"/>
        <v>17625</v>
      </c>
      <c r="I162" s="1171"/>
      <c r="J162" s="1392">
        <f>J161</f>
        <v>0</v>
      </c>
      <c r="K162" s="1393">
        <f>J162*F162</f>
        <v>0</v>
      </c>
    </row>
    <row r="163" spans="2:11">
      <c r="B163" s="481"/>
      <c r="C163" s="482" t="s">
        <v>28</v>
      </c>
      <c r="D163" s="487" t="s">
        <v>237</v>
      </c>
      <c r="E163" s="483" t="s">
        <v>143</v>
      </c>
      <c r="F163" s="484">
        <v>3.5000000000000003E-2</v>
      </c>
      <c r="G163" s="485">
        <f t="shared" si="25"/>
        <v>246000</v>
      </c>
      <c r="H163" s="486">
        <f t="shared" si="24"/>
        <v>8610</v>
      </c>
      <c r="I163" s="1171">
        <f>SUM(H161:H163)</f>
        <v>131235</v>
      </c>
      <c r="J163" s="1392">
        <f>J162</f>
        <v>0</v>
      </c>
      <c r="K163" s="1393">
        <f>J163*F163</f>
        <v>0</v>
      </c>
    </row>
    <row r="164" spans="2:11">
      <c r="B164" s="481"/>
      <c r="C164" s="482" t="s">
        <v>28</v>
      </c>
      <c r="D164" s="487" t="s">
        <v>133</v>
      </c>
      <c r="E164" s="483" t="s">
        <v>132</v>
      </c>
      <c r="F164" s="484">
        <v>0.62</v>
      </c>
      <c r="G164" s="485">
        <f t="shared" si="25"/>
        <v>136000</v>
      </c>
      <c r="H164" s="486">
        <f t="shared" si="24"/>
        <v>84320</v>
      </c>
      <c r="I164" s="1171"/>
    </row>
    <row r="165" spans="2:11">
      <c r="B165" s="481"/>
      <c r="C165" s="482" t="s">
        <v>28</v>
      </c>
      <c r="D165" s="487" t="s">
        <v>402</v>
      </c>
      <c r="E165" s="483" t="s">
        <v>132</v>
      </c>
      <c r="F165" s="484">
        <v>0.35</v>
      </c>
      <c r="G165" s="485">
        <f t="shared" si="25"/>
        <v>160000</v>
      </c>
      <c r="H165" s="486">
        <f t="shared" si="24"/>
        <v>56000</v>
      </c>
      <c r="I165" s="1171"/>
    </row>
    <row r="166" spans="2:11">
      <c r="B166" s="481"/>
      <c r="C166" s="482" t="s">
        <v>28</v>
      </c>
      <c r="D166" s="487" t="s">
        <v>135</v>
      </c>
      <c r="E166" s="483" t="s">
        <v>132</v>
      </c>
      <c r="F166" s="484">
        <v>3.5000000000000003E-2</v>
      </c>
      <c r="G166" s="485">
        <f t="shared" si="25"/>
        <v>170000</v>
      </c>
      <c r="H166" s="486">
        <f t="shared" si="24"/>
        <v>5950.0000000000009</v>
      </c>
      <c r="I166" s="1171"/>
    </row>
    <row r="167" spans="2:11">
      <c r="B167" s="514"/>
      <c r="C167" s="501" t="s">
        <v>28</v>
      </c>
      <c r="D167" s="515" t="s">
        <v>136</v>
      </c>
      <c r="E167" s="503" t="s">
        <v>132</v>
      </c>
      <c r="F167" s="516">
        <v>0.03</v>
      </c>
      <c r="G167" s="485">
        <f t="shared" si="25"/>
        <v>180000</v>
      </c>
      <c r="H167" s="504">
        <f t="shared" si="24"/>
        <v>5400</v>
      </c>
      <c r="I167" s="1171">
        <f>SUM(H164:H167)</f>
        <v>151670</v>
      </c>
    </row>
    <row r="168" spans="2:11">
      <c r="B168" s="494"/>
      <c r="C168" s="495"/>
      <c r="D168" s="496" t="s">
        <v>228</v>
      </c>
      <c r="E168" s="497"/>
      <c r="F168" s="517"/>
      <c r="G168" s="499"/>
      <c r="H168" s="500">
        <f>SUM(H161:H167)</f>
        <v>282905</v>
      </c>
      <c r="I168" s="1171"/>
    </row>
    <row r="169" spans="2:11">
      <c r="B169" s="396"/>
      <c r="C169" s="442" t="s">
        <v>229</v>
      </c>
      <c r="D169" s="378"/>
      <c r="E169" s="378"/>
      <c r="F169" s="378"/>
      <c r="G169" s="518"/>
      <c r="H169" s="518">
        <f>ROUND(H168,0)</f>
        <v>282905</v>
      </c>
      <c r="I169" s="1164"/>
    </row>
    <row r="170" spans="2:11">
      <c r="B170" s="269" t="s">
        <v>409</v>
      </c>
      <c r="C170" s="468" t="s">
        <v>2031</v>
      </c>
      <c r="D170" s="469"/>
      <c r="E170" s="470"/>
      <c r="F170" s="471"/>
      <c r="G170" s="472"/>
      <c r="H170" s="473"/>
      <c r="I170" s="1171"/>
    </row>
    <row r="171" spans="2:11">
      <c r="B171" s="474"/>
      <c r="C171" s="475" t="s">
        <v>28</v>
      </c>
      <c r="D171" s="476" t="s">
        <v>2032</v>
      </c>
      <c r="E171" s="477" t="s">
        <v>240</v>
      </c>
      <c r="F171" s="478">
        <v>1.05</v>
      </c>
      <c r="G171" s="479">
        <f>BAHAN!$E$44</f>
        <v>142500</v>
      </c>
      <c r="H171" s="480">
        <f t="shared" ref="H171:H177" si="26">G171*F171</f>
        <v>149625</v>
      </c>
      <c r="I171" s="1171"/>
      <c r="J171" s="1467">
        <f>BOQ!$E$1270</f>
        <v>0</v>
      </c>
      <c r="K171" s="1393">
        <f>J171*F151</f>
        <v>0</v>
      </c>
    </row>
    <row r="172" spans="2:11">
      <c r="B172" s="481"/>
      <c r="C172" s="482" t="s">
        <v>28</v>
      </c>
      <c r="D172" s="332" t="s">
        <v>221</v>
      </c>
      <c r="E172" s="483" t="s">
        <v>145</v>
      </c>
      <c r="F172" s="484">
        <v>11.75</v>
      </c>
      <c r="G172" s="485">
        <f>G162</f>
        <v>1500</v>
      </c>
      <c r="H172" s="486">
        <f t="shared" si="26"/>
        <v>17625</v>
      </c>
      <c r="I172" s="1171"/>
      <c r="J172" s="1467">
        <f>$J$171</f>
        <v>0</v>
      </c>
      <c r="K172" s="1393">
        <f>J172*F152</f>
        <v>0</v>
      </c>
    </row>
    <row r="173" spans="2:11">
      <c r="B173" s="481"/>
      <c r="C173" s="482" t="s">
        <v>28</v>
      </c>
      <c r="D173" s="487" t="s">
        <v>237</v>
      </c>
      <c r="E173" s="483" t="s">
        <v>143</v>
      </c>
      <c r="F173" s="484">
        <v>3.5000000000000003E-2</v>
      </c>
      <c r="G173" s="485">
        <f>G163</f>
        <v>246000</v>
      </c>
      <c r="H173" s="486">
        <f t="shared" si="26"/>
        <v>8610</v>
      </c>
      <c r="I173" s="1171">
        <f>SUM(H171:H173)</f>
        <v>175860</v>
      </c>
      <c r="J173" s="1467">
        <f>$J$171</f>
        <v>0</v>
      </c>
      <c r="K173" s="1393">
        <f>J173*F153</f>
        <v>0</v>
      </c>
    </row>
    <row r="174" spans="2:11">
      <c r="B174" s="481"/>
      <c r="C174" s="482" t="s">
        <v>28</v>
      </c>
      <c r="D174" s="487" t="s">
        <v>133</v>
      </c>
      <c r="E174" s="483" t="s">
        <v>132</v>
      </c>
      <c r="F174" s="484">
        <v>0.62</v>
      </c>
      <c r="G174" s="485">
        <f>G154</f>
        <v>136000</v>
      </c>
      <c r="H174" s="486">
        <f t="shared" si="26"/>
        <v>84320</v>
      </c>
      <c r="I174" s="1171"/>
    </row>
    <row r="175" spans="2:11">
      <c r="B175" s="481"/>
      <c r="C175" s="482" t="s">
        <v>28</v>
      </c>
      <c r="D175" s="487" t="s">
        <v>402</v>
      </c>
      <c r="E175" s="483" t="s">
        <v>132</v>
      </c>
      <c r="F175" s="484">
        <v>0.35</v>
      </c>
      <c r="G175" s="485">
        <f>G155</f>
        <v>160000</v>
      </c>
      <c r="H175" s="486">
        <f t="shared" si="26"/>
        <v>56000</v>
      </c>
      <c r="I175" s="1171"/>
    </row>
    <row r="176" spans="2:11">
      <c r="B176" s="481"/>
      <c r="C176" s="482" t="s">
        <v>28</v>
      </c>
      <c r="D176" s="487" t="s">
        <v>135</v>
      </c>
      <c r="E176" s="483" t="s">
        <v>132</v>
      </c>
      <c r="F176" s="484">
        <v>3.5000000000000003E-2</v>
      </c>
      <c r="G176" s="485">
        <f>G156</f>
        <v>170000</v>
      </c>
      <c r="H176" s="486">
        <f t="shared" si="26"/>
        <v>5950.0000000000009</v>
      </c>
      <c r="I176" s="1171"/>
    </row>
    <row r="177" spans="2:9">
      <c r="B177" s="514"/>
      <c r="C177" s="501" t="s">
        <v>28</v>
      </c>
      <c r="D177" s="515" t="s">
        <v>136</v>
      </c>
      <c r="E177" s="503" t="s">
        <v>132</v>
      </c>
      <c r="F177" s="516">
        <v>0.03</v>
      </c>
      <c r="G177" s="485">
        <f>G157</f>
        <v>180000</v>
      </c>
      <c r="H177" s="504">
        <f t="shared" si="26"/>
        <v>5400</v>
      </c>
      <c r="I177" s="1171">
        <f>SUM(H174:H177)</f>
        <v>151670</v>
      </c>
    </row>
    <row r="178" spans="2:9">
      <c r="B178" s="494"/>
      <c r="C178" s="495"/>
      <c r="D178" s="496" t="s">
        <v>228</v>
      </c>
      <c r="E178" s="497"/>
      <c r="F178" s="517"/>
      <c r="G178" s="499"/>
      <c r="H178" s="500">
        <f>SUM(H171:H177)</f>
        <v>327530</v>
      </c>
      <c r="I178" s="1171"/>
    </row>
    <row r="179" spans="2:9">
      <c r="B179" s="396"/>
      <c r="C179" s="442" t="s">
        <v>229</v>
      </c>
      <c r="D179" s="378"/>
      <c r="E179" s="378"/>
      <c r="F179" s="378"/>
      <c r="G179" s="518"/>
      <c r="H179" s="518">
        <f>ROUND(H178,0)</f>
        <v>327530</v>
      </c>
      <c r="I179" s="1164"/>
    </row>
    <row r="180" spans="2:9">
      <c r="B180" s="269" t="s">
        <v>410</v>
      </c>
      <c r="C180" s="468" t="s">
        <v>411</v>
      </c>
      <c r="D180" s="469"/>
      <c r="E180" s="511"/>
      <c r="F180" s="512"/>
      <c r="G180" s="472"/>
      <c r="H180" s="473"/>
      <c r="I180" s="1171"/>
    </row>
    <row r="181" spans="2:9">
      <c r="B181" s="474"/>
      <c r="C181" s="475" t="s">
        <v>28</v>
      </c>
      <c r="D181" s="476" t="s">
        <v>412</v>
      </c>
      <c r="E181" s="477" t="s">
        <v>240</v>
      </c>
      <c r="F181" s="478">
        <v>1.05</v>
      </c>
      <c r="G181" s="479">
        <f>BAHAN!$E$95</f>
        <v>44050</v>
      </c>
      <c r="H181" s="480">
        <f t="shared" ref="H181:H186" si="27">G181*F181</f>
        <v>46252.5</v>
      </c>
      <c r="I181" s="1171"/>
    </row>
    <row r="182" spans="2:9">
      <c r="B182" s="481"/>
      <c r="C182" s="482" t="s">
        <v>28</v>
      </c>
      <c r="D182" s="487" t="s">
        <v>413</v>
      </c>
      <c r="E182" s="483" t="s">
        <v>145</v>
      </c>
      <c r="F182" s="484">
        <v>0.25</v>
      </c>
      <c r="G182" s="485">
        <f>BAHAN!$E$173</f>
        <v>25000</v>
      </c>
      <c r="H182" s="486">
        <f t="shared" si="27"/>
        <v>6250</v>
      </c>
      <c r="I182" s="1171">
        <f>SUM(H181:H182)</f>
        <v>52502.5</v>
      </c>
    </row>
    <row r="183" spans="2:9">
      <c r="B183" s="481"/>
      <c r="C183" s="482" t="s">
        <v>28</v>
      </c>
      <c r="D183" s="487" t="s">
        <v>133</v>
      </c>
      <c r="E183" s="483" t="s">
        <v>132</v>
      </c>
      <c r="F183" s="484">
        <v>0.35</v>
      </c>
      <c r="G183" s="485">
        <f>G174</f>
        <v>136000</v>
      </c>
      <c r="H183" s="486">
        <f t="shared" si="27"/>
        <v>47600</v>
      </c>
      <c r="I183" s="1171"/>
    </row>
    <row r="184" spans="2:9">
      <c r="B184" s="481"/>
      <c r="C184" s="482" t="s">
        <v>28</v>
      </c>
      <c r="D184" s="487" t="s">
        <v>402</v>
      </c>
      <c r="E184" s="483" t="s">
        <v>132</v>
      </c>
      <c r="F184" s="484">
        <v>0.17499999999999999</v>
      </c>
      <c r="G184" s="485">
        <f>G175</f>
        <v>160000</v>
      </c>
      <c r="H184" s="486">
        <f t="shared" si="27"/>
        <v>28000</v>
      </c>
      <c r="I184" s="1171"/>
    </row>
    <row r="185" spans="2:9">
      <c r="B185" s="481"/>
      <c r="C185" s="482" t="s">
        <v>28</v>
      </c>
      <c r="D185" s="487" t="s">
        <v>135</v>
      </c>
      <c r="E185" s="483" t="s">
        <v>132</v>
      </c>
      <c r="F185" s="484">
        <v>1.7000000000000001E-2</v>
      </c>
      <c r="G185" s="485">
        <f>G176</f>
        <v>170000</v>
      </c>
      <c r="H185" s="486">
        <f t="shared" si="27"/>
        <v>2890</v>
      </c>
      <c r="I185" s="1171"/>
    </row>
    <row r="186" spans="2:9">
      <c r="B186" s="514"/>
      <c r="C186" s="501" t="s">
        <v>28</v>
      </c>
      <c r="D186" s="515" t="s">
        <v>136</v>
      </c>
      <c r="E186" s="503" t="s">
        <v>132</v>
      </c>
      <c r="F186" s="516">
        <v>2E-3</v>
      </c>
      <c r="G186" s="485">
        <f>G177</f>
        <v>180000</v>
      </c>
      <c r="H186" s="504">
        <f t="shared" si="27"/>
        <v>360</v>
      </c>
      <c r="I186" s="1171">
        <f>SUM(H183:H186)</f>
        <v>78850</v>
      </c>
    </row>
    <row r="187" spans="2:9">
      <c r="B187" s="494"/>
      <c r="C187" s="495"/>
      <c r="D187" s="496" t="s">
        <v>228</v>
      </c>
      <c r="E187" s="497"/>
      <c r="F187" s="498"/>
      <c r="G187" s="499"/>
      <c r="H187" s="500">
        <f>SUM(H181:H186)</f>
        <v>131352.5</v>
      </c>
      <c r="I187" s="1171"/>
    </row>
    <row r="188" spans="2:9">
      <c r="B188" s="451"/>
      <c r="C188" s="452" t="s">
        <v>229</v>
      </c>
      <c r="D188" s="453"/>
      <c r="E188" s="453"/>
      <c r="F188" s="453"/>
      <c r="G188" s="454"/>
      <c r="H188" s="454">
        <f>ROUND(H187,0)</f>
        <v>131353</v>
      </c>
      <c r="I188" s="1164"/>
    </row>
    <row r="189" spans="2:9">
      <c r="B189" s="269" t="s">
        <v>414</v>
      </c>
      <c r="C189" s="328" t="s">
        <v>415</v>
      </c>
      <c r="D189" s="287"/>
      <c r="E189" s="519"/>
      <c r="F189" s="445"/>
      <c r="G189" s="455"/>
      <c r="H189" s="456"/>
      <c r="I189" s="440"/>
    </row>
    <row r="190" spans="2:9">
      <c r="B190" s="65"/>
      <c r="C190" s="465" t="s">
        <v>28</v>
      </c>
      <c r="D190" s="233" t="s">
        <v>416</v>
      </c>
      <c r="E190" s="67" t="s">
        <v>220</v>
      </c>
      <c r="F190" s="520">
        <v>0.41499999999999998</v>
      </c>
      <c r="G190" s="69">
        <f>BAHAN!$E$187</f>
        <v>21869</v>
      </c>
      <c r="H190" s="70">
        <f t="shared" ref="H190:H200" si="28">F190*G190</f>
        <v>9075.6350000000002</v>
      </c>
      <c r="I190" s="440"/>
    </row>
    <row r="191" spans="2:9">
      <c r="B191" s="71"/>
      <c r="C191" s="368" t="s">
        <v>28</v>
      </c>
      <c r="D191" s="76" t="s">
        <v>417</v>
      </c>
      <c r="E191" s="73" t="s">
        <v>220</v>
      </c>
      <c r="F191" s="74">
        <v>0.15</v>
      </c>
      <c r="G191" s="69">
        <f>BAHAN!$E$186</f>
        <v>16102</v>
      </c>
      <c r="H191" s="70">
        <f t="shared" si="28"/>
        <v>2415.2999999999997</v>
      </c>
      <c r="I191" s="440"/>
    </row>
    <row r="192" spans="2:9">
      <c r="B192" s="71"/>
      <c r="C192" s="368" t="s">
        <v>28</v>
      </c>
      <c r="D192" s="76" t="s">
        <v>418</v>
      </c>
      <c r="E192" s="73" t="s">
        <v>151</v>
      </c>
      <c r="F192" s="74">
        <v>0.36399999999999999</v>
      </c>
      <c r="G192" s="69">
        <f>BAHAN!$E$90</f>
        <v>95000</v>
      </c>
      <c r="H192" s="70">
        <f t="shared" si="28"/>
        <v>34580</v>
      </c>
      <c r="I192" s="440"/>
    </row>
    <row r="193" spans="2:9">
      <c r="B193" s="71"/>
      <c r="C193" s="368" t="s">
        <v>28</v>
      </c>
      <c r="D193" s="76" t="s">
        <v>419</v>
      </c>
      <c r="E193" s="73" t="s">
        <v>47</v>
      </c>
      <c r="F193" s="74">
        <v>0.11</v>
      </c>
      <c r="G193" s="69">
        <f>BAHAN!$E$213</f>
        <v>41750</v>
      </c>
      <c r="H193" s="70">
        <f t="shared" si="28"/>
        <v>4592.5</v>
      </c>
      <c r="I193" s="440"/>
    </row>
    <row r="194" spans="2:9">
      <c r="B194" s="71"/>
      <c r="C194" s="368" t="s">
        <v>28</v>
      </c>
      <c r="D194" s="76" t="s">
        <v>420</v>
      </c>
      <c r="E194" s="73" t="s">
        <v>239</v>
      </c>
      <c r="F194" s="74">
        <v>4</v>
      </c>
      <c r="G194" s="69">
        <f>BAHAN!$E$212</f>
        <v>800</v>
      </c>
      <c r="H194" s="70">
        <f t="shared" si="28"/>
        <v>3200</v>
      </c>
      <c r="I194" s="440"/>
    </row>
    <row r="195" spans="2:9">
      <c r="B195" s="71"/>
      <c r="C195" s="368" t="s">
        <v>28</v>
      </c>
      <c r="D195" s="76" t="s">
        <v>421</v>
      </c>
      <c r="E195" s="73" t="s">
        <v>239</v>
      </c>
      <c r="F195" s="74">
        <v>7.1999999999999995E-2</v>
      </c>
      <c r="G195" s="69">
        <f>BAHAN!$E$89</f>
        <v>13000</v>
      </c>
      <c r="H195" s="70">
        <f t="shared" si="28"/>
        <v>935.99999999999989</v>
      </c>
      <c r="I195" s="440"/>
    </row>
    <row r="196" spans="2:9">
      <c r="B196" s="71"/>
      <c r="C196" s="368" t="s">
        <v>28</v>
      </c>
      <c r="D196" s="76" t="s">
        <v>422</v>
      </c>
      <c r="E196" s="73" t="s">
        <v>396</v>
      </c>
      <c r="F196" s="74">
        <v>0.125</v>
      </c>
      <c r="G196" s="69">
        <f>BAHAN!$E$92</f>
        <v>90000</v>
      </c>
      <c r="H196" s="70">
        <f t="shared" si="28"/>
        <v>11250</v>
      </c>
      <c r="I196" s="440">
        <f>SUM(H190:H196)</f>
        <v>66049.434999999998</v>
      </c>
    </row>
    <row r="197" spans="2:9">
      <c r="B197" s="71"/>
      <c r="C197" s="368" t="s">
        <v>28</v>
      </c>
      <c r="D197" s="76" t="s">
        <v>133</v>
      </c>
      <c r="E197" s="73" t="s">
        <v>132</v>
      </c>
      <c r="F197" s="74">
        <v>0.1</v>
      </c>
      <c r="G197" s="69">
        <f>G183</f>
        <v>136000</v>
      </c>
      <c r="H197" s="70">
        <f t="shared" si="28"/>
        <v>13600</v>
      </c>
      <c r="I197" s="440"/>
    </row>
    <row r="198" spans="2:9">
      <c r="B198" s="71"/>
      <c r="C198" s="368" t="s">
        <v>28</v>
      </c>
      <c r="D198" s="76" t="s">
        <v>134</v>
      </c>
      <c r="E198" s="73" t="s">
        <v>132</v>
      </c>
      <c r="F198" s="74">
        <v>0.05</v>
      </c>
      <c r="G198" s="69">
        <f>UPAH!E17</f>
        <v>160000</v>
      </c>
      <c r="H198" s="70">
        <f t="shared" si="28"/>
        <v>8000</v>
      </c>
      <c r="I198" s="440"/>
    </row>
    <row r="199" spans="2:9">
      <c r="B199" s="71"/>
      <c r="C199" s="368" t="s">
        <v>28</v>
      </c>
      <c r="D199" s="76" t="s">
        <v>135</v>
      </c>
      <c r="E199" s="73" t="s">
        <v>132</v>
      </c>
      <c r="F199" s="74">
        <v>5.0000000000000001E-3</v>
      </c>
      <c r="G199" s="69">
        <f>UPAH!E11</f>
        <v>150000</v>
      </c>
      <c r="H199" s="70">
        <f t="shared" si="28"/>
        <v>750</v>
      </c>
      <c r="I199" s="440"/>
    </row>
    <row r="200" spans="2:9">
      <c r="B200" s="386"/>
      <c r="C200" s="382" t="s">
        <v>28</v>
      </c>
      <c r="D200" s="448" t="s">
        <v>136</v>
      </c>
      <c r="E200" s="449" t="s">
        <v>132</v>
      </c>
      <c r="F200" s="450">
        <v>5.0000000000000001E-3</v>
      </c>
      <c r="G200" s="69">
        <f>G186</f>
        <v>180000</v>
      </c>
      <c r="H200" s="521">
        <f t="shared" si="28"/>
        <v>900</v>
      </c>
      <c r="I200" s="440">
        <f>SUM(H197:H200)</f>
        <v>23250</v>
      </c>
    </row>
    <row r="201" spans="2:9">
      <c r="B201" s="193"/>
      <c r="C201" s="83"/>
      <c r="D201" s="253" t="s">
        <v>228</v>
      </c>
      <c r="E201" s="522"/>
      <c r="F201" s="467"/>
      <c r="G201" s="464"/>
      <c r="H201" s="431">
        <f>SUM(H190:H200)</f>
        <v>89299.434999999998</v>
      </c>
      <c r="I201" s="440"/>
    </row>
    <row r="202" spans="2:9">
      <c r="B202" s="396"/>
      <c r="C202" s="442" t="s">
        <v>229</v>
      </c>
      <c r="D202" s="378"/>
      <c r="E202" s="378"/>
      <c r="F202" s="378"/>
      <c r="G202" s="518"/>
      <c r="H202" s="518">
        <f>ROUND(H201,0)</f>
        <v>89299</v>
      </c>
      <c r="I202" s="1164"/>
    </row>
    <row r="203" spans="2:9">
      <c r="B203" s="523" t="s">
        <v>423</v>
      </c>
      <c r="C203" s="468" t="s">
        <v>424</v>
      </c>
      <c r="D203" s="469"/>
      <c r="E203" s="470"/>
      <c r="F203" s="471"/>
      <c r="G203" s="472"/>
      <c r="H203" s="473"/>
      <c r="I203" s="1171"/>
    </row>
    <row r="204" spans="2:9">
      <c r="B204" s="474"/>
      <c r="C204" s="475" t="s">
        <v>28</v>
      </c>
      <c r="D204" s="476" t="s">
        <v>416</v>
      </c>
      <c r="E204" s="477" t="s">
        <v>220</v>
      </c>
      <c r="F204" s="478">
        <v>0.41499999999999998</v>
      </c>
      <c r="G204" s="479">
        <f>+G190</f>
        <v>21869</v>
      </c>
      <c r="H204" s="480">
        <f t="shared" ref="H204:H214" si="29">F204*G204</f>
        <v>9075.6350000000002</v>
      </c>
      <c r="I204" s="1171"/>
    </row>
    <row r="205" spans="2:9">
      <c r="B205" s="481"/>
      <c r="C205" s="482" t="s">
        <v>28</v>
      </c>
      <c r="D205" s="487" t="s">
        <v>417</v>
      </c>
      <c r="E205" s="483" t="s">
        <v>220</v>
      </c>
      <c r="F205" s="484">
        <v>0.15</v>
      </c>
      <c r="G205" s="479">
        <f>+G191</f>
        <v>16102</v>
      </c>
      <c r="H205" s="480">
        <f t="shared" si="29"/>
        <v>2415.2999999999997</v>
      </c>
      <c r="I205" s="1171"/>
    </row>
    <row r="206" spans="2:9">
      <c r="B206" s="481"/>
      <c r="C206" s="482" t="s">
        <v>28</v>
      </c>
      <c r="D206" s="487" t="s">
        <v>425</v>
      </c>
      <c r="E206" s="483" t="s">
        <v>151</v>
      </c>
      <c r="F206" s="484">
        <v>0.36399999999999999</v>
      </c>
      <c r="G206" s="479">
        <f>BAHAN!$E$86</f>
        <v>65000</v>
      </c>
      <c r="H206" s="480">
        <f t="shared" si="29"/>
        <v>23660</v>
      </c>
      <c r="I206" s="1171"/>
    </row>
    <row r="207" spans="2:9">
      <c r="B207" s="481"/>
      <c r="C207" s="482" t="s">
        <v>28</v>
      </c>
      <c r="D207" s="487" t="s">
        <v>426</v>
      </c>
      <c r="E207" s="483" t="s">
        <v>47</v>
      </c>
      <c r="F207" s="484">
        <v>0.11</v>
      </c>
      <c r="G207" s="479">
        <f>BAHAN!$E$214</f>
        <v>54000</v>
      </c>
      <c r="H207" s="480">
        <f t="shared" si="29"/>
        <v>5940</v>
      </c>
      <c r="I207" s="1171"/>
    </row>
    <row r="208" spans="2:9">
      <c r="B208" s="481"/>
      <c r="C208" s="482" t="s">
        <v>28</v>
      </c>
      <c r="D208" s="487" t="s">
        <v>420</v>
      </c>
      <c r="E208" s="483" t="s">
        <v>239</v>
      </c>
      <c r="F208" s="484">
        <v>4</v>
      </c>
      <c r="G208" s="479">
        <f t="shared" ref="G208:G214" si="30">+G194</f>
        <v>800</v>
      </c>
      <c r="H208" s="480">
        <f t="shared" si="29"/>
        <v>3200</v>
      </c>
      <c r="I208" s="1171"/>
    </row>
    <row r="209" spans="2:9">
      <c r="B209" s="481"/>
      <c r="C209" s="482" t="s">
        <v>28</v>
      </c>
      <c r="D209" s="487" t="s">
        <v>421</v>
      </c>
      <c r="E209" s="483" t="s">
        <v>239</v>
      </c>
      <c r="F209" s="484">
        <v>7.1999999999999995E-2</v>
      </c>
      <c r="G209" s="479">
        <f t="shared" si="30"/>
        <v>13000</v>
      </c>
      <c r="H209" s="480">
        <f t="shared" si="29"/>
        <v>935.99999999999989</v>
      </c>
      <c r="I209" s="1171"/>
    </row>
    <row r="210" spans="2:9">
      <c r="B210" s="481"/>
      <c r="C210" s="482" t="s">
        <v>28</v>
      </c>
      <c r="D210" s="487" t="s">
        <v>422</v>
      </c>
      <c r="E210" s="483" t="s">
        <v>396</v>
      </c>
      <c r="F210" s="484">
        <v>0.125</v>
      </c>
      <c r="G210" s="479">
        <f t="shared" si="30"/>
        <v>90000</v>
      </c>
      <c r="H210" s="480">
        <f t="shared" si="29"/>
        <v>11250</v>
      </c>
      <c r="I210" s="1171">
        <f>SUM(H204:H210)</f>
        <v>56476.934999999998</v>
      </c>
    </row>
    <row r="211" spans="2:9">
      <c r="B211" s="481"/>
      <c r="C211" s="482" t="s">
        <v>28</v>
      </c>
      <c r="D211" s="487" t="s">
        <v>133</v>
      </c>
      <c r="E211" s="483" t="s">
        <v>132</v>
      </c>
      <c r="F211" s="484">
        <v>0.1</v>
      </c>
      <c r="G211" s="479">
        <f t="shared" si="30"/>
        <v>136000</v>
      </c>
      <c r="H211" s="480">
        <f t="shared" si="29"/>
        <v>13600</v>
      </c>
      <c r="I211" s="1171"/>
    </row>
    <row r="212" spans="2:9">
      <c r="B212" s="481"/>
      <c r="C212" s="482" t="s">
        <v>28</v>
      </c>
      <c r="D212" s="487" t="s">
        <v>134</v>
      </c>
      <c r="E212" s="483" t="s">
        <v>132</v>
      </c>
      <c r="F212" s="484">
        <v>0.05</v>
      </c>
      <c r="G212" s="479">
        <f t="shared" si="30"/>
        <v>160000</v>
      </c>
      <c r="H212" s="480">
        <f t="shared" si="29"/>
        <v>8000</v>
      </c>
      <c r="I212" s="1171"/>
    </row>
    <row r="213" spans="2:9">
      <c r="B213" s="481"/>
      <c r="C213" s="482" t="s">
        <v>28</v>
      </c>
      <c r="D213" s="487" t="s">
        <v>135</v>
      </c>
      <c r="E213" s="483" t="s">
        <v>132</v>
      </c>
      <c r="F213" s="484">
        <v>5.0000000000000001E-3</v>
      </c>
      <c r="G213" s="479">
        <f t="shared" si="30"/>
        <v>150000</v>
      </c>
      <c r="H213" s="480">
        <f t="shared" si="29"/>
        <v>750</v>
      </c>
      <c r="I213" s="1171"/>
    </row>
    <row r="214" spans="2:9">
      <c r="B214" s="514"/>
      <c r="C214" s="501" t="s">
        <v>28</v>
      </c>
      <c r="D214" s="515" t="s">
        <v>136</v>
      </c>
      <c r="E214" s="503" t="s">
        <v>132</v>
      </c>
      <c r="F214" s="516">
        <v>5.0000000000000001E-3</v>
      </c>
      <c r="G214" s="479">
        <f t="shared" si="30"/>
        <v>180000</v>
      </c>
      <c r="H214" s="524">
        <f t="shared" si="29"/>
        <v>900</v>
      </c>
      <c r="I214" s="1171">
        <f>SUM(H211:H214)</f>
        <v>23250</v>
      </c>
    </row>
    <row r="215" spans="2:9">
      <c r="B215" s="494"/>
      <c r="C215" s="495"/>
      <c r="D215" s="496" t="s">
        <v>228</v>
      </c>
      <c r="E215" s="497"/>
      <c r="F215" s="517"/>
      <c r="G215" s="499"/>
      <c r="H215" s="500">
        <f>SUM(H204:H214)</f>
        <v>79726.934999999998</v>
      </c>
      <c r="I215" s="1171"/>
    </row>
    <row r="216" spans="2:9">
      <c r="B216" s="396"/>
      <c r="C216" s="442" t="s">
        <v>229</v>
      </c>
      <c r="D216" s="378"/>
      <c r="E216" s="378"/>
      <c r="F216" s="378"/>
      <c r="G216" s="518"/>
      <c r="H216" s="518">
        <f>ROUND(H215,0)</f>
        <v>79727</v>
      </c>
      <c r="I216" s="1164"/>
    </row>
    <row r="217" spans="2:9">
      <c r="B217" s="269" t="s">
        <v>427</v>
      </c>
      <c r="C217" s="328" t="s">
        <v>428</v>
      </c>
      <c r="D217" s="287"/>
      <c r="E217" s="519"/>
      <c r="F217" s="445"/>
      <c r="G217" s="455"/>
      <c r="H217" s="456"/>
      <c r="I217" s="440"/>
    </row>
    <row r="218" spans="2:9">
      <c r="B218" s="65"/>
      <c r="C218" s="465" t="s">
        <v>28</v>
      </c>
      <c r="D218" s="233" t="s">
        <v>416</v>
      </c>
      <c r="E218" s="67" t="s">
        <v>220</v>
      </c>
      <c r="F218" s="520">
        <v>0.41499999999999998</v>
      </c>
      <c r="G218" s="69">
        <f>G190</f>
        <v>21869</v>
      </c>
      <c r="H218" s="70">
        <f t="shared" ref="H218:H226" si="31">F218*G218</f>
        <v>9075.6350000000002</v>
      </c>
      <c r="I218" s="440"/>
    </row>
    <row r="219" spans="2:9">
      <c r="B219" s="71"/>
      <c r="C219" s="368" t="s">
        <v>28</v>
      </c>
      <c r="D219" s="76" t="s">
        <v>417</v>
      </c>
      <c r="E219" s="73" t="s">
        <v>220</v>
      </c>
      <c r="F219" s="74">
        <v>0.15</v>
      </c>
      <c r="G219" s="69">
        <f>G191</f>
        <v>16102</v>
      </c>
      <c r="H219" s="70">
        <f t="shared" si="31"/>
        <v>2415.2999999999997</v>
      </c>
      <c r="I219" s="440"/>
    </row>
    <row r="220" spans="2:9">
      <c r="B220" s="71"/>
      <c r="C220" s="368" t="s">
        <v>28</v>
      </c>
      <c r="D220" s="76" t="s">
        <v>429</v>
      </c>
      <c r="E220" s="73" t="s">
        <v>151</v>
      </c>
      <c r="F220" s="74">
        <v>0.36399999999999999</v>
      </c>
      <c r="G220" s="69">
        <f>BAHAN!$E$97</f>
        <v>114500</v>
      </c>
      <c r="H220" s="70">
        <f t="shared" si="31"/>
        <v>41678</v>
      </c>
      <c r="I220" s="440"/>
    </row>
    <row r="221" spans="2:9">
      <c r="B221" s="71"/>
      <c r="C221" s="368" t="s">
        <v>28</v>
      </c>
      <c r="D221" s="76" t="s">
        <v>430</v>
      </c>
      <c r="E221" s="73" t="s">
        <v>47</v>
      </c>
      <c r="F221" s="74">
        <v>0.11</v>
      </c>
      <c r="G221" s="69">
        <f>BAHAN!$E$209</f>
        <v>17500</v>
      </c>
      <c r="H221" s="70">
        <f t="shared" si="31"/>
        <v>1925</v>
      </c>
      <c r="I221" s="440"/>
    </row>
    <row r="222" spans="2:9">
      <c r="B222" s="71"/>
      <c r="C222" s="368" t="s">
        <v>28</v>
      </c>
      <c r="D222" s="76" t="s">
        <v>420</v>
      </c>
      <c r="E222" s="73" t="s">
        <v>239</v>
      </c>
      <c r="F222" s="74">
        <v>4</v>
      </c>
      <c r="G222" s="69">
        <f>G194</f>
        <v>800</v>
      </c>
      <c r="H222" s="70">
        <f t="shared" si="31"/>
        <v>3200</v>
      </c>
      <c r="I222" s="440">
        <f>SUM(H218:H222)</f>
        <v>58293.934999999998</v>
      </c>
    </row>
    <row r="223" spans="2:9">
      <c r="B223" s="71"/>
      <c r="C223" s="368" t="s">
        <v>28</v>
      </c>
      <c r="D223" s="76" t="s">
        <v>133</v>
      </c>
      <c r="E223" s="73" t="s">
        <v>132</v>
      </c>
      <c r="F223" s="74">
        <v>0.1</v>
      </c>
      <c r="G223" s="69">
        <f>G197</f>
        <v>136000</v>
      </c>
      <c r="H223" s="70">
        <f t="shared" si="31"/>
        <v>13600</v>
      </c>
      <c r="I223" s="440"/>
    </row>
    <row r="224" spans="2:9">
      <c r="B224" s="71"/>
      <c r="C224" s="368" t="s">
        <v>28</v>
      </c>
      <c r="D224" s="76" t="s">
        <v>134</v>
      </c>
      <c r="E224" s="73" t="s">
        <v>132</v>
      </c>
      <c r="F224" s="74">
        <v>0.05</v>
      </c>
      <c r="G224" s="69">
        <f>G198</f>
        <v>160000</v>
      </c>
      <c r="H224" s="70">
        <f t="shared" si="31"/>
        <v>8000</v>
      </c>
      <c r="I224" s="440"/>
    </row>
    <row r="225" spans="2:19">
      <c r="B225" s="71"/>
      <c r="C225" s="368" t="s">
        <v>28</v>
      </c>
      <c r="D225" s="76" t="s">
        <v>135</v>
      </c>
      <c r="E225" s="73" t="s">
        <v>132</v>
      </c>
      <c r="F225" s="74">
        <v>5.0000000000000001E-3</v>
      </c>
      <c r="G225" s="69">
        <f>G199</f>
        <v>150000</v>
      </c>
      <c r="H225" s="70">
        <f t="shared" si="31"/>
        <v>750</v>
      </c>
      <c r="I225" s="440"/>
    </row>
    <row r="226" spans="2:19">
      <c r="B226" s="386"/>
      <c r="C226" s="382" t="s">
        <v>28</v>
      </c>
      <c r="D226" s="448" t="s">
        <v>136</v>
      </c>
      <c r="E226" s="449" t="s">
        <v>132</v>
      </c>
      <c r="F226" s="450">
        <v>5.0000000000000001E-3</v>
      </c>
      <c r="G226" s="69">
        <f>G200</f>
        <v>180000</v>
      </c>
      <c r="H226" s="521">
        <f t="shared" si="31"/>
        <v>900</v>
      </c>
      <c r="I226" s="440">
        <f>SUM(H223:H226)</f>
        <v>23250</v>
      </c>
    </row>
    <row r="227" spans="2:19">
      <c r="B227" s="193"/>
      <c r="C227" s="83"/>
      <c r="D227" s="253" t="s">
        <v>228</v>
      </c>
      <c r="E227" s="522"/>
      <c r="F227" s="467"/>
      <c r="G227" s="464"/>
      <c r="H227" s="431">
        <f>SUM(H218:H226)</f>
        <v>81543.934999999998</v>
      </c>
      <c r="I227" s="440"/>
    </row>
    <row r="228" spans="2:19">
      <c r="B228" s="396"/>
      <c r="C228" s="442" t="s">
        <v>229</v>
      </c>
      <c r="D228" s="378"/>
      <c r="E228" s="378"/>
      <c r="F228" s="378"/>
      <c r="G228" s="518"/>
      <c r="H228" s="518">
        <f>ROUND(H227,0)</f>
        <v>81544</v>
      </c>
      <c r="I228" s="1164"/>
    </row>
    <row r="229" spans="2:19">
      <c r="B229" s="269" t="s">
        <v>431</v>
      </c>
      <c r="C229" s="328" t="s">
        <v>432</v>
      </c>
      <c r="D229" s="328"/>
      <c r="E229" s="397"/>
      <c r="F229" s="445"/>
      <c r="G229" s="455"/>
      <c r="H229" s="456"/>
      <c r="I229" s="440"/>
    </row>
    <row r="230" spans="2:19">
      <c r="B230" s="232"/>
      <c r="C230" s="465" t="s">
        <v>28</v>
      </c>
      <c r="D230" s="332" t="s">
        <v>433</v>
      </c>
      <c r="E230" s="277" t="s">
        <v>239</v>
      </c>
      <c r="F230" s="457">
        <f>1/(0.2*0.2)</f>
        <v>24.999999999999996</v>
      </c>
      <c r="G230" s="462">
        <f>BAHAN!$E$203</f>
        <v>23000</v>
      </c>
      <c r="H230" s="458">
        <f t="shared" ref="H230:H236" si="32">F230*G230</f>
        <v>574999.99999999988</v>
      </c>
      <c r="I230" s="440"/>
      <c r="J230" s="1467">
        <f>BOQ!$E$1269</f>
        <v>0</v>
      </c>
      <c r="K230" s="1467">
        <f>F230*J230</f>
        <v>0</v>
      </c>
    </row>
    <row r="231" spans="2:19">
      <c r="B231" s="267"/>
      <c r="C231" s="368" t="s">
        <v>28</v>
      </c>
      <c r="D231" s="279" t="s">
        <v>221</v>
      </c>
      <c r="E231" s="318" t="s">
        <v>145</v>
      </c>
      <c r="F231" s="459">
        <v>11</v>
      </c>
      <c r="G231" s="466">
        <f>G172</f>
        <v>1500</v>
      </c>
      <c r="H231" s="432">
        <f t="shared" si="32"/>
        <v>16500</v>
      </c>
      <c r="I231" s="440"/>
      <c r="J231" s="1467">
        <f>J230</f>
        <v>0</v>
      </c>
      <c r="K231" s="1467">
        <f>F231*J231</f>
        <v>0</v>
      </c>
    </row>
    <row r="232" spans="2:19">
      <c r="B232" s="267"/>
      <c r="C232" s="368" t="s">
        <v>28</v>
      </c>
      <c r="D232" s="279" t="s">
        <v>237</v>
      </c>
      <c r="E232" s="318" t="s">
        <v>143</v>
      </c>
      <c r="F232" s="459">
        <v>3.5000000000000003E-2</v>
      </c>
      <c r="G232" s="466">
        <f>'C'!G9</f>
        <v>246000</v>
      </c>
      <c r="H232" s="432">
        <f t="shared" si="32"/>
        <v>8610</v>
      </c>
      <c r="I232" s="440">
        <f>SUM(H230:H232)</f>
        <v>600109.99999999988</v>
      </c>
      <c r="J232" s="1467">
        <f>J230</f>
        <v>0</v>
      </c>
      <c r="K232" s="1467">
        <f>F232*J232</f>
        <v>0</v>
      </c>
    </row>
    <row r="233" spans="2:19">
      <c r="B233" s="267"/>
      <c r="C233" s="368" t="s">
        <v>28</v>
      </c>
      <c r="D233" s="279" t="s">
        <v>133</v>
      </c>
      <c r="E233" s="73" t="s">
        <v>132</v>
      </c>
      <c r="F233" s="459">
        <v>0.3</v>
      </c>
      <c r="G233" s="466">
        <f>G183</f>
        <v>136000</v>
      </c>
      <c r="H233" s="432">
        <f t="shared" si="32"/>
        <v>40800</v>
      </c>
      <c r="I233" s="440"/>
    </row>
    <row r="234" spans="2:19">
      <c r="B234" s="71"/>
      <c r="C234" s="368" t="s">
        <v>28</v>
      </c>
      <c r="D234" s="279" t="s">
        <v>245</v>
      </c>
      <c r="E234" s="280" t="s">
        <v>132</v>
      </c>
      <c r="F234" s="459">
        <v>0.1</v>
      </c>
      <c r="G234" s="466">
        <f>G184</f>
        <v>160000</v>
      </c>
      <c r="H234" s="432">
        <f t="shared" si="32"/>
        <v>16000</v>
      </c>
      <c r="I234" s="440"/>
    </row>
    <row r="235" spans="2:19">
      <c r="B235" s="71"/>
      <c r="C235" s="368" t="s">
        <v>28</v>
      </c>
      <c r="D235" s="279" t="s">
        <v>140</v>
      </c>
      <c r="E235" s="280" t="s">
        <v>132</v>
      </c>
      <c r="F235" s="459">
        <v>0.01</v>
      </c>
      <c r="G235" s="466">
        <f>G185</f>
        <v>170000</v>
      </c>
      <c r="H235" s="432">
        <f t="shared" si="32"/>
        <v>1700</v>
      </c>
      <c r="I235" s="440"/>
    </row>
    <row r="236" spans="2:19">
      <c r="B236" s="386"/>
      <c r="C236" s="382" t="s">
        <v>28</v>
      </c>
      <c r="D236" s="383" t="s">
        <v>136</v>
      </c>
      <c r="E236" s="384" t="s">
        <v>132</v>
      </c>
      <c r="F236" s="461">
        <v>1.4999999999999999E-2</v>
      </c>
      <c r="G236" s="466">
        <f>G186</f>
        <v>180000</v>
      </c>
      <c r="H236" s="438">
        <f t="shared" si="32"/>
        <v>2700</v>
      </c>
      <c r="I236" s="440">
        <f>SUM(H233:H236)</f>
        <v>61200</v>
      </c>
    </row>
    <row r="237" spans="2:19">
      <c r="B237" s="251"/>
      <c r="C237" s="252"/>
      <c r="D237" s="253" t="s">
        <v>228</v>
      </c>
      <c r="E237" s="254"/>
      <c r="F237" s="467"/>
      <c r="G237" s="464"/>
      <c r="H237" s="431">
        <f>SUM(H230:H236)</f>
        <v>661309.99999999988</v>
      </c>
      <c r="I237" s="440"/>
    </row>
    <row r="238" spans="2:19">
      <c r="B238" s="451"/>
      <c r="C238" s="452" t="s">
        <v>229</v>
      </c>
      <c r="D238" s="453"/>
      <c r="E238" s="453"/>
      <c r="F238" s="453"/>
      <c r="G238" s="454"/>
      <c r="H238" s="454">
        <f>ROUND(H237,0)</f>
        <v>661310</v>
      </c>
      <c r="I238" s="1164"/>
    </row>
    <row r="239" spans="2:19">
      <c r="B239" s="226" t="s">
        <v>1878</v>
      </c>
      <c r="C239" s="328" t="s">
        <v>1506</v>
      </c>
      <c r="D239" s="287"/>
      <c r="E239" s="519"/>
      <c r="F239" s="445"/>
      <c r="G239" s="455"/>
      <c r="H239" s="456"/>
      <c r="I239" s="440"/>
      <c r="P239" s="1392"/>
      <c r="Q239" s="1392"/>
      <c r="R239" s="1392"/>
      <c r="S239" s="1392"/>
    </row>
    <row r="240" spans="2:19">
      <c r="B240" s="890"/>
      <c r="C240" s="66" t="s">
        <v>28</v>
      </c>
      <c r="D240" s="891" t="s">
        <v>416</v>
      </c>
      <c r="E240" s="892" t="s">
        <v>220</v>
      </c>
      <c r="F240" s="893">
        <v>0.41499999999999998</v>
      </c>
      <c r="G240" s="894">
        <f>G204</f>
        <v>21869</v>
      </c>
      <c r="H240" s="895">
        <f t="shared" ref="H240:H247" si="33">F240*G240</f>
        <v>9075.6350000000002</v>
      </c>
      <c r="I240" s="440"/>
      <c r="P240" s="1392"/>
      <c r="Q240" s="1392"/>
      <c r="R240" s="1392"/>
      <c r="S240" s="1392"/>
    </row>
    <row r="241" spans="2:19">
      <c r="B241" s="896"/>
      <c r="C241" s="897" t="s">
        <v>28</v>
      </c>
      <c r="D241" s="898" t="s">
        <v>417</v>
      </c>
      <c r="E241" s="888" t="s">
        <v>220</v>
      </c>
      <c r="F241" s="899">
        <v>0.15</v>
      </c>
      <c r="G241" s="894">
        <f>G205</f>
        <v>16102</v>
      </c>
      <c r="H241" s="895">
        <f t="shared" si="33"/>
        <v>2415.2999999999997</v>
      </c>
      <c r="I241" s="440"/>
      <c r="P241" s="1392"/>
      <c r="Q241" s="1392"/>
      <c r="R241" s="1392"/>
      <c r="S241" s="1392"/>
    </row>
    <row r="242" spans="2:19">
      <c r="B242" s="896"/>
      <c r="C242" s="897" t="s">
        <v>28</v>
      </c>
      <c r="D242" s="898" t="s">
        <v>1505</v>
      </c>
      <c r="E242" s="888" t="s">
        <v>151</v>
      </c>
      <c r="F242" s="899">
        <v>0.36399999999999999</v>
      </c>
      <c r="G242" s="894">
        <f>BAHAN!$E$101</f>
        <v>67000</v>
      </c>
      <c r="H242" s="895">
        <f t="shared" si="33"/>
        <v>24388</v>
      </c>
      <c r="I242" s="440"/>
      <c r="P242" s="1392"/>
      <c r="Q242" s="1392"/>
      <c r="R242" s="1392"/>
      <c r="S242" s="1392"/>
    </row>
    <row r="243" spans="2:19">
      <c r="B243" s="896"/>
      <c r="C243" s="897" t="s">
        <v>28</v>
      </c>
      <c r="D243" s="898" t="s">
        <v>521</v>
      </c>
      <c r="E243" s="888" t="s">
        <v>47</v>
      </c>
      <c r="F243" s="899">
        <v>0.11</v>
      </c>
      <c r="G243" s="894">
        <f>BAHAN!$E$214</f>
        <v>54000</v>
      </c>
      <c r="H243" s="895">
        <f t="shared" si="33"/>
        <v>5940</v>
      </c>
      <c r="I243" s="440">
        <f>SUM(H240:H243)</f>
        <v>41818.934999999998</v>
      </c>
      <c r="P243" s="1392"/>
      <c r="Q243" s="1392"/>
      <c r="R243" s="1392"/>
      <c r="S243" s="1392"/>
    </row>
    <row r="244" spans="2:19">
      <c r="B244" s="896"/>
      <c r="C244" s="897" t="s">
        <v>28</v>
      </c>
      <c r="D244" s="901" t="s">
        <v>133</v>
      </c>
      <c r="E244" s="888" t="s">
        <v>132</v>
      </c>
      <c r="F244" s="899">
        <v>0.1</v>
      </c>
      <c r="G244" s="894">
        <f>G233</f>
        <v>136000</v>
      </c>
      <c r="H244" s="895">
        <f t="shared" si="33"/>
        <v>13600</v>
      </c>
      <c r="I244" s="440"/>
      <c r="P244" s="1392"/>
      <c r="Q244" s="1392"/>
      <c r="R244" s="1392"/>
      <c r="S244" s="1392"/>
    </row>
    <row r="245" spans="2:19">
      <c r="B245" s="896"/>
      <c r="C245" s="897" t="s">
        <v>28</v>
      </c>
      <c r="D245" s="901" t="s">
        <v>134</v>
      </c>
      <c r="E245" s="888" t="s">
        <v>132</v>
      </c>
      <c r="F245" s="899">
        <v>0.05</v>
      </c>
      <c r="G245" s="894">
        <f>G234</f>
        <v>160000</v>
      </c>
      <c r="H245" s="895">
        <f t="shared" si="33"/>
        <v>8000</v>
      </c>
      <c r="I245" s="440"/>
      <c r="P245" s="1392"/>
      <c r="Q245" s="1392"/>
      <c r="R245" s="1392"/>
      <c r="S245" s="1392"/>
    </row>
    <row r="246" spans="2:19">
      <c r="B246" s="896"/>
      <c r="C246" s="897" t="s">
        <v>28</v>
      </c>
      <c r="D246" s="901" t="s">
        <v>135</v>
      </c>
      <c r="E246" s="888" t="s">
        <v>132</v>
      </c>
      <c r="F246" s="899">
        <v>5.0000000000000001E-3</v>
      </c>
      <c r="G246" s="894">
        <f>G235</f>
        <v>170000</v>
      </c>
      <c r="H246" s="895">
        <f t="shared" si="33"/>
        <v>850</v>
      </c>
      <c r="I246" s="440"/>
      <c r="P246" s="1392"/>
      <c r="Q246" s="1392"/>
      <c r="R246" s="1392"/>
      <c r="S246" s="1392"/>
    </row>
    <row r="247" spans="2:19">
      <c r="B247" s="867"/>
      <c r="C247" s="78" t="s">
        <v>28</v>
      </c>
      <c r="D247" s="902" t="s">
        <v>136</v>
      </c>
      <c r="E247" s="879" t="s">
        <v>132</v>
      </c>
      <c r="F247" s="903">
        <v>5.0000000000000001E-3</v>
      </c>
      <c r="G247" s="894">
        <f>G236</f>
        <v>180000</v>
      </c>
      <c r="H247" s="521">
        <f t="shared" si="33"/>
        <v>900</v>
      </c>
      <c r="I247" s="440">
        <f>SUM(H244:H247)</f>
        <v>23350</v>
      </c>
      <c r="P247" s="1392"/>
      <c r="Q247" s="1392"/>
      <c r="R247" s="1392"/>
      <c r="S247" s="1392"/>
    </row>
    <row r="248" spans="2:19">
      <c r="B248" s="193"/>
      <c r="C248" s="882"/>
      <c r="D248" s="904" t="s">
        <v>228</v>
      </c>
      <c r="E248" s="905"/>
      <c r="F248" s="906"/>
      <c r="G248" s="464"/>
      <c r="H248" s="907">
        <f>SUM(H240:H247)</f>
        <v>65168.934999999998</v>
      </c>
      <c r="I248" s="440"/>
      <c r="P248" s="1392"/>
      <c r="Q248" s="1392"/>
      <c r="R248" s="1392"/>
      <c r="S248" s="1392"/>
    </row>
    <row r="249" spans="2:19">
      <c r="B249" s="566"/>
      <c r="C249" s="889" t="s">
        <v>229</v>
      </c>
      <c r="D249" s="908"/>
      <c r="E249" s="908"/>
      <c r="F249" s="908"/>
      <c r="G249" s="909"/>
      <c r="H249" s="909">
        <f>ROUND(H248,0)</f>
        <v>65169</v>
      </c>
      <c r="I249" s="1164"/>
      <c r="P249" s="1392"/>
      <c r="Q249" s="1392"/>
      <c r="R249" s="1392"/>
      <c r="S249" s="1392"/>
    </row>
    <row r="250" spans="2:19">
      <c r="B250" s="226" t="s">
        <v>1879</v>
      </c>
      <c r="C250" s="328" t="s">
        <v>1541</v>
      </c>
      <c r="D250" s="287"/>
      <c r="E250" s="519"/>
      <c r="F250" s="445"/>
      <c r="G250" s="455"/>
      <c r="H250" s="456"/>
      <c r="I250" s="440"/>
      <c r="P250" s="1392"/>
      <c r="Q250" s="1392"/>
      <c r="R250" s="1392"/>
      <c r="S250" s="1392"/>
    </row>
    <row r="251" spans="2:19">
      <c r="B251" s="890"/>
      <c r="C251" s="66" t="s">
        <v>28</v>
      </c>
      <c r="D251" s="891" t="s">
        <v>416</v>
      </c>
      <c r="E251" s="892" t="s">
        <v>220</v>
      </c>
      <c r="F251" s="893">
        <v>0.41499999999999998</v>
      </c>
      <c r="G251" s="894">
        <f>G240</f>
        <v>21869</v>
      </c>
      <c r="H251" s="895">
        <f t="shared" ref="H251:H258" si="34">F251*G251</f>
        <v>9075.6350000000002</v>
      </c>
      <c r="I251" s="440"/>
      <c r="J251" s="1392">
        <v>0</v>
      </c>
      <c r="K251" s="1393">
        <f>J251*F251</f>
        <v>0</v>
      </c>
      <c r="L251" s="1394" t="s">
        <v>220</v>
      </c>
      <c r="P251" s="1392"/>
      <c r="Q251" s="1392"/>
      <c r="R251" s="1392"/>
      <c r="S251" s="1392"/>
    </row>
    <row r="252" spans="2:19">
      <c r="B252" s="896"/>
      <c r="C252" s="897" t="s">
        <v>28</v>
      </c>
      <c r="D252" s="898" t="s">
        <v>417</v>
      </c>
      <c r="E252" s="888" t="s">
        <v>220</v>
      </c>
      <c r="F252" s="899">
        <v>0.15</v>
      </c>
      <c r="G252" s="894">
        <f>G241</f>
        <v>16102</v>
      </c>
      <c r="H252" s="895">
        <f t="shared" si="34"/>
        <v>2415.2999999999997</v>
      </c>
      <c r="I252" s="440"/>
      <c r="J252" s="1392">
        <v>0</v>
      </c>
      <c r="K252" s="1393">
        <f>J252*F252</f>
        <v>0</v>
      </c>
      <c r="L252" s="1394" t="s">
        <v>220</v>
      </c>
      <c r="P252" s="1392"/>
      <c r="Q252" s="1392"/>
      <c r="R252" s="1392"/>
      <c r="S252" s="1392"/>
    </row>
    <row r="253" spans="2:19">
      <c r="B253" s="896"/>
      <c r="C253" s="897" t="s">
        <v>28</v>
      </c>
      <c r="D253" s="898" t="s">
        <v>1542</v>
      </c>
      <c r="E253" s="888" t="s">
        <v>151</v>
      </c>
      <c r="F253" s="899">
        <v>0.36399999999999999</v>
      </c>
      <c r="G253" s="894">
        <f>BAHAN!$E$102</f>
        <v>100600</v>
      </c>
      <c r="H253" s="895">
        <f t="shared" si="34"/>
        <v>36618.400000000001</v>
      </c>
      <c r="I253" s="440"/>
      <c r="J253" s="1392">
        <v>0</v>
      </c>
      <c r="K253" s="1393">
        <f>J253*F253</f>
        <v>0</v>
      </c>
      <c r="L253" s="1394" t="s">
        <v>151</v>
      </c>
      <c r="P253" s="1392"/>
      <c r="Q253" s="1392"/>
      <c r="R253" s="1392"/>
      <c r="S253" s="1392"/>
    </row>
    <row r="254" spans="2:19">
      <c r="B254" s="896"/>
      <c r="C254" s="897" t="s">
        <v>28</v>
      </c>
      <c r="D254" s="898" t="s">
        <v>521</v>
      </c>
      <c r="E254" s="888" t="s">
        <v>47</v>
      </c>
      <c r="F254" s="899">
        <v>0.11</v>
      </c>
      <c r="G254" s="894">
        <f>BAHAN!$E$214</f>
        <v>54000</v>
      </c>
      <c r="H254" s="895">
        <f t="shared" si="34"/>
        <v>5940</v>
      </c>
      <c r="I254" s="440">
        <f>SUM(H251:H254)</f>
        <v>54049.334999999999</v>
      </c>
      <c r="J254" s="1392">
        <v>0</v>
      </c>
      <c r="K254" s="1393">
        <f>J254*F254</f>
        <v>0</v>
      </c>
      <c r="L254" s="1394" t="s">
        <v>47</v>
      </c>
      <c r="P254" s="1392"/>
      <c r="Q254" s="1392"/>
      <c r="R254" s="1392"/>
      <c r="S254" s="1392"/>
    </row>
    <row r="255" spans="2:19">
      <c r="B255" s="896"/>
      <c r="C255" s="897" t="s">
        <v>28</v>
      </c>
      <c r="D255" s="901" t="s">
        <v>133</v>
      </c>
      <c r="E255" s="888" t="s">
        <v>132</v>
      </c>
      <c r="F255" s="899">
        <v>0.1</v>
      </c>
      <c r="G255" s="894">
        <f>G244</f>
        <v>136000</v>
      </c>
      <c r="H255" s="895">
        <f t="shared" si="34"/>
        <v>13600</v>
      </c>
      <c r="I255" s="440"/>
      <c r="J255" s="1392">
        <v>0</v>
      </c>
      <c r="K255" s="1392">
        <f>J255*F255</f>
        <v>0</v>
      </c>
      <c r="P255" s="1392"/>
      <c r="Q255" s="1392"/>
      <c r="R255" s="1392"/>
      <c r="S255" s="1392"/>
    </row>
    <row r="256" spans="2:19">
      <c r="B256" s="896"/>
      <c r="C256" s="897" t="s">
        <v>28</v>
      </c>
      <c r="D256" s="901" t="s">
        <v>134</v>
      </c>
      <c r="E256" s="888" t="s">
        <v>132</v>
      </c>
      <c r="F256" s="899">
        <v>0.05</v>
      </c>
      <c r="G256" s="894">
        <f>G245</f>
        <v>160000</v>
      </c>
      <c r="H256" s="895">
        <f t="shared" si="34"/>
        <v>8000</v>
      </c>
      <c r="I256" s="440"/>
      <c r="P256" s="1392"/>
      <c r="Q256" s="1392"/>
      <c r="R256" s="1392"/>
      <c r="S256" s="1392"/>
    </row>
    <row r="257" spans="2:19">
      <c r="B257" s="896"/>
      <c r="C257" s="897" t="s">
        <v>28</v>
      </c>
      <c r="D257" s="901" t="s">
        <v>135</v>
      </c>
      <c r="E257" s="888" t="s">
        <v>132</v>
      </c>
      <c r="F257" s="899">
        <v>5.0000000000000001E-3</v>
      </c>
      <c r="G257" s="894">
        <f>G246</f>
        <v>170000</v>
      </c>
      <c r="H257" s="895">
        <f t="shared" si="34"/>
        <v>850</v>
      </c>
      <c r="I257" s="440"/>
      <c r="P257" s="1392"/>
      <c r="Q257" s="1392"/>
      <c r="R257" s="1392"/>
      <c r="S257" s="1392"/>
    </row>
    <row r="258" spans="2:19">
      <c r="B258" s="867"/>
      <c r="C258" s="78" t="s">
        <v>28</v>
      </c>
      <c r="D258" s="902" t="s">
        <v>136</v>
      </c>
      <c r="E258" s="879" t="s">
        <v>132</v>
      </c>
      <c r="F258" s="903">
        <v>5.0000000000000001E-3</v>
      </c>
      <c r="G258" s="894">
        <f>G247</f>
        <v>180000</v>
      </c>
      <c r="H258" s="521">
        <f t="shared" si="34"/>
        <v>900</v>
      </c>
      <c r="I258" s="440">
        <f>SUM(H255:H258)</f>
        <v>23350</v>
      </c>
      <c r="P258" s="1392"/>
      <c r="Q258" s="1392"/>
      <c r="R258" s="1392"/>
      <c r="S258" s="1392"/>
    </row>
    <row r="259" spans="2:19">
      <c r="B259" s="193"/>
      <c r="C259" s="882"/>
      <c r="D259" s="904" t="s">
        <v>228</v>
      </c>
      <c r="E259" s="905"/>
      <c r="F259" s="906"/>
      <c r="G259" s="464"/>
      <c r="H259" s="907">
        <f>SUM(H251:H258)</f>
        <v>77399.334999999992</v>
      </c>
      <c r="I259" s="440"/>
      <c r="P259" s="1392"/>
      <c r="Q259" s="1392"/>
      <c r="R259" s="1392"/>
      <c r="S259" s="1392"/>
    </row>
    <row r="260" spans="2:19">
      <c r="B260" s="566"/>
      <c r="C260" s="889" t="s">
        <v>229</v>
      </c>
      <c r="D260" s="908"/>
      <c r="E260" s="908"/>
      <c r="F260" s="908"/>
      <c r="G260" s="909"/>
      <c r="H260" s="909">
        <f>ROUND(H259,0)</f>
        <v>77399</v>
      </c>
      <c r="I260" s="1164"/>
      <c r="P260" s="1392"/>
      <c r="Q260" s="1392"/>
      <c r="R260" s="1392"/>
      <c r="S260" s="1392"/>
    </row>
    <row r="261" spans="2:19">
      <c r="B261" s="1230" t="s">
        <v>1880</v>
      </c>
      <c r="C261" s="468" t="s">
        <v>1881</v>
      </c>
      <c r="D261" s="469"/>
      <c r="E261" s="470"/>
      <c r="F261" s="471"/>
      <c r="G261" s="472"/>
      <c r="H261" s="473"/>
      <c r="I261" s="1171"/>
    </row>
    <row r="262" spans="2:19">
      <c r="B262" s="474"/>
      <c r="C262" s="475" t="s">
        <v>28</v>
      </c>
      <c r="D262" s="476" t="s">
        <v>1882</v>
      </c>
      <c r="E262" s="477" t="s">
        <v>240</v>
      </c>
      <c r="F262" s="478">
        <v>70</v>
      </c>
      <c r="G262" s="479">
        <f>BAHAN!$E$23</f>
        <v>1810.5263157894738</v>
      </c>
      <c r="H262" s="480">
        <f t="shared" ref="H262:H268" si="35">G262*F262</f>
        <v>126736.84210526316</v>
      </c>
      <c r="I262" s="1171"/>
      <c r="J262" s="1467">
        <v>0</v>
      </c>
      <c r="K262" s="1393">
        <f>J262*F262</f>
        <v>0</v>
      </c>
    </row>
    <row r="263" spans="2:19">
      <c r="B263" s="481"/>
      <c r="C263" s="482" t="s">
        <v>28</v>
      </c>
      <c r="D263" s="332" t="s">
        <v>221</v>
      </c>
      <c r="E263" s="483" t="s">
        <v>145</v>
      </c>
      <c r="F263" s="484">
        <v>11.75</v>
      </c>
      <c r="G263" s="485">
        <f>BAHAN!$E$30</f>
        <v>75000</v>
      </c>
      <c r="H263" s="486">
        <f t="shared" si="35"/>
        <v>881250</v>
      </c>
      <c r="I263" s="1171"/>
      <c r="J263" s="1467">
        <f>J262</f>
        <v>0</v>
      </c>
      <c r="K263" s="1393">
        <f>J263*F263</f>
        <v>0</v>
      </c>
    </row>
    <row r="264" spans="2:19">
      <c r="B264" s="481"/>
      <c r="C264" s="482" t="s">
        <v>28</v>
      </c>
      <c r="D264" s="487" t="s">
        <v>237</v>
      </c>
      <c r="E264" s="483" t="s">
        <v>143</v>
      </c>
      <c r="F264" s="484">
        <v>3.5000000000000003E-2</v>
      </c>
      <c r="G264" s="485">
        <f>G254</f>
        <v>54000</v>
      </c>
      <c r="H264" s="486">
        <f t="shared" si="35"/>
        <v>1890.0000000000002</v>
      </c>
      <c r="I264" s="1171">
        <f>SUM(H262:H264)</f>
        <v>1009876.8421052631</v>
      </c>
      <c r="J264" s="1467">
        <f>J263</f>
        <v>0</v>
      </c>
      <c r="K264" s="1393">
        <f>J264*F264</f>
        <v>0</v>
      </c>
    </row>
    <row r="265" spans="2:19">
      <c r="B265" s="481"/>
      <c r="C265" s="482" t="s">
        <v>28</v>
      </c>
      <c r="D265" s="487" t="s">
        <v>133</v>
      </c>
      <c r="E265" s="483" t="s">
        <v>132</v>
      </c>
      <c r="F265" s="484">
        <v>0.62</v>
      </c>
      <c r="G265" s="485">
        <f>G255</f>
        <v>136000</v>
      </c>
      <c r="H265" s="486">
        <f t="shared" si="35"/>
        <v>84320</v>
      </c>
      <c r="I265" s="1171"/>
      <c r="J265" s="1467">
        <f>J264</f>
        <v>0</v>
      </c>
      <c r="K265" s="1393">
        <f>J265*F265</f>
        <v>0</v>
      </c>
    </row>
    <row r="266" spans="2:19">
      <c r="B266" s="481"/>
      <c r="C266" s="482" t="s">
        <v>28</v>
      </c>
      <c r="D266" s="487" t="s">
        <v>402</v>
      </c>
      <c r="E266" s="483" t="s">
        <v>132</v>
      </c>
      <c r="F266" s="484">
        <v>0.35</v>
      </c>
      <c r="G266" s="485">
        <f>G256</f>
        <v>160000</v>
      </c>
      <c r="H266" s="486">
        <f t="shared" si="35"/>
        <v>56000</v>
      </c>
      <c r="I266" s="1171"/>
    </row>
    <row r="267" spans="2:19">
      <c r="B267" s="481"/>
      <c r="C267" s="482" t="s">
        <v>28</v>
      </c>
      <c r="D267" s="487" t="s">
        <v>135</v>
      </c>
      <c r="E267" s="483" t="s">
        <v>132</v>
      </c>
      <c r="F267" s="484">
        <v>3.5000000000000003E-2</v>
      </c>
      <c r="G267" s="485">
        <f>G257</f>
        <v>170000</v>
      </c>
      <c r="H267" s="486">
        <f t="shared" si="35"/>
        <v>5950.0000000000009</v>
      </c>
      <c r="I267" s="1171"/>
    </row>
    <row r="268" spans="2:19">
      <c r="B268" s="514"/>
      <c r="C268" s="501" t="s">
        <v>28</v>
      </c>
      <c r="D268" s="515" t="s">
        <v>136</v>
      </c>
      <c r="E268" s="503" t="s">
        <v>132</v>
      </c>
      <c r="F268" s="516">
        <v>0.03</v>
      </c>
      <c r="G268" s="485">
        <f>G258</f>
        <v>180000</v>
      </c>
      <c r="H268" s="504">
        <f t="shared" si="35"/>
        <v>5400</v>
      </c>
      <c r="I268" s="1171">
        <f>SUM(H265:H268)</f>
        <v>151670</v>
      </c>
    </row>
    <row r="269" spans="2:19">
      <c r="B269" s="494"/>
      <c r="C269" s="495"/>
      <c r="D269" s="496" t="s">
        <v>228</v>
      </c>
      <c r="E269" s="497"/>
      <c r="F269" s="517"/>
      <c r="G269" s="499"/>
      <c r="H269" s="500">
        <f>SUM(H262:H268)</f>
        <v>1161546.8421052631</v>
      </c>
      <c r="I269" s="1171"/>
    </row>
    <row r="270" spans="2:19">
      <c r="B270" s="396"/>
      <c r="C270" s="442" t="s">
        <v>229</v>
      </c>
      <c r="D270" s="378"/>
      <c r="E270" s="378"/>
      <c r="F270" s="378"/>
      <c r="G270" s="518"/>
      <c r="H270" s="518">
        <f>ROUND(H269,0)</f>
        <v>1161547</v>
      </c>
      <c r="I270" s="1164"/>
    </row>
    <row r="271" spans="2:19">
      <c r="B271" s="1230" t="s">
        <v>2295</v>
      </c>
      <c r="C271" s="468" t="s">
        <v>2798</v>
      </c>
      <c r="D271" s="469"/>
      <c r="E271" s="470"/>
      <c r="F271" s="471"/>
      <c r="G271" s="472"/>
      <c r="H271" s="473"/>
      <c r="I271" s="1171"/>
    </row>
    <row r="272" spans="2:19">
      <c r="B272" s="474"/>
      <c r="C272" s="475" t="s">
        <v>28</v>
      </c>
      <c r="D272" s="476" t="s">
        <v>1825</v>
      </c>
      <c r="E272" s="477" t="s">
        <v>240</v>
      </c>
      <c r="F272" s="478">
        <v>1.05</v>
      </c>
      <c r="G272" s="479">
        <f>BAHAN!$E$17</f>
        <v>75000</v>
      </c>
      <c r="H272" s="480">
        <f t="shared" ref="H272:H278" si="36">G272*F272</f>
        <v>78750</v>
      </c>
      <c r="I272" s="1171"/>
      <c r="J272" s="1467">
        <f>SUMIF(BOQ!$G$1:$G$3041,I274,BOQ!$E$1:$E$3041)</f>
        <v>0</v>
      </c>
      <c r="K272" s="1467">
        <f>J272*F272</f>
        <v>0</v>
      </c>
    </row>
    <row r="273" spans="2:13">
      <c r="B273" s="481"/>
      <c r="C273" s="482" t="s">
        <v>28</v>
      </c>
      <c r="D273" s="332" t="s">
        <v>221</v>
      </c>
      <c r="E273" s="483" t="s">
        <v>145</v>
      </c>
      <c r="F273" s="484">
        <v>11.75</v>
      </c>
      <c r="G273" s="485">
        <f>$G$142</f>
        <v>1500</v>
      </c>
      <c r="H273" s="486">
        <f t="shared" si="36"/>
        <v>17625</v>
      </c>
      <c r="I273" s="1171"/>
      <c r="J273" s="1467">
        <f>J272</f>
        <v>0</v>
      </c>
      <c r="K273" s="1467">
        <f>J273*F273</f>
        <v>0</v>
      </c>
    </row>
    <row r="274" spans="2:13">
      <c r="B274" s="481"/>
      <c r="C274" s="482" t="s">
        <v>28</v>
      </c>
      <c r="D274" s="487" t="s">
        <v>237</v>
      </c>
      <c r="E274" s="483" t="s">
        <v>143</v>
      </c>
      <c r="F274" s="484">
        <v>3.5000000000000003E-2</v>
      </c>
      <c r="G274" s="485">
        <f>$G$143</f>
        <v>246000</v>
      </c>
      <c r="H274" s="486">
        <f t="shared" si="36"/>
        <v>8610</v>
      </c>
      <c r="I274" s="1171">
        <f>SUM(H272:H274)</f>
        <v>104985</v>
      </c>
      <c r="J274" s="1467">
        <f>J272</f>
        <v>0</v>
      </c>
      <c r="K274" s="1467">
        <f>J274*F274</f>
        <v>0</v>
      </c>
    </row>
    <row r="275" spans="2:13">
      <c r="B275" s="481"/>
      <c r="C275" s="482" t="s">
        <v>28</v>
      </c>
      <c r="D275" s="487" t="s">
        <v>133</v>
      </c>
      <c r="E275" s="483" t="s">
        <v>132</v>
      </c>
      <c r="F275" s="484">
        <v>0.62</v>
      </c>
      <c r="G275" s="485">
        <f>$G$144</f>
        <v>136000</v>
      </c>
      <c r="H275" s="486">
        <f t="shared" si="36"/>
        <v>84320</v>
      </c>
      <c r="I275" s="1171"/>
    </row>
    <row r="276" spans="2:13">
      <c r="B276" s="481"/>
      <c r="C276" s="482" t="s">
        <v>28</v>
      </c>
      <c r="D276" s="487" t="s">
        <v>402</v>
      </c>
      <c r="E276" s="483" t="s">
        <v>132</v>
      </c>
      <c r="F276" s="484">
        <v>0.35</v>
      </c>
      <c r="G276" s="485">
        <f>$G$145</f>
        <v>160000</v>
      </c>
      <c r="H276" s="486">
        <f t="shared" si="36"/>
        <v>56000</v>
      </c>
      <c r="I276" s="1171"/>
    </row>
    <row r="277" spans="2:13">
      <c r="B277" s="481"/>
      <c r="C277" s="482" t="s">
        <v>28</v>
      </c>
      <c r="D277" s="487" t="s">
        <v>135</v>
      </c>
      <c r="E277" s="483" t="s">
        <v>132</v>
      </c>
      <c r="F277" s="484">
        <v>3.5000000000000003E-2</v>
      </c>
      <c r="G277" s="485">
        <f>$G$146</f>
        <v>170000</v>
      </c>
      <c r="H277" s="486">
        <f t="shared" si="36"/>
        <v>5950.0000000000009</v>
      </c>
      <c r="I277" s="1171"/>
    </row>
    <row r="278" spans="2:13">
      <c r="B278" s="514"/>
      <c r="C278" s="501" t="s">
        <v>28</v>
      </c>
      <c r="D278" s="515" t="s">
        <v>136</v>
      </c>
      <c r="E278" s="503" t="s">
        <v>132</v>
      </c>
      <c r="F278" s="516">
        <v>0.03</v>
      </c>
      <c r="G278" s="485">
        <f>$G$147</f>
        <v>180000</v>
      </c>
      <c r="H278" s="504">
        <f t="shared" si="36"/>
        <v>5400</v>
      </c>
      <c r="I278" s="1171">
        <f>SUM(H275:H278)</f>
        <v>151670</v>
      </c>
    </row>
    <row r="279" spans="2:13">
      <c r="B279" s="494"/>
      <c r="C279" s="495"/>
      <c r="D279" s="496" t="s">
        <v>228</v>
      </c>
      <c r="E279" s="497"/>
      <c r="F279" s="517"/>
      <c r="G279" s="499"/>
      <c r="H279" s="500">
        <f>SUM(H272:H278)</f>
        <v>256655</v>
      </c>
      <c r="I279" s="1171"/>
    </row>
    <row r="280" spans="2:13">
      <c r="B280" s="396"/>
      <c r="C280" s="442" t="s">
        <v>229</v>
      </c>
      <c r="D280" s="378"/>
      <c r="E280" s="378"/>
      <c r="F280" s="378"/>
      <c r="G280" s="518"/>
      <c r="H280" s="518">
        <f>ROUND(H279,0)</f>
        <v>256655</v>
      </c>
      <c r="I280" s="1164"/>
    </row>
    <row r="281" spans="2:13">
      <c r="B281" s="1230" t="s">
        <v>389</v>
      </c>
      <c r="C281" s="328" t="s">
        <v>2308</v>
      </c>
      <c r="D281" s="328"/>
      <c r="E281" s="397"/>
      <c r="F281" s="445"/>
      <c r="G281" s="455"/>
      <c r="H281" s="456"/>
      <c r="I281" s="440"/>
    </row>
    <row r="282" spans="2:13">
      <c r="B282" s="232"/>
      <c r="C282" s="465" t="s">
        <v>28</v>
      </c>
      <c r="D282" s="332" t="s">
        <v>391</v>
      </c>
      <c r="E282" s="277" t="s">
        <v>239</v>
      </c>
      <c r="F282" s="457">
        <f>1.1*26</f>
        <v>28.6</v>
      </c>
      <c r="G282" s="462">
        <f>BAHAN!$E$43</f>
        <v>17000</v>
      </c>
      <c r="H282" s="458">
        <f t="shared" ref="H282:H288" si="37">F282*G282</f>
        <v>486200</v>
      </c>
      <c r="I282" s="440"/>
      <c r="J282" s="1467">
        <f>BOQ!$E$1268</f>
        <v>0</v>
      </c>
      <c r="K282" s="1467">
        <f>J282*F282</f>
        <v>0</v>
      </c>
    </row>
    <row r="283" spans="2:13">
      <c r="B283" s="267"/>
      <c r="C283" s="368" t="s">
        <v>28</v>
      </c>
      <c r="D283" s="332" t="s">
        <v>221</v>
      </c>
      <c r="E283" s="318" t="s">
        <v>145</v>
      </c>
      <c r="F283" s="459">
        <v>11</v>
      </c>
      <c r="G283" s="466">
        <f t="shared" ref="G283:G288" si="38">G273</f>
        <v>1500</v>
      </c>
      <c r="H283" s="432">
        <f t="shared" si="37"/>
        <v>16500</v>
      </c>
      <c r="I283" s="440"/>
      <c r="J283" s="1467">
        <f>J282</f>
        <v>0</v>
      </c>
      <c r="K283" s="1467">
        <f>J283*F283</f>
        <v>0</v>
      </c>
    </row>
    <row r="284" spans="2:13">
      <c r="B284" s="267"/>
      <c r="C284" s="368" t="s">
        <v>28</v>
      </c>
      <c r="D284" s="41" t="s">
        <v>237</v>
      </c>
      <c r="E284" s="318" t="s">
        <v>143</v>
      </c>
      <c r="F284" s="459">
        <v>3.5000000000000003E-2</v>
      </c>
      <c r="G284" s="466">
        <f t="shared" si="38"/>
        <v>246000</v>
      </c>
      <c r="H284" s="432">
        <f t="shared" si="37"/>
        <v>8610</v>
      </c>
      <c r="I284" s="440">
        <f>SUM(H282:H284)</f>
        <v>511310</v>
      </c>
      <c r="J284" s="1467">
        <f>J282</f>
        <v>0</v>
      </c>
      <c r="K284" s="1467">
        <f>J284*F284</f>
        <v>0</v>
      </c>
      <c r="M284" s="1392">
        <f>0.6*0.2</f>
        <v>0.12</v>
      </c>
    </row>
    <row r="285" spans="2:13">
      <c r="B285" s="267"/>
      <c r="C285" s="368" t="s">
        <v>28</v>
      </c>
      <c r="D285" s="279" t="s">
        <v>133</v>
      </c>
      <c r="E285" s="73" t="s">
        <v>132</v>
      </c>
      <c r="F285" s="459">
        <v>0.3</v>
      </c>
      <c r="G285" s="466">
        <f t="shared" si="38"/>
        <v>136000</v>
      </c>
      <c r="H285" s="432">
        <f t="shared" si="37"/>
        <v>40800</v>
      </c>
      <c r="I285" s="440"/>
      <c r="M285" s="1392">
        <f>1/M284</f>
        <v>8.3333333333333339</v>
      </c>
    </row>
    <row r="286" spans="2:13">
      <c r="B286" s="71"/>
      <c r="C286" s="368" t="s">
        <v>28</v>
      </c>
      <c r="D286" s="279" t="s">
        <v>245</v>
      </c>
      <c r="E286" s="280" t="s">
        <v>132</v>
      </c>
      <c r="F286" s="459">
        <v>0.1</v>
      </c>
      <c r="G286" s="466">
        <f t="shared" si="38"/>
        <v>160000</v>
      </c>
      <c r="H286" s="432">
        <f t="shared" si="37"/>
        <v>16000</v>
      </c>
      <c r="I286" s="440"/>
    </row>
    <row r="287" spans="2:13">
      <c r="B287" s="71"/>
      <c r="C287" s="368" t="s">
        <v>28</v>
      </c>
      <c r="D287" s="279" t="s">
        <v>140</v>
      </c>
      <c r="E287" s="280" t="s">
        <v>132</v>
      </c>
      <c r="F287" s="459">
        <v>0.01</v>
      </c>
      <c r="G287" s="466">
        <f t="shared" si="38"/>
        <v>170000</v>
      </c>
      <c r="H287" s="432">
        <f t="shared" si="37"/>
        <v>1700</v>
      </c>
      <c r="I287" s="440"/>
    </row>
    <row r="288" spans="2:13">
      <c r="B288" s="386"/>
      <c r="C288" s="382" t="s">
        <v>28</v>
      </c>
      <c r="D288" s="383" t="s">
        <v>136</v>
      </c>
      <c r="E288" s="384" t="s">
        <v>132</v>
      </c>
      <c r="F288" s="461">
        <v>1.4999999999999999E-2</v>
      </c>
      <c r="G288" s="466">
        <f t="shared" si="38"/>
        <v>180000</v>
      </c>
      <c r="H288" s="438">
        <f t="shared" si="37"/>
        <v>2700</v>
      </c>
      <c r="I288" s="440">
        <f>SUM(H285:H288)</f>
        <v>61200</v>
      </c>
    </row>
    <row r="289" spans="2:13">
      <c r="B289" s="251"/>
      <c r="C289" s="252"/>
      <c r="D289" s="253" t="s">
        <v>228</v>
      </c>
      <c r="E289" s="254"/>
      <c r="F289" s="467"/>
      <c r="G289" s="464"/>
      <c r="H289" s="431">
        <f>SUM(H282:H288)</f>
        <v>572510</v>
      </c>
      <c r="I289" s="440"/>
    </row>
    <row r="290" spans="2:13">
      <c r="B290" s="451"/>
      <c r="C290" s="452" t="s">
        <v>229</v>
      </c>
      <c r="D290" s="453"/>
      <c r="E290" s="453"/>
      <c r="F290" s="453"/>
      <c r="G290" s="454"/>
      <c r="H290" s="454">
        <f>ROUND(H289,0)</f>
        <v>572510</v>
      </c>
      <c r="I290" s="1164"/>
    </row>
    <row r="291" spans="2:13">
      <c r="B291" s="1230" t="s">
        <v>400</v>
      </c>
      <c r="C291" s="468" t="s">
        <v>2397</v>
      </c>
      <c r="D291" s="469"/>
      <c r="E291" s="470"/>
      <c r="F291" s="471"/>
      <c r="G291" s="472"/>
      <c r="H291" s="473"/>
      <c r="I291" s="1171"/>
    </row>
    <row r="292" spans="2:13">
      <c r="B292" s="474"/>
      <c r="C292" s="475" t="s">
        <v>28</v>
      </c>
      <c r="D292" s="476" t="s">
        <v>2398</v>
      </c>
      <c r="E292" s="477" t="s">
        <v>147</v>
      </c>
      <c r="F292" s="478">
        <v>1</v>
      </c>
      <c r="G292" s="479">
        <f>BAHAN!$E$130</f>
        <v>39393.939393939392</v>
      </c>
      <c r="H292" s="480">
        <f>BAHAN!$E$130</f>
        <v>39393.939393939392</v>
      </c>
      <c r="I292" s="1171"/>
      <c r="J292" s="1467">
        <v>0</v>
      </c>
      <c r="K292" s="1467">
        <f>J292*F292</f>
        <v>0</v>
      </c>
      <c r="L292" s="1395" t="s">
        <v>147</v>
      </c>
      <c r="M292" s="1467"/>
    </row>
    <row r="293" spans="2:13">
      <c r="B293" s="481"/>
      <c r="C293" s="482" t="s">
        <v>28</v>
      </c>
      <c r="D293" s="332" t="s">
        <v>221</v>
      </c>
      <c r="E293" s="483" t="s">
        <v>145</v>
      </c>
      <c r="F293" s="484">
        <v>8</v>
      </c>
      <c r="G293" s="485">
        <f>G8</f>
        <v>1500</v>
      </c>
      <c r="H293" s="486">
        <f t="shared" ref="H293:H299" si="39">G293*F293</f>
        <v>12000</v>
      </c>
      <c r="I293" s="1171"/>
      <c r="J293" s="1467">
        <f>J292</f>
        <v>0</v>
      </c>
      <c r="K293" s="1467">
        <f>J293*F293</f>
        <v>0</v>
      </c>
      <c r="L293" s="1395" t="s">
        <v>145</v>
      </c>
    </row>
    <row r="294" spans="2:13">
      <c r="B294" s="481"/>
      <c r="C294" s="482" t="s">
        <v>28</v>
      </c>
      <c r="D294" s="487" t="s">
        <v>237</v>
      </c>
      <c r="E294" s="483" t="s">
        <v>143</v>
      </c>
      <c r="F294" s="484">
        <v>1.7999999999999999E-2</v>
      </c>
      <c r="G294" s="485">
        <f>G9</f>
        <v>246000</v>
      </c>
      <c r="H294" s="486">
        <f t="shared" si="39"/>
        <v>4428</v>
      </c>
      <c r="I294" s="1171"/>
      <c r="J294" s="1467">
        <f>J293</f>
        <v>0</v>
      </c>
      <c r="K294" s="1467">
        <f>J294*F294</f>
        <v>0</v>
      </c>
      <c r="L294" s="1395" t="s">
        <v>143</v>
      </c>
    </row>
    <row r="295" spans="2:13">
      <c r="B295" s="481"/>
      <c r="C295" s="482" t="s">
        <v>28</v>
      </c>
      <c r="D295" s="487" t="s">
        <v>401</v>
      </c>
      <c r="E295" s="483" t="s">
        <v>145</v>
      </c>
      <c r="F295" s="484">
        <v>1.2999999999999999E-2</v>
      </c>
      <c r="G295" s="485">
        <f>BAHAN!$E$39</f>
        <v>16000</v>
      </c>
      <c r="H295" s="486">
        <f t="shared" si="39"/>
        <v>208</v>
      </c>
      <c r="I295" s="1171">
        <f>SUM(H292:H295)</f>
        <v>56029.939393939392</v>
      </c>
      <c r="J295" s="1467">
        <f>J294</f>
        <v>0</v>
      </c>
      <c r="K295" s="1467">
        <f>J295*F295</f>
        <v>0</v>
      </c>
      <c r="L295" s="1395" t="s">
        <v>145</v>
      </c>
    </row>
    <row r="296" spans="2:13">
      <c r="B296" s="481"/>
      <c r="C296" s="482" t="s">
        <v>28</v>
      </c>
      <c r="D296" s="487" t="s">
        <v>133</v>
      </c>
      <c r="E296" s="483" t="s">
        <v>132</v>
      </c>
      <c r="F296" s="484">
        <v>0.1875</v>
      </c>
      <c r="G296" s="485">
        <f>G10</f>
        <v>136000</v>
      </c>
      <c r="H296" s="486">
        <f t="shared" si="39"/>
        <v>25500</v>
      </c>
      <c r="I296" s="1171"/>
    </row>
    <row r="297" spans="2:13">
      <c r="B297" s="481"/>
      <c r="C297" s="482" t="s">
        <v>28</v>
      </c>
      <c r="D297" s="487" t="s">
        <v>402</v>
      </c>
      <c r="E297" s="483" t="s">
        <v>132</v>
      </c>
      <c r="F297" s="484">
        <v>0.375</v>
      </c>
      <c r="G297" s="485">
        <f>G11</f>
        <v>160000</v>
      </c>
      <c r="H297" s="486">
        <f t="shared" si="39"/>
        <v>60000</v>
      </c>
      <c r="I297" s="1171"/>
    </row>
    <row r="298" spans="2:13">
      <c r="B298" s="481"/>
      <c r="C298" s="482" t="s">
        <v>28</v>
      </c>
      <c r="D298" s="487" t="s">
        <v>135</v>
      </c>
      <c r="E298" s="483" t="s">
        <v>132</v>
      </c>
      <c r="F298" s="484">
        <v>4.4999999999999998E-2</v>
      </c>
      <c r="G298" s="485">
        <f>G12</f>
        <v>170000</v>
      </c>
      <c r="H298" s="486">
        <f t="shared" si="39"/>
        <v>7650</v>
      </c>
      <c r="I298" s="1171"/>
    </row>
    <row r="299" spans="2:13">
      <c r="B299" s="488"/>
      <c r="C299" s="489" t="s">
        <v>28</v>
      </c>
      <c r="D299" s="490" t="s">
        <v>136</v>
      </c>
      <c r="E299" s="491" t="s">
        <v>132</v>
      </c>
      <c r="F299" s="492">
        <v>1.8800000000000001E-2</v>
      </c>
      <c r="G299" s="485">
        <f>G13</f>
        <v>180000</v>
      </c>
      <c r="H299" s="493">
        <f t="shared" si="39"/>
        <v>3384</v>
      </c>
      <c r="I299" s="1171">
        <f>SUM(H296:H299)</f>
        <v>96534</v>
      </c>
    </row>
    <row r="300" spans="2:13">
      <c r="B300" s="494"/>
      <c r="C300" s="495"/>
      <c r="D300" s="496" t="s">
        <v>228</v>
      </c>
      <c r="E300" s="497"/>
      <c r="F300" s="498"/>
      <c r="G300" s="499"/>
      <c r="H300" s="500">
        <f>SUM(H292:H299)</f>
        <v>152563.93939393939</v>
      </c>
      <c r="I300" s="1171"/>
    </row>
    <row r="301" spans="2:13">
      <c r="B301" s="451"/>
      <c r="C301" s="452" t="s">
        <v>229</v>
      </c>
      <c r="D301" s="453"/>
      <c r="E301" s="453"/>
      <c r="F301" s="453"/>
      <c r="G301" s="454"/>
      <c r="H301" s="454">
        <f>ROUND(H300,0)</f>
        <v>152564</v>
      </c>
      <c r="I301" s="1164"/>
    </row>
    <row r="302" spans="2:13">
      <c r="B302" s="1230" t="s">
        <v>408</v>
      </c>
      <c r="C302" s="468" t="s">
        <v>2920</v>
      </c>
      <c r="D302" s="469"/>
      <c r="E302" s="470"/>
      <c r="F302" s="471"/>
      <c r="G302" s="472"/>
      <c r="H302" s="473"/>
      <c r="I302" s="1171"/>
    </row>
    <row r="303" spans="2:13">
      <c r="B303" s="474"/>
      <c r="C303" s="475" t="s">
        <v>28</v>
      </c>
      <c r="D303" s="476" t="s">
        <v>2919</v>
      </c>
      <c r="E303" s="477" t="s">
        <v>240</v>
      </c>
      <c r="F303" s="478">
        <v>1.05</v>
      </c>
      <c r="G303" s="479">
        <f>BAHAN!$E$21</f>
        <v>70650</v>
      </c>
      <c r="H303" s="480">
        <f t="shared" ref="H303:H309" si="40">G303*F303</f>
        <v>74182.5</v>
      </c>
      <c r="I303" s="1171"/>
      <c r="J303" s="1467">
        <f>SUMIF(BOQ!$G$1:$G$3041,I305,BOQ!$E$1:$E$3041)</f>
        <v>0</v>
      </c>
      <c r="K303" s="1467">
        <f>J303*F303</f>
        <v>0</v>
      </c>
    </row>
    <row r="304" spans="2:13">
      <c r="B304" s="481"/>
      <c r="C304" s="482" t="s">
        <v>28</v>
      </c>
      <c r="D304" s="332" t="s">
        <v>221</v>
      </c>
      <c r="E304" s="483" t="s">
        <v>145</v>
      </c>
      <c r="F304" s="484">
        <v>11.75</v>
      </c>
      <c r="G304" s="485">
        <f>$G$142</f>
        <v>1500</v>
      </c>
      <c r="H304" s="486">
        <f t="shared" si="40"/>
        <v>17625</v>
      </c>
      <c r="I304" s="1171"/>
      <c r="J304" s="1467">
        <f>J303</f>
        <v>0</v>
      </c>
      <c r="K304" s="1467">
        <f>J304*F304</f>
        <v>0</v>
      </c>
    </row>
    <row r="305" spans="2:11">
      <c r="B305" s="481"/>
      <c r="C305" s="482" t="s">
        <v>28</v>
      </c>
      <c r="D305" s="487" t="s">
        <v>237</v>
      </c>
      <c r="E305" s="483" t="s">
        <v>143</v>
      </c>
      <c r="F305" s="484">
        <v>3.5000000000000003E-2</v>
      </c>
      <c r="G305" s="485">
        <f>$G$143</f>
        <v>246000</v>
      </c>
      <c r="H305" s="486">
        <f t="shared" si="40"/>
        <v>8610</v>
      </c>
      <c r="I305" s="1171">
        <f>SUM(H303:H305)</f>
        <v>100417.5</v>
      </c>
      <c r="J305" s="1467">
        <f>J304</f>
        <v>0</v>
      </c>
      <c r="K305" s="1467">
        <f>J305*F305</f>
        <v>0</v>
      </c>
    </row>
    <row r="306" spans="2:11">
      <c r="B306" s="481"/>
      <c r="C306" s="482" t="s">
        <v>28</v>
      </c>
      <c r="D306" s="487" t="s">
        <v>133</v>
      </c>
      <c r="E306" s="483" t="s">
        <v>132</v>
      </c>
      <c r="F306" s="484">
        <v>0.62</v>
      </c>
      <c r="G306" s="485">
        <f>$G$144</f>
        <v>136000</v>
      </c>
      <c r="H306" s="486">
        <f t="shared" si="40"/>
        <v>84320</v>
      </c>
      <c r="I306" s="1171"/>
      <c r="J306" s="1467">
        <f>J305</f>
        <v>0</v>
      </c>
      <c r="K306" s="1467">
        <f>J306*F306</f>
        <v>0</v>
      </c>
    </row>
    <row r="307" spans="2:11">
      <c r="B307" s="481"/>
      <c r="C307" s="482" t="s">
        <v>28</v>
      </c>
      <c r="D307" s="487" t="s">
        <v>402</v>
      </c>
      <c r="E307" s="483" t="s">
        <v>132</v>
      </c>
      <c r="F307" s="484">
        <v>0.35</v>
      </c>
      <c r="G307" s="485">
        <f>$G$145</f>
        <v>160000</v>
      </c>
      <c r="H307" s="486">
        <f t="shared" si="40"/>
        <v>56000</v>
      </c>
      <c r="I307" s="1171"/>
    </row>
    <row r="308" spans="2:11">
      <c r="B308" s="481"/>
      <c r="C308" s="482" t="s">
        <v>28</v>
      </c>
      <c r="D308" s="487" t="s">
        <v>135</v>
      </c>
      <c r="E308" s="483" t="s">
        <v>132</v>
      </c>
      <c r="F308" s="484">
        <v>3.5000000000000003E-2</v>
      </c>
      <c r="G308" s="485">
        <f>$G$146</f>
        <v>170000</v>
      </c>
      <c r="H308" s="486">
        <f t="shared" si="40"/>
        <v>5950.0000000000009</v>
      </c>
      <c r="I308" s="1171"/>
    </row>
    <row r="309" spans="2:11">
      <c r="B309" s="514"/>
      <c r="C309" s="501" t="s">
        <v>28</v>
      </c>
      <c r="D309" s="515" t="s">
        <v>136</v>
      </c>
      <c r="E309" s="503" t="s">
        <v>132</v>
      </c>
      <c r="F309" s="516">
        <v>0.03</v>
      </c>
      <c r="G309" s="485">
        <f>$G$147</f>
        <v>180000</v>
      </c>
      <c r="H309" s="504">
        <f t="shared" si="40"/>
        <v>5400</v>
      </c>
      <c r="I309" s="1171">
        <f>SUM(H306:H309)</f>
        <v>151670</v>
      </c>
    </row>
    <row r="310" spans="2:11">
      <c r="B310" s="494"/>
      <c r="C310" s="495"/>
      <c r="D310" s="496" t="s">
        <v>228</v>
      </c>
      <c r="E310" s="497"/>
      <c r="F310" s="517"/>
      <c r="G310" s="499"/>
      <c r="H310" s="500">
        <f>SUM(H303:H309)</f>
        <v>252087.5</v>
      </c>
      <c r="I310" s="1171"/>
    </row>
    <row r="311" spans="2:11">
      <c r="B311" s="396"/>
      <c r="C311" s="442" t="s">
        <v>229</v>
      </c>
      <c r="D311" s="378"/>
      <c r="E311" s="378"/>
      <c r="F311" s="378"/>
      <c r="G311" s="518"/>
      <c r="H311" s="518">
        <f>ROUND(H310,0)</f>
        <v>252088</v>
      </c>
      <c r="I311" s="1164"/>
    </row>
    <row r="312" spans="2:11">
      <c r="B312" s="1230" t="s">
        <v>406</v>
      </c>
      <c r="C312" s="468" t="str">
        <f>"1 M2 Dinding "&amp;BAHAN!$C$132&amp;" "&amp;BAHAN!$F$132</f>
        <v>1 M2 Dinding Keramik 15x80 Motif Kayu Ex. Torch 158016</v>
      </c>
      <c r="D312" s="469"/>
      <c r="E312" s="470"/>
      <c r="F312" s="471"/>
      <c r="G312" s="472"/>
      <c r="H312" s="473"/>
      <c r="I312" s="1171"/>
    </row>
    <row r="313" spans="2:11">
      <c r="B313" s="474"/>
      <c r="C313" s="475" t="s">
        <v>28</v>
      </c>
      <c r="D313" s="476" t="s">
        <v>2923</v>
      </c>
      <c r="E313" s="477" t="s">
        <v>147</v>
      </c>
      <c r="F313" s="478">
        <v>1</v>
      </c>
      <c r="G313" s="479">
        <f>BAHAN!$E$132</f>
        <v>150000</v>
      </c>
      <c r="H313" s="480">
        <f t="shared" ref="H313:H320" si="41">G313*F313</f>
        <v>150000</v>
      </c>
      <c r="I313" s="1171"/>
      <c r="J313" s="1392">
        <f>SUMIF(BOQ!$G$1:$G$2419,I316,BOQ!$E$1:$E$2419)</f>
        <v>0</v>
      </c>
      <c r="K313" s="1467">
        <f>J313*F313</f>
        <v>0</v>
      </c>
    </row>
    <row r="314" spans="2:11">
      <c r="B314" s="481"/>
      <c r="C314" s="482" t="s">
        <v>28</v>
      </c>
      <c r="D314" s="332" t="s">
        <v>221</v>
      </c>
      <c r="E314" s="483" t="s">
        <v>145</v>
      </c>
      <c r="F314" s="484">
        <v>8</v>
      </c>
      <c r="G314" s="75">
        <f>PSP!$G$36</f>
        <v>1500</v>
      </c>
      <c r="H314" s="486">
        <f t="shared" si="41"/>
        <v>12000</v>
      </c>
      <c r="I314" s="1171"/>
      <c r="J314" s="1392">
        <f>J313</f>
        <v>0</v>
      </c>
      <c r="K314" s="1467">
        <f>J314*F314</f>
        <v>0</v>
      </c>
    </row>
    <row r="315" spans="2:11">
      <c r="B315" s="481"/>
      <c r="C315" s="482" t="s">
        <v>28</v>
      </c>
      <c r="D315" s="487" t="s">
        <v>237</v>
      </c>
      <c r="E315" s="483" t="s">
        <v>143</v>
      </c>
      <c r="F315" s="484">
        <v>1.7999999999999999E-2</v>
      </c>
      <c r="G315" s="75">
        <f>PSP!$G$37</f>
        <v>246000</v>
      </c>
      <c r="H315" s="486">
        <f t="shared" si="41"/>
        <v>4428</v>
      </c>
      <c r="I315" s="1171"/>
      <c r="J315" s="1392">
        <f>J314</f>
        <v>0</v>
      </c>
      <c r="K315" s="1467">
        <f>J315*F315</f>
        <v>0</v>
      </c>
    </row>
    <row r="316" spans="2:11">
      <c r="B316" s="481"/>
      <c r="C316" s="482" t="s">
        <v>28</v>
      </c>
      <c r="D316" s="487" t="s">
        <v>401</v>
      </c>
      <c r="E316" s="483" t="s">
        <v>145</v>
      </c>
      <c r="F316" s="484">
        <v>1.2999999999999999E-2</v>
      </c>
      <c r="G316" s="485">
        <f>BAHAN!$E$39</f>
        <v>16000</v>
      </c>
      <c r="H316" s="486">
        <f t="shared" si="41"/>
        <v>208</v>
      </c>
      <c r="I316" s="1171">
        <f>SUM(H313:H316)</f>
        <v>166636</v>
      </c>
      <c r="J316" s="1392">
        <f>J315</f>
        <v>0</v>
      </c>
      <c r="K316" s="1467">
        <f>J316*F316</f>
        <v>0</v>
      </c>
    </row>
    <row r="317" spans="2:11">
      <c r="B317" s="481"/>
      <c r="C317" s="482" t="s">
        <v>28</v>
      </c>
      <c r="D317" s="487" t="s">
        <v>133</v>
      </c>
      <c r="E317" s="483" t="s">
        <v>132</v>
      </c>
      <c r="F317" s="484">
        <v>0.62</v>
      </c>
      <c r="G317" s="75">
        <f>UPAH!$E$26</f>
        <v>136000</v>
      </c>
      <c r="H317" s="486">
        <f t="shared" si="41"/>
        <v>84320</v>
      </c>
      <c r="I317" s="1171"/>
    </row>
    <row r="318" spans="2:11">
      <c r="B318" s="481"/>
      <c r="C318" s="482" t="s">
        <v>28</v>
      </c>
      <c r="D318" s="487" t="s">
        <v>402</v>
      </c>
      <c r="E318" s="483" t="s">
        <v>132</v>
      </c>
      <c r="F318" s="484">
        <v>0.35</v>
      </c>
      <c r="G318" s="75">
        <f>UPAH!$E$16</f>
        <v>160000</v>
      </c>
      <c r="H318" s="486">
        <f t="shared" si="41"/>
        <v>56000</v>
      </c>
      <c r="I318" s="1171"/>
    </row>
    <row r="319" spans="2:11">
      <c r="B319" s="481"/>
      <c r="C319" s="482" t="s">
        <v>28</v>
      </c>
      <c r="D319" s="487" t="s">
        <v>135</v>
      </c>
      <c r="E319" s="483" t="s">
        <v>132</v>
      </c>
      <c r="F319" s="484">
        <v>3.5000000000000003E-2</v>
      </c>
      <c r="G319" s="75">
        <f>UPAH!$E$10</f>
        <v>170000</v>
      </c>
      <c r="H319" s="486">
        <f t="shared" si="41"/>
        <v>5950.0000000000009</v>
      </c>
      <c r="I319" s="1171"/>
    </row>
    <row r="320" spans="2:11">
      <c r="B320" s="488"/>
      <c r="C320" s="501" t="s">
        <v>28</v>
      </c>
      <c r="D320" s="502" t="s">
        <v>136</v>
      </c>
      <c r="E320" s="503" t="s">
        <v>132</v>
      </c>
      <c r="F320" s="484">
        <v>0.03</v>
      </c>
      <c r="G320" s="437">
        <f>UPAH!$E$9</f>
        <v>180000</v>
      </c>
      <c r="H320" s="504">
        <f t="shared" si="41"/>
        <v>5400</v>
      </c>
      <c r="I320" s="1171">
        <f>SUM(H317:H320)</f>
        <v>151670</v>
      </c>
    </row>
    <row r="321" spans="2:11">
      <c r="B321" s="505"/>
      <c r="C321" s="495"/>
      <c r="D321" s="506" t="s">
        <v>228</v>
      </c>
      <c r="E321" s="507"/>
      <c r="F321" s="508"/>
      <c r="G321" s="509"/>
      <c r="H321" s="510">
        <f>SUM(H313:H320)</f>
        <v>318306</v>
      </c>
      <c r="I321" s="1171"/>
    </row>
    <row r="322" spans="2:11">
      <c r="B322" s="451"/>
      <c r="C322" s="452" t="s">
        <v>229</v>
      </c>
      <c r="D322" s="453"/>
      <c r="E322" s="453"/>
      <c r="F322" s="453"/>
      <c r="G322" s="454"/>
      <c r="H322" s="454">
        <f>ROUND(H321,0)</f>
        <v>318306</v>
      </c>
      <c r="I322" s="1164"/>
    </row>
    <row r="323" spans="2:11">
      <c r="B323" s="1230" t="s">
        <v>406</v>
      </c>
      <c r="C323" s="468" t="str">
        <f>"1 M2 Dinding "&amp;BAHAN!$C$118&amp;" "&amp;BAHAN!$F$118</f>
        <v>1 M2 Dinding Keramik 30x60 Motif Marmer Hitam Ex. Roman dPortoro Black W63456R</v>
      </c>
      <c r="D323" s="469"/>
      <c r="E323" s="470"/>
      <c r="F323" s="471"/>
      <c r="G323" s="472"/>
      <c r="H323" s="473"/>
      <c r="I323" s="1171"/>
    </row>
    <row r="324" spans="2:11">
      <c r="B324" s="474"/>
      <c r="C324" s="475" t="s">
        <v>28</v>
      </c>
      <c r="D324" s="476" t="str">
        <f>BAHAN!F118</f>
        <v>Ex. Roman dPortoro Black W63456R</v>
      </c>
      <c r="E324" s="477" t="s">
        <v>147</v>
      </c>
      <c r="F324" s="478">
        <v>1</v>
      </c>
      <c r="G324" s="479">
        <f>BAHAN!$E$118</f>
        <v>174444.44444444444</v>
      </c>
      <c r="H324" s="480">
        <f t="shared" ref="H324:H331" si="42">G324*F324</f>
        <v>174444.44444444444</v>
      </c>
      <c r="I324" s="1171"/>
      <c r="J324" s="1392">
        <f>SUMIF(BOQ!$G$1:$G$2419,I327,BOQ!$E$1:$E$2419)</f>
        <v>0</v>
      </c>
      <c r="K324" s="1467">
        <f>J324*F324</f>
        <v>0</v>
      </c>
    </row>
    <row r="325" spans="2:11">
      <c r="B325" s="481"/>
      <c r="C325" s="482" t="s">
        <v>28</v>
      </c>
      <c r="D325" s="332" t="s">
        <v>221</v>
      </c>
      <c r="E325" s="483" t="s">
        <v>145</v>
      </c>
      <c r="F325" s="484">
        <v>8</v>
      </c>
      <c r="G325" s="75">
        <f>PSP!$G$36</f>
        <v>1500</v>
      </c>
      <c r="H325" s="486">
        <f t="shared" si="42"/>
        <v>12000</v>
      </c>
      <c r="I325" s="1171"/>
      <c r="J325" s="1392">
        <f>J324</f>
        <v>0</v>
      </c>
      <c r="K325" s="1467">
        <f>J325*F325</f>
        <v>0</v>
      </c>
    </row>
    <row r="326" spans="2:11">
      <c r="B326" s="481"/>
      <c r="C326" s="482" t="s">
        <v>28</v>
      </c>
      <c r="D326" s="487" t="s">
        <v>237</v>
      </c>
      <c r="E326" s="483" t="s">
        <v>143</v>
      </c>
      <c r="F326" s="484">
        <v>1.7999999999999999E-2</v>
      </c>
      <c r="G326" s="75">
        <f>PSP!$G$37</f>
        <v>246000</v>
      </c>
      <c r="H326" s="486">
        <f t="shared" si="42"/>
        <v>4428</v>
      </c>
      <c r="I326" s="1171"/>
      <c r="J326" s="1392">
        <f>J325</f>
        <v>0</v>
      </c>
      <c r="K326" s="1467">
        <f>J326*F326</f>
        <v>0</v>
      </c>
    </row>
    <row r="327" spans="2:11">
      <c r="B327" s="481"/>
      <c r="C327" s="482" t="s">
        <v>28</v>
      </c>
      <c r="D327" s="487" t="s">
        <v>401</v>
      </c>
      <c r="E327" s="483" t="s">
        <v>145</v>
      </c>
      <c r="F327" s="484">
        <v>1.2999999999999999E-2</v>
      </c>
      <c r="G327" s="485">
        <f>BAHAN!$E$39</f>
        <v>16000</v>
      </c>
      <c r="H327" s="486">
        <f t="shared" si="42"/>
        <v>208</v>
      </c>
      <c r="I327" s="1171">
        <f>SUM(H324:H327)</f>
        <v>191080.44444444444</v>
      </c>
      <c r="J327" s="1392">
        <f>J326</f>
        <v>0</v>
      </c>
      <c r="K327" s="1467">
        <f>J327*F327</f>
        <v>0</v>
      </c>
    </row>
    <row r="328" spans="2:11">
      <c r="B328" s="481"/>
      <c r="C328" s="482" t="s">
        <v>28</v>
      </c>
      <c r="D328" s="487" t="s">
        <v>133</v>
      </c>
      <c r="E328" s="483" t="s">
        <v>132</v>
      </c>
      <c r="F328" s="484">
        <v>0.62</v>
      </c>
      <c r="G328" s="75">
        <f>UPAH!$E$26</f>
        <v>136000</v>
      </c>
      <c r="H328" s="486">
        <f t="shared" si="42"/>
        <v>84320</v>
      </c>
      <c r="I328" s="1171"/>
    </row>
    <row r="329" spans="2:11">
      <c r="B329" s="481"/>
      <c r="C329" s="482" t="s">
        <v>28</v>
      </c>
      <c r="D329" s="487" t="s">
        <v>402</v>
      </c>
      <c r="E329" s="483" t="s">
        <v>132</v>
      </c>
      <c r="F329" s="484">
        <v>0.35</v>
      </c>
      <c r="G329" s="75">
        <f>UPAH!$E$16</f>
        <v>160000</v>
      </c>
      <c r="H329" s="486">
        <f t="shared" si="42"/>
        <v>56000</v>
      </c>
      <c r="I329" s="1171"/>
    </row>
    <row r="330" spans="2:11">
      <c r="B330" s="481"/>
      <c r="C330" s="482" t="s">
        <v>28</v>
      </c>
      <c r="D330" s="487" t="s">
        <v>135</v>
      </c>
      <c r="E330" s="483" t="s">
        <v>132</v>
      </c>
      <c r="F330" s="484">
        <v>3.5000000000000003E-2</v>
      </c>
      <c r="G330" s="75">
        <f>UPAH!$E$10</f>
        <v>170000</v>
      </c>
      <c r="H330" s="486">
        <f t="shared" si="42"/>
        <v>5950.0000000000009</v>
      </c>
      <c r="I330" s="1171"/>
    </row>
    <row r="331" spans="2:11">
      <c r="B331" s="488"/>
      <c r="C331" s="501" t="s">
        <v>28</v>
      </c>
      <c r="D331" s="502" t="s">
        <v>136</v>
      </c>
      <c r="E331" s="503" t="s">
        <v>132</v>
      </c>
      <c r="F331" s="484">
        <v>0.03</v>
      </c>
      <c r="G331" s="437">
        <f>UPAH!$E$9</f>
        <v>180000</v>
      </c>
      <c r="H331" s="504">
        <f t="shared" si="42"/>
        <v>5400</v>
      </c>
      <c r="I331" s="1171">
        <f>SUM(H328:H331)</f>
        <v>151670</v>
      </c>
    </row>
    <row r="332" spans="2:11">
      <c r="B332" s="505"/>
      <c r="C332" s="495"/>
      <c r="D332" s="506" t="s">
        <v>228</v>
      </c>
      <c r="E332" s="507"/>
      <c r="F332" s="508"/>
      <c r="G332" s="509"/>
      <c r="H332" s="510">
        <f>SUM(H324:H331)</f>
        <v>342750.44444444444</v>
      </c>
      <c r="I332" s="1171"/>
    </row>
    <row r="333" spans="2:11">
      <c r="B333" s="451"/>
      <c r="C333" s="452" t="s">
        <v>229</v>
      </c>
      <c r="D333" s="453"/>
      <c r="E333" s="453"/>
      <c r="F333" s="453"/>
      <c r="G333" s="454"/>
      <c r="H333" s="454">
        <f>ROUND(H332,0)</f>
        <v>342750</v>
      </c>
      <c r="I333" s="1164"/>
    </row>
    <row r="334" spans="2:11">
      <c r="B334" s="1230" t="s">
        <v>410</v>
      </c>
      <c r="C334" s="468" t="s">
        <v>2319</v>
      </c>
      <c r="D334" s="469"/>
      <c r="E334" s="511"/>
      <c r="F334" s="512"/>
      <c r="G334" s="472"/>
      <c r="H334" s="473"/>
      <c r="I334" s="1171"/>
    </row>
    <row r="335" spans="2:11">
      <c r="B335" s="474"/>
      <c r="C335" s="475" t="s">
        <v>28</v>
      </c>
      <c r="D335" s="476" t="s">
        <v>2320</v>
      </c>
      <c r="E335" s="477" t="s">
        <v>240</v>
      </c>
      <c r="F335" s="478">
        <v>1.05</v>
      </c>
      <c r="G335" s="479">
        <f>BAHAN!E131</f>
        <v>320000</v>
      </c>
      <c r="H335" s="480">
        <f t="shared" ref="H335:H340" si="43">G335*F335</f>
        <v>336000</v>
      </c>
      <c r="I335" s="1171"/>
      <c r="J335" s="1467">
        <v>0</v>
      </c>
      <c r="K335" s="1467">
        <f>J335*F335</f>
        <v>0</v>
      </c>
    </row>
    <row r="336" spans="2:11">
      <c r="B336" s="481"/>
      <c r="C336" s="482" t="s">
        <v>28</v>
      </c>
      <c r="D336" s="487" t="s">
        <v>413</v>
      </c>
      <c r="E336" s="483" t="s">
        <v>145</v>
      </c>
      <c r="F336" s="484">
        <v>0.25</v>
      </c>
      <c r="G336" s="485">
        <f>BAHAN!$E$173</f>
        <v>25000</v>
      </c>
      <c r="H336" s="486">
        <f t="shared" si="43"/>
        <v>6250</v>
      </c>
      <c r="I336" s="1171">
        <f>SUM(H335:H336)</f>
        <v>342250</v>
      </c>
      <c r="J336" s="1467">
        <f>J335</f>
        <v>0</v>
      </c>
      <c r="K336" s="1467">
        <f>J336*F336</f>
        <v>0</v>
      </c>
    </row>
    <row r="337" spans="2:11">
      <c r="B337" s="481"/>
      <c r="C337" s="482" t="s">
        <v>28</v>
      </c>
      <c r="D337" s="487" t="s">
        <v>133</v>
      </c>
      <c r="E337" s="483" t="s">
        <v>132</v>
      </c>
      <c r="F337" s="484">
        <v>0.35</v>
      </c>
      <c r="G337" s="485">
        <f>G285</f>
        <v>136000</v>
      </c>
      <c r="H337" s="486">
        <f t="shared" si="43"/>
        <v>47600</v>
      </c>
      <c r="I337" s="1171"/>
      <c r="J337" s="1467">
        <f>J335</f>
        <v>0</v>
      </c>
      <c r="K337" s="1467">
        <f>J337*F337</f>
        <v>0</v>
      </c>
    </row>
    <row r="338" spans="2:11">
      <c r="B338" s="481"/>
      <c r="C338" s="482" t="s">
        <v>28</v>
      </c>
      <c r="D338" s="487" t="s">
        <v>402</v>
      </c>
      <c r="E338" s="483" t="s">
        <v>132</v>
      </c>
      <c r="F338" s="484">
        <v>0.17499999999999999</v>
      </c>
      <c r="G338" s="485">
        <f>G286</f>
        <v>160000</v>
      </c>
      <c r="H338" s="486">
        <f t="shared" si="43"/>
        <v>28000</v>
      </c>
      <c r="I338" s="1171"/>
    </row>
    <row r="339" spans="2:11">
      <c r="B339" s="481"/>
      <c r="C339" s="482" t="s">
        <v>28</v>
      </c>
      <c r="D339" s="487" t="s">
        <v>135</v>
      </c>
      <c r="E339" s="483" t="s">
        <v>132</v>
      </c>
      <c r="F339" s="484">
        <v>1.7000000000000001E-2</v>
      </c>
      <c r="G339" s="485">
        <f>G287</f>
        <v>170000</v>
      </c>
      <c r="H339" s="486">
        <f t="shared" si="43"/>
        <v>2890</v>
      </c>
      <c r="I339" s="1171"/>
    </row>
    <row r="340" spans="2:11">
      <c r="B340" s="514"/>
      <c r="C340" s="501" t="s">
        <v>28</v>
      </c>
      <c r="D340" s="515" t="s">
        <v>136</v>
      </c>
      <c r="E340" s="503" t="s">
        <v>132</v>
      </c>
      <c r="F340" s="516">
        <v>2E-3</v>
      </c>
      <c r="G340" s="485">
        <f>G288</f>
        <v>180000</v>
      </c>
      <c r="H340" s="504">
        <f t="shared" si="43"/>
        <v>360</v>
      </c>
      <c r="I340" s="1171">
        <f>SUM(H337:H340)</f>
        <v>78850</v>
      </c>
    </row>
    <row r="341" spans="2:11">
      <c r="B341" s="494"/>
      <c r="C341" s="495"/>
      <c r="D341" s="496" t="s">
        <v>228</v>
      </c>
      <c r="E341" s="497"/>
      <c r="F341" s="498"/>
      <c r="G341" s="499"/>
      <c r="H341" s="500">
        <f>SUM(H335:H340)</f>
        <v>421100</v>
      </c>
      <c r="I341" s="1171"/>
    </row>
    <row r="342" spans="2:11">
      <c r="B342" s="451"/>
      <c r="C342" s="452" t="s">
        <v>229</v>
      </c>
      <c r="D342" s="453"/>
      <c r="E342" s="453"/>
      <c r="F342" s="453"/>
      <c r="G342" s="454"/>
      <c r="H342" s="454">
        <f>ROUND(H341,0)</f>
        <v>421100</v>
      </c>
      <c r="I342" s="1164"/>
    </row>
    <row r="343" spans="2:11" ht="15.75" thickBot="1"/>
    <row r="344" spans="2:11">
      <c r="D344" s="2922" t="s">
        <v>2354</v>
      </c>
      <c r="E344" s="2923"/>
      <c r="F344" s="1392"/>
    </row>
    <row r="345" spans="2:11">
      <c r="D345" s="2035" t="s">
        <v>238</v>
      </c>
      <c r="E345" s="2032">
        <f>SUMIF($D$1:$D$340,D345,$K$1:$K$340)</f>
        <v>1050</v>
      </c>
      <c r="F345" s="1392"/>
    </row>
    <row r="346" spans="2:11">
      <c r="D346" s="2035" t="s">
        <v>221</v>
      </c>
      <c r="E346" s="2032">
        <f>SUMIF($D$1:$D$340,D346,$K$1:$K$340)</f>
        <v>215.54999999999998</v>
      </c>
      <c r="F346" s="1392"/>
    </row>
    <row r="347" spans="2:11">
      <c r="D347" s="2033" t="s">
        <v>237</v>
      </c>
      <c r="E347" s="2032">
        <f>SUMIF($D$1:$D$340,D347,$K$1:$K$340)</f>
        <v>0.6</v>
      </c>
      <c r="F347" s="1392"/>
    </row>
    <row r="348" spans="2:11">
      <c r="D348" s="2035" t="s">
        <v>395</v>
      </c>
      <c r="E348" s="2032">
        <f>SUMIF($D$1:$D$340,D348,$K$1:$K$340)</f>
        <v>0</v>
      </c>
      <c r="F348" s="1392"/>
    </row>
    <row r="349" spans="2:11" ht="15.75" thickBot="1">
      <c r="D349" s="2039" t="s">
        <v>401</v>
      </c>
      <c r="E349" s="2037">
        <f>SUMIF($D$1:$D$340,D349,$K$1:$K$340)</f>
        <v>0</v>
      </c>
      <c r="F349" s="1392"/>
    </row>
    <row r="350" spans="2:11">
      <c r="D350" s="1392"/>
      <c r="E350" s="1392"/>
      <c r="F350" s="1392"/>
    </row>
    <row r="351" spans="2:11">
      <c r="D351" s="1392"/>
      <c r="E351" s="1392"/>
      <c r="F351" s="1392"/>
    </row>
    <row r="352" spans="2:11">
      <c r="D352" s="1392"/>
      <c r="E352" s="1392"/>
      <c r="F352" s="1392"/>
    </row>
  </sheetData>
  <mergeCells count="1">
    <mergeCell ref="D344:E344"/>
  </mergeCells>
  <hyperlinks>
    <hyperlink ref="I58" location="BOQ!J185" display="BOQ!J185" xr:uid="{00000000-0004-0000-1900-000000000000}"/>
    <hyperlink ref="I62" location="BOQ!K185" display="BOQ!K185" xr:uid="{00000000-0004-0000-1900-000001000000}"/>
  </hyperlinks>
  <pageMargins left="1.25984251968504" right="0.59055118110236204" top="0.83" bottom="0.59055118110236204" header="0.31496062992126" footer="0.31496062992126"/>
  <pageSetup paperSize="5" scale="74" orientation="portrait" horizontalDpi="4294967294" r:id="rId1"/>
  <rowBreaks count="4" manualBreakCount="4">
    <brk id="35" min="1" max="7" man="1"/>
    <brk id="55" min="1" max="7" man="1"/>
    <brk id="95" min="1" max="7" man="1"/>
    <brk id="179" min="1" max="7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6"/>
  <dimension ref="B2:AA26"/>
  <sheetViews>
    <sheetView zoomScale="115" zoomScaleNormal="115" zoomScaleSheetLayoutView="100" workbookViewId="0">
      <selection activeCell="J28" sqref="J28"/>
    </sheetView>
  </sheetViews>
  <sheetFormatPr defaultRowHeight="15"/>
  <cols>
    <col min="1" max="1" width="1.42578125" style="5" customWidth="1"/>
    <col min="2" max="2" width="4.140625" style="5" customWidth="1"/>
    <col min="3" max="3" width="1.42578125" style="5" customWidth="1"/>
    <col min="4" max="4" width="22.5703125" style="5" bestFit="1" customWidth="1"/>
    <col min="5" max="5" width="8.7109375" style="5" customWidth="1"/>
    <col min="6" max="6" width="9.140625" style="5"/>
    <col min="7" max="7" width="15.140625" style="5" customWidth="1"/>
    <col min="8" max="9" width="17" style="5" customWidth="1"/>
    <col min="10" max="10" width="9.5703125" style="1392" bestFit="1" customWidth="1"/>
    <col min="11" max="11" width="11" style="1392" customWidth="1"/>
    <col min="12" max="12" width="9.140625" style="1392"/>
    <col min="13" max="13" width="9.5703125" style="1392" bestFit="1" customWidth="1"/>
    <col min="14" max="18" width="9.140625" style="1392"/>
    <col min="19" max="19" width="15.5703125" style="1392" customWidth="1"/>
    <col min="20" max="27" width="9.140625" style="1392"/>
    <col min="28" max="257" width="9.140625" style="5"/>
    <col min="258" max="258" width="1.42578125" style="5" customWidth="1"/>
    <col min="259" max="259" width="4.140625" style="5" customWidth="1"/>
    <col min="260" max="260" width="1.42578125" style="5" customWidth="1"/>
    <col min="261" max="261" width="22.5703125" style="5" bestFit="1" customWidth="1"/>
    <col min="262" max="262" width="8.7109375" style="5" customWidth="1"/>
    <col min="263" max="263" width="9.140625" style="5"/>
    <col min="264" max="264" width="15.140625" style="5" customWidth="1"/>
    <col min="265" max="265" width="17" style="5" customWidth="1"/>
    <col min="266" max="274" width="9.140625" style="5"/>
    <col min="275" max="275" width="15.5703125" style="5" customWidth="1"/>
    <col min="276" max="513" width="9.140625" style="5"/>
    <col min="514" max="514" width="1.42578125" style="5" customWidth="1"/>
    <col min="515" max="515" width="4.140625" style="5" customWidth="1"/>
    <col min="516" max="516" width="1.42578125" style="5" customWidth="1"/>
    <col min="517" max="517" width="22.5703125" style="5" bestFit="1" customWidth="1"/>
    <col min="518" max="518" width="8.7109375" style="5" customWidth="1"/>
    <col min="519" max="519" width="9.140625" style="5"/>
    <col min="520" max="520" width="15.140625" style="5" customWidth="1"/>
    <col min="521" max="521" width="17" style="5" customWidth="1"/>
    <col min="522" max="530" width="9.140625" style="5"/>
    <col min="531" max="531" width="15.5703125" style="5" customWidth="1"/>
    <col min="532" max="769" width="9.140625" style="5"/>
    <col min="770" max="770" width="1.42578125" style="5" customWidth="1"/>
    <col min="771" max="771" width="4.140625" style="5" customWidth="1"/>
    <col min="772" max="772" width="1.42578125" style="5" customWidth="1"/>
    <col min="773" max="773" width="22.5703125" style="5" bestFit="1" customWidth="1"/>
    <col min="774" max="774" width="8.7109375" style="5" customWidth="1"/>
    <col min="775" max="775" width="9.140625" style="5"/>
    <col min="776" max="776" width="15.140625" style="5" customWidth="1"/>
    <col min="777" max="777" width="17" style="5" customWidth="1"/>
    <col min="778" max="786" width="9.140625" style="5"/>
    <col min="787" max="787" width="15.5703125" style="5" customWidth="1"/>
    <col min="788" max="1025" width="9.140625" style="5"/>
    <col min="1026" max="1026" width="1.42578125" style="5" customWidth="1"/>
    <col min="1027" max="1027" width="4.140625" style="5" customWidth="1"/>
    <col min="1028" max="1028" width="1.42578125" style="5" customWidth="1"/>
    <col min="1029" max="1029" width="22.5703125" style="5" bestFit="1" customWidth="1"/>
    <col min="1030" max="1030" width="8.7109375" style="5" customWidth="1"/>
    <col min="1031" max="1031" width="9.140625" style="5"/>
    <col min="1032" max="1032" width="15.140625" style="5" customWidth="1"/>
    <col min="1033" max="1033" width="17" style="5" customWidth="1"/>
    <col min="1034" max="1042" width="9.140625" style="5"/>
    <col min="1043" max="1043" width="15.5703125" style="5" customWidth="1"/>
    <col min="1044" max="1281" width="9.140625" style="5"/>
    <col min="1282" max="1282" width="1.42578125" style="5" customWidth="1"/>
    <col min="1283" max="1283" width="4.140625" style="5" customWidth="1"/>
    <col min="1284" max="1284" width="1.42578125" style="5" customWidth="1"/>
    <col min="1285" max="1285" width="22.5703125" style="5" bestFit="1" customWidth="1"/>
    <col min="1286" max="1286" width="8.7109375" style="5" customWidth="1"/>
    <col min="1287" max="1287" width="9.140625" style="5"/>
    <col min="1288" max="1288" width="15.140625" style="5" customWidth="1"/>
    <col min="1289" max="1289" width="17" style="5" customWidth="1"/>
    <col min="1290" max="1298" width="9.140625" style="5"/>
    <col min="1299" max="1299" width="15.5703125" style="5" customWidth="1"/>
    <col min="1300" max="1537" width="9.140625" style="5"/>
    <col min="1538" max="1538" width="1.42578125" style="5" customWidth="1"/>
    <col min="1539" max="1539" width="4.140625" style="5" customWidth="1"/>
    <col min="1540" max="1540" width="1.42578125" style="5" customWidth="1"/>
    <col min="1541" max="1541" width="22.5703125" style="5" bestFit="1" customWidth="1"/>
    <col min="1542" max="1542" width="8.7109375" style="5" customWidth="1"/>
    <col min="1543" max="1543" width="9.140625" style="5"/>
    <col min="1544" max="1544" width="15.140625" style="5" customWidth="1"/>
    <col min="1545" max="1545" width="17" style="5" customWidth="1"/>
    <col min="1546" max="1554" width="9.140625" style="5"/>
    <col min="1555" max="1555" width="15.5703125" style="5" customWidth="1"/>
    <col min="1556" max="1793" width="9.140625" style="5"/>
    <col min="1794" max="1794" width="1.42578125" style="5" customWidth="1"/>
    <col min="1795" max="1795" width="4.140625" style="5" customWidth="1"/>
    <col min="1796" max="1796" width="1.42578125" style="5" customWidth="1"/>
    <col min="1797" max="1797" width="22.5703125" style="5" bestFit="1" customWidth="1"/>
    <col min="1798" max="1798" width="8.7109375" style="5" customWidth="1"/>
    <col min="1799" max="1799" width="9.140625" style="5"/>
    <col min="1800" max="1800" width="15.140625" style="5" customWidth="1"/>
    <col min="1801" max="1801" width="17" style="5" customWidth="1"/>
    <col min="1802" max="1810" width="9.140625" style="5"/>
    <col min="1811" max="1811" width="15.5703125" style="5" customWidth="1"/>
    <col min="1812" max="2049" width="9.140625" style="5"/>
    <col min="2050" max="2050" width="1.42578125" style="5" customWidth="1"/>
    <col min="2051" max="2051" width="4.140625" style="5" customWidth="1"/>
    <col min="2052" max="2052" width="1.42578125" style="5" customWidth="1"/>
    <col min="2053" max="2053" width="22.5703125" style="5" bestFit="1" customWidth="1"/>
    <col min="2054" max="2054" width="8.7109375" style="5" customWidth="1"/>
    <col min="2055" max="2055" width="9.140625" style="5"/>
    <col min="2056" max="2056" width="15.140625" style="5" customWidth="1"/>
    <col min="2057" max="2057" width="17" style="5" customWidth="1"/>
    <col min="2058" max="2066" width="9.140625" style="5"/>
    <col min="2067" max="2067" width="15.5703125" style="5" customWidth="1"/>
    <col min="2068" max="2305" width="9.140625" style="5"/>
    <col min="2306" max="2306" width="1.42578125" style="5" customWidth="1"/>
    <col min="2307" max="2307" width="4.140625" style="5" customWidth="1"/>
    <col min="2308" max="2308" width="1.42578125" style="5" customWidth="1"/>
    <col min="2309" max="2309" width="22.5703125" style="5" bestFit="1" customWidth="1"/>
    <col min="2310" max="2310" width="8.7109375" style="5" customWidth="1"/>
    <col min="2311" max="2311" width="9.140625" style="5"/>
    <col min="2312" max="2312" width="15.140625" style="5" customWidth="1"/>
    <col min="2313" max="2313" width="17" style="5" customWidth="1"/>
    <col min="2314" max="2322" width="9.140625" style="5"/>
    <col min="2323" max="2323" width="15.5703125" style="5" customWidth="1"/>
    <col min="2324" max="2561" width="9.140625" style="5"/>
    <col min="2562" max="2562" width="1.42578125" style="5" customWidth="1"/>
    <col min="2563" max="2563" width="4.140625" style="5" customWidth="1"/>
    <col min="2564" max="2564" width="1.42578125" style="5" customWidth="1"/>
    <col min="2565" max="2565" width="22.5703125" style="5" bestFit="1" customWidth="1"/>
    <col min="2566" max="2566" width="8.7109375" style="5" customWidth="1"/>
    <col min="2567" max="2567" width="9.140625" style="5"/>
    <col min="2568" max="2568" width="15.140625" style="5" customWidth="1"/>
    <col min="2569" max="2569" width="17" style="5" customWidth="1"/>
    <col min="2570" max="2578" width="9.140625" style="5"/>
    <col min="2579" max="2579" width="15.5703125" style="5" customWidth="1"/>
    <col min="2580" max="2817" width="9.140625" style="5"/>
    <col min="2818" max="2818" width="1.42578125" style="5" customWidth="1"/>
    <col min="2819" max="2819" width="4.140625" style="5" customWidth="1"/>
    <col min="2820" max="2820" width="1.42578125" style="5" customWidth="1"/>
    <col min="2821" max="2821" width="22.5703125" style="5" bestFit="1" customWidth="1"/>
    <col min="2822" max="2822" width="8.7109375" style="5" customWidth="1"/>
    <col min="2823" max="2823" width="9.140625" style="5"/>
    <col min="2824" max="2824" width="15.140625" style="5" customWidth="1"/>
    <col min="2825" max="2825" width="17" style="5" customWidth="1"/>
    <col min="2826" max="2834" width="9.140625" style="5"/>
    <col min="2835" max="2835" width="15.5703125" style="5" customWidth="1"/>
    <col min="2836" max="3073" width="9.140625" style="5"/>
    <col min="3074" max="3074" width="1.42578125" style="5" customWidth="1"/>
    <col min="3075" max="3075" width="4.140625" style="5" customWidth="1"/>
    <col min="3076" max="3076" width="1.42578125" style="5" customWidth="1"/>
    <col min="3077" max="3077" width="22.5703125" style="5" bestFit="1" customWidth="1"/>
    <col min="3078" max="3078" width="8.7109375" style="5" customWidth="1"/>
    <col min="3079" max="3079" width="9.140625" style="5"/>
    <col min="3080" max="3080" width="15.140625" style="5" customWidth="1"/>
    <col min="3081" max="3081" width="17" style="5" customWidth="1"/>
    <col min="3082" max="3090" width="9.140625" style="5"/>
    <col min="3091" max="3091" width="15.5703125" style="5" customWidth="1"/>
    <col min="3092" max="3329" width="9.140625" style="5"/>
    <col min="3330" max="3330" width="1.42578125" style="5" customWidth="1"/>
    <col min="3331" max="3331" width="4.140625" style="5" customWidth="1"/>
    <col min="3332" max="3332" width="1.42578125" style="5" customWidth="1"/>
    <col min="3333" max="3333" width="22.5703125" style="5" bestFit="1" customWidth="1"/>
    <col min="3334" max="3334" width="8.7109375" style="5" customWidth="1"/>
    <col min="3335" max="3335" width="9.140625" style="5"/>
    <col min="3336" max="3336" width="15.140625" style="5" customWidth="1"/>
    <col min="3337" max="3337" width="17" style="5" customWidth="1"/>
    <col min="3338" max="3346" width="9.140625" style="5"/>
    <col min="3347" max="3347" width="15.5703125" style="5" customWidth="1"/>
    <col min="3348" max="3585" width="9.140625" style="5"/>
    <col min="3586" max="3586" width="1.42578125" style="5" customWidth="1"/>
    <col min="3587" max="3587" width="4.140625" style="5" customWidth="1"/>
    <col min="3588" max="3588" width="1.42578125" style="5" customWidth="1"/>
    <col min="3589" max="3589" width="22.5703125" style="5" bestFit="1" customWidth="1"/>
    <col min="3590" max="3590" width="8.7109375" style="5" customWidth="1"/>
    <col min="3591" max="3591" width="9.140625" style="5"/>
    <col min="3592" max="3592" width="15.140625" style="5" customWidth="1"/>
    <col min="3593" max="3593" width="17" style="5" customWidth="1"/>
    <col min="3594" max="3602" width="9.140625" style="5"/>
    <col min="3603" max="3603" width="15.5703125" style="5" customWidth="1"/>
    <col min="3604" max="3841" width="9.140625" style="5"/>
    <col min="3842" max="3842" width="1.42578125" style="5" customWidth="1"/>
    <col min="3843" max="3843" width="4.140625" style="5" customWidth="1"/>
    <col min="3844" max="3844" width="1.42578125" style="5" customWidth="1"/>
    <col min="3845" max="3845" width="22.5703125" style="5" bestFit="1" customWidth="1"/>
    <col min="3846" max="3846" width="8.7109375" style="5" customWidth="1"/>
    <col min="3847" max="3847" width="9.140625" style="5"/>
    <col min="3848" max="3848" width="15.140625" style="5" customWidth="1"/>
    <col min="3849" max="3849" width="17" style="5" customWidth="1"/>
    <col min="3850" max="3858" width="9.140625" style="5"/>
    <col min="3859" max="3859" width="15.5703125" style="5" customWidth="1"/>
    <col min="3860" max="4097" width="9.140625" style="5"/>
    <col min="4098" max="4098" width="1.42578125" style="5" customWidth="1"/>
    <col min="4099" max="4099" width="4.140625" style="5" customWidth="1"/>
    <col min="4100" max="4100" width="1.42578125" style="5" customWidth="1"/>
    <col min="4101" max="4101" width="22.5703125" style="5" bestFit="1" customWidth="1"/>
    <col min="4102" max="4102" width="8.7109375" style="5" customWidth="1"/>
    <col min="4103" max="4103" width="9.140625" style="5"/>
    <col min="4104" max="4104" width="15.140625" style="5" customWidth="1"/>
    <col min="4105" max="4105" width="17" style="5" customWidth="1"/>
    <col min="4106" max="4114" width="9.140625" style="5"/>
    <col min="4115" max="4115" width="15.5703125" style="5" customWidth="1"/>
    <col min="4116" max="4353" width="9.140625" style="5"/>
    <col min="4354" max="4354" width="1.42578125" style="5" customWidth="1"/>
    <col min="4355" max="4355" width="4.140625" style="5" customWidth="1"/>
    <col min="4356" max="4356" width="1.42578125" style="5" customWidth="1"/>
    <col min="4357" max="4357" width="22.5703125" style="5" bestFit="1" customWidth="1"/>
    <col min="4358" max="4358" width="8.7109375" style="5" customWidth="1"/>
    <col min="4359" max="4359" width="9.140625" style="5"/>
    <col min="4360" max="4360" width="15.140625" style="5" customWidth="1"/>
    <col min="4361" max="4361" width="17" style="5" customWidth="1"/>
    <col min="4362" max="4370" width="9.140625" style="5"/>
    <col min="4371" max="4371" width="15.5703125" style="5" customWidth="1"/>
    <col min="4372" max="4609" width="9.140625" style="5"/>
    <col min="4610" max="4610" width="1.42578125" style="5" customWidth="1"/>
    <col min="4611" max="4611" width="4.140625" style="5" customWidth="1"/>
    <col min="4612" max="4612" width="1.42578125" style="5" customWidth="1"/>
    <col min="4613" max="4613" width="22.5703125" style="5" bestFit="1" customWidth="1"/>
    <col min="4614" max="4614" width="8.7109375" style="5" customWidth="1"/>
    <col min="4615" max="4615" width="9.140625" style="5"/>
    <col min="4616" max="4616" width="15.140625" style="5" customWidth="1"/>
    <col min="4617" max="4617" width="17" style="5" customWidth="1"/>
    <col min="4618" max="4626" width="9.140625" style="5"/>
    <col min="4627" max="4627" width="15.5703125" style="5" customWidth="1"/>
    <col min="4628" max="4865" width="9.140625" style="5"/>
    <col min="4866" max="4866" width="1.42578125" style="5" customWidth="1"/>
    <col min="4867" max="4867" width="4.140625" style="5" customWidth="1"/>
    <col min="4868" max="4868" width="1.42578125" style="5" customWidth="1"/>
    <col min="4869" max="4869" width="22.5703125" style="5" bestFit="1" customWidth="1"/>
    <col min="4870" max="4870" width="8.7109375" style="5" customWidth="1"/>
    <col min="4871" max="4871" width="9.140625" style="5"/>
    <col min="4872" max="4872" width="15.140625" style="5" customWidth="1"/>
    <col min="4873" max="4873" width="17" style="5" customWidth="1"/>
    <col min="4874" max="4882" width="9.140625" style="5"/>
    <col min="4883" max="4883" width="15.5703125" style="5" customWidth="1"/>
    <col min="4884" max="5121" width="9.140625" style="5"/>
    <col min="5122" max="5122" width="1.42578125" style="5" customWidth="1"/>
    <col min="5123" max="5123" width="4.140625" style="5" customWidth="1"/>
    <col min="5124" max="5124" width="1.42578125" style="5" customWidth="1"/>
    <col min="5125" max="5125" width="22.5703125" style="5" bestFit="1" customWidth="1"/>
    <col min="5126" max="5126" width="8.7109375" style="5" customWidth="1"/>
    <col min="5127" max="5127" width="9.140625" style="5"/>
    <col min="5128" max="5128" width="15.140625" style="5" customWidth="1"/>
    <col min="5129" max="5129" width="17" style="5" customWidth="1"/>
    <col min="5130" max="5138" width="9.140625" style="5"/>
    <col min="5139" max="5139" width="15.5703125" style="5" customWidth="1"/>
    <col min="5140" max="5377" width="9.140625" style="5"/>
    <col min="5378" max="5378" width="1.42578125" style="5" customWidth="1"/>
    <col min="5379" max="5379" width="4.140625" style="5" customWidth="1"/>
    <col min="5380" max="5380" width="1.42578125" style="5" customWidth="1"/>
    <col min="5381" max="5381" width="22.5703125" style="5" bestFit="1" customWidth="1"/>
    <col min="5382" max="5382" width="8.7109375" style="5" customWidth="1"/>
    <col min="5383" max="5383" width="9.140625" style="5"/>
    <col min="5384" max="5384" width="15.140625" style="5" customWidth="1"/>
    <col min="5385" max="5385" width="17" style="5" customWidth="1"/>
    <col min="5386" max="5394" width="9.140625" style="5"/>
    <col min="5395" max="5395" width="15.5703125" style="5" customWidth="1"/>
    <col min="5396" max="5633" width="9.140625" style="5"/>
    <col min="5634" max="5634" width="1.42578125" style="5" customWidth="1"/>
    <col min="5635" max="5635" width="4.140625" style="5" customWidth="1"/>
    <col min="5636" max="5636" width="1.42578125" style="5" customWidth="1"/>
    <col min="5637" max="5637" width="22.5703125" style="5" bestFit="1" customWidth="1"/>
    <col min="5638" max="5638" width="8.7109375" style="5" customWidth="1"/>
    <col min="5639" max="5639" width="9.140625" style="5"/>
    <col min="5640" max="5640" width="15.140625" style="5" customWidth="1"/>
    <col min="5641" max="5641" width="17" style="5" customWidth="1"/>
    <col min="5642" max="5650" width="9.140625" style="5"/>
    <col min="5651" max="5651" width="15.5703125" style="5" customWidth="1"/>
    <col min="5652" max="5889" width="9.140625" style="5"/>
    <col min="5890" max="5890" width="1.42578125" style="5" customWidth="1"/>
    <col min="5891" max="5891" width="4.140625" style="5" customWidth="1"/>
    <col min="5892" max="5892" width="1.42578125" style="5" customWidth="1"/>
    <col min="5893" max="5893" width="22.5703125" style="5" bestFit="1" customWidth="1"/>
    <col min="5894" max="5894" width="8.7109375" style="5" customWidth="1"/>
    <col min="5895" max="5895" width="9.140625" style="5"/>
    <col min="5896" max="5896" width="15.140625" style="5" customWidth="1"/>
    <col min="5897" max="5897" width="17" style="5" customWidth="1"/>
    <col min="5898" max="5906" width="9.140625" style="5"/>
    <col min="5907" max="5907" width="15.5703125" style="5" customWidth="1"/>
    <col min="5908" max="6145" width="9.140625" style="5"/>
    <col min="6146" max="6146" width="1.42578125" style="5" customWidth="1"/>
    <col min="6147" max="6147" width="4.140625" style="5" customWidth="1"/>
    <col min="6148" max="6148" width="1.42578125" style="5" customWidth="1"/>
    <col min="6149" max="6149" width="22.5703125" style="5" bestFit="1" customWidth="1"/>
    <col min="6150" max="6150" width="8.7109375" style="5" customWidth="1"/>
    <col min="6151" max="6151" width="9.140625" style="5"/>
    <col min="6152" max="6152" width="15.140625" style="5" customWidth="1"/>
    <col min="6153" max="6153" width="17" style="5" customWidth="1"/>
    <col min="6154" max="6162" width="9.140625" style="5"/>
    <col min="6163" max="6163" width="15.5703125" style="5" customWidth="1"/>
    <col min="6164" max="6401" width="9.140625" style="5"/>
    <col min="6402" max="6402" width="1.42578125" style="5" customWidth="1"/>
    <col min="6403" max="6403" width="4.140625" style="5" customWidth="1"/>
    <col min="6404" max="6404" width="1.42578125" style="5" customWidth="1"/>
    <col min="6405" max="6405" width="22.5703125" style="5" bestFit="1" customWidth="1"/>
    <col min="6406" max="6406" width="8.7109375" style="5" customWidth="1"/>
    <col min="6407" max="6407" width="9.140625" style="5"/>
    <col min="6408" max="6408" width="15.140625" style="5" customWidth="1"/>
    <col min="6409" max="6409" width="17" style="5" customWidth="1"/>
    <col min="6410" max="6418" width="9.140625" style="5"/>
    <col min="6419" max="6419" width="15.5703125" style="5" customWidth="1"/>
    <col min="6420" max="6657" width="9.140625" style="5"/>
    <col min="6658" max="6658" width="1.42578125" style="5" customWidth="1"/>
    <col min="6659" max="6659" width="4.140625" style="5" customWidth="1"/>
    <col min="6660" max="6660" width="1.42578125" style="5" customWidth="1"/>
    <col min="6661" max="6661" width="22.5703125" style="5" bestFit="1" customWidth="1"/>
    <col min="6662" max="6662" width="8.7109375" style="5" customWidth="1"/>
    <col min="6663" max="6663" width="9.140625" style="5"/>
    <col min="6664" max="6664" width="15.140625" style="5" customWidth="1"/>
    <col min="6665" max="6665" width="17" style="5" customWidth="1"/>
    <col min="6666" max="6674" width="9.140625" style="5"/>
    <col min="6675" max="6675" width="15.5703125" style="5" customWidth="1"/>
    <col min="6676" max="6913" width="9.140625" style="5"/>
    <col min="6914" max="6914" width="1.42578125" style="5" customWidth="1"/>
    <col min="6915" max="6915" width="4.140625" style="5" customWidth="1"/>
    <col min="6916" max="6916" width="1.42578125" style="5" customWidth="1"/>
    <col min="6917" max="6917" width="22.5703125" style="5" bestFit="1" customWidth="1"/>
    <col min="6918" max="6918" width="8.7109375" style="5" customWidth="1"/>
    <col min="6919" max="6919" width="9.140625" style="5"/>
    <col min="6920" max="6920" width="15.140625" style="5" customWidth="1"/>
    <col min="6921" max="6921" width="17" style="5" customWidth="1"/>
    <col min="6922" max="6930" width="9.140625" style="5"/>
    <col min="6931" max="6931" width="15.5703125" style="5" customWidth="1"/>
    <col min="6932" max="7169" width="9.140625" style="5"/>
    <col min="7170" max="7170" width="1.42578125" style="5" customWidth="1"/>
    <col min="7171" max="7171" width="4.140625" style="5" customWidth="1"/>
    <col min="7172" max="7172" width="1.42578125" style="5" customWidth="1"/>
    <col min="7173" max="7173" width="22.5703125" style="5" bestFit="1" customWidth="1"/>
    <col min="7174" max="7174" width="8.7109375" style="5" customWidth="1"/>
    <col min="7175" max="7175" width="9.140625" style="5"/>
    <col min="7176" max="7176" width="15.140625" style="5" customWidth="1"/>
    <col min="7177" max="7177" width="17" style="5" customWidth="1"/>
    <col min="7178" max="7186" width="9.140625" style="5"/>
    <col min="7187" max="7187" width="15.5703125" style="5" customWidth="1"/>
    <col min="7188" max="7425" width="9.140625" style="5"/>
    <col min="7426" max="7426" width="1.42578125" style="5" customWidth="1"/>
    <col min="7427" max="7427" width="4.140625" style="5" customWidth="1"/>
    <col min="7428" max="7428" width="1.42578125" style="5" customWidth="1"/>
    <col min="7429" max="7429" width="22.5703125" style="5" bestFit="1" customWidth="1"/>
    <col min="7430" max="7430" width="8.7109375" style="5" customWidth="1"/>
    <col min="7431" max="7431" width="9.140625" style="5"/>
    <col min="7432" max="7432" width="15.140625" style="5" customWidth="1"/>
    <col min="7433" max="7433" width="17" style="5" customWidth="1"/>
    <col min="7434" max="7442" width="9.140625" style="5"/>
    <col min="7443" max="7443" width="15.5703125" style="5" customWidth="1"/>
    <col min="7444" max="7681" width="9.140625" style="5"/>
    <col min="7682" max="7682" width="1.42578125" style="5" customWidth="1"/>
    <col min="7683" max="7683" width="4.140625" style="5" customWidth="1"/>
    <col min="7684" max="7684" width="1.42578125" style="5" customWidth="1"/>
    <col min="7685" max="7685" width="22.5703125" style="5" bestFit="1" customWidth="1"/>
    <col min="7686" max="7686" width="8.7109375" style="5" customWidth="1"/>
    <col min="7687" max="7687" width="9.140625" style="5"/>
    <col min="7688" max="7688" width="15.140625" style="5" customWidth="1"/>
    <col min="7689" max="7689" width="17" style="5" customWidth="1"/>
    <col min="7690" max="7698" width="9.140625" style="5"/>
    <col min="7699" max="7699" width="15.5703125" style="5" customWidth="1"/>
    <col min="7700" max="7937" width="9.140625" style="5"/>
    <col min="7938" max="7938" width="1.42578125" style="5" customWidth="1"/>
    <col min="7939" max="7939" width="4.140625" style="5" customWidth="1"/>
    <col min="7940" max="7940" width="1.42578125" style="5" customWidth="1"/>
    <col min="7941" max="7941" width="22.5703125" style="5" bestFit="1" customWidth="1"/>
    <col min="7942" max="7942" width="8.7109375" style="5" customWidth="1"/>
    <col min="7943" max="7943" width="9.140625" style="5"/>
    <col min="7944" max="7944" width="15.140625" style="5" customWidth="1"/>
    <col min="7945" max="7945" width="17" style="5" customWidth="1"/>
    <col min="7946" max="7954" width="9.140625" style="5"/>
    <col min="7955" max="7955" width="15.5703125" style="5" customWidth="1"/>
    <col min="7956" max="8193" width="9.140625" style="5"/>
    <col min="8194" max="8194" width="1.42578125" style="5" customWidth="1"/>
    <col min="8195" max="8195" width="4.140625" style="5" customWidth="1"/>
    <col min="8196" max="8196" width="1.42578125" style="5" customWidth="1"/>
    <col min="8197" max="8197" width="22.5703125" style="5" bestFit="1" customWidth="1"/>
    <col min="8198" max="8198" width="8.7109375" style="5" customWidth="1"/>
    <col min="8199" max="8199" width="9.140625" style="5"/>
    <col min="8200" max="8200" width="15.140625" style="5" customWidth="1"/>
    <col min="8201" max="8201" width="17" style="5" customWidth="1"/>
    <col min="8202" max="8210" width="9.140625" style="5"/>
    <col min="8211" max="8211" width="15.5703125" style="5" customWidth="1"/>
    <col min="8212" max="8449" width="9.140625" style="5"/>
    <col min="8450" max="8450" width="1.42578125" style="5" customWidth="1"/>
    <col min="8451" max="8451" width="4.140625" style="5" customWidth="1"/>
    <col min="8452" max="8452" width="1.42578125" style="5" customWidth="1"/>
    <col min="8453" max="8453" width="22.5703125" style="5" bestFit="1" customWidth="1"/>
    <col min="8454" max="8454" width="8.7109375" style="5" customWidth="1"/>
    <col min="8455" max="8455" width="9.140625" style="5"/>
    <col min="8456" max="8456" width="15.140625" style="5" customWidth="1"/>
    <col min="8457" max="8457" width="17" style="5" customWidth="1"/>
    <col min="8458" max="8466" width="9.140625" style="5"/>
    <col min="8467" max="8467" width="15.5703125" style="5" customWidth="1"/>
    <col min="8468" max="8705" width="9.140625" style="5"/>
    <col min="8706" max="8706" width="1.42578125" style="5" customWidth="1"/>
    <col min="8707" max="8707" width="4.140625" style="5" customWidth="1"/>
    <col min="8708" max="8708" width="1.42578125" style="5" customWidth="1"/>
    <col min="8709" max="8709" width="22.5703125" style="5" bestFit="1" customWidth="1"/>
    <col min="8710" max="8710" width="8.7109375" style="5" customWidth="1"/>
    <col min="8711" max="8711" width="9.140625" style="5"/>
    <col min="8712" max="8712" width="15.140625" style="5" customWidth="1"/>
    <col min="8713" max="8713" width="17" style="5" customWidth="1"/>
    <col min="8714" max="8722" width="9.140625" style="5"/>
    <col min="8723" max="8723" width="15.5703125" style="5" customWidth="1"/>
    <col min="8724" max="8961" width="9.140625" style="5"/>
    <col min="8962" max="8962" width="1.42578125" style="5" customWidth="1"/>
    <col min="8963" max="8963" width="4.140625" style="5" customWidth="1"/>
    <col min="8964" max="8964" width="1.42578125" style="5" customWidth="1"/>
    <col min="8965" max="8965" width="22.5703125" style="5" bestFit="1" customWidth="1"/>
    <col min="8966" max="8966" width="8.7109375" style="5" customWidth="1"/>
    <col min="8967" max="8967" width="9.140625" style="5"/>
    <col min="8968" max="8968" width="15.140625" style="5" customWidth="1"/>
    <col min="8969" max="8969" width="17" style="5" customWidth="1"/>
    <col min="8970" max="8978" width="9.140625" style="5"/>
    <col min="8979" max="8979" width="15.5703125" style="5" customWidth="1"/>
    <col min="8980" max="9217" width="9.140625" style="5"/>
    <col min="9218" max="9218" width="1.42578125" style="5" customWidth="1"/>
    <col min="9219" max="9219" width="4.140625" style="5" customWidth="1"/>
    <col min="9220" max="9220" width="1.42578125" style="5" customWidth="1"/>
    <col min="9221" max="9221" width="22.5703125" style="5" bestFit="1" customWidth="1"/>
    <col min="9222" max="9222" width="8.7109375" style="5" customWidth="1"/>
    <col min="9223" max="9223" width="9.140625" style="5"/>
    <col min="9224" max="9224" width="15.140625" style="5" customWidth="1"/>
    <col min="9225" max="9225" width="17" style="5" customWidth="1"/>
    <col min="9226" max="9234" width="9.140625" style="5"/>
    <col min="9235" max="9235" width="15.5703125" style="5" customWidth="1"/>
    <col min="9236" max="9473" width="9.140625" style="5"/>
    <col min="9474" max="9474" width="1.42578125" style="5" customWidth="1"/>
    <col min="9475" max="9475" width="4.140625" style="5" customWidth="1"/>
    <col min="9476" max="9476" width="1.42578125" style="5" customWidth="1"/>
    <col min="9477" max="9477" width="22.5703125" style="5" bestFit="1" customWidth="1"/>
    <col min="9478" max="9478" width="8.7109375" style="5" customWidth="1"/>
    <col min="9479" max="9479" width="9.140625" style="5"/>
    <col min="9480" max="9480" width="15.140625" style="5" customWidth="1"/>
    <col min="9481" max="9481" width="17" style="5" customWidth="1"/>
    <col min="9482" max="9490" width="9.140625" style="5"/>
    <col min="9491" max="9491" width="15.5703125" style="5" customWidth="1"/>
    <col min="9492" max="9729" width="9.140625" style="5"/>
    <col min="9730" max="9730" width="1.42578125" style="5" customWidth="1"/>
    <col min="9731" max="9731" width="4.140625" style="5" customWidth="1"/>
    <col min="9732" max="9732" width="1.42578125" style="5" customWidth="1"/>
    <col min="9733" max="9733" width="22.5703125" style="5" bestFit="1" customWidth="1"/>
    <col min="9734" max="9734" width="8.7109375" style="5" customWidth="1"/>
    <col min="9735" max="9735" width="9.140625" style="5"/>
    <col min="9736" max="9736" width="15.140625" style="5" customWidth="1"/>
    <col min="9737" max="9737" width="17" style="5" customWidth="1"/>
    <col min="9738" max="9746" width="9.140625" style="5"/>
    <col min="9747" max="9747" width="15.5703125" style="5" customWidth="1"/>
    <col min="9748" max="9985" width="9.140625" style="5"/>
    <col min="9986" max="9986" width="1.42578125" style="5" customWidth="1"/>
    <col min="9987" max="9987" width="4.140625" style="5" customWidth="1"/>
    <col min="9988" max="9988" width="1.42578125" style="5" customWidth="1"/>
    <col min="9989" max="9989" width="22.5703125" style="5" bestFit="1" customWidth="1"/>
    <col min="9990" max="9990" width="8.7109375" style="5" customWidth="1"/>
    <col min="9991" max="9991" width="9.140625" style="5"/>
    <col min="9992" max="9992" width="15.140625" style="5" customWidth="1"/>
    <col min="9993" max="9993" width="17" style="5" customWidth="1"/>
    <col min="9994" max="10002" width="9.140625" style="5"/>
    <col min="10003" max="10003" width="15.5703125" style="5" customWidth="1"/>
    <col min="10004" max="10241" width="9.140625" style="5"/>
    <col min="10242" max="10242" width="1.42578125" style="5" customWidth="1"/>
    <col min="10243" max="10243" width="4.140625" style="5" customWidth="1"/>
    <col min="10244" max="10244" width="1.42578125" style="5" customWidth="1"/>
    <col min="10245" max="10245" width="22.5703125" style="5" bestFit="1" customWidth="1"/>
    <col min="10246" max="10246" width="8.7109375" style="5" customWidth="1"/>
    <col min="10247" max="10247" width="9.140625" style="5"/>
    <col min="10248" max="10248" width="15.140625" style="5" customWidth="1"/>
    <col min="10249" max="10249" width="17" style="5" customWidth="1"/>
    <col min="10250" max="10258" width="9.140625" style="5"/>
    <col min="10259" max="10259" width="15.5703125" style="5" customWidth="1"/>
    <col min="10260" max="10497" width="9.140625" style="5"/>
    <col min="10498" max="10498" width="1.42578125" style="5" customWidth="1"/>
    <col min="10499" max="10499" width="4.140625" style="5" customWidth="1"/>
    <col min="10500" max="10500" width="1.42578125" style="5" customWidth="1"/>
    <col min="10501" max="10501" width="22.5703125" style="5" bestFit="1" customWidth="1"/>
    <col min="10502" max="10502" width="8.7109375" style="5" customWidth="1"/>
    <col min="10503" max="10503" width="9.140625" style="5"/>
    <col min="10504" max="10504" width="15.140625" style="5" customWidth="1"/>
    <col min="10505" max="10505" width="17" style="5" customWidth="1"/>
    <col min="10506" max="10514" width="9.140625" style="5"/>
    <col min="10515" max="10515" width="15.5703125" style="5" customWidth="1"/>
    <col min="10516" max="10753" width="9.140625" style="5"/>
    <col min="10754" max="10754" width="1.42578125" style="5" customWidth="1"/>
    <col min="10755" max="10755" width="4.140625" style="5" customWidth="1"/>
    <col min="10756" max="10756" width="1.42578125" style="5" customWidth="1"/>
    <col min="10757" max="10757" width="22.5703125" style="5" bestFit="1" customWidth="1"/>
    <col min="10758" max="10758" width="8.7109375" style="5" customWidth="1"/>
    <col min="10759" max="10759" width="9.140625" style="5"/>
    <col min="10760" max="10760" width="15.140625" style="5" customWidth="1"/>
    <col min="10761" max="10761" width="17" style="5" customWidth="1"/>
    <col min="10762" max="10770" width="9.140625" style="5"/>
    <col min="10771" max="10771" width="15.5703125" style="5" customWidth="1"/>
    <col min="10772" max="11009" width="9.140625" style="5"/>
    <col min="11010" max="11010" width="1.42578125" style="5" customWidth="1"/>
    <col min="11011" max="11011" width="4.140625" style="5" customWidth="1"/>
    <col min="11012" max="11012" width="1.42578125" style="5" customWidth="1"/>
    <col min="11013" max="11013" width="22.5703125" style="5" bestFit="1" customWidth="1"/>
    <col min="11014" max="11014" width="8.7109375" style="5" customWidth="1"/>
    <col min="11015" max="11015" width="9.140625" style="5"/>
    <col min="11016" max="11016" width="15.140625" style="5" customWidth="1"/>
    <col min="11017" max="11017" width="17" style="5" customWidth="1"/>
    <col min="11018" max="11026" width="9.140625" style="5"/>
    <col min="11027" max="11027" width="15.5703125" style="5" customWidth="1"/>
    <col min="11028" max="11265" width="9.140625" style="5"/>
    <col min="11266" max="11266" width="1.42578125" style="5" customWidth="1"/>
    <col min="11267" max="11267" width="4.140625" style="5" customWidth="1"/>
    <col min="11268" max="11268" width="1.42578125" style="5" customWidth="1"/>
    <col min="11269" max="11269" width="22.5703125" style="5" bestFit="1" customWidth="1"/>
    <col min="11270" max="11270" width="8.7109375" style="5" customWidth="1"/>
    <col min="11271" max="11271" width="9.140625" style="5"/>
    <col min="11272" max="11272" width="15.140625" style="5" customWidth="1"/>
    <col min="11273" max="11273" width="17" style="5" customWidth="1"/>
    <col min="11274" max="11282" width="9.140625" style="5"/>
    <col min="11283" max="11283" width="15.5703125" style="5" customWidth="1"/>
    <col min="11284" max="11521" width="9.140625" style="5"/>
    <col min="11522" max="11522" width="1.42578125" style="5" customWidth="1"/>
    <col min="11523" max="11523" width="4.140625" style="5" customWidth="1"/>
    <col min="11524" max="11524" width="1.42578125" style="5" customWidth="1"/>
    <col min="11525" max="11525" width="22.5703125" style="5" bestFit="1" customWidth="1"/>
    <col min="11526" max="11526" width="8.7109375" style="5" customWidth="1"/>
    <col min="11527" max="11527" width="9.140625" style="5"/>
    <col min="11528" max="11528" width="15.140625" style="5" customWidth="1"/>
    <col min="11529" max="11529" width="17" style="5" customWidth="1"/>
    <col min="11530" max="11538" width="9.140625" style="5"/>
    <col min="11539" max="11539" width="15.5703125" style="5" customWidth="1"/>
    <col min="11540" max="11777" width="9.140625" style="5"/>
    <col min="11778" max="11778" width="1.42578125" style="5" customWidth="1"/>
    <col min="11779" max="11779" width="4.140625" style="5" customWidth="1"/>
    <col min="11780" max="11780" width="1.42578125" style="5" customWidth="1"/>
    <col min="11781" max="11781" width="22.5703125" style="5" bestFit="1" customWidth="1"/>
    <col min="11782" max="11782" width="8.7109375" style="5" customWidth="1"/>
    <col min="11783" max="11783" width="9.140625" style="5"/>
    <col min="11784" max="11784" width="15.140625" style="5" customWidth="1"/>
    <col min="11785" max="11785" width="17" style="5" customWidth="1"/>
    <col min="11786" max="11794" width="9.140625" style="5"/>
    <col min="11795" max="11795" width="15.5703125" style="5" customWidth="1"/>
    <col min="11796" max="12033" width="9.140625" style="5"/>
    <col min="12034" max="12034" width="1.42578125" style="5" customWidth="1"/>
    <col min="12035" max="12035" width="4.140625" style="5" customWidth="1"/>
    <col min="12036" max="12036" width="1.42578125" style="5" customWidth="1"/>
    <col min="12037" max="12037" width="22.5703125" style="5" bestFit="1" customWidth="1"/>
    <col min="12038" max="12038" width="8.7109375" style="5" customWidth="1"/>
    <col min="12039" max="12039" width="9.140625" style="5"/>
    <col min="12040" max="12040" width="15.140625" style="5" customWidth="1"/>
    <col min="12041" max="12041" width="17" style="5" customWidth="1"/>
    <col min="12042" max="12050" width="9.140625" style="5"/>
    <col min="12051" max="12051" width="15.5703125" style="5" customWidth="1"/>
    <col min="12052" max="12289" width="9.140625" style="5"/>
    <col min="12290" max="12290" width="1.42578125" style="5" customWidth="1"/>
    <col min="12291" max="12291" width="4.140625" style="5" customWidth="1"/>
    <col min="12292" max="12292" width="1.42578125" style="5" customWidth="1"/>
    <col min="12293" max="12293" width="22.5703125" style="5" bestFit="1" customWidth="1"/>
    <col min="12294" max="12294" width="8.7109375" style="5" customWidth="1"/>
    <col min="12295" max="12295" width="9.140625" style="5"/>
    <col min="12296" max="12296" width="15.140625" style="5" customWidth="1"/>
    <col min="12297" max="12297" width="17" style="5" customWidth="1"/>
    <col min="12298" max="12306" width="9.140625" style="5"/>
    <col min="12307" max="12307" width="15.5703125" style="5" customWidth="1"/>
    <col min="12308" max="12545" width="9.140625" style="5"/>
    <col min="12546" max="12546" width="1.42578125" style="5" customWidth="1"/>
    <col min="12547" max="12547" width="4.140625" style="5" customWidth="1"/>
    <col min="12548" max="12548" width="1.42578125" style="5" customWidth="1"/>
    <col min="12549" max="12549" width="22.5703125" style="5" bestFit="1" customWidth="1"/>
    <col min="12550" max="12550" width="8.7109375" style="5" customWidth="1"/>
    <col min="12551" max="12551" width="9.140625" style="5"/>
    <col min="12552" max="12552" width="15.140625" style="5" customWidth="1"/>
    <col min="12553" max="12553" width="17" style="5" customWidth="1"/>
    <col min="12554" max="12562" width="9.140625" style="5"/>
    <col min="12563" max="12563" width="15.5703125" style="5" customWidth="1"/>
    <col min="12564" max="12801" width="9.140625" style="5"/>
    <col min="12802" max="12802" width="1.42578125" style="5" customWidth="1"/>
    <col min="12803" max="12803" width="4.140625" style="5" customWidth="1"/>
    <col min="12804" max="12804" width="1.42578125" style="5" customWidth="1"/>
    <col min="12805" max="12805" width="22.5703125" style="5" bestFit="1" customWidth="1"/>
    <col min="12806" max="12806" width="8.7109375" style="5" customWidth="1"/>
    <col min="12807" max="12807" width="9.140625" style="5"/>
    <col min="12808" max="12808" width="15.140625" style="5" customWidth="1"/>
    <col min="12809" max="12809" width="17" style="5" customWidth="1"/>
    <col min="12810" max="12818" width="9.140625" style="5"/>
    <col min="12819" max="12819" width="15.5703125" style="5" customWidth="1"/>
    <col min="12820" max="13057" width="9.140625" style="5"/>
    <col min="13058" max="13058" width="1.42578125" style="5" customWidth="1"/>
    <col min="13059" max="13059" width="4.140625" style="5" customWidth="1"/>
    <col min="13060" max="13060" width="1.42578125" style="5" customWidth="1"/>
    <col min="13061" max="13061" width="22.5703125" style="5" bestFit="1" customWidth="1"/>
    <col min="13062" max="13062" width="8.7109375" style="5" customWidth="1"/>
    <col min="13063" max="13063" width="9.140625" style="5"/>
    <col min="13064" max="13064" width="15.140625" style="5" customWidth="1"/>
    <col min="13065" max="13065" width="17" style="5" customWidth="1"/>
    <col min="13066" max="13074" width="9.140625" style="5"/>
    <col min="13075" max="13075" width="15.5703125" style="5" customWidth="1"/>
    <col min="13076" max="13313" width="9.140625" style="5"/>
    <col min="13314" max="13314" width="1.42578125" style="5" customWidth="1"/>
    <col min="13315" max="13315" width="4.140625" style="5" customWidth="1"/>
    <col min="13316" max="13316" width="1.42578125" style="5" customWidth="1"/>
    <col min="13317" max="13317" width="22.5703125" style="5" bestFit="1" customWidth="1"/>
    <col min="13318" max="13318" width="8.7109375" style="5" customWidth="1"/>
    <col min="13319" max="13319" width="9.140625" style="5"/>
    <col min="13320" max="13320" width="15.140625" style="5" customWidth="1"/>
    <col min="13321" max="13321" width="17" style="5" customWidth="1"/>
    <col min="13322" max="13330" width="9.140625" style="5"/>
    <col min="13331" max="13331" width="15.5703125" style="5" customWidth="1"/>
    <col min="13332" max="13569" width="9.140625" style="5"/>
    <col min="13570" max="13570" width="1.42578125" style="5" customWidth="1"/>
    <col min="13571" max="13571" width="4.140625" style="5" customWidth="1"/>
    <col min="13572" max="13572" width="1.42578125" style="5" customWidth="1"/>
    <col min="13573" max="13573" width="22.5703125" style="5" bestFit="1" customWidth="1"/>
    <col min="13574" max="13574" width="8.7109375" style="5" customWidth="1"/>
    <col min="13575" max="13575" width="9.140625" style="5"/>
    <col min="13576" max="13576" width="15.140625" style="5" customWidth="1"/>
    <col min="13577" max="13577" width="17" style="5" customWidth="1"/>
    <col min="13578" max="13586" width="9.140625" style="5"/>
    <col min="13587" max="13587" width="15.5703125" style="5" customWidth="1"/>
    <col min="13588" max="13825" width="9.140625" style="5"/>
    <col min="13826" max="13826" width="1.42578125" style="5" customWidth="1"/>
    <col min="13827" max="13827" width="4.140625" style="5" customWidth="1"/>
    <col min="13828" max="13828" width="1.42578125" style="5" customWidth="1"/>
    <col min="13829" max="13829" width="22.5703125" style="5" bestFit="1" customWidth="1"/>
    <col min="13830" max="13830" width="8.7109375" style="5" customWidth="1"/>
    <col min="13831" max="13831" width="9.140625" style="5"/>
    <col min="13832" max="13832" width="15.140625" style="5" customWidth="1"/>
    <col min="13833" max="13833" width="17" style="5" customWidth="1"/>
    <col min="13834" max="13842" width="9.140625" style="5"/>
    <col min="13843" max="13843" width="15.5703125" style="5" customWidth="1"/>
    <col min="13844" max="14081" width="9.140625" style="5"/>
    <col min="14082" max="14082" width="1.42578125" style="5" customWidth="1"/>
    <col min="14083" max="14083" width="4.140625" style="5" customWidth="1"/>
    <col min="14084" max="14084" width="1.42578125" style="5" customWidth="1"/>
    <col min="14085" max="14085" width="22.5703125" style="5" bestFit="1" customWidth="1"/>
    <col min="14086" max="14086" width="8.7109375" style="5" customWidth="1"/>
    <col min="14087" max="14087" width="9.140625" style="5"/>
    <col min="14088" max="14088" width="15.140625" style="5" customWidth="1"/>
    <col min="14089" max="14089" width="17" style="5" customWidth="1"/>
    <col min="14090" max="14098" width="9.140625" style="5"/>
    <col min="14099" max="14099" width="15.5703125" style="5" customWidth="1"/>
    <col min="14100" max="14337" width="9.140625" style="5"/>
    <col min="14338" max="14338" width="1.42578125" style="5" customWidth="1"/>
    <col min="14339" max="14339" width="4.140625" style="5" customWidth="1"/>
    <col min="14340" max="14340" width="1.42578125" style="5" customWidth="1"/>
    <col min="14341" max="14341" width="22.5703125" style="5" bestFit="1" customWidth="1"/>
    <col min="14342" max="14342" width="8.7109375" style="5" customWidth="1"/>
    <col min="14343" max="14343" width="9.140625" style="5"/>
    <col min="14344" max="14344" width="15.140625" style="5" customWidth="1"/>
    <col min="14345" max="14345" width="17" style="5" customWidth="1"/>
    <col min="14346" max="14354" width="9.140625" style="5"/>
    <col min="14355" max="14355" width="15.5703125" style="5" customWidth="1"/>
    <col min="14356" max="14593" width="9.140625" style="5"/>
    <col min="14594" max="14594" width="1.42578125" style="5" customWidth="1"/>
    <col min="14595" max="14595" width="4.140625" style="5" customWidth="1"/>
    <col min="14596" max="14596" width="1.42578125" style="5" customWidth="1"/>
    <col min="14597" max="14597" width="22.5703125" style="5" bestFit="1" customWidth="1"/>
    <col min="14598" max="14598" width="8.7109375" style="5" customWidth="1"/>
    <col min="14599" max="14599" width="9.140625" style="5"/>
    <col min="14600" max="14600" width="15.140625" style="5" customWidth="1"/>
    <col min="14601" max="14601" width="17" style="5" customWidth="1"/>
    <col min="14602" max="14610" width="9.140625" style="5"/>
    <col min="14611" max="14611" width="15.5703125" style="5" customWidth="1"/>
    <col min="14612" max="14849" width="9.140625" style="5"/>
    <col min="14850" max="14850" width="1.42578125" style="5" customWidth="1"/>
    <col min="14851" max="14851" width="4.140625" style="5" customWidth="1"/>
    <col min="14852" max="14852" width="1.42578125" style="5" customWidth="1"/>
    <col min="14853" max="14853" width="22.5703125" style="5" bestFit="1" customWidth="1"/>
    <col min="14854" max="14854" width="8.7109375" style="5" customWidth="1"/>
    <col min="14855" max="14855" width="9.140625" style="5"/>
    <col min="14856" max="14856" width="15.140625" style="5" customWidth="1"/>
    <col min="14857" max="14857" width="17" style="5" customWidth="1"/>
    <col min="14858" max="14866" width="9.140625" style="5"/>
    <col min="14867" max="14867" width="15.5703125" style="5" customWidth="1"/>
    <col min="14868" max="15105" width="9.140625" style="5"/>
    <col min="15106" max="15106" width="1.42578125" style="5" customWidth="1"/>
    <col min="15107" max="15107" width="4.140625" style="5" customWidth="1"/>
    <col min="15108" max="15108" width="1.42578125" style="5" customWidth="1"/>
    <col min="15109" max="15109" width="22.5703125" style="5" bestFit="1" customWidth="1"/>
    <col min="15110" max="15110" width="8.7109375" style="5" customWidth="1"/>
    <col min="15111" max="15111" width="9.140625" style="5"/>
    <col min="15112" max="15112" width="15.140625" style="5" customWidth="1"/>
    <col min="15113" max="15113" width="17" style="5" customWidth="1"/>
    <col min="15114" max="15122" width="9.140625" style="5"/>
    <col min="15123" max="15123" width="15.5703125" style="5" customWidth="1"/>
    <col min="15124" max="15361" width="9.140625" style="5"/>
    <col min="15362" max="15362" width="1.42578125" style="5" customWidth="1"/>
    <col min="15363" max="15363" width="4.140625" style="5" customWidth="1"/>
    <col min="15364" max="15364" width="1.42578125" style="5" customWidth="1"/>
    <col min="15365" max="15365" width="22.5703125" style="5" bestFit="1" customWidth="1"/>
    <col min="15366" max="15366" width="8.7109375" style="5" customWidth="1"/>
    <col min="15367" max="15367" width="9.140625" style="5"/>
    <col min="15368" max="15368" width="15.140625" style="5" customWidth="1"/>
    <col min="15369" max="15369" width="17" style="5" customWidth="1"/>
    <col min="15370" max="15378" width="9.140625" style="5"/>
    <col min="15379" max="15379" width="15.5703125" style="5" customWidth="1"/>
    <col min="15380" max="15617" width="9.140625" style="5"/>
    <col min="15618" max="15618" width="1.42578125" style="5" customWidth="1"/>
    <col min="15619" max="15619" width="4.140625" style="5" customWidth="1"/>
    <col min="15620" max="15620" width="1.42578125" style="5" customWidth="1"/>
    <col min="15621" max="15621" width="22.5703125" style="5" bestFit="1" customWidth="1"/>
    <col min="15622" max="15622" width="8.7109375" style="5" customWidth="1"/>
    <col min="15623" max="15623" width="9.140625" style="5"/>
    <col min="15624" max="15624" width="15.140625" style="5" customWidth="1"/>
    <col min="15625" max="15625" width="17" style="5" customWidth="1"/>
    <col min="15626" max="15634" width="9.140625" style="5"/>
    <col min="15635" max="15635" width="15.5703125" style="5" customWidth="1"/>
    <col min="15636" max="15873" width="9.140625" style="5"/>
    <col min="15874" max="15874" width="1.42578125" style="5" customWidth="1"/>
    <col min="15875" max="15875" width="4.140625" style="5" customWidth="1"/>
    <col min="15876" max="15876" width="1.42578125" style="5" customWidth="1"/>
    <col min="15877" max="15877" width="22.5703125" style="5" bestFit="1" customWidth="1"/>
    <col min="15878" max="15878" width="8.7109375" style="5" customWidth="1"/>
    <col min="15879" max="15879" width="9.140625" style="5"/>
    <col min="15880" max="15880" width="15.140625" style="5" customWidth="1"/>
    <col min="15881" max="15881" width="17" style="5" customWidth="1"/>
    <col min="15882" max="15890" width="9.140625" style="5"/>
    <col min="15891" max="15891" width="15.5703125" style="5" customWidth="1"/>
    <col min="15892" max="16129" width="9.140625" style="5"/>
    <col min="16130" max="16130" width="1.42578125" style="5" customWidth="1"/>
    <col min="16131" max="16131" width="4.140625" style="5" customWidth="1"/>
    <col min="16132" max="16132" width="1.42578125" style="5" customWidth="1"/>
    <col min="16133" max="16133" width="22.5703125" style="5" bestFit="1" customWidth="1"/>
    <col min="16134" max="16134" width="8.7109375" style="5" customWidth="1"/>
    <col min="16135" max="16135" width="9.140625" style="5"/>
    <col min="16136" max="16136" width="15.140625" style="5" customWidth="1"/>
    <col min="16137" max="16137" width="17" style="5" customWidth="1"/>
    <col min="16138" max="16146" width="9.140625" style="5"/>
    <col min="16147" max="16147" width="15.5703125" style="5" customWidth="1"/>
    <col min="16148" max="16384" width="9.140625" style="5"/>
  </cols>
  <sheetData>
    <row r="2" spans="2:15" ht="15.75">
      <c r="B2" s="525" t="s">
        <v>434</v>
      </c>
      <c r="C2" s="182"/>
      <c r="D2" s="182"/>
      <c r="E2" s="182"/>
      <c r="F2" s="182"/>
      <c r="G2" s="409"/>
      <c r="H2" s="182"/>
      <c r="I2" s="182"/>
    </row>
    <row r="3" spans="2:15">
      <c r="B3" s="526"/>
      <c r="C3" s="425"/>
      <c r="D3" s="425"/>
      <c r="E3" s="426"/>
      <c r="F3" s="527"/>
      <c r="G3" s="428"/>
      <c r="H3" s="425"/>
      <c r="I3" s="425"/>
    </row>
    <row r="4" spans="2:15">
      <c r="B4" s="193" t="s">
        <v>157</v>
      </c>
      <c r="C4" s="415"/>
      <c r="D4" s="190" t="s">
        <v>211</v>
      </c>
      <c r="E4" s="190" t="s">
        <v>212</v>
      </c>
      <c r="F4" s="528" t="s">
        <v>213</v>
      </c>
      <c r="G4" s="529" t="s">
        <v>214</v>
      </c>
      <c r="H4" s="190" t="s">
        <v>215</v>
      </c>
      <c r="I4" s="1165"/>
    </row>
    <row r="5" spans="2:15">
      <c r="B5" s="530"/>
      <c r="C5" s="419"/>
      <c r="D5" s="531"/>
      <c r="E5" s="531"/>
      <c r="F5" s="532"/>
      <c r="G5" s="423" t="s">
        <v>216</v>
      </c>
      <c r="H5" s="423" t="s">
        <v>216</v>
      </c>
      <c r="I5" s="1170"/>
    </row>
    <row r="6" spans="2:15">
      <c r="B6" s="226" t="s">
        <v>435</v>
      </c>
      <c r="C6" s="227" t="s">
        <v>436</v>
      </c>
      <c r="D6" s="287"/>
      <c r="E6" s="288"/>
      <c r="F6" s="445"/>
      <c r="G6" s="446"/>
      <c r="H6" s="447"/>
      <c r="I6" s="440"/>
    </row>
    <row r="7" spans="2:15">
      <c r="B7" s="205"/>
      <c r="C7" s="66" t="s">
        <v>28</v>
      </c>
      <c r="D7" s="233" t="s">
        <v>221</v>
      </c>
      <c r="E7" s="67" t="s">
        <v>145</v>
      </c>
      <c r="F7" s="520">
        <v>6.48</v>
      </c>
      <c r="G7" s="69">
        <f>BAHAN!$E$30/50</f>
        <v>1500</v>
      </c>
      <c r="H7" s="70">
        <f t="shared" ref="H7:H12" si="0">F7*G7</f>
        <v>9720</v>
      </c>
      <c r="I7" s="440"/>
      <c r="J7" s="1635">
        <f>BOQ!$E$437+BOQ!$E$443+BOQ!$E$449</f>
        <v>2268.1000000000004</v>
      </c>
      <c r="K7" s="1393">
        <f>J7*F7</f>
        <v>14697.288000000004</v>
      </c>
      <c r="L7" s="1394" t="s">
        <v>145</v>
      </c>
      <c r="M7" s="1467" t="e">
        <f>BOQ!#REF!+BOQ!#REF!+BOQ!#REF!+BOQ!#REF!</f>
        <v>#REF!</v>
      </c>
      <c r="N7" s="1393"/>
      <c r="O7" s="1394"/>
    </row>
    <row r="8" spans="2:15">
      <c r="B8" s="71"/>
      <c r="C8" s="368" t="s">
        <v>28</v>
      </c>
      <c r="D8" s="76" t="s">
        <v>237</v>
      </c>
      <c r="E8" s="73" t="s">
        <v>143</v>
      </c>
      <c r="F8" s="74">
        <v>1.9E-2</v>
      </c>
      <c r="G8" s="69">
        <f>BAHAN!$E$9</f>
        <v>246000</v>
      </c>
      <c r="H8" s="70">
        <f t="shared" si="0"/>
        <v>4674</v>
      </c>
      <c r="I8" s="440">
        <f>SUM(H7:H8)</f>
        <v>14394</v>
      </c>
      <c r="J8" s="1467">
        <f>J7</f>
        <v>2268.1000000000004</v>
      </c>
      <c r="K8" s="1393">
        <f>J8*F8</f>
        <v>43.093900000000005</v>
      </c>
      <c r="L8" s="1394" t="s">
        <v>143</v>
      </c>
      <c r="N8" s="1393"/>
      <c r="O8" s="1394"/>
    </row>
    <row r="9" spans="2:15">
      <c r="B9" s="71"/>
      <c r="C9" s="368" t="s">
        <v>28</v>
      </c>
      <c r="D9" s="76" t="s">
        <v>133</v>
      </c>
      <c r="E9" s="73" t="s">
        <v>132</v>
      </c>
      <c r="F9" s="74">
        <v>0.3</v>
      </c>
      <c r="G9" s="69">
        <f>UPAH!E26</f>
        <v>136000</v>
      </c>
      <c r="H9" s="70">
        <f t="shared" si="0"/>
        <v>40800</v>
      </c>
      <c r="I9" s="440"/>
    </row>
    <row r="10" spans="2:15">
      <c r="B10" s="71"/>
      <c r="C10" s="368" t="s">
        <v>28</v>
      </c>
      <c r="D10" s="76" t="s">
        <v>245</v>
      </c>
      <c r="E10" s="73" t="s">
        <v>132</v>
      </c>
      <c r="F10" s="74">
        <v>0.15</v>
      </c>
      <c r="G10" s="69">
        <f>UPAH!$E$16</f>
        <v>160000</v>
      </c>
      <c r="H10" s="70">
        <f t="shared" si="0"/>
        <v>24000</v>
      </c>
      <c r="I10" s="440"/>
    </row>
    <row r="11" spans="2:15">
      <c r="B11" s="71"/>
      <c r="C11" s="368" t="s">
        <v>28</v>
      </c>
      <c r="D11" s="76" t="s">
        <v>140</v>
      </c>
      <c r="E11" s="73" t="s">
        <v>132</v>
      </c>
      <c r="F11" s="74">
        <v>0.02</v>
      </c>
      <c r="G11" s="69">
        <f>UPAH!$E$10</f>
        <v>170000</v>
      </c>
      <c r="H11" s="70">
        <f t="shared" si="0"/>
        <v>3400</v>
      </c>
      <c r="I11" s="440"/>
    </row>
    <row r="12" spans="2:15">
      <c r="B12" s="369"/>
      <c r="C12" s="382" t="s">
        <v>28</v>
      </c>
      <c r="D12" s="448" t="s">
        <v>136</v>
      </c>
      <c r="E12" s="449" t="s">
        <v>132</v>
      </c>
      <c r="F12" s="74">
        <v>0.01</v>
      </c>
      <c r="G12" s="69">
        <f>UPAH!$E$9</f>
        <v>180000</v>
      </c>
      <c r="H12" s="70">
        <f t="shared" si="0"/>
        <v>1800</v>
      </c>
      <c r="I12" s="440">
        <f>SUM(H9:H12)</f>
        <v>70000</v>
      </c>
    </row>
    <row r="13" spans="2:15">
      <c r="B13" s="216"/>
      <c r="C13" s="83"/>
      <c r="D13" s="84" t="s">
        <v>228</v>
      </c>
      <c r="E13" s="85"/>
      <c r="F13" s="86"/>
      <c r="G13" s="87"/>
      <c r="H13" s="88">
        <f>SUM(H7:H12)</f>
        <v>84394</v>
      </c>
      <c r="I13" s="440"/>
    </row>
    <row r="14" spans="2:15">
      <c r="B14" s="396"/>
      <c r="C14" s="442" t="s">
        <v>229</v>
      </c>
      <c r="D14" s="378"/>
      <c r="E14" s="378"/>
      <c r="F14" s="378"/>
      <c r="G14" s="518"/>
      <c r="H14" s="518">
        <f>ROUND(H13,0)</f>
        <v>84394</v>
      </c>
      <c r="I14" s="1164"/>
    </row>
    <row r="15" spans="2:15">
      <c r="B15" s="269" t="s">
        <v>437</v>
      </c>
      <c r="C15" s="227" t="s">
        <v>438</v>
      </c>
      <c r="D15" s="227"/>
      <c r="E15" s="329"/>
      <c r="F15" s="533"/>
      <c r="G15" s="534"/>
      <c r="H15" s="456"/>
      <c r="I15" s="440"/>
    </row>
    <row r="16" spans="2:15">
      <c r="B16" s="258"/>
      <c r="C16" s="206" t="s">
        <v>28</v>
      </c>
      <c r="D16" s="263" t="s">
        <v>221</v>
      </c>
      <c r="E16" s="535" t="s">
        <v>145</v>
      </c>
      <c r="F16" s="536">
        <v>4</v>
      </c>
      <c r="G16" s="464">
        <f>G7</f>
        <v>1500</v>
      </c>
      <c r="H16" s="70">
        <f>F16*G16</f>
        <v>6000</v>
      </c>
      <c r="I16" s="440">
        <f>SUM(H16)</f>
        <v>6000</v>
      </c>
      <c r="J16" s="1467">
        <f>BOQ!$E$437+BOQ!$E$443+BOQ!$E$449</f>
        <v>2268.1000000000004</v>
      </c>
      <c r="K16" s="1393">
        <f>J16*F16</f>
        <v>9072.4000000000015</v>
      </c>
      <c r="L16" s="1402" t="s">
        <v>145</v>
      </c>
    </row>
    <row r="17" spans="2:9">
      <c r="B17" s="267"/>
      <c r="C17" s="368" t="s">
        <v>28</v>
      </c>
      <c r="D17" s="537" t="s">
        <v>257</v>
      </c>
      <c r="E17" s="73" t="s">
        <v>132</v>
      </c>
      <c r="F17" s="459">
        <v>0.14299999999999999</v>
      </c>
      <c r="G17" s="466">
        <f>G9</f>
        <v>136000</v>
      </c>
      <c r="H17" s="70">
        <f>F17*G17</f>
        <v>19448</v>
      </c>
      <c r="I17" s="440"/>
    </row>
    <row r="18" spans="2:9">
      <c r="B18" s="267"/>
      <c r="C18" s="368" t="s">
        <v>28</v>
      </c>
      <c r="D18" s="537" t="s">
        <v>439</v>
      </c>
      <c r="E18" s="280" t="s">
        <v>132</v>
      </c>
      <c r="F18" s="459">
        <v>0.107</v>
      </c>
      <c r="G18" s="466">
        <f>G10</f>
        <v>160000</v>
      </c>
      <c r="H18" s="70">
        <f>F18*G18</f>
        <v>17120</v>
      </c>
      <c r="I18" s="440"/>
    </row>
    <row r="19" spans="2:9">
      <c r="B19" s="267"/>
      <c r="C19" s="368" t="s">
        <v>28</v>
      </c>
      <c r="D19" s="279" t="s">
        <v>140</v>
      </c>
      <c r="E19" s="280" t="s">
        <v>132</v>
      </c>
      <c r="F19" s="459">
        <v>1.0500000000000001E-2</v>
      </c>
      <c r="G19" s="466">
        <f>G11</f>
        <v>170000</v>
      </c>
      <c r="H19" s="70">
        <f>F19*G19</f>
        <v>1785</v>
      </c>
      <c r="I19" s="440"/>
    </row>
    <row r="20" spans="2:9">
      <c r="B20" s="369"/>
      <c r="C20" s="382" t="s">
        <v>28</v>
      </c>
      <c r="D20" s="383" t="s">
        <v>136</v>
      </c>
      <c r="E20" s="384" t="s">
        <v>132</v>
      </c>
      <c r="F20" s="461">
        <v>1.0500000000000001E-2</v>
      </c>
      <c r="G20" s="466">
        <f>G12</f>
        <v>180000</v>
      </c>
      <c r="H20" s="70">
        <f>F20*G20</f>
        <v>1890.0000000000002</v>
      </c>
      <c r="I20" s="440">
        <f>SUM(H17:H20)</f>
        <v>40243</v>
      </c>
    </row>
    <row r="21" spans="2:9">
      <c r="B21" s="236"/>
      <c r="C21" s="237"/>
      <c r="D21" s="84" t="s">
        <v>228</v>
      </c>
      <c r="E21" s="238"/>
      <c r="F21" s="86"/>
      <c r="G21" s="87"/>
      <c r="H21" s="88">
        <f>SUM(H16:H20)</f>
        <v>46243</v>
      </c>
      <c r="I21" s="440"/>
    </row>
    <row r="22" spans="2:9">
      <c r="B22" s="396"/>
      <c r="C22" s="442" t="s">
        <v>229</v>
      </c>
      <c r="D22" s="378"/>
      <c r="E22" s="378"/>
      <c r="F22" s="378"/>
      <c r="G22" s="518"/>
      <c r="H22" s="518">
        <f>ROUND(H21,0)</f>
        <v>46243</v>
      </c>
      <c r="I22" s="1164"/>
    </row>
    <row r="23" spans="2:9" ht="15.75" thickBot="1">
      <c r="B23" s="181"/>
      <c r="C23" s="181"/>
      <c r="D23" s="181"/>
      <c r="E23" s="181"/>
      <c r="F23" s="181"/>
      <c r="G23" s="181"/>
      <c r="H23" s="181"/>
      <c r="I23" s="181"/>
    </row>
    <row r="24" spans="2:9">
      <c r="B24" s="181"/>
      <c r="C24" s="181"/>
      <c r="D24" s="2920" t="s">
        <v>2354</v>
      </c>
      <c r="E24" s="2921"/>
      <c r="F24" s="181"/>
      <c r="G24" s="181"/>
      <c r="H24" s="181"/>
      <c r="I24" s="181"/>
    </row>
    <row r="25" spans="2:9" ht="15.75" thickBot="1">
      <c r="B25" s="181"/>
      <c r="C25" s="181"/>
      <c r="D25" s="2036" t="s">
        <v>221</v>
      </c>
      <c r="E25" s="2040">
        <f>SUMIF($D$1:$D$20,D25,$K$1:$K$20)</f>
        <v>23769.688000000006</v>
      </c>
      <c r="F25" s="181"/>
      <c r="G25" s="181"/>
      <c r="H25" s="181"/>
      <c r="I25" s="181"/>
    </row>
    <row r="26" spans="2:9">
      <c r="B26" s="181"/>
      <c r="C26" s="181"/>
      <c r="D26" s="181"/>
      <c r="E26" s="181"/>
      <c r="F26" s="181"/>
      <c r="G26" s="181"/>
      <c r="H26" s="181"/>
      <c r="I26" s="181"/>
    </row>
  </sheetData>
  <mergeCells count="1">
    <mergeCell ref="D24:E24"/>
  </mergeCells>
  <hyperlinks>
    <hyperlink ref="J7" location="BOQ!H192" display="BOQ!H192" xr:uid="{00000000-0004-0000-1A00-000000000000}"/>
  </hyperlinks>
  <pageMargins left="1.44" right="0.59055118110236204" top="0.62" bottom="0.78740157480314998" header="0.32" footer="0.31496062992126"/>
  <pageSetup paperSize="5" scale="8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7"/>
  <dimension ref="B2:N309"/>
  <sheetViews>
    <sheetView view="pageBreakPreview" topLeftCell="G227" zoomScale="115" zoomScaleSheetLayoutView="115" workbookViewId="0">
      <selection activeCell="M239" sqref="M239"/>
    </sheetView>
  </sheetViews>
  <sheetFormatPr defaultRowHeight="15"/>
  <cols>
    <col min="1" max="1" width="1.5703125" style="5" customWidth="1"/>
    <col min="2" max="2" width="4.7109375" style="5" customWidth="1"/>
    <col min="3" max="3" width="1.28515625" style="5" customWidth="1"/>
    <col min="4" max="4" width="30" style="5" bestFit="1" customWidth="1"/>
    <col min="5" max="5" width="8.42578125" style="5" customWidth="1"/>
    <col min="6" max="6" width="8.7109375" style="5" customWidth="1"/>
    <col min="7" max="7" width="15.28515625" style="5" bestFit="1" customWidth="1"/>
    <col min="8" max="9" width="16.7109375" style="5" customWidth="1"/>
    <col min="10" max="10" width="11.5703125" style="5" bestFit="1" customWidth="1"/>
    <col min="11" max="11" width="10" style="5" customWidth="1"/>
    <col min="12" max="12" width="9.140625" style="5"/>
    <col min="13" max="13" width="10.85546875" style="5" customWidth="1"/>
    <col min="14" max="257" width="9.140625" style="5"/>
    <col min="258" max="258" width="1.5703125" style="5" customWidth="1"/>
    <col min="259" max="259" width="4.7109375" style="5" customWidth="1"/>
    <col min="260" max="260" width="1.28515625" style="5" customWidth="1"/>
    <col min="261" max="261" width="30" style="5" bestFit="1" customWidth="1"/>
    <col min="262" max="262" width="8.42578125" style="5" customWidth="1"/>
    <col min="263" max="263" width="8.7109375" style="5" customWidth="1"/>
    <col min="264" max="264" width="15.28515625" style="5" bestFit="1" customWidth="1"/>
    <col min="265" max="265" width="16.7109375" style="5" customWidth="1"/>
    <col min="266" max="513" width="9.140625" style="5"/>
    <col min="514" max="514" width="1.5703125" style="5" customWidth="1"/>
    <col min="515" max="515" width="4.7109375" style="5" customWidth="1"/>
    <col min="516" max="516" width="1.28515625" style="5" customWidth="1"/>
    <col min="517" max="517" width="30" style="5" bestFit="1" customWidth="1"/>
    <col min="518" max="518" width="8.42578125" style="5" customWidth="1"/>
    <col min="519" max="519" width="8.7109375" style="5" customWidth="1"/>
    <col min="520" max="520" width="15.28515625" style="5" bestFit="1" customWidth="1"/>
    <col min="521" max="521" width="16.7109375" style="5" customWidth="1"/>
    <col min="522" max="769" width="9.140625" style="5"/>
    <col min="770" max="770" width="1.5703125" style="5" customWidth="1"/>
    <col min="771" max="771" width="4.7109375" style="5" customWidth="1"/>
    <col min="772" max="772" width="1.28515625" style="5" customWidth="1"/>
    <col min="773" max="773" width="30" style="5" bestFit="1" customWidth="1"/>
    <col min="774" max="774" width="8.42578125" style="5" customWidth="1"/>
    <col min="775" max="775" width="8.7109375" style="5" customWidth="1"/>
    <col min="776" max="776" width="15.28515625" style="5" bestFit="1" customWidth="1"/>
    <col min="777" max="777" width="16.7109375" style="5" customWidth="1"/>
    <col min="778" max="1025" width="9.140625" style="5"/>
    <col min="1026" max="1026" width="1.5703125" style="5" customWidth="1"/>
    <col min="1027" max="1027" width="4.7109375" style="5" customWidth="1"/>
    <col min="1028" max="1028" width="1.28515625" style="5" customWidth="1"/>
    <col min="1029" max="1029" width="30" style="5" bestFit="1" customWidth="1"/>
    <col min="1030" max="1030" width="8.42578125" style="5" customWidth="1"/>
    <col min="1031" max="1031" width="8.7109375" style="5" customWidth="1"/>
    <col min="1032" max="1032" width="15.28515625" style="5" bestFit="1" customWidth="1"/>
    <col min="1033" max="1033" width="16.7109375" style="5" customWidth="1"/>
    <col min="1034" max="1281" width="9.140625" style="5"/>
    <col min="1282" max="1282" width="1.5703125" style="5" customWidth="1"/>
    <col min="1283" max="1283" width="4.7109375" style="5" customWidth="1"/>
    <col min="1284" max="1284" width="1.28515625" style="5" customWidth="1"/>
    <col min="1285" max="1285" width="30" style="5" bestFit="1" customWidth="1"/>
    <col min="1286" max="1286" width="8.42578125" style="5" customWidth="1"/>
    <col min="1287" max="1287" width="8.7109375" style="5" customWidth="1"/>
    <col min="1288" max="1288" width="15.28515625" style="5" bestFit="1" customWidth="1"/>
    <col min="1289" max="1289" width="16.7109375" style="5" customWidth="1"/>
    <col min="1290" max="1537" width="9.140625" style="5"/>
    <col min="1538" max="1538" width="1.5703125" style="5" customWidth="1"/>
    <col min="1539" max="1539" width="4.7109375" style="5" customWidth="1"/>
    <col min="1540" max="1540" width="1.28515625" style="5" customWidth="1"/>
    <col min="1541" max="1541" width="30" style="5" bestFit="1" customWidth="1"/>
    <col min="1542" max="1542" width="8.42578125" style="5" customWidth="1"/>
    <col min="1543" max="1543" width="8.7109375" style="5" customWidth="1"/>
    <col min="1544" max="1544" width="15.28515625" style="5" bestFit="1" customWidth="1"/>
    <col min="1545" max="1545" width="16.7109375" style="5" customWidth="1"/>
    <col min="1546" max="1793" width="9.140625" style="5"/>
    <col min="1794" max="1794" width="1.5703125" style="5" customWidth="1"/>
    <col min="1795" max="1795" width="4.7109375" style="5" customWidth="1"/>
    <col min="1796" max="1796" width="1.28515625" style="5" customWidth="1"/>
    <col min="1797" max="1797" width="30" style="5" bestFit="1" customWidth="1"/>
    <col min="1798" max="1798" width="8.42578125" style="5" customWidth="1"/>
    <col min="1799" max="1799" width="8.7109375" style="5" customWidth="1"/>
    <col min="1800" max="1800" width="15.28515625" style="5" bestFit="1" customWidth="1"/>
    <col min="1801" max="1801" width="16.7109375" style="5" customWidth="1"/>
    <col min="1802" max="2049" width="9.140625" style="5"/>
    <col min="2050" max="2050" width="1.5703125" style="5" customWidth="1"/>
    <col min="2051" max="2051" width="4.7109375" style="5" customWidth="1"/>
    <col min="2052" max="2052" width="1.28515625" style="5" customWidth="1"/>
    <col min="2053" max="2053" width="30" style="5" bestFit="1" customWidth="1"/>
    <col min="2054" max="2054" width="8.42578125" style="5" customWidth="1"/>
    <col min="2055" max="2055" width="8.7109375" style="5" customWidth="1"/>
    <col min="2056" max="2056" width="15.28515625" style="5" bestFit="1" customWidth="1"/>
    <col min="2057" max="2057" width="16.7109375" style="5" customWidth="1"/>
    <col min="2058" max="2305" width="9.140625" style="5"/>
    <col min="2306" max="2306" width="1.5703125" style="5" customWidth="1"/>
    <col min="2307" max="2307" width="4.7109375" style="5" customWidth="1"/>
    <col min="2308" max="2308" width="1.28515625" style="5" customWidth="1"/>
    <col min="2309" max="2309" width="30" style="5" bestFit="1" customWidth="1"/>
    <col min="2310" max="2310" width="8.42578125" style="5" customWidth="1"/>
    <col min="2311" max="2311" width="8.7109375" style="5" customWidth="1"/>
    <col min="2312" max="2312" width="15.28515625" style="5" bestFit="1" customWidth="1"/>
    <col min="2313" max="2313" width="16.7109375" style="5" customWidth="1"/>
    <col min="2314" max="2561" width="9.140625" style="5"/>
    <col min="2562" max="2562" width="1.5703125" style="5" customWidth="1"/>
    <col min="2563" max="2563" width="4.7109375" style="5" customWidth="1"/>
    <col min="2564" max="2564" width="1.28515625" style="5" customWidth="1"/>
    <col min="2565" max="2565" width="30" style="5" bestFit="1" customWidth="1"/>
    <col min="2566" max="2566" width="8.42578125" style="5" customWidth="1"/>
    <col min="2567" max="2567" width="8.7109375" style="5" customWidth="1"/>
    <col min="2568" max="2568" width="15.28515625" style="5" bestFit="1" customWidth="1"/>
    <col min="2569" max="2569" width="16.7109375" style="5" customWidth="1"/>
    <col min="2570" max="2817" width="9.140625" style="5"/>
    <col min="2818" max="2818" width="1.5703125" style="5" customWidth="1"/>
    <col min="2819" max="2819" width="4.7109375" style="5" customWidth="1"/>
    <col min="2820" max="2820" width="1.28515625" style="5" customWidth="1"/>
    <col min="2821" max="2821" width="30" style="5" bestFit="1" customWidth="1"/>
    <col min="2822" max="2822" width="8.42578125" style="5" customWidth="1"/>
    <col min="2823" max="2823" width="8.7109375" style="5" customWidth="1"/>
    <col min="2824" max="2824" width="15.28515625" style="5" bestFit="1" customWidth="1"/>
    <col min="2825" max="2825" width="16.7109375" style="5" customWidth="1"/>
    <col min="2826" max="3073" width="9.140625" style="5"/>
    <col min="3074" max="3074" width="1.5703125" style="5" customWidth="1"/>
    <col min="3075" max="3075" width="4.7109375" style="5" customWidth="1"/>
    <col min="3076" max="3076" width="1.28515625" style="5" customWidth="1"/>
    <col min="3077" max="3077" width="30" style="5" bestFit="1" customWidth="1"/>
    <col min="3078" max="3078" width="8.42578125" style="5" customWidth="1"/>
    <col min="3079" max="3079" width="8.7109375" style="5" customWidth="1"/>
    <col min="3080" max="3080" width="15.28515625" style="5" bestFit="1" customWidth="1"/>
    <col min="3081" max="3081" width="16.7109375" style="5" customWidth="1"/>
    <col min="3082" max="3329" width="9.140625" style="5"/>
    <col min="3330" max="3330" width="1.5703125" style="5" customWidth="1"/>
    <col min="3331" max="3331" width="4.7109375" style="5" customWidth="1"/>
    <col min="3332" max="3332" width="1.28515625" style="5" customWidth="1"/>
    <col min="3333" max="3333" width="30" style="5" bestFit="1" customWidth="1"/>
    <col min="3334" max="3334" width="8.42578125" style="5" customWidth="1"/>
    <col min="3335" max="3335" width="8.7109375" style="5" customWidth="1"/>
    <col min="3336" max="3336" width="15.28515625" style="5" bestFit="1" customWidth="1"/>
    <col min="3337" max="3337" width="16.7109375" style="5" customWidth="1"/>
    <col min="3338" max="3585" width="9.140625" style="5"/>
    <col min="3586" max="3586" width="1.5703125" style="5" customWidth="1"/>
    <col min="3587" max="3587" width="4.7109375" style="5" customWidth="1"/>
    <col min="3588" max="3588" width="1.28515625" style="5" customWidth="1"/>
    <col min="3589" max="3589" width="30" style="5" bestFit="1" customWidth="1"/>
    <col min="3590" max="3590" width="8.42578125" style="5" customWidth="1"/>
    <col min="3591" max="3591" width="8.7109375" style="5" customWidth="1"/>
    <col min="3592" max="3592" width="15.28515625" style="5" bestFit="1" customWidth="1"/>
    <col min="3593" max="3593" width="16.7109375" style="5" customWidth="1"/>
    <col min="3594" max="3841" width="9.140625" style="5"/>
    <col min="3842" max="3842" width="1.5703125" style="5" customWidth="1"/>
    <col min="3843" max="3843" width="4.7109375" style="5" customWidth="1"/>
    <col min="3844" max="3844" width="1.28515625" style="5" customWidth="1"/>
    <col min="3845" max="3845" width="30" style="5" bestFit="1" customWidth="1"/>
    <col min="3846" max="3846" width="8.42578125" style="5" customWidth="1"/>
    <col min="3847" max="3847" width="8.7109375" style="5" customWidth="1"/>
    <col min="3848" max="3848" width="15.28515625" style="5" bestFit="1" customWidth="1"/>
    <col min="3849" max="3849" width="16.7109375" style="5" customWidth="1"/>
    <col min="3850" max="4097" width="9.140625" style="5"/>
    <col min="4098" max="4098" width="1.5703125" style="5" customWidth="1"/>
    <col min="4099" max="4099" width="4.7109375" style="5" customWidth="1"/>
    <col min="4100" max="4100" width="1.28515625" style="5" customWidth="1"/>
    <col min="4101" max="4101" width="30" style="5" bestFit="1" customWidth="1"/>
    <col min="4102" max="4102" width="8.42578125" style="5" customWidth="1"/>
    <col min="4103" max="4103" width="8.7109375" style="5" customWidth="1"/>
    <col min="4104" max="4104" width="15.28515625" style="5" bestFit="1" customWidth="1"/>
    <col min="4105" max="4105" width="16.7109375" style="5" customWidth="1"/>
    <col min="4106" max="4353" width="9.140625" style="5"/>
    <col min="4354" max="4354" width="1.5703125" style="5" customWidth="1"/>
    <col min="4355" max="4355" width="4.7109375" style="5" customWidth="1"/>
    <col min="4356" max="4356" width="1.28515625" style="5" customWidth="1"/>
    <col min="4357" max="4357" width="30" style="5" bestFit="1" customWidth="1"/>
    <col min="4358" max="4358" width="8.42578125" style="5" customWidth="1"/>
    <col min="4359" max="4359" width="8.7109375" style="5" customWidth="1"/>
    <col min="4360" max="4360" width="15.28515625" style="5" bestFit="1" customWidth="1"/>
    <col min="4361" max="4361" width="16.7109375" style="5" customWidth="1"/>
    <col min="4362" max="4609" width="9.140625" style="5"/>
    <col min="4610" max="4610" width="1.5703125" style="5" customWidth="1"/>
    <col min="4611" max="4611" width="4.7109375" style="5" customWidth="1"/>
    <col min="4612" max="4612" width="1.28515625" style="5" customWidth="1"/>
    <col min="4613" max="4613" width="30" style="5" bestFit="1" customWidth="1"/>
    <col min="4614" max="4614" width="8.42578125" style="5" customWidth="1"/>
    <col min="4615" max="4615" width="8.7109375" style="5" customWidth="1"/>
    <col min="4616" max="4616" width="15.28515625" style="5" bestFit="1" customWidth="1"/>
    <col min="4617" max="4617" width="16.7109375" style="5" customWidth="1"/>
    <col min="4618" max="4865" width="9.140625" style="5"/>
    <col min="4866" max="4866" width="1.5703125" style="5" customWidth="1"/>
    <col min="4867" max="4867" width="4.7109375" style="5" customWidth="1"/>
    <col min="4868" max="4868" width="1.28515625" style="5" customWidth="1"/>
    <col min="4869" max="4869" width="30" style="5" bestFit="1" customWidth="1"/>
    <col min="4870" max="4870" width="8.42578125" style="5" customWidth="1"/>
    <col min="4871" max="4871" width="8.7109375" style="5" customWidth="1"/>
    <col min="4872" max="4872" width="15.28515625" style="5" bestFit="1" customWidth="1"/>
    <col min="4873" max="4873" width="16.7109375" style="5" customWidth="1"/>
    <col min="4874" max="5121" width="9.140625" style="5"/>
    <col min="5122" max="5122" width="1.5703125" style="5" customWidth="1"/>
    <col min="5123" max="5123" width="4.7109375" style="5" customWidth="1"/>
    <col min="5124" max="5124" width="1.28515625" style="5" customWidth="1"/>
    <col min="5125" max="5125" width="30" style="5" bestFit="1" customWidth="1"/>
    <col min="5126" max="5126" width="8.42578125" style="5" customWidth="1"/>
    <col min="5127" max="5127" width="8.7109375" style="5" customWidth="1"/>
    <col min="5128" max="5128" width="15.28515625" style="5" bestFit="1" customWidth="1"/>
    <col min="5129" max="5129" width="16.7109375" style="5" customWidth="1"/>
    <col min="5130" max="5377" width="9.140625" style="5"/>
    <col min="5378" max="5378" width="1.5703125" style="5" customWidth="1"/>
    <col min="5379" max="5379" width="4.7109375" style="5" customWidth="1"/>
    <col min="5380" max="5380" width="1.28515625" style="5" customWidth="1"/>
    <col min="5381" max="5381" width="30" style="5" bestFit="1" customWidth="1"/>
    <col min="5382" max="5382" width="8.42578125" style="5" customWidth="1"/>
    <col min="5383" max="5383" width="8.7109375" style="5" customWidth="1"/>
    <col min="5384" max="5384" width="15.28515625" style="5" bestFit="1" customWidth="1"/>
    <col min="5385" max="5385" width="16.7109375" style="5" customWidth="1"/>
    <col min="5386" max="5633" width="9.140625" style="5"/>
    <col min="5634" max="5634" width="1.5703125" style="5" customWidth="1"/>
    <col min="5635" max="5635" width="4.7109375" style="5" customWidth="1"/>
    <col min="5636" max="5636" width="1.28515625" style="5" customWidth="1"/>
    <col min="5637" max="5637" width="30" style="5" bestFit="1" customWidth="1"/>
    <col min="5638" max="5638" width="8.42578125" style="5" customWidth="1"/>
    <col min="5639" max="5639" width="8.7109375" style="5" customWidth="1"/>
    <col min="5640" max="5640" width="15.28515625" style="5" bestFit="1" customWidth="1"/>
    <col min="5641" max="5641" width="16.7109375" style="5" customWidth="1"/>
    <col min="5642" max="5889" width="9.140625" style="5"/>
    <col min="5890" max="5890" width="1.5703125" style="5" customWidth="1"/>
    <col min="5891" max="5891" width="4.7109375" style="5" customWidth="1"/>
    <col min="5892" max="5892" width="1.28515625" style="5" customWidth="1"/>
    <col min="5893" max="5893" width="30" style="5" bestFit="1" customWidth="1"/>
    <col min="5894" max="5894" width="8.42578125" style="5" customWidth="1"/>
    <col min="5895" max="5895" width="8.7109375" style="5" customWidth="1"/>
    <col min="5896" max="5896" width="15.28515625" style="5" bestFit="1" customWidth="1"/>
    <col min="5897" max="5897" width="16.7109375" style="5" customWidth="1"/>
    <col min="5898" max="6145" width="9.140625" style="5"/>
    <col min="6146" max="6146" width="1.5703125" style="5" customWidth="1"/>
    <col min="6147" max="6147" width="4.7109375" style="5" customWidth="1"/>
    <col min="6148" max="6148" width="1.28515625" style="5" customWidth="1"/>
    <col min="6149" max="6149" width="30" style="5" bestFit="1" customWidth="1"/>
    <col min="6150" max="6150" width="8.42578125" style="5" customWidth="1"/>
    <col min="6151" max="6151" width="8.7109375" style="5" customWidth="1"/>
    <col min="6152" max="6152" width="15.28515625" style="5" bestFit="1" customWidth="1"/>
    <col min="6153" max="6153" width="16.7109375" style="5" customWidth="1"/>
    <col min="6154" max="6401" width="9.140625" style="5"/>
    <col min="6402" max="6402" width="1.5703125" style="5" customWidth="1"/>
    <col min="6403" max="6403" width="4.7109375" style="5" customWidth="1"/>
    <col min="6404" max="6404" width="1.28515625" style="5" customWidth="1"/>
    <col min="6405" max="6405" width="30" style="5" bestFit="1" customWidth="1"/>
    <col min="6406" max="6406" width="8.42578125" style="5" customWidth="1"/>
    <col min="6407" max="6407" width="8.7109375" style="5" customWidth="1"/>
    <col min="6408" max="6408" width="15.28515625" style="5" bestFit="1" customWidth="1"/>
    <col min="6409" max="6409" width="16.7109375" style="5" customWidth="1"/>
    <col min="6410" max="6657" width="9.140625" style="5"/>
    <col min="6658" max="6658" width="1.5703125" style="5" customWidth="1"/>
    <col min="6659" max="6659" width="4.7109375" style="5" customWidth="1"/>
    <col min="6660" max="6660" width="1.28515625" style="5" customWidth="1"/>
    <col min="6661" max="6661" width="30" style="5" bestFit="1" customWidth="1"/>
    <col min="6662" max="6662" width="8.42578125" style="5" customWidth="1"/>
    <col min="6663" max="6663" width="8.7109375" style="5" customWidth="1"/>
    <col min="6664" max="6664" width="15.28515625" style="5" bestFit="1" customWidth="1"/>
    <col min="6665" max="6665" width="16.7109375" style="5" customWidth="1"/>
    <col min="6666" max="6913" width="9.140625" style="5"/>
    <col min="6914" max="6914" width="1.5703125" style="5" customWidth="1"/>
    <col min="6915" max="6915" width="4.7109375" style="5" customWidth="1"/>
    <col min="6916" max="6916" width="1.28515625" style="5" customWidth="1"/>
    <col min="6917" max="6917" width="30" style="5" bestFit="1" customWidth="1"/>
    <col min="6918" max="6918" width="8.42578125" style="5" customWidth="1"/>
    <col min="6919" max="6919" width="8.7109375" style="5" customWidth="1"/>
    <col min="6920" max="6920" width="15.28515625" style="5" bestFit="1" customWidth="1"/>
    <col min="6921" max="6921" width="16.7109375" style="5" customWidth="1"/>
    <col min="6922" max="7169" width="9.140625" style="5"/>
    <col min="7170" max="7170" width="1.5703125" style="5" customWidth="1"/>
    <col min="7171" max="7171" width="4.7109375" style="5" customWidth="1"/>
    <col min="7172" max="7172" width="1.28515625" style="5" customWidth="1"/>
    <col min="7173" max="7173" width="30" style="5" bestFit="1" customWidth="1"/>
    <col min="7174" max="7174" width="8.42578125" style="5" customWidth="1"/>
    <col min="7175" max="7175" width="8.7109375" style="5" customWidth="1"/>
    <col min="7176" max="7176" width="15.28515625" style="5" bestFit="1" customWidth="1"/>
    <col min="7177" max="7177" width="16.7109375" style="5" customWidth="1"/>
    <col min="7178" max="7425" width="9.140625" style="5"/>
    <col min="7426" max="7426" width="1.5703125" style="5" customWidth="1"/>
    <col min="7427" max="7427" width="4.7109375" style="5" customWidth="1"/>
    <col min="7428" max="7428" width="1.28515625" style="5" customWidth="1"/>
    <col min="7429" max="7429" width="30" style="5" bestFit="1" customWidth="1"/>
    <col min="7430" max="7430" width="8.42578125" style="5" customWidth="1"/>
    <col min="7431" max="7431" width="8.7109375" style="5" customWidth="1"/>
    <col min="7432" max="7432" width="15.28515625" style="5" bestFit="1" customWidth="1"/>
    <col min="7433" max="7433" width="16.7109375" style="5" customWidth="1"/>
    <col min="7434" max="7681" width="9.140625" style="5"/>
    <col min="7682" max="7682" width="1.5703125" style="5" customWidth="1"/>
    <col min="7683" max="7683" width="4.7109375" style="5" customWidth="1"/>
    <col min="7684" max="7684" width="1.28515625" style="5" customWidth="1"/>
    <col min="7685" max="7685" width="30" style="5" bestFit="1" customWidth="1"/>
    <col min="7686" max="7686" width="8.42578125" style="5" customWidth="1"/>
    <col min="7687" max="7687" width="8.7109375" style="5" customWidth="1"/>
    <col min="7688" max="7688" width="15.28515625" style="5" bestFit="1" customWidth="1"/>
    <col min="7689" max="7689" width="16.7109375" style="5" customWidth="1"/>
    <col min="7690" max="7937" width="9.140625" style="5"/>
    <col min="7938" max="7938" width="1.5703125" style="5" customWidth="1"/>
    <col min="7939" max="7939" width="4.7109375" style="5" customWidth="1"/>
    <col min="7940" max="7940" width="1.28515625" style="5" customWidth="1"/>
    <col min="7941" max="7941" width="30" style="5" bestFit="1" customWidth="1"/>
    <col min="7942" max="7942" width="8.42578125" style="5" customWidth="1"/>
    <col min="7943" max="7943" width="8.7109375" style="5" customWidth="1"/>
    <col min="7944" max="7944" width="15.28515625" style="5" bestFit="1" customWidth="1"/>
    <col min="7945" max="7945" width="16.7109375" style="5" customWidth="1"/>
    <col min="7946" max="8193" width="9.140625" style="5"/>
    <col min="8194" max="8194" width="1.5703125" style="5" customWidth="1"/>
    <col min="8195" max="8195" width="4.7109375" style="5" customWidth="1"/>
    <col min="8196" max="8196" width="1.28515625" style="5" customWidth="1"/>
    <col min="8197" max="8197" width="30" style="5" bestFit="1" customWidth="1"/>
    <col min="8198" max="8198" width="8.42578125" style="5" customWidth="1"/>
    <col min="8199" max="8199" width="8.7109375" style="5" customWidth="1"/>
    <col min="8200" max="8200" width="15.28515625" style="5" bestFit="1" customWidth="1"/>
    <col min="8201" max="8201" width="16.7109375" style="5" customWidth="1"/>
    <col min="8202" max="8449" width="9.140625" style="5"/>
    <col min="8450" max="8450" width="1.5703125" style="5" customWidth="1"/>
    <col min="8451" max="8451" width="4.7109375" style="5" customWidth="1"/>
    <col min="8452" max="8452" width="1.28515625" style="5" customWidth="1"/>
    <col min="8453" max="8453" width="30" style="5" bestFit="1" customWidth="1"/>
    <col min="8454" max="8454" width="8.42578125" style="5" customWidth="1"/>
    <col min="8455" max="8455" width="8.7109375" style="5" customWidth="1"/>
    <col min="8456" max="8456" width="15.28515625" style="5" bestFit="1" customWidth="1"/>
    <col min="8457" max="8457" width="16.7109375" style="5" customWidth="1"/>
    <col min="8458" max="8705" width="9.140625" style="5"/>
    <col min="8706" max="8706" width="1.5703125" style="5" customWidth="1"/>
    <col min="8707" max="8707" width="4.7109375" style="5" customWidth="1"/>
    <col min="8708" max="8708" width="1.28515625" style="5" customWidth="1"/>
    <col min="8709" max="8709" width="30" style="5" bestFit="1" customWidth="1"/>
    <col min="8710" max="8710" width="8.42578125" style="5" customWidth="1"/>
    <col min="8711" max="8711" width="8.7109375" style="5" customWidth="1"/>
    <col min="8712" max="8712" width="15.28515625" style="5" bestFit="1" customWidth="1"/>
    <col min="8713" max="8713" width="16.7109375" style="5" customWidth="1"/>
    <col min="8714" max="8961" width="9.140625" style="5"/>
    <col min="8962" max="8962" width="1.5703125" style="5" customWidth="1"/>
    <col min="8963" max="8963" width="4.7109375" style="5" customWidth="1"/>
    <col min="8964" max="8964" width="1.28515625" style="5" customWidth="1"/>
    <col min="8965" max="8965" width="30" style="5" bestFit="1" customWidth="1"/>
    <col min="8966" max="8966" width="8.42578125" style="5" customWidth="1"/>
    <col min="8967" max="8967" width="8.7109375" style="5" customWidth="1"/>
    <col min="8968" max="8968" width="15.28515625" style="5" bestFit="1" customWidth="1"/>
    <col min="8969" max="8969" width="16.7109375" style="5" customWidth="1"/>
    <col min="8970" max="9217" width="9.140625" style="5"/>
    <col min="9218" max="9218" width="1.5703125" style="5" customWidth="1"/>
    <col min="9219" max="9219" width="4.7109375" style="5" customWidth="1"/>
    <col min="9220" max="9220" width="1.28515625" style="5" customWidth="1"/>
    <col min="9221" max="9221" width="30" style="5" bestFit="1" customWidth="1"/>
    <col min="9222" max="9222" width="8.42578125" style="5" customWidth="1"/>
    <col min="9223" max="9223" width="8.7109375" style="5" customWidth="1"/>
    <col min="9224" max="9224" width="15.28515625" style="5" bestFit="1" customWidth="1"/>
    <col min="9225" max="9225" width="16.7109375" style="5" customWidth="1"/>
    <col min="9226" max="9473" width="9.140625" style="5"/>
    <col min="9474" max="9474" width="1.5703125" style="5" customWidth="1"/>
    <col min="9475" max="9475" width="4.7109375" style="5" customWidth="1"/>
    <col min="9476" max="9476" width="1.28515625" style="5" customWidth="1"/>
    <col min="9477" max="9477" width="30" style="5" bestFit="1" customWidth="1"/>
    <col min="9478" max="9478" width="8.42578125" style="5" customWidth="1"/>
    <col min="9479" max="9479" width="8.7109375" style="5" customWidth="1"/>
    <col min="9480" max="9480" width="15.28515625" style="5" bestFit="1" customWidth="1"/>
    <col min="9481" max="9481" width="16.7109375" style="5" customWidth="1"/>
    <col min="9482" max="9729" width="9.140625" style="5"/>
    <col min="9730" max="9730" width="1.5703125" style="5" customWidth="1"/>
    <col min="9731" max="9731" width="4.7109375" style="5" customWidth="1"/>
    <col min="9732" max="9732" width="1.28515625" style="5" customWidth="1"/>
    <col min="9733" max="9733" width="30" style="5" bestFit="1" customWidth="1"/>
    <col min="9734" max="9734" width="8.42578125" style="5" customWidth="1"/>
    <col min="9735" max="9735" width="8.7109375" style="5" customWidth="1"/>
    <col min="9736" max="9736" width="15.28515625" style="5" bestFit="1" customWidth="1"/>
    <col min="9737" max="9737" width="16.7109375" style="5" customWidth="1"/>
    <col min="9738" max="9985" width="9.140625" style="5"/>
    <col min="9986" max="9986" width="1.5703125" style="5" customWidth="1"/>
    <col min="9987" max="9987" width="4.7109375" style="5" customWidth="1"/>
    <col min="9988" max="9988" width="1.28515625" style="5" customWidth="1"/>
    <col min="9989" max="9989" width="30" style="5" bestFit="1" customWidth="1"/>
    <col min="9990" max="9990" width="8.42578125" style="5" customWidth="1"/>
    <col min="9991" max="9991" width="8.7109375" style="5" customWidth="1"/>
    <col min="9992" max="9992" width="15.28515625" style="5" bestFit="1" customWidth="1"/>
    <col min="9993" max="9993" width="16.7109375" style="5" customWidth="1"/>
    <col min="9994" max="10241" width="9.140625" style="5"/>
    <col min="10242" max="10242" width="1.5703125" style="5" customWidth="1"/>
    <col min="10243" max="10243" width="4.7109375" style="5" customWidth="1"/>
    <col min="10244" max="10244" width="1.28515625" style="5" customWidth="1"/>
    <col min="10245" max="10245" width="30" style="5" bestFit="1" customWidth="1"/>
    <col min="10246" max="10246" width="8.42578125" style="5" customWidth="1"/>
    <col min="10247" max="10247" width="8.7109375" style="5" customWidth="1"/>
    <col min="10248" max="10248" width="15.28515625" style="5" bestFit="1" customWidth="1"/>
    <col min="10249" max="10249" width="16.7109375" style="5" customWidth="1"/>
    <col min="10250" max="10497" width="9.140625" style="5"/>
    <col min="10498" max="10498" width="1.5703125" style="5" customWidth="1"/>
    <col min="10499" max="10499" width="4.7109375" style="5" customWidth="1"/>
    <col min="10500" max="10500" width="1.28515625" style="5" customWidth="1"/>
    <col min="10501" max="10501" width="30" style="5" bestFit="1" customWidth="1"/>
    <col min="10502" max="10502" width="8.42578125" style="5" customWidth="1"/>
    <col min="10503" max="10503" width="8.7109375" style="5" customWidth="1"/>
    <col min="10504" max="10504" width="15.28515625" style="5" bestFit="1" customWidth="1"/>
    <col min="10505" max="10505" width="16.7109375" style="5" customWidth="1"/>
    <col min="10506" max="10753" width="9.140625" style="5"/>
    <col min="10754" max="10754" width="1.5703125" style="5" customWidth="1"/>
    <col min="10755" max="10755" width="4.7109375" style="5" customWidth="1"/>
    <col min="10756" max="10756" width="1.28515625" style="5" customWidth="1"/>
    <col min="10757" max="10757" width="30" style="5" bestFit="1" customWidth="1"/>
    <col min="10758" max="10758" width="8.42578125" style="5" customWidth="1"/>
    <col min="10759" max="10759" width="8.7109375" style="5" customWidth="1"/>
    <col min="10760" max="10760" width="15.28515625" style="5" bestFit="1" customWidth="1"/>
    <col min="10761" max="10761" width="16.7109375" style="5" customWidth="1"/>
    <col min="10762" max="11009" width="9.140625" style="5"/>
    <col min="11010" max="11010" width="1.5703125" style="5" customWidth="1"/>
    <col min="11011" max="11011" width="4.7109375" style="5" customWidth="1"/>
    <col min="11012" max="11012" width="1.28515625" style="5" customWidth="1"/>
    <col min="11013" max="11013" width="30" style="5" bestFit="1" customWidth="1"/>
    <col min="11014" max="11014" width="8.42578125" style="5" customWidth="1"/>
    <col min="11015" max="11015" width="8.7109375" style="5" customWidth="1"/>
    <col min="11016" max="11016" width="15.28515625" style="5" bestFit="1" customWidth="1"/>
    <col min="11017" max="11017" width="16.7109375" style="5" customWidth="1"/>
    <col min="11018" max="11265" width="9.140625" style="5"/>
    <col min="11266" max="11266" width="1.5703125" style="5" customWidth="1"/>
    <col min="11267" max="11267" width="4.7109375" style="5" customWidth="1"/>
    <col min="11268" max="11268" width="1.28515625" style="5" customWidth="1"/>
    <col min="11269" max="11269" width="30" style="5" bestFit="1" customWidth="1"/>
    <col min="11270" max="11270" width="8.42578125" style="5" customWidth="1"/>
    <col min="11271" max="11271" width="8.7109375" style="5" customWidth="1"/>
    <col min="11272" max="11272" width="15.28515625" style="5" bestFit="1" customWidth="1"/>
    <col min="11273" max="11273" width="16.7109375" style="5" customWidth="1"/>
    <col min="11274" max="11521" width="9.140625" style="5"/>
    <col min="11522" max="11522" width="1.5703125" style="5" customWidth="1"/>
    <col min="11523" max="11523" width="4.7109375" style="5" customWidth="1"/>
    <col min="11524" max="11524" width="1.28515625" style="5" customWidth="1"/>
    <col min="11525" max="11525" width="30" style="5" bestFit="1" customWidth="1"/>
    <col min="11526" max="11526" width="8.42578125" style="5" customWidth="1"/>
    <col min="11527" max="11527" width="8.7109375" style="5" customWidth="1"/>
    <col min="11528" max="11528" width="15.28515625" style="5" bestFit="1" customWidth="1"/>
    <col min="11529" max="11529" width="16.7109375" style="5" customWidth="1"/>
    <col min="11530" max="11777" width="9.140625" style="5"/>
    <col min="11778" max="11778" width="1.5703125" style="5" customWidth="1"/>
    <col min="11779" max="11779" width="4.7109375" style="5" customWidth="1"/>
    <col min="11780" max="11780" width="1.28515625" style="5" customWidth="1"/>
    <col min="11781" max="11781" width="30" style="5" bestFit="1" customWidth="1"/>
    <col min="11782" max="11782" width="8.42578125" style="5" customWidth="1"/>
    <col min="11783" max="11783" width="8.7109375" style="5" customWidth="1"/>
    <col min="11784" max="11784" width="15.28515625" style="5" bestFit="1" customWidth="1"/>
    <col min="11785" max="11785" width="16.7109375" style="5" customWidth="1"/>
    <col min="11786" max="12033" width="9.140625" style="5"/>
    <col min="12034" max="12034" width="1.5703125" style="5" customWidth="1"/>
    <col min="12035" max="12035" width="4.7109375" style="5" customWidth="1"/>
    <col min="12036" max="12036" width="1.28515625" style="5" customWidth="1"/>
    <col min="12037" max="12037" width="30" style="5" bestFit="1" customWidth="1"/>
    <col min="12038" max="12038" width="8.42578125" style="5" customWidth="1"/>
    <col min="12039" max="12039" width="8.7109375" style="5" customWidth="1"/>
    <col min="12040" max="12040" width="15.28515625" style="5" bestFit="1" customWidth="1"/>
    <col min="12041" max="12041" width="16.7109375" style="5" customWidth="1"/>
    <col min="12042" max="12289" width="9.140625" style="5"/>
    <col min="12290" max="12290" width="1.5703125" style="5" customWidth="1"/>
    <col min="12291" max="12291" width="4.7109375" style="5" customWidth="1"/>
    <col min="12292" max="12292" width="1.28515625" style="5" customWidth="1"/>
    <col min="12293" max="12293" width="30" style="5" bestFit="1" customWidth="1"/>
    <col min="12294" max="12294" width="8.42578125" style="5" customWidth="1"/>
    <col min="12295" max="12295" width="8.7109375" style="5" customWidth="1"/>
    <col min="12296" max="12296" width="15.28515625" style="5" bestFit="1" customWidth="1"/>
    <col min="12297" max="12297" width="16.7109375" style="5" customWidth="1"/>
    <col min="12298" max="12545" width="9.140625" style="5"/>
    <col min="12546" max="12546" width="1.5703125" style="5" customWidth="1"/>
    <col min="12547" max="12547" width="4.7109375" style="5" customWidth="1"/>
    <col min="12548" max="12548" width="1.28515625" style="5" customWidth="1"/>
    <col min="12549" max="12549" width="30" style="5" bestFit="1" customWidth="1"/>
    <col min="12550" max="12550" width="8.42578125" style="5" customWidth="1"/>
    <col min="12551" max="12551" width="8.7109375" style="5" customWidth="1"/>
    <col min="12552" max="12552" width="15.28515625" style="5" bestFit="1" customWidth="1"/>
    <col min="12553" max="12553" width="16.7109375" style="5" customWidth="1"/>
    <col min="12554" max="12801" width="9.140625" style="5"/>
    <col min="12802" max="12802" width="1.5703125" style="5" customWidth="1"/>
    <col min="12803" max="12803" width="4.7109375" style="5" customWidth="1"/>
    <col min="12804" max="12804" width="1.28515625" style="5" customWidth="1"/>
    <col min="12805" max="12805" width="30" style="5" bestFit="1" customWidth="1"/>
    <col min="12806" max="12806" width="8.42578125" style="5" customWidth="1"/>
    <col min="12807" max="12807" width="8.7109375" style="5" customWidth="1"/>
    <col min="12808" max="12808" width="15.28515625" style="5" bestFit="1" customWidth="1"/>
    <col min="12809" max="12809" width="16.7109375" style="5" customWidth="1"/>
    <col min="12810" max="13057" width="9.140625" style="5"/>
    <col min="13058" max="13058" width="1.5703125" style="5" customWidth="1"/>
    <col min="13059" max="13059" width="4.7109375" style="5" customWidth="1"/>
    <col min="13060" max="13060" width="1.28515625" style="5" customWidth="1"/>
    <col min="13061" max="13061" width="30" style="5" bestFit="1" customWidth="1"/>
    <col min="13062" max="13062" width="8.42578125" style="5" customWidth="1"/>
    <col min="13063" max="13063" width="8.7109375" style="5" customWidth="1"/>
    <col min="13064" max="13064" width="15.28515625" style="5" bestFit="1" customWidth="1"/>
    <col min="13065" max="13065" width="16.7109375" style="5" customWidth="1"/>
    <col min="13066" max="13313" width="9.140625" style="5"/>
    <col min="13314" max="13314" width="1.5703125" style="5" customWidth="1"/>
    <col min="13315" max="13315" width="4.7109375" style="5" customWidth="1"/>
    <col min="13316" max="13316" width="1.28515625" style="5" customWidth="1"/>
    <col min="13317" max="13317" width="30" style="5" bestFit="1" customWidth="1"/>
    <col min="13318" max="13318" width="8.42578125" style="5" customWidth="1"/>
    <col min="13319" max="13319" width="8.7109375" style="5" customWidth="1"/>
    <col min="13320" max="13320" width="15.28515625" style="5" bestFit="1" customWidth="1"/>
    <col min="13321" max="13321" width="16.7109375" style="5" customWidth="1"/>
    <col min="13322" max="13569" width="9.140625" style="5"/>
    <col min="13570" max="13570" width="1.5703125" style="5" customWidth="1"/>
    <col min="13571" max="13571" width="4.7109375" style="5" customWidth="1"/>
    <col min="13572" max="13572" width="1.28515625" style="5" customWidth="1"/>
    <col min="13573" max="13573" width="30" style="5" bestFit="1" customWidth="1"/>
    <col min="13574" max="13574" width="8.42578125" style="5" customWidth="1"/>
    <col min="13575" max="13575" width="8.7109375" style="5" customWidth="1"/>
    <col min="13576" max="13576" width="15.28515625" style="5" bestFit="1" customWidth="1"/>
    <col min="13577" max="13577" width="16.7109375" style="5" customWidth="1"/>
    <col min="13578" max="13825" width="9.140625" style="5"/>
    <col min="13826" max="13826" width="1.5703125" style="5" customWidth="1"/>
    <col min="13827" max="13827" width="4.7109375" style="5" customWidth="1"/>
    <col min="13828" max="13828" width="1.28515625" style="5" customWidth="1"/>
    <col min="13829" max="13829" width="30" style="5" bestFit="1" customWidth="1"/>
    <col min="13830" max="13830" width="8.42578125" style="5" customWidth="1"/>
    <col min="13831" max="13831" width="8.7109375" style="5" customWidth="1"/>
    <col min="13832" max="13832" width="15.28515625" style="5" bestFit="1" customWidth="1"/>
    <col min="13833" max="13833" width="16.7109375" style="5" customWidth="1"/>
    <col min="13834" max="14081" width="9.140625" style="5"/>
    <col min="14082" max="14082" width="1.5703125" style="5" customWidth="1"/>
    <col min="14083" max="14083" width="4.7109375" style="5" customWidth="1"/>
    <col min="14084" max="14084" width="1.28515625" style="5" customWidth="1"/>
    <col min="14085" max="14085" width="30" style="5" bestFit="1" customWidth="1"/>
    <col min="14086" max="14086" width="8.42578125" style="5" customWidth="1"/>
    <col min="14087" max="14087" width="8.7109375" style="5" customWidth="1"/>
    <col min="14088" max="14088" width="15.28515625" style="5" bestFit="1" customWidth="1"/>
    <col min="14089" max="14089" width="16.7109375" style="5" customWidth="1"/>
    <col min="14090" max="14337" width="9.140625" style="5"/>
    <col min="14338" max="14338" width="1.5703125" style="5" customWidth="1"/>
    <col min="14339" max="14339" width="4.7109375" style="5" customWidth="1"/>
    <col min="14340" max="14340" width="1.28515625" style="5" customWidth="1"/>
    <col min="14341" max="14341" width="30" style="5" bestFit="1" customWidth="1"/>
    <col min="14342" max="14342" width="8.42578125" style="5" customWidth="1"/>
    <col min="14343" max="14343" width="8.7109375" style="5" customWidth="1"/>
    <col min="14344" max="14344" width="15.28515625" style="5" bestFit="1" customWidth="1"/>
    <col min="14345" max="14345" width="16.7109375" style="5" customWidth="1"/>
    <col min="14346" max="14593" width="9.140625" style="5"/>
    <col min="14594" max="14594" width="1.5703125" style="5" customWidth="1"/>
    <col min="14595" max="14595" width="4.7109375" style="5" customWidth="1"/>
    <col min="14596" max="14596" width="1.28515625" style="5" customWidth="1"/>
    <col min="14597" max="14597" width="30" style="5" bestFit="1" customWidth="1"/>
    <col min="14598" max="14598" width="8.42578125" style="5" customWidth="1"/>
    <col min="14599" max="14599" width="8.7109375" style="5" customWidth="1"/>
    <col min="14600" max="14600" width="15.28515625" style="5" bestFit="1" customWidth="1"/>
    <col min="14601" max="14601" width="16.7109375" style="5" customWidth="1"/>
    <col min="14602" max="14849" width="9.140625" style="5"/>
    <col min="14850" max="14850" width="1.5703125" style="5" customWidth="1"/>
    <col min="14851" max="14851" width="4.7109375" style="5" customWidth="1"/>
    <col min="14852" max="14852" width="1.28515625" style="5" customWidth="1"/>
    <col min="14853" max="14853" width="30" style="5" bestFit="1" customWidth="1"/>
    <col min="14854" max="14854" width="8.42578125" style="5" customWidth="1"/>
    <col min="14855" max="14855" width="8.7109375" style="5" customWidth="1"/>
    <col min="14856" max="14856" width="15.28515625" style="5" bestFit="1" customWidth="1"/>
    <col min="14857" max="14857" width="16.7109375" style="5" customWidth="1"/>
    <col min="14858" max="15105" width="9.140625" style="5"/>
    <col min="15106" max="15106" width="1.5703125" style="5" customWidth="1"/>
    <col min="15107" max="15107" width="4.7109375" style="5" customWidth="1"/>
    <col min="15108" max="15108" width="1.28515625" style="5" customWidth="1"/>
    <col min="15109" max="15109" width="30" style="5" bestFit="1" customWidth="1"/>
    <col min="15110" max="15110" width="8.42578125" style="5" customWidth="1"/>
    <col min="15111" max="15111" width="8.7109375" style="5" customWidth="1"/>
    <col min="15112" max="15112" width="15.28515625" style="5" bestFit="1" customWidth="1"/>
    <col min="15113" max="15113" width="16.7109375" style="5" customWidth="1"/>
    <col min="15114" max="15361" width="9.140625" style="5"/>
    <col min="15362" max="15362" width="1.5703125" style="5" customWidth="1"/>
    <col min="15363" max="15363" width="4.7109375" style="5" customWidth="1"/>
    <col min="15364" max="15364" width="1.28515625" style="5" customWidth="1"/>
    <col min="15365" max="15365" width="30" style="5" bestFit="1" customWidth="1"/>
    <col min="15366" max="15366" width="8.42578125" style="5" customWidth="1"/>
    <col min="15367" max="15367" width="8.7109375" style="5" customWidth="1"/>
    <col min="15368" max="15368" width="15.28515625" style="5" bestFit="1" customWidth="1"/>
    <col min="15369" max="15369" width="16.7109375" style="5" customWidth="1"/>
    <col min="15370" max="15617" width="9.140625" style="5"/>
    <col min="15618" max="15618" width="1.5703125" style="5" customWidth="1"/>
    <col min="15619" max="15619" width="4.7109375" style="5" customWidth="1"/>
    <col min="15620" max="15620" width="1.28515625" style="5" customWidth="1"/>
    <col min="15621" max="15621" width="30" style="5" bestFit="1" customWidth="1"/>
    <col min="15622" max="15622" width="8.42578125" style="5" customWidth="1"/>
    <col min="15623" max="15623" width="8.7109375" style="5" customWidth="1"/>
    <col min="15624" max="15624" width="15.28515625" style="5" bestFit="1" customWidth="1"/>
    <col min="15625" max="15625" width="16.7109375" style="5" customWidth="1"/>
    <col min="15626" max="15873" width="9.140625" style="5"/>
    <col min="15874" max="15874" width="1.5703125" style="5" customWidth="1"/>
    <col min="15875" max="15875" width="4.7109375" style="5" customWidth="1"/>
    <col min="15876" max="15876" width="1.28515625" style="5" customWidth="1"/>
    <col min="15877" max="15877" width="30" style="5" bestFit="1" customWidth="1"/>
    <col min="15878" max="15878" width="8.42578125" style="5" customWidth="1"/>
    <col min="15879" max="15879" width="8.7109375" style="5" customWidth="1"/>
    <col min="15880" max="15880" width="15.28515625" style="5" bestFit="1" customWidth="1"/>
    <col min="15881" max="15881" width="16.7109375" style="5" customWidth="1"/>
    <col min="15882" max="16129" width="9.140625" style="5"/>
    <col min="16130" max="16130" width="1.5703125" style="5" customWidth="1"/>
    <col min="16131" max="16131" width="4.7109375" style="5" customWidth="1"/>
    <col min="16132" max="16132" width="1.28515625" style="5" customWidth="1"/>
    <col min="16133" max="16133" width="30" style="5" bestFit="1" customWidth="1"/>
    <col min="16134" max="16134" width="8.42578125" style="5" customWidth="1"/>
    <col min="16135" max="16135" width="8.7109375" style="5" customWidth="1"/>
    <col min="16136" max="16136" width="15.28515625" style="5" bestFit="1" customWidth="1"/>
    <col min="16137" max="16137" width="16.7109375" style="5" customWidth="1"/>
    <col min="16138" max="16384" width="9.140625" style="5"/>
  </cols>
  <sheetData>
    <row r="2" spans="2:12" ht="15.75">
      <c r="B2" s="182" t="s">
        <v>440</v>
      </c>
      <c r="C2" s="182"/>
      <c r="D2" s="182"/>
      <c r="E2" s="182"/>
      <c r="F2" s="182"/>
      <c r="G2" s="182"/>
      <c r="H2" s="182"/>
      <c r="I2" s="182"/>
    </row>
    <row r="3" spans="2:12">
      <c r="B3" s="526"/>
      <c r="C3" s="425"/>
      <c r="D3" s="425"/>
      <c r="E3" s="426"/>
      <c r="F3" s="527"/>
      <c r="G3" s="425"/>
      <c r="H3" s="425"/>
      <c r="I3" s="425"/>
    </row>
    <row r="4" spans="2:12">
      <c r="B4" s="188" t="s">
        <v>157</v>
      </c>
      <c r="C4" s="189"/>
      <c r="D4" s="190" t="s">
        <v>211</v>
      </c>
      <c r="E4" s="191" t="s">
        <v>212</v>
      </c>
      <c r="F4" s="192" t="s">
        <v>213</v>
      </c>
      <c r="G4" s="191" t="s">
        <v>214</v>
      </c>
      <c r="H4" s="193" t="s">
        <v>215</v>
      </c>
      <c r="I4" s="1165"/>
    </row>
    <row r="5" spans="2:12">
      <c r="B5" s="418"/>
      <c r="C5" s="538"/>
      <c r="D5" s="531"/>
      <c r="E5" s="420"/>
      <c r="F5" s="539"/>
      <c r="G5" s="420" t="s">
        <v>216</v>
      </c>
      <c r="H5" s="530" t="s">
        <v>216</v>
      </c>
      <c r="I5" s="1165"/>
    </row>
    <row r="6" spans="2:12">
      <c r="B6" s="530" t="s">
        <v>441</v>
      </c>
      <c r="C6" s="419" t="s">
        <v>442</v>
      </c>
      <c r="D6" s="200"/>
      <c r="E6" s="540"/>
      <c r="F6" s="541"/>
      <c r="G6" s="542"/>
      <c r="H6" s="543"/>
      <c r="I6" s="1166"/>
    </row>
    <row r="7" spans="2:12">
      <c r="B7" s="205"/>
      <c r="C7" s="206" t="s">
        <v>28</v>
      </c>
      <c r="D7" s="207" t="s">
        <v>443</v>
      </c>
      <c r="E7" s="208" t="s">
        <v>147</v>
      </c>
      <c r="F7" s="68">
        <v>1.05</v>
      </c>
      <c r="G7" s="430">
        <f>BAHAN!$E$273</f>
        <v>143750</v>
      </c>
      <c r="H7" s="544">
        <f>F7*G7</f>
        <v>150937.5</v>
      </c>
      <c r="I7" s="440">
        <f>SUM(H7)</f>
        <v>150937.5</v>
      </c>
      <c r="J7" s="1410">
        <f>BOQ!$E$482</f>
        <v>0</v>
      </c>
      <c r="K7" s="910">
        <f>J7*F7</f>
        <v>0</v>
      </c>
      <c r="L7" s="67" t="s">
        <v>147</v>
      </c>
    </row>
    <row r="8" spans="2:12">
      <c r="B8" s="71"/>
      <c r="C8" s="368" t="s">
        <v>28</v>
      </c>
      <c r="D8" s="76" t="s">
        <v>133</v>
      </c>
      <c r="E8" s="73" t="s">
        <v>132</v>
      </c>
      <c r="F8" s="74">
        <v>0.15</v>
      </c>
      <c r="G8" s="75">
        <f>UPAH!E26</f>
        <v>136000</v>
      </c>
      <c r="H8" s="545">
        <f>F8*G8</f>
        <v>20400</v>
      </c>
      <c r="I8" s="440"/>
      <c r="J8" s="1410">
        <f>J7</f>
        <v>0</v>
      </c>
      <c r="K8" s="910">
        <f>J8*F8</f>
        <v>0</v>
      </c>
      <c r="L8" s="73" t="s">
        <v>145</v>
      </c>
    </row>
    <row r="9" spans="2:12">
      <c r="B9" s="71"/>
      <c r="C9" s="368" t="s">
        <v>28</v>
      </c>
      <c r="D9" s="76" t="s">
        <v>134</v>
      </c>
      <c r="E9" s="73" t="s">
        <v>132</v>
      </c>
      <c r="F9" s="74">
        <v>7.4999999999999997E-2</v>
      </c>
      <c r="G9" s="75">
        <f>UPAH!E17</f>
        <v>160000</v>
      </c>
      <c r="H9" s="545">
        <f>F9*G9</f>
        <v>12000</v>
      </c>
      <c r="I9" s="440"/>
    </row>
    <row r="10" spans="2:12">
      <c r="B10" s="71"/>
      <c r="C10" s="368" t="s">
        <v>28</v>
      </c>
      <c r="D10" s="76" t="s">
        <v>135</v>
      </c>
      <c r="E10" s="73" t="s">
        <v>132</v>
      </c>
      <c r="F10" s="74">
        <v>8.0000000000000002E-3</v>
      </c>
      <c r="G10" s="75">
        <f>UPAH!E11</f>
        <v>150000</v>
      </c>
      <c r="H10" s="545">
        <f>F10*G10</f>
        <v>1200</v>
      </c>
      <c r="I10" s="440"/>
    </row>
    <row r="11" spans="2:12">
      <c r="B11" s="369"/>
      <c r="C11" s="382" t="s">
        <v>28</v>
      </c>
      <c r="D11" s="448" t="s">
        <v>136</v>
      </c>
      <c r="E11" s="449" t="s">
        <v>132</v>
      </c>
      <c r="F11" s="450">
        <v>8.0000000000000002E-3</v>
      </c>
      <c r="G11" s="546">
        <f>UPAH!E9</f>
        <v>180000</v>
      </c>
      <c r="H11" s="547">
        <f>F11*G11</f>
        <v>1440</v>
      </c>
      <c r="I11" s="440">
        <f>SUM(H8:H11)</f>
        <v>35040</v>
      </c>
    </row>
    <row r="12" spans="2:12">
      <c r="B12" s="216"/>
      <c r="C12" s="83"/>
      <c r="D12" s="84" t="s">
        <v>228</v>
      </c>
      <c r="E12" s="85"/>
      <c r="F12" s="86"/>
      <c r="G12" s="87"/>
      <c r="H12" s="88">
        <f>SUM(H7:H11)</f>
        <v>185977.5</v>
      </c>
      <c r="I12" s="440"/>
    </row>
    <row r="13" spans="2:12">
      <c r="B13" s="396"/>
      <c r="C13" s="442" t="s">
        <v>229</v>
      </c>
      <c r="D13" s="378"/>
      <c r="E13" s="378"/>
      <c r="F13" s="378"/>
      <c r="G13" s="518"/>
      <c r="H13" s="518">
        <f>ROUND(H12,0)</f>
        <v>185978</v>
      </c>
      <c r="I13" s="1164"/>
    </row>
    <row r="14" spans="2:12">
      <c r="B14" s="530" t="s">
        <v>444</v>
      </c>
      <c r="C14" s="419" t="s">
        <v>445</v>
      </c>
      <c r="D14" s="200"/>
      <c r="E14" s="540"/>
      <c r="F14" s="541"/>
      <c r="G14" s="542"/>
      <c r="H14" s="543"/>
      <c r="I14" s="1166"/>
    </row>
    <row r="15" spans="2:12">
      <c r="B15" s="205"/>
      <c r="C15" s="206" t="s">
        <v>28</v>
      </c>
      <c r="D15" s="207" t="s">
        <v>446</v>
      </c>
      <c r="E15" s="208" t="s">
        <v>147</v>
      </c>
      <c r="F15" s="68">
        <v>1.05</v>
      </c>
      <c r="G15" s="430">
        <f>BAHAN!$E$277</f>
        <v>137000</v>
      </c>
      <c r="H15" s="544">
        <f>F15*G15</f>
        <v>143850</v>
      </c>
      <c r="I15" s="440">
        <f>SUM(H15)</f>
        <v>143850</v>
      </c>
    </row>
    <row r="16" spans="2:12">
      <c r="B16" s="71"/>
      <c r="C16" s="368" t="s">
        <v>28</v>
      </c>
      <c r="D16" s="76" t="s">
        <v>133</v>
      </c>
      <c r="E16" s="73" t="s">
        <v>132</v>
      </c>
      <c r="F16" s="74">
        <v>0.15</v>
      </c>
      <c r="G16" s="75">
        <f>G8</f>
        <v>136000</v>
      </c>
      <c r="H16" s="545">
        <f>F16*G16</f>
        <v>20400</v>
      </c>
      <c r="I16" s="440"/>
    </row>
    <row r="17" spans="2:12">
      <c r="B17" s="71"/>
      <c r="C17" s="368" t="s">
        <v>28</v>
      </c>
      <c r="D17" s="76" t="s">
        <v>134</v>
      </c>
      <c r="E17" s="73" t="s">
        <v>132</v>
      </c>
      <c r="F17" s="74">
        <v>7.4999999999999997E-2</v>
      </c>
      <c r="G17" s="75">
        <f>G9</f>
        <v>160000</v>
      </c>
      <c r="H17" s="545">
        <f>F17*G17</f>
        <v>12000</v>
      </c>
      <c r="I17" s="440"/>
    </row>
    <row r="18" spans="2:12">
      <c r="B18" s="71"/>
      <c r="C18" s="368" t="s">
        <v>28</v>
      </c>
      <c r="D18" s="76" t="s">
        <v>135</v>
      </c>
      <c r="E18" s="73" t="s">
        <v>132</v>
      </c>
      <c r="F18" s="74">
        <v>8.0000000000000002E-3</v>
      </c>
      <c r="G18" s="75">
        <f>G10</f>
        <v>150000</v>
      </c>
      <c r="H18" s="545">
        <f>F18*G18</f>
        <v>1200</v>
      </c>
      <c r="I18" s="440"/>
    </row>
    <row r="19" spans="2:12">
      <c r="B19" s="369"/>
      <c r="C19" s="382" t="s">
        <v>28</v>
      </c>
      <c r="D19" s="448" t="s">
        <v>136</v>
      </c>
      <c r="E19" s="449" t="s">
        <v>132</v>
      </c>
      <c r="F19" s="450">
        <v>8.0000000000000002E-3</v>
      </c>
      <c r="G19" s="75">
        <f>G11</f>
        <v>180000</v>
      </c>
      <c r="H19" s="547">
        <f>F19*G19</f>
        <v>1440</v>
      </c>
      <c r="I19" s="440">
        <f>SUM(H16:H19)</f>
        <v>35040</v>
      </c>
    </row>
    <row r="20" spans="2:12">
      <c r="B20" s="216"/>
      <c r="C20" s="83"/>
      <c r="D20" s="84" t="s">
        <v>228</v>
      </c>
      <c r="E20" s="85"/>
      <c r="F20" s="86"/>
      <c r="G20" s="87"/>
      <c r="H20" s="88">
        <f>SUM(H15:H19)</f>
        <v>178890</v>
      </c>
      <c r="I20" s="440"/>
    </row>
    <row r="21" spans="2:12">
      <c r="B21" s="396"/>
      <c r="C21" s="442" t="s">
        <v>229</v>
      </c>
      <c r="D21" s="378"/>
      <c r="E21" s="378"/>
      <c r="F21" s="378"/>
      <c r="G21" s="518"/>
      <c r="H21" s="518">
        <f>ROUND(H20,0)</f>
        <v>178890</v>
      </c>
      <c r="I21" s="1164"/>
    </row>
    <row r="22" spans="2:12">
      <c r="B22" s="530" t="s">
        <v>447</v>
      </c>
      <c r="C22" s="419" t="s">
        <v>1508</v>
      </c>
      <c r="D22" s="200"/>
      <c r="E22" s="540"/>
      <c r="F22" s="541"/>
      <c r="G22" s="542"/>
      <c r="H22" s="543"/>
      <c r="I22" s="1166"/>
    </row>
    <row r="23" spans="2:12">
      <c r="B23" s="205"/>
      <c r="C23" s="206" t="s">
        <v>28</v>
      </c>
      <c r="D23" s="207" t="s">
        <v>1134</v>
      </c>
      <c r="E23" s="208" t="s">
        <v>147</v>
      </c>
      <c r="F23" s="68">
        <v>1.05</v>
      </c>
      <c r="G23" s="430">
        <f>BAHAN!E260</f>
        <v>3600000</v>
      </c>
      <c r="H23" s="544">
        <f>F23*G23</f>
        <v>3780000</v>
      </c>
      <c r="I23" s="440">
        <f>SUM(H23)</f>
        <v>3780000</v>
      </c>
      <c r="J23" s="1410">
        <f>SUMIF(BOQ!$G$1:$G$2421,I23,BOQ!$E$1:$E$2421)</f>
        <v>0</v>
      </c>
      <c r="K23" s="1410">
        <f>J23*F23</f>
        <v>0</v>
      </c>
    </row>
    <row r="24" spans="2:12">
      <c r="B24" s="71"/>
      <c r="C24" s="368" t="s">
        <v>28</v>
      </c>
      <c r="D24" s="76" t="s">
        <v>133</v>
      </c>
      <c r="E24" s="73" t="s">
        <v>132</v>
      </c>
      <c r="F24" s="74">
        <v>0.15</v>
      </c>
      <c r="G24" s="75">
        <f>G16</f>
        <v>136000</v>
      </c>
      <c r="H24" s="545">
        <f>F24*G24</f>
        <v>20400</v>
      </c>
      <c r="I24" s="440"/>
      <c r="J24" s="1410"/>
      <c r="K24" s="1410"/>
    </row>
    <row r="25" spans="2:12">
      <c r="B25" s="71"/>
      <c r="C25" s="368" t="s">
        <v>28</v>
      </c>
      <c r="D25" s="76" t="s">
        <v>134</v>
      </c>
      <c r="E25" s="73" t="s">
        <v>132</v>
      </c>
      <c r="F25" s="74">
        <v>7.4999999999999997E-2</v>
      </c>
      <c r="G25" s="75">
        <f>G17</f>
        <v>160000</v>
      </c>
      <c r="H25" s="545">
        <f>F25*G25</f>
        <v>12000</v>
      </c>
      <c r="I25" s="440"/>
    </row>
    <row r="26" spans="2:12">
      <c r="B26" s="71"/>
      <c r="C26" s="368" t="s">
        <v>28</v>
      </c>
      <c r="D26" s="76" t="s">
        <v>135</v>
      </c>
      <c r="E26" s="73" t="s">
        <v>132</v>
      </c>
      <c r="F26" s="74">
        <v>8.0000000000000002E-3</v>
      </c>
      <c r="G26" s="75">
        <f>G18</f>
        <v>150000</v>
      </c>
      <c r="H26" s="545">
        <f>F26*G26</f>
        <v>1200</v>
      </c>
      <c r="I26" s="440"/>
    </row>
    <row r="27" spans="2:12">
      <c r="B27" s="369"/>
      <c r="C27" s="382" t="s">
        <v>28</v>
      </c>
      <c r="D27" s="448" t="s">
        <v>136</v>
      </c>
      <c r="E27" s="449" t="s">
        <v>132</v>
      </c>
      <c r="F27" s="450">
        <v>8.0000000000000002E-3</v>
      </c>
      <c r="G27" s="75">
        <f>G19</f>
        <v>180000</v>
      </c>
      <c r="H27" s="547">
        <f>F27*G27</f>
        <v>1440</v>
      </c>
      <c r="I27" s="440">
        <f>SUM(H24:H27)</f>
        <v>35040</v>
      </c>
    </row>
    <row r="28" spans="2:12">
      <c r="B28" s="216"/>
      <c r="C28" s="83"/>
      <c r="D28" s="84" t="s">
        <v>228</v>
      </c>
      <c r="E28" s="85"/>
      <c r="F28" s="86"/>
      <c r="G28" s="87"/>
      <c r="H28" s="88">
        <f>SUM(H23:H27)</f>
        <v>3815040</v>
      </c>
      <c r="I28" s="440"/>
    </row>
    <row r="29" spans="2:12">
      <c r="B29" s="396"/>
      <c r="C29" s="442" t="s">
        <v>229</v>
      </c>
      <c r="D29" s="378"/>
      <c r="E29" s="378"/>
      <c r="F29" s="378"/>
      <c r="G29" s="518"/>
      <c r="H29" s="518">
        <f>ROUND(H28,0)</f>
        <v>3815040</v>
      </c>
      <c r="I29" s="1164"/>
    </row>
    <row r="30" spans="2:12">
      <c r="B30" s="226" t="s">
        <v>450</v>
      </c>
      <c r="C30" s="328" t="s">
        <v>448</v>
      </c>
      <c r="D30" s="287"/>
      <c r="E30" s="288"/>
      <c r="F30" s="445"/>
      <c r="G30" s="446"/>
      <c r="H30" s="447"/>
      <c r="I30" s="440"/>
    </row>
    <row r="31" spans="2:12">
      <c r="B31" s="205"/>
      <c r="C31" s="66" t="s">
        <v>28</v>
      </c>
      <c r="D31" s="207" t="s">
        <v>449</v>
      </c>
      <c r="E31" s="67" t="s">
        <v>239</v>
      </c>
      <c r="F31" s="68">
        <f>1/0.31</f>
        <v>3.2258064516129035</v>
      </c>
      <c r="G31" s="69">
        <f>BAHAN!$E$274</f>
        <v>10833.333333333334</v>
      </c>
      <c r="H31" s="545">
        <f>F31*G31</f>
        <v>34946.23655913979</v>
      </c>
      <c r="I31" s="440">
        <f>SUM(H31)</f>
        <v>34946.23655913979</v>
      </c>
      <c r="J31" s="1410">
        <f>BOQ!$E$484</f>
        <v>71</v>
      </c>
      <c r="K31" s="5">
        <f>J31*F31</f>
        <v>229.03225806451616</v>
      </c>
      <c r="L31" s="5" t="s">
        <v>239</v>
      </c>
    </row>
    <row r="32" spans="2:12">
      <c r="B32" s="71"/>
      <c r="C32" s="368" t="s">
        <v>28</v>
      </c>
      <c r="D32" s="76" t="s">
        <v>133</v>
      </c>
      <c r="E32" s="73" t="s">
        <v>132</v>
      </c>
      <c r="F32" s="74">
        <v>0.4</v>
      </c>
      <c r="G32" s="75">
        <f>G16</f>
        <v>136000</v>
      </c>
      <c r="H32" s="545">
        <f>F32*G32</f>
        <v>54400</v>
      </c>
      <c r="I32" s="440"/>
      <c r="J32" s="1410"/>
    </row>
    <row r="33" spans="2:10">
      <c r="B33" s="71"/>
      <c r="C33" s="368" t="s">
        <v>28</v>
      </c>
      <c r="D33" s="76" t="s">
        <v>134</v>
      </c>
      <c r="E33" s="73" t="s">
        <v>132</v>
      </c>
      <c r="F33" s="74">
        <v>0.2</v>
      </c>
      <c r="G33" s="75">
        <f>G17</f>
        <v>160000</v>
      </c>
      <c r="H33" s="545">
        <f>F33*G33</f>
        <v>32000</v>
      </c>
      <c r="I33" s="440"/>
      <c r="J33" s="1410"/>
    </row>
    <row r="34" spans="2:10">
      <c r="B34" s="71"/>
      <c r="C34" s="368" t="s">
        <v>28</v>
      </c>
      <c r="D34" s="76" t="s">
        <v>135</v>
      </c>
      <c r="E34" s="73" t="s">
        <v>132</v>
      </c>
      <c r="F34" s="74">
        <v>0.02</v>
      </c>
      <c r="G34" s="75">
        <f>G18</f>
        <v>150000</v>
      </c>
      <c r="H34" s="545">
        <f>F34*G34</f>
        <v>3000</v>
      </c>
      <c r="I34" s="440"/>
    </row>
    <row r="35" spans="2:10">
      <c r="B35" s="369"/>
      <c r="C35" s="382" t="s">
        <v>28</v>
      </c>
      <c r="D35" s="448" t="s">
        <v>136</v>
      </c>
      <c r="E35" s="449" t="s">
        <v>132</v>
      </c>
      <c r="F35" s="450">
        <v>2E-3</v>
      </c>
      <c r="G35" s="75">
        <f>G19</f>
        <v>180000</v>
      </c>
      <c r="H35" s="545">
        <f>F35*G35</f>
        <v>360</v>
      </c>
      <c r="I35" s="440">
        <f>SUM(H32:H35)</f>
        <v>89760</v>
      </c>
    </row>
    <row r="36" spans="2:10">
      <c r="B36" s="216"/>
      <c r="C36" s="83"/>
      <c r="D36" s="84" t="s">
        <v>228</v>
      </c>
      <c r="E36" s="85"/>
      <c r="F36" s="86"/>
      <c r="G36" s="87"/>
      <c r="H36" s="88">
        <f>SUM(H31:H35)</f>
        <v>124706.2365591398</v>
      </c>
      <c r="I36" s="440"/>
    </row>
    <row r="37" spans="2:10">
      <c r="B37" s="396"/>
      <c r="C37" s="442" t="s">
        <v>229</v>
      </c>
      <c r="D37" s="378"/>
      <c r="E37" s="378"/>
      <c r="F37" s="378"/>
      <c r="G37" s="518"/>
      <c r="H37" s="518">
        <f>ROUND(H36,0)</f>
        <v>124706</v>
      </c>
      <c r="I37" s="1164"/>
    </row>
    <row r="38" spans="2:10">
      <c r="B38" s="226" t="s">
        <v>454</v>
      </c>
      <c r="C38" s="328" t="s">
        <v>451</v>
      </c>
      <c r="D38" s="287"/>
      <c r="E38" s="288"/>
      <c r="F38" s="445"/>
      <c r="G38" s="446"/>
      <c r="H38" s="447"/>
      <c r="I38" s="440"/>
    </row>
    <row r="39" spans="2:10">
      <c r="B39" s="205"/>
      <c r="C39" s="66" t="s">
        <v>28</v>
      </c>
      <c r="D39" s="207" t="s">
        <v>452</v>
      </c>
      <c r="E39" s="67" t="s">
        <v>239</v>
      </c>
      <c r="F39" s="68">
        <f>1/0.26</f>
        <v>3.8461538461538458</v>
      </c>
      <c r="G39" s="69">
        <f>BAHAN!$E$278</f>
        <v>10833.333333333334</v>
      </c>
      <c r="H39" s="545">
        <f t="shared" ref="H39:H45" si="0">F39*G39</f>
        <v>41666.666666666664</v>
      </c>
      <c r="I39" s="440"/>
    </row>
    <row r="40" spans="2:10">
      <c r="B40" s="71"/>
      <c r="C40" s="368" t="s">
        <v>28</v>
      </c>
      <c r="D40" s="76" t="s">
        <v>221</v>
      </c>
      <c r="E40" s="73" t="s">
        <v>145</v>
      </c>
      <c r="F40" s="74">
        <v>8</v>
      </c>
      <c r="G40" s="75">
        <f>BAHAN!$E$30/50</f>
        <v>1500</v>
      </c>
      <c r="H40" s="545">
        <f t="shared" si="0"/>
        <v>12000</v>
      </c>
      <c r="I40" s="440"/>
    </row>
    <row r="41" spans="2:10">
      <c r="B41" s="71"/>
      <c r="C41" s="368" t="s">
        <v>28</v>
      </c>
      <c r="D41" s="76" t="s">
        <v>453</v>
      </c>
      <c r="E41" s="73" t="s">
        <v>143</v>
      </c>
      <c r="F41" s="74">
        <v>3.2000000000000001E-2</v>
      </c>
      <c r="G41" s="75">
        <f>BAHAN!$E$9</f>
        <v>246000</v>
      </c>
      <c r="H41" s="545">
        <f t="shared" si="0"/>
        <v>7872</v>
      </c>
      <c r="I41" s="440">
        <f>SUM(H39:H41)</f>
        <v>61538.666666666664</v>
      </c>
    </row>
    <row r="42" spans="2:10">
      <c r="B42" s="71"/>
      <c r="C42" s="368" t="s">
        <v>28</v>
      </c>
      <c r="D42" s="76" t="s">
        <v>133</v>
      </c>
      <c r="E42" s="73" t="s">
        <v>132</v>
      </c>
      <c r="F42" s="74">
        <v>0.4</v>
      </c>
      <c r="G42" s="75">
        <f>G32</f>
        <v>136000</v>
      </c>
      <c r="H42" s="545">
        <f t="shared" si="0"/>
        <v>54400</v>
      </c>
      <c r="I42" s="440"/>
    </row>
    <row r="43" spans="2:10">
      <c r="B43" s="71"/>
      <c r="C43" s="368" t="s">
        <v>28</v>
      </c>
      <c r="D43" s="76" t="s">
        <v>134</v>
      </c>
      <c r="E43" s="73" t="s">
        <v>132</v>
      </c>
      <c r="F43" s="74">
        <v>0.2</v>
      </c>
      <c r="G43" s="75">
        <f>G33</f>
        <v>160000</v>
      </c>
      <c r="H43" s="545">
        <f t="shared" si="0"/>
        <v>32000</v>
      </c>
      <c r="I43" s="440"/>
    </row>
    <row r="44" spans="2:10">
      <c r="B44" s="71"/>
      <c r="C44" s="368" t="s">
        <v>28</v>
      </c>
      <c r="D44" s="76" t="s">
        <v>135</v>
      </c>
      <c r="E44" s="73" t="s">
        <v>132</v>
      </c>
      <c r="F44" s="74">
        <v>0.02</v>
      </c>
      <c r="G44" s="75">
        <f>G34</f>
        <v>150000</v>
      </c>
      <c r="H44" s="545">
        <f t="shared" si="0"/>
        <v>3000</v>
      </c>
      <c r="I44" s="440"/>
    </row>
    <row r="45" spans="2:10">
      <c r="B45" s="369"/>
      <c r="C45" s="382" t="s">
        <v>28</v>
      </c>
      <c r="D45" s="448" t="s">
        <v>136</v>
      </c>
      <c r="E45" s="449" t="s">
        <v>132</v>
      </c>
      <c r="F45" s="450">
        <v>2E-3</v>
      </c>
      <c r="G45" s="75">
        <f>G35</f>
        <v>180000</v>
      </c>
      <c r="H45" s="545">
        <f t="shared" si="0"/>
        <v>360</v>
      </c>
      <c r="I45" s="440">
        <f>SUM(H42:H45)</f>
        <v>89760</v>
      </c>
    </row>
    <row r="46" spans="2:10">
      <c r="B46" s="216"/>
      <c r="C46" s="83"/>
      <c r="D46" s="84" t="s">
        <v>228</v>
      </c>
      <c r="E46" s="85"/>
      <c r="F46" s="86"/>
      <c r="G46" s="87"/>
      <c r="H46" s="88">
        <f>SUM(H39:H45)</f>
        <v>151298.66666666666</v>
      </c>
      <c r="I46" s="440"/>
    </row>
    <row r="47" spans="2:10">
      <c r="B47" s="396"/>
      <c r="C47" s="442" t="s">
        <v>229</v>
      </c>
      <c r="D47" s="378"/>
      <c r="E47" s="378"/>
      <c r="F47" s="378"/>
      <c r="G47" s="518"/>
      <c r="H47" s="518">
        <f>ROUND(H46,0)</f>
        <v>151299</v>
      </c>
      <c r="I47" s="1164"/>
    </row>
    <row r="48" spans="2:10">
      <c r="B48" s="226" t="s">
        <v>458</v>
      </c>
      <c r="C48" s="328" t="s">
        <v>455</v>
      </c>
      <c r="D48" s="287"/>
      <c r="E48" s="548"/>
      <c r="F48" s="533"/>
      <c r="G48" s="534"/>
      <c r="H48" s="456"/>
      <c r="I48" s="440"/>
    </row>
    <row r="49" spans="2:11">
      <c r="B49" s="205"/>
      <c r="C49" s="206" t="s">
        <v>28</v>
      </c>
      <c r="D49" s="549" t="s">
        <v>456</v>
      </c>
      <c r="E49" s="208" t="s">
        <v>151</v>
      </c>
      <c r="F49" s="550">
        <v>0.25</v>
      </c>
      <c r="G49" s="430">
        <f>BAHAN!$E$254</f>
        <v>858000</v>
      </c>
      <c r="H49" s="545">
        <f t="shared" ref="H49:H54" si="1">F49*G49</f>
        <v>214500</v>
      </c>
      <c r="I49" s="440"/>
      <c r="J49" s="1410">
        <f>BOQ!$E$478</f>
        <v>0</v>
      </c>
      <c r="K49" s="954">
        <f>J49*F49</f>
        <v>0</v>
      </c>
    </row>
    <row r="50" spans="2:11">
      <c r="B50" s="71"/>
      <c r="C50" s="368" t="s">
        <v>28</v>
      </c>
      <c r="D50" s="279" t="s">
        <v>457</v>
      </c>
      <c r="E50" s="73" t="s">
        <v>145</v>
      </c>
      <c r="F50" s="551">
        <v>0.05</v>
      </c>
      <c r="G50" s="75">
        <f>BAHAN!$E$214</f>
        <v>54000</v>
      </c>
      <c r="H50" s="545">
        <f t="shared" si="1"/>
        <v>2700</v>
      </c>
      <c r="I50" s="440">
        <f>SUM(H49:H50)</f>
        <v>217200</v>
      </c>
      <c r="J50" s="1410">
        <f>J49</f>
        <v>0</v>
      </c>
      <c r="K50" s="954">
        <f>J50*F50</f>
        <v>0</v>
      </c>
    </row>
    <row r="51" spans="2:11">
      <c r="B51" s="71"/>
      <c r="C51" s="368" t="s">
        <v>28</v>
      </c>
      <c r="D51" s="279" t="s">
        <v>133</v>
      </c>
      <c r="E51" s="73" t="s">
        <v>132</v>
      </c>
      <c r="F51" s="551">
        <v>0.14000000000000001</v>
      </c>
      <c r="G51" s="75">
        <f>G42</f>
        <v>136000</v>
      </c>
      <c r="H51" s="545">
        <f t="shared" si="1"/>
        <v>19040</v>
      </c>
      <c r="I51" s="440"/>
    </row>
    <row r="52" spans="2:11">
      <c r="B52" s="71"/>
      <c r="C52" s="368" t="s">
        <v>28</v>
      </c>
      <c r="D52" s="279" t="s">
        <v>134</v>
      </c>
      <c r="E52" s="73" t="s">
        <v>132</v>
      </c>
      <c r="F52" s="551">
        <v>6.7000000000000004E-2</v>
      </c>
      <c r="G52" s="75">
        <f>G43</f>
        <v>160000</v>
      </c>
      <c r="H52" s="545">
        <f t="shared" si="1"/>
        <v>10720</v>
      </c>
      <c r="I52" s="440"/>
    </row>
    <row r="53" spans="2:11">
      <c r="B53" s="71"/>
      <c r="C53" s="368" t="s">
        <v>28</v>
      </c>
      <c r="D53" s="279" t="s">
        <v>135</v>
      </c>
      <c r="E53" s="73" t="s">
        <v>132</v>
      </c>
      <c r="F53" s="551">
        <v>7.0000000000000001E-3</v>
      </c>
      <c r="G53" s="75">
        <f>G44</f>
        <v>150000</v>
      </c>
      <c r="H53" s="545">
        <f t="shared" si="1"/>
        <v>1050</v>
      </c>
      <c r="I53" s="440"/>
    </row>
    <row r="54" spans="2:11">
      <c r="B54" s="369"/>
      <c r="C54" s="382" t="s">
        <v>28</v>
      </c>
      <c r="D54" s="383" t="s">
        <v>136</v>
      </c>
      <c r="E54" s="449" t="s">
        <v>132</v>
      </c>
      <c r="F54" s="552">
        <v>7.0000000000000001E-3</v>
      </c>
      <c r="G54" s="75">
        <f>G45</f>
        <v>180000</v>
      </c>
      <c r="H54" s="545">
        <f t="shared" si="1"/>
        <v>1260</v>
      </c>
      <c r="I54" s="440">
        <f>SUM(H51:H54)</f>
        <v>32070</v>
      </c>
    </row>
    <row r="55" spans="2:11">
      <c r="B55" s="216"/>
      <c r="C55" s="83"/>
      <c r="D55" s="84" t="s">
        <v>228</v>
      </c>
      <c r="E55" s="553"/>
      <c r="F55" s="554"/>
      <c r="G55" s="87"/>
      <c r="H55" s="88">
        <f>SUM(H49:H54)</f>
        <v>249270</v>
      </c>
      <c r="I55" s="440"/>
    </row>
    <row r="56" spans="2:11">
      <c r="B56" s="396"/>
      <c r="C56" s="442" t="s">
        <v>229</v>
      </c>
      <c r="D56" s="378"/>
      <c r="E56" s="378"/>
      <c r="F56" s="378"/>
      <c r="G56" s="518"/>
      <c r="H56" s="518">
        <f>ROUND(H55,0)</f>
        <v>249270</v>
      </c>
      <c r="I56" s="1164"/>
    </row>
    <row r="57" spans="2:11">
      <c r="B57" s="226" t="s">
        <v>462</v>
      </c>
      <c r="C57" s="328" t="s">
        <v>459</v>
      </c>
      <c r="D57" s="287"/>
      <c r="E57" s="288"/>
      <c r="F57" s="445"/>
      <c r="G57" s="446"/>
      <c r="H57" s="447"/>
      <c r="I57" s="440"/>
    </row>
    <row r="58" spans="2:11">
      <c r="B58" s="65"/>
      <c r="C58" s="66" t="s">
        <v>28</v>
      </c>
      <c r="D58" s="207" t="s">
        <v>460</v>
      </c>
      <c r="E58" s="67" t="s">
        <v>151</v>
      </c>
      <c r="F58" s="68">
        <v>0.35</v>
      </c>
      <c r="G58" s="69">
        <f>BAHAN!$E$256</f>
        <v>60500</v>
      </c>
      <c r="H58" s="545">
        <f t="shared" ref="H58:H63" si="2">F58*G58</f>
        <v>21175</v>
      </c>
      <c r="I58" s="440"/>
    </row>
    <row r="59" spans="2:11">
      <c r="B59" s="71"/>
      <c r="C59" s="368" t="s">
        <v>28</v>
      </c>
      <c r="D59" s="76" t="s">
        <v>461</v>
      </c>
      <c r="E59" s="73" t="s">
        <v>145</v>
      </c>
      <c r="F59" s="74">
        <v>0.12</v>
      </c>
      <c r="G59" s="75">
        <f>BAHAN!$E$211</f>
        <v>35500</v>
      </c>
      <c r="H59" s="545">
        <f t="shared" si="2"/>
        <v>4260</v>
      </c>
      <c r="I59" s="440">
        <f>SUM(H58:H59)</f>
        <v>25435</v>
      </c>
    </row>
    <row r="60" spans="2:11">
      <c r="B60" s="71"/>
      <c r="C60" s="368" t="s">
        <v>28</v>
      </c>
      <c r="D60" s="76" t="s">
        <v>133</v>
      </c>
      <c r="E60" s="73" t="s">
        <v>132</v>
      </c>
      <c r="F60" s="74">
        <v>0.14000000000000001</v>
      </c>
      <c r="G60" s="75">
        <f>G51</f>
        <v>136000</v>
      </c>
      <c r="H60" s="545">
        <f t="shared" si="2"/>
        <v>19040</v>
      </c>
      <c r="I60" s="440"/>
    </row>
    <row r="61" spans="2:11">
      <c r="B61" s="71"/>
      <c r="C61" s="368" t="s">
        <v>28</v>
      </c>
      <c r="D61" s="76" t="s">
        <v>134</v>
      </c>
      <c r="E61" s="73" t="s">
        <v>132</v>
      </c>
      <c r="F61" s="74">
        <v>7.0000000000000007E-2</v>
      </c>
      <c r="G61" s="75">
        <f>G52</f>
        <v>160000</v>
      </c>
      <c r="H61" s="545">
        <f t="shared" si="2"/>
        <v>11200.000000000002</v>
      </c>
      <c r="I61" s="440"/>
    </row>
    <row r="62" spans="2:11">
      <c r="B62" s="71"/>
      <c r="C62" s="368" t="s">
        <v>28</v>
      </c>
      <c r="D62" s="76" t="s">
        <v>135</v>
      </c>
      <c r="E62" s="73" t="s">
        <v>132</v>
      </c>
      <c r="F62" s="74">
        <v>7.0000000000000001E-3</v>
      </c>
      <c r="G62" s="75">
        <f>G53</f>
        <v>150000</v>
      </c>
      <c r="H62" s="545">
        <f t="shared" si="2"/>
        <v>1050</v>
      </c>
      <c r="I62" s="440"/>
    </row>
    <row r="63" spans="2:11">
      <c r="B63" s="386"/>
      <c r="C63" s="382" t="s">
        <v>28</v>
      </c>
      <c r="D63" s="448" t="s">
        <v>136</v>
      </c>
      <c r="E63" s="449" t="s">
        <v>132</v>
      </c>
      <c r="F63" s="450">
        <v>7.0000000000000001E-3</v>
      </c>
      <c r="G63" s="75">
        <f>G54</f>
        <v>180000</v>
      </c>
      <c r="H63" s="547">
        <f t="shared" si="2"/>
        <v>1260</v>
      </c>
      <c r="I63" s="440">
        <f>SUM(H60:H63)</f>
        <v>32550</v>
      </c>
    </row>
    <row r="64" spans="2:11">
      <c r="B64" s="193"/>
      <c r="C64" s="83"/>
      <c r="D64" s="253" t="s">
        <v>228</v>
      </c>
      <c r="E64" s="522"/>
      <c r="F64" s="463"/>
      <c r="G64" s="464"/>
      <c r="H64" s="431">
        <f>SUM(H58:H63)</f>
        <v>57985</v>
      </c>
      <c r="I64" s="440"/>
    </row>
    <row r="65" spans="2:9">
      <c r="B65" s="396"/>
      <c r="C65" s="442" t="s">
        <v>229</v>
      </c>
      <c r="D65" s="378"/>
      <c r="E65" s="378"/>
      <c r="F65" s="378"/>
      <c r="G65" s="518"/>
      <c r="H65" s="518">
        <f>ROUND(H64,0)</f>
        <v>57985</v>
      </c>
      <c r="I65" s="1164"/>
    </row>
    <row r="66" spans="2:9">
      <c r="B66" s="226" t="s">
        <v>465</v>
      </c>
      <c r="C66" s="328" t="s">
        <v>463</v>
      </c>
      <c r="D66" s="555"/>
      <c r="E66" s="519"/>
      <c r="F66" s="445"/>
      <c r="G66" s="455"/>
      <c r="H66" s="456"/>
      <c r="I66" s="440"/>
    </row>
    <row r="67" spans="2:9">
      <c r="B67" s="65"/>
      <c r="C67" s="66" t="s">
        <v>28</v>
      </c>
      <c r="D67" s="233" t="s">
        <v>464</v>
      </c>
      <c r="E67" s="67" t="s">
        <v>151</v>
      </c>
      <c r="F67" s="520">
        <v>1.5</v>
      </c>
      <c r="G67" s="69">
        <f>BAHAN!$E$266</f>
        <v>65000</v>
      </c>
      <c r="H67" s="70">
        <f t="shared" ref="H67:H72" si="3">F67*G67</f>
        <v>97500</v>
      </c>
      <c r="I67" s="440"/>
    </row>
    <row r="68" spans="2:9">
      <c r="B68" s="71"/>
      <c r="C68" s="368" t="s">
        <v>28</v>
      </c>
      <c r="D68" s="76" t="s">
        <v>461</v>
      </c>
      <c r="E68" s="73" t="s">
        <v>239</v>
      </c>
      <c r="F68" s="74">
        <v>6</v>
      </c>
      <c r="G68" s="75">
        <f>G59/70</f>
        <v>507.14285714285717</v>
      </c>
      <c r="H68" s="545">
        <f t="shared" si="3"/>
        <v>3042.8571428571431</v>
      </c>
      <c r="I68" s="440">
        <f>SUM(H67:H68)</f>
        <v>100542.85714285714</v>
      </c>
    </row>
    <row r="69" spans="2:9">
      <c r="B69" s="71"/>
      <c r="C69" s="368" t="s">
        <v>28</v>
      </c>
      <c r="D69" s="76" t="s">
        <v>133</v>
      </c>
      <c r="E69" s="73" t="s">
        <v>132</v>
      </c>
      <c r="F69" s="74">
        <v>8.4000000000000005E-2</v>
      </c>
      <c r="G69" s="75">
        <f>G60</f>
        <v>136000</v>
      </c>
      <c r="H69" s="545">
        <f t="shared" si="3"/>
        <v>11424</v>
      </c>
      <c r="I69" s="440"/>
    </row>
    <row r="70" spans="2:9">
      <c r="B70" s="71"/>
      <c r="C70" s="368" t="s">
        <v>28</v>
      </c>
      <c r="D70" s="76" t="s">
        <v>134</v>
      </c>
      <c r="E70" s="73" t="s">
        <v>132</v>
      </c>
      <c r="F70" s="74">
        <v>0.125</v>
      </c>
      <c r="G70" s="75">
        <f>G61</f>
        <v>160000</v>
      </c>
      <c r="H70" s="545">
        <f t="shared" si="3"/>
        <v>20000</v>
      </c>
      <c r="I70" s="440"/>
    </row>
    <row r="71" spans="2:9">
      <c r="B71" s="71"/>
      <c r="C71" s="368" t="s">
        <v>28</v>
      </c>
      <c r="D71" s="76" t="s">
        <v>135</v>
      </c>
      <c r="E71" s="73" t="s">
        <v>132</v>
      </c>
      <c r="F71" s="74">
        <v>1.2999999999999999E-2</v>
      </c>
      <c r="G71" s="75">
        <f>G62</f>
        <v>150000</v>
      </c>
      <c r="H71" s="545">
        <f t="shared" si="3"/>
        <v>1950</v>
      </c>
      <c r="I71" s="440"/>
    </row>
    <row r="72" spans="2:9">
      <c r="B72" s="369"/>
      <c r="C72" s="382" t="s">
        <v>28</v>
      </c>
      <c r="D72" s="448" t="s">
        <v>136</v>
      </c>
      <c r="E72" s="449" t="s">
        <v>132</v>
      </c>
      <c r="F72" s="450">
        <v>4.0000000000000001E-3</v>
      </c>
      <c r="G72" s="75">
        <f>G63</f>
        <v>180000</v>
      </c>
      <c r="H72" s="545">
        <f t="shared" si="3"/>
        <v>720</v>
      </c>
      <c r="I72" s="440">
        <f>SUM(H69:H72)</f>
        <v>34094</v>
      </c>
    </row>
    <row r="73" spans="2:9">
      <c r="B73" s="216"/>
      <c r="C73" s="83"/>
      <c r="D73" s="84" t="s">
        <v>228</v>
      </c>
      <c r="E73" s="85"/>
      <c r="F73" s="86"/>
      <c r="G73" s="87"/>
      <c r="H73" s="88">
        <f>SUM(H67:H72)</f>
        <v>134636.85714285716</v>
      </c>
      <c r="I73" s="440"/>
    </row>
    <row r="74" spans="2:9">
      <c r="B74" s="396"/>
      <c r="C74" s="442" t="s">
        <v>229</v>
      </c>
      <c r="D74" s="378"/>
      <c r="E74" s="378"/>
      <c r="F74" s="378"/>
      <c r="G74" s="518"/>
      <c r="H74" s="518">
        <f>ROUND(H73,0)</f>
        <v>134637</v>
      </c>
      <c r="I74" s="1164"/>
    </row>
    <row r="75" spans="2:9">
      <c r="B75" s="226" t="s">
        <v>469</v>
      </c>
      <c r="C75" s="328" t="s">
        <v>466</v>
      </c>
      <c r="D75" s="555"/>
      <c r="E75" s="288"/>
      <c r="F75" s="445"/>
      <c r="G75" s="446"/>
      <c r="H75" s="447"/>
      <c r="I75" s="440"/>
    </row>
    <row r="76" spans="2:9">
      <c r="B76" s="205"/>
      <c r="C76" s="66" t="s">
        <v>28</v>
      </c>
      <c r="D76" s="207" t="s">
        <v>467</v>
      </c>
      <c r="E76" s="67" t="s">
        <v>88</v>
      </c>
      <c r="F76" s="68">
        <v>11</v>
      </c>
      <c r="G76" s="69">
        <f>BAHAN!$E$270</f>
        <v>9900</v>
      </c>
      <c r="H76" s="545">
        <f t="shared" ref="H76:H81" si="4">F76*G76</f>
        <v>108900</v>
      </c>
      <c r="I76" s="440"/>
    </row>
    <row r="77" spans="2:9">
      <c r="B77" s="71"/>
      <c r="C77" s="368" t="s">
        <v>28</v>
      </c>
      <c r="D77" s="76" t="s">
        <v>468</v>
      </c>
      <c r="E77" s="73" t="s">
        <v>145</v>
      </c>
      <c r="F77" s="74">
        <v>0.03</v>
      </c>
      <c r="G77" s="75">
        <f>BAHAN!$E$209</f>
        <v>17500</v>
      </c>
      <c r="H77" s="545">
        <f t="shared" si="4"/>
        <v>525</v>
      </c>
      <c r="I77" s="440">
        <f>SUM(H76:H77)</f>
        <v>109425</v>
      </c>
    </row>
    <row r="78" spans="2:9">
      <c r="B78" s="71"/>
      <c r="C78" s="368" t="s">
        <v>28</v>
      </c>
      <c r="D78" s="76" t="s">
        <v>133</v>
      </c>
      <c r="E78" s="73" t="s">
        <v>132</v>
      </c>
      <c r="F78" s="74">
        <v>0.2</v>
      </c>
      <c r="G78" s="75">
        <f>G69</f>
        <v>136000</v>
      </c>
      <c r="H78" s="545">
        <f t="shared" si="4"/>
        <v>27200</v>
      </c>
      <c r="I78" s="440"/>
    </row>
    <row r="79" spans="2:9">
      <c r="B79" s="71"/>
      <c r="C79" s="368" t="s">
        <v>28</v>
      </c>
      <c r="D79" s="76" t="s">
        <v>134</v>
      </c>
      <c r="E79" s="73" t="s">
        <v>132</v>
      </c>
      <c r="F79" s="74">
        <v>0.1</v>
      </c>
      <c r="G79" s="75">
        <f>G70</f>
        <v>160000</v>
      </c>
      <c r="H79" s="545">
        <f t="shared" si="4"/>
        <v>16000</v>
      </c>
      <c r="I79" s="440"/>
    </row>
    <row r="80" spans="2:9">
      <c r="B80" s="71"/>
      <c r="C80" s="368" t="s">
        <v>28</v>
      </c>
      <c r="D80" s="76" t="s">
        <v>135</v>
      </c>
      <c r="E80" s="73" t="s">
        <v>132</v>
      </c>
      <c r="F80" s="74">
        <v>0.01</v>
      </c>
      <c r="G80" s="75">
        <f>G71</f>
        <v>150000</v>
      </c>
      <c r="H80" s="545">
        <f t="shared" si="4"/>
        <v>1500</v>
      </c>
      <c r="I80" s="440"/>
    </row>
    <row r="81" spans="2:9">
      <c r="B81" s="369"/>
      <c r="C81" s="382" t="s">
        <v>28</v>
      </c>
      <c r="D81" s="448" t="s">
        <v>136</v>
      </c>
      <c r="E81" s="449" t="s">
        <v>132</v>
      </c>
      <c r="F81" s="450">
        <v>0.01</v>
      </c>
      <c r="G81" s="75">
        <f>G72</f>
        <v>180000</v>
      </c>
      <c r="H81" s="545">
        <f t="shared" si="4"/>
        <v>1800</v>
      </c>
      <c r="I81" s="440">
        <f>SUM(H78:H81)</f>
        <v>46500</v>
      </c>
    </row>
    <row r="82" spans="2:9">
      <c r="B82" s="216"/>
      <c r="C82" s="83"/>
      <c r="D82" s="84" t="s">
        <v>228</v>
      </c>
      <c r="E82" s="85"/>
      <c r="F82" s="86"/>
      <c r="G82" s="87"/>
      <c r="H82" s="88">
        <f>SUM(H76:H81)</f>
        <v>155925</v>
      </c>
      <c r="I82" s="440"/>
    </row>
    <row r="83" spans="2:9">
      <c r="B83" s="396"/>
      <c r="C83" s="442" t="s">
        <v>229</v>
      </c>
      <c r="D83" s="378"/>
      <c r="E83" s="378"/>
      <c r="F83" s="378"/>
      <c r="G83" s="518"/>
      <c r="H83" s="518">
        <f>ROUND(H82,0)</f>
        <v>155925</v>
      </c>
      <c r="I83" s="1164"/>
    </row>
    <row r="84" spans="2:9">
      <c r="B84" s="226" t="s">
        <v>472</v>
      </c>
      <c r="C84" s="328" t="s">
        <v>470</v>
      </c>
      <c r="D84" s="287"/>
      <c r="E84" s="288"/>
      <c r="F84" s="445"/>
      <c r="G84" s="446"/>
      <c r="H84" s="447"/>
      <c r="I84" s="440"/>
    </row>
    <row r="85" spans="2:9">
      <c r="B85" s="205"/>
      <c r="C85" s="66" t="s">
        <v>28</v>
      </c>
      <c r="D85" s="207" t="s">
        <v>471</v>
      </c>
      <c r="E85" s="67" t="s">
        <v>239</v>
      </c>
      <c r="F85" s="68">
        <v>3.5</v>
      </c>
      <c r="G85" s="69">
        <f>BAHAN!$E$271</f>
        <v>13125</v>
      </c>
      <c r="H85" s="545">
        <f t="shared" ref="H85:H93" si="5">F85*G85</f>
        <v>45937.5</v>
      </c>
      <c r="I85" s="440"/>
    </row>
    <row r="86" spans="2:9">
      <c r="B86" s="71"/>
      <c r="C86" s="368" t="s">
        <v>28</v>
      </c>
      <c r="D86" s="76" t="s">
        <v>468</v>
      </c>
      <c r="E86" s="73" t="s">
        <v>145</v>
      </c>
      <c r="F86" s="74">
        <v>0.05</v>
      </c>
      <c r="G86" s="75">
        <f>G77</f>
        <v>17500</v>
      </c>
      <c r="H86" s="545">
        <f t="shared" si="5"/>
        <v>875</v>
      </c>
      <c r="I86" s="440"/>
    </row>
    <row r="87" spans="2:9">
      <c r="B87" s="71"/>
      <c r="C87" s="368" t="s">
        <v>28</v>
      </c>
      <c r="D87" s="76" t="s">
        <v>221</v>
      </c>
      <c r="E87" s="73" t="s">
        <v>145</v>
      </c>
      <c r="F87" s="74">
        <v>10.8</v>
      </c>
      <c r="G87" s="75">
        <f>G40</f>
        <v>1500</v>
      </c>
      <c r="H87" s="545">
        <f t="shared" si="5"/>
        <v>16200.000000000002</v>
      </c>
      <c r="I87" s="440"/>
    </row>
    <row r="88" spans="2:9">
      <c r="B88" s="71"/>
      <c r="C88" s="368" t="s">
        <v>28</v>
      </c>
      <c r="D88" s="76" t="s">
        <v>453</v>
      </c>
      <c r="E88" s="73" t="s">
        <v>143</v>
      </c>
      <c r="F88" s="74">
        <v>3.2000000000000001E-2</v>
      </c>
      <c r="G88" s="75">
        <f>G41</f>
        <v>246000</v>
      </c>
      <c r="H88" s="545">
        <f t="shared" si="5"/>
        <v>7872</v>
      </c>
      <c r="I88" s="440"/>
    </row>
    <row r="89" spans="2:9">
      <c r="B89" s="71"/>
      <c r="C89" s="368" t="s">
        <v>28</v>
      </c>
      <c r="D89" s="76" t="s">
        <v>401</v>
      </c>
      <c r="E89" s="73" t="s">
        <v>145</v>
      </c>
      <c r="F89" s="74">
        <v>1</v>
      </c>
      <c r="G89" s="75">
        <f>BAHAN!$E$39</f>
        <v>16000</v>
      </c>
      <c r="H89" s="545">
        <f t="shared" si="5"/>
        <v>16000</v>
      </c>
      <c r="I89" s="440">
        <f>SUM(H85:H89)</f>
        <v>86884.5</v>
      </c>
    </row>
    <row r="90" spans="2:9">
      <c r="B90" s="71"/>
      <c r="C90" s="368" t="s">
        <v>28</v>
      </c>
      <c r="D90" s="76" t="s">
        <v>133</v>
      </c>
      <c r="E90" s="73" t="s">
        <v>132</v>
      </c>
      <c r="F90" s="74">
        <v>0.4</v>
      </c>
      <c r="G90" s="75">
        <f>G78</f>
        <v>136000</v>
      </c>
      <c r="H90" s="545">
        <f t="shared" si="5"/>
        <v>54400</v>
      </c>
      <c r="I90" s="440"/>
    </row>
    <row r="91" spans="2:9">
      <c r="B91" s="71"/>
      <c r="C91" s="368" t="s">
        <v>28</v>
      </c>
      <c r="D91" s="76" t="s">
        <v>134</v>
      </c>
      <c r="E91" s="73" t="s">
        <v>132</v>
      </c>
      <c r="F91" s="74">
        <v>0.2</v>
      </c>
      <c r="G91" s="75">
        <f>G79</f>
        <v>160000</v>
      </c>
      <c r="H91" s="545">
        <f t="shared" si="5"/>
        <v>32000</v>
      </c>
      <c r="I91" s="440"/>
    </row>
    <row r="92" spans="2:9">
      <c r="B92" s="71"/>
      <c r="C92" s="368" t="s">
        <v>28</v>
      </c>
      <c r="D92" s="76" t="s">
        <v>135</v>
      </c>
      <c r="E92" s="73" t="s">
        <v>132</v>
      </c>
      <c r="F92" s="74">
        <v>0.02</v>
      </c>
      <c r="G92" s="75">
        <f>G80</f>
        <v>150000</v>
      </c>
      <c r="H92" s="545">
        <f t="shared" si="5"/>
        <v>3000</v>
      </c>
      <c r="I92" s="440"/>
    </row>
    <row r="93" spans="2:9">
      <c r="B93" s="386"/>
      <c r="C93" s="382" t="s">
        <v>28</v>
      </c>
      <c r="D93" s="448" t="s">
        <v>136</v>
      </c>
      <c r="E93" s="449" t="s">
        <v>132</v>
      </c>
      <c r="F93" s="450">
        <v>0.02</v>
      </c>
      <c r="G93" s="75">
        <f>G81</f>
        <v>180000</v>
      </c>
      <c r="H93" s="547">
        <f t="shared" si="5"/>
        <v>3600</v>
      </c>
      <c r="I93" s="440">
        <f>SUM(H90:H93)</f>
        <v>93000</v>
      </c>
    </row>
    <row r="94" spans="2:9">
      <c r="B94" s="193"/>
      <c r="C94" s="83"/>
      <c r="D94" s="253" t="s">
        <v>228</v>
      </c>
      <c r="E94" s="522"/>
      <c r="F94" s="463"/>
      <c r="G94" s="464"/>
      <c r="H94" s="431">
        <f>SUM(H85:H93)</f>
        <v>179884.5</v>
      </c>
      <c r="I94" s="440"/>
    </row>
    <row r="95" spans="2:9">
      <c r="B95" s="396"/>
      <c r="C95" s="442" t="s">
        <v>229</v>
      </c>
      <c r="D95" s="378"/>
      <c r="E95" s="378"/>
      <c r="F95" s="378"/>
      <c r="G95" s="518"/>
      <c r="H95" s="518">
        <f>ROUND(H94,0)</f>
        <v>179885</v>
      </c>
      <c r="I95" s="1164"/>
    </row>
    <row r="96" spans="2:9">
      <c r="B96" s="226" t="s">
        <v>475</v>
      </c>
      <c r="C96" s="328" t="s">
        <v>473</v>
      </c>
      <c r="D96" s="287"/>
      <c r="E96" s="288"/>
      <c r="F96" s="445"/>
      <c r="G96" s="446"/>
      <c r="H96" s="447"/>
      <c r="I96" s="440"/>
    </row>
    <row r="97" spans="2:9">
      <c r="B97" s="205"/>
      <c r="C97" s="66" t="s">
        <v>28</v>
      </c>
      <c r="D97" s="207" t="s">
        <v>474</v>
      </c>
      <c r="E97" s="67" t="s">
        <v>147</v>
      </c>
      <c r="F97" s="68">
        <v>1.02</v>
      </c>
      <c r="G97" s="69">
        <f>BAHAN!$E$264</f>
        <v>49999.999999999993</v>
      </c>
      <c r="H97" s="545">
        <f t="shared" ref="H97:H102" si="6">F97*G97</f>
        <v>50999.999999999993</v>
      </c>
      <c r="I97" s="440"/>
    </row>
    <row r="98" spans="2:9">
      <c r="B98" s="71"/>
      <c r="C98" s="368" t="s">
        <v>28</v>
      </c>
      <c r="D98" s="76" t="s">
        <v>457</v>
      </c>
      <c r="E98" s="73" t="s">
        <v>145</v>
      </c>
      <c r="F98" s="74">
        <v>0.05</v>
      </c>
      <c r="G98" s="69">
        <f>G50</f>
        <v>54000</v>
      </c>
      <c r="H98" s="545">
        <f t="shared" si="6"/>
        <v>2700</v>
      </c>
      <c r="I98" s="440">
        <f>SUM(H97:H98)</f>
        <v>53699.999999999993</v>
      </c>
    </row>
    <row r="99" spans="2:9">
      <c r="B99" s="71"/>
      <c r="C99" s="368" t="s">
        <v>28</v>
      </c>
      <c r="D99" s="76" t="s">
        <v>133</v>
      </c>
      <c r="E99" s="73" t="s">
        <v>132</v>
      </c>
      <c r="F99" s="74">
        <v>0.2</v>
      </c>
      <c r="G99" s="75">
        <f>G90</f>
        <v>136000</v>
      </c>
      <c r="H99" s="545">
        <f t="shared" si="6"/>
        <v>27200</v>
      </c>
      <c r="I99" s="440"/>
    </row>
    <row r="100" spans="2:9">
      <c r="B100" s="71"/>
      <c r="C100" s="368" t="s">
        <v>28</v>
      </c>
      <c r="D100" s="76" t="s">
        <v>134</v>
      </c>
      <c r="E100" s="73" t="s">
        <v>132</v>
      </c>
      <c r="F100" s="74">
        <v>0.1</v>
      </c>
      <c r="G100" s="75">
        <f>G91</f>
        <v>160000</v>
      </c>
      <c r="H100" s="545">
        <f t="shared" si="6"/>
        <v>16000</v>
      </c>
      <c r="I100" s="440"/>
    </row>
    <row r="101" spans="2:9">
      <c r="B101" s="71"/>
      <c r="C101" s="368" t="s">
        <v>28</v>
      </c>
      <c r="D101" s="76" t="s">
        <v>135</v>
      </c>
      <c r="E101" s="73" t="s">
        <v>132</v>
      </c>
      <c r="F101" s="74">
        <v>0.01</v>
      </c>
      <c r="G101" s="75">
        <f>G92</f>
        <v>150000</v>
      </c>
      <c r="H101" s="545">
        <f t="shared" si="6"/>
        <v>1500</v>
      </c>
      <c r="I101" s="440"/>
    </row>
    <row r="102" spans="2:9">
      <c r="B102" s="369"/>
      <c r="C102" s="382" t="s">
        <v>28</v>
      </c>
      <c r="D102" s="448" t="s">
        <v>136</v>
      </c>
      <c r="E102" s="449" t="s">
        <v>132</v>
      </c>
      <c r="F102" s="450">
        <v>1E-3</v>
      </c>
      <c r="G102" s="75">
        <f>G93</f>
        <v>180000</v>
      </c>
      <c r="H102" s="545">
        <f t="shared" si="6"/>
        <v>180</v>
      </c>
      <c r="I102" s="440">
        <f>SUM(H99:H102)</f>
        <v>44880</v>
      </c>
    </row>
    <row r="103" spans="2:9">
      <c r="B103" s="216"/>
      <c r="C103" s="83"/>
      <c r="D103" s="84" t="s">
        <v>228</v>
      </c>
      <c r="E103" s="85"/>
      <c r="F103" s="86"/>
      <c r="G103" s="87"/>
      <c r="H103" s="88">
        <f>SUM(H97:H102)</f>
        <v>98580</v>
      </c>
      <c r="I103" s="440"/>
    </row>
    <row r="104" spans="2:9">
      <c r="B104" s="396"/>
      <c r="C104" s="442" t="s">
        <v>229</v>
      </c>
      <c r="D104" s="378"/>
      <c r="E104" s="378"/>
      <c r="F104" s="378"/>
      <c r="G104" s="518"/>
      <c r="H104" s="518">
        <f>ROUND(H103,0)</f>
        <v>98580</v>
      </c>
      <c r="I104" s="1164"/>
    </row>
    <row r="105" spans="2:9">
      <c r="B105" s="226" t="s">
        <v>478</v>
      </c>
      <c r="C105" s="328" t="s">
        <v>476</v>
      </c>
      <c r="D105" s="555"/>
      <c r="E105" s="556"/>
      <c r="F105" s="557"/>
      <c r="G105" s="534"/>
      <c r="H105" s="456"/>
      <c r="I105" s="440"/>
    </row>
    <row r="106" spans="2:9">
      <c r="B106" s="205"/>
      <c r="C106" s="206" t="s">
        <v>28</v>
      </c>
      <c r="D106" s="207" t="s">
        <v>477</v>
      </c>
      <c r="E106" s="208" t="s">
        <v>151</v>
      </c>
      <c r="F106" s="68">
        <v>1.1000000000000001</v>
      </c>
      <c r="G106" s="430">
        <f>BAHAN!$E$267</f>
        <v>45000</v>
      </c>
      <c r="H106" s="545">
        <f t="shared" ref="H106:H111" si="7">F106*G106</f>
        <v>49500.000000000007</v>
      </c>
      <c r="I106" s="440"/>
    </row>
    <row r="107" spans="2:9">
      <c r="B107" s="71"/>
      <c r="C107" s="368" t="s">
        <v>28</v>
      </c>
      <c r="D107" s="76" t="s">
        <v>457</v>
      </c>
      <c r="E107" s="73" t="s">
        <v>145</v>
      </c>
      <c r="F107" s="74">
        <v>0.05</v>
      </c>
      <c r="G107" s="75">
        <f>G98</f>
        <v>54000</v>
      </c>
      <c r="H107" s="545">
        <f t="shared" si="7"/>
        <v>2700</v>
      </c>
      <c r="I107" s="440">
        <f>SUM(H106:H107)</f>
        <v>52200.000000000007</v>
      </c>
    </row>
    <row r="108" spans="2:9">
      <c r="B108" s="71"/>
      <c r="C108" s="368" t="s">
        <v>28</v>
      </c>
      <c r="D108" s="76" t="s">
        <v>133</v>
      </c>
      <c r="E108" s="73" t="s">
        <v>132</v>
      </c>
      <c r="F108" s="74">
        <v>0.25</v>
      </c>
      <c r="G108" s="75">
        <f>G99</f>
        <v>136000</v>
      </c>
      <c r="H108" s="545">
        <f t="shared" si="7"/>
        <v>34000</v>
      </c>
      <c r="I108" s="440"/>
    </row>
    <row r="109" spans="2:9">
      <c r="B109" s="71"/>
      <c r="C109" s="368" t="s">
        <v>28</v>
      </c>
      <c r="D109" s="76" t="s">
        <v>134</v>
      </c>
      <c r="E109" s="73" t="s">
        <v>132</v>
      </c>
      <c r="F109" s="74">
        <v>0.15</v>
      </c>
      <c r="G109" s="75">
        <f>G100</f>
        <v>160000</v>
      </c>
      <c r="H109" s="545">
        <f t="shared" si="7"/>
        <v>24000</v>
      </c>
      <c r="I109" s="440"/>
    </row>
    <row r="110" spans="2:9">
      <c r="B110" s="71"/>
      <c r="C110" s="368" t="s">
        <v>28</v>
      </c>
      <c r="D110" s="76" t="s">
        <v>135</v>
      </c>
      <c r="E110" s="73" t="s">
        <v>132</v>
      </c>
      <c r="F110" s="74">
        <v>1.4999999999999999E-2</v>
      </c>
      <c r="G110" s="75">
        <f>G101</f>
        <v>150000</v>
      </c>
      <c r="H110" s="545">
        <f t="shared" si="7"/>
        <v>2250</v>
      </c>
      <c r="I110" s="440"/>
    </row>
    <row r="111" spans="2:9">
      <c r="B111" s="386"/>
      <c r="C111" s="382" t="s">
        <v>28</v>
      </c>
      <c r="D111" s="448" t="s">
        <v>136</v>
      </c>
      <c r="E111" s="449" t="s">
        <v>132</v>
      </c>
      <c r="F111" s="450">
        <v>1.2999999999999999E-2</v>
      </c>
      <c r="G111" s="75">
        <f>G102</f>
        <v>180000</v>
      </c>
      <c r="H111" s="547">
        <f t="shared" si="7"/>
        <v>2340</v>
      </c>
      <c r="I111" s="440">
        <f>SUM(H108:H111)</f>
        <v>62590</v>
      </c>
    </row>
    <row r="112" spans="2:9">
      <c r="B112" s="193"/>
      <c r="C112" s="83"/>
      <c r="D112" s="253" t="s">
        <v>228</v>
      </c>
      <c r="E112" s="522"/>
      <c r="F112" s="463"/>
      <c r="G112" s="464"/>
      <c r="H112" s="431">
        <f>SUM(H106:H111)</f>
        <v>114790</v>
      </c>
      <c r="I112" s="440"/>
    </row>
    <row r="113" spans="2:9">
      <c r="B113" s="396"/>
      <c r="C113" s="442" t="s">
        <v>229</v>
      </c>
      <c r="D113" s="378"/>
      <c r="E113" s="378"/>
      <c r="F113" s="378"/>
      <c r="G113" s="518"/>
      <c r="H113" s="518">
        <f>ROUND(H112,0)</f>
        <v>114790</v>
      </c>
      <c r="I113" s="1164"/>
    </row>
    <row r="114" spans="2:9">
      <c r="B114" s="226" t="s">
        <v>481</v>
      </c>
      <c r="C114" s="328" t="s">
        <v>479</v>
      </c>
      <c r="D114" s="287"/>
      <c r="E114" s="519"/>
      <c r="F114" s="445"/>
      <c r="G114" s="455"/>
      <c r="H114" s="456"/>
      <c r="I114" s="440"/>
    </row>
    <row r="115" spans="2:9">
      <c r="B115" s="205"/>
      <c r="C115" s="206" t="s">
        <v>28</v>
      </c>
      <c r="D115" s="207" t="s">
        <v>480</v>
      </c>
      <c r="E115" s="208" t="s">
        <v>151</v>
      </c>
      <c r="F115" s="68">
        <v>0.7</v>
      </c>
      <c r="G115" s="430">
        <f>BAHAN!$E$257</f>
        <v>47000</v>
      </c>
      <c r="H115" s="545">
        <f t="shared" ref="H115:H120" si="8">F115*G115</f>
        <v>32900</v>
      </c>
      <c r="I115" s="440"/>
    </row>
    <row r="116" spans="2:9">
      <c r="B116" s="71"/>
      <c r="C116" s="368" t="s">
        <v>28</v>
      </c>
      <c r="D116" s="76" t="s">
        <v>457</v>
      </c>
      <c r="E116" s="73" t="s">
        <v>145</v>
      </c>
      <c r="F116" s="74">
        <v>0.02</v>
      </c>
      <c r="G116" s="75">
        <f>$G$107</f>
        <v>54000</v>
      </c>
      <c r="H116" s="545">
        <f t="shared" si="8"/>
        <v>1080</v>
      </c>
      <c r="I116" s="440">
        <f>SUM(H115:H116)</f>
        <v>33980</v>
      </c>
    </row>
    <row r="117" spans="2:9">
      <c r="B117" s="71"/>
      <c r="C117" s="368" t="s">
        <v>28</v>
      </c>
      <c r="D117" s="76" t="s">
        <v>133</v>
      </c>
      <c r="E117" s="73" t="s">
        <v>132</v>
      </c>
      <c r="F117" s="74">
        <v>0.12</v>
      </c>
      <c r="G117" s="75">
        <f>$G$108</f>
        <v>136000</v>
      </c>
      <c r="H117" s="545">
        <f t="shared" si="8"/>
        <v>16320</v>
      </c>
      <c r="I117" s="440"/>
    </row>
    <row r="118" spans="2:9">
      <c r="B118" s="71"/>
      <c r="C118" s="368" t="s">
        <v>28</v>
      </c>
      <c r="D118" s="76" t="s">
        <v>134</v>
      </c>
      <c r="E118" s="73" t="s">
        <v>132</v>
      </c>
      <c r="F118" s="74">
        <v>0.06</v>
      </c>
      <c r="G118" s="75">
        <f>$G$109</f>
        <v>160000</v>
      </c>
      <c r="H118" s="545">
        <f t="shared" si="8"/>
        <v>9600</v>
      </c>
      <c r="I118" s="440"/>
    </row>
    <row r="119" spans="2:9">
      <c r="B119" s="71"/>
      <c r="C119" s="368" t="s">
        <v>28</v>
      </c>
      <c r="D119" s="76" t="s">
        <v>135</v>
      </c>
      <c r="E119" s="73" t="s">
        <v>132</v>
      </c>
      <c r="F119" s="74">
        <v>6.0000000000000001E-3</v>
      </c>
      <c r="G119" s="75">
        <f>$G$110</f>
        <v>150000</v>
      </c>
      <c r="H119" s="545">
        <f t="shared" si="8"/>
        <v>900</v>
      </c>
      <c r="I119" s="440"/>
    </row>
    <row r="120" spans="2:9">
      <c r="B120" s="369"/>
      <c r="C120" s="382" t="s">
        <v>28</v>
      </c>
      <c r="D120" s="448" t="s">
        <v>136</v>
      </c>
      <c r="E120" s="449" t="s">
        <v>132</v>
      </c>
      <c r="F120" s="450">
        <v>6.0000000000000001E-3</v>
      </c>
      <c r="G120" s="75">
        <f>$G$111</f>
        <v>180000</v>
      </c>
      <c r="H120" s="545">
        <f t="shared" si="8"/>
        <v>1080</v>
      </c>
      <c r="I120" s="440">
        <f>SUM(H117:H120)</f>
        <v>27900</v>
      </c>
    </row>
    <row r="121" spans="2:9">
      <c r="B121" s="216"/>
      <c r="C121" s="83"/>
      <c r="D121" s="84" t="s">
        <v>228</v>
      </c>
      <c r="E121" s="85"/>
      <c r="F121" s="86"/>
      <c r="G121" s="87"/>
      <c r="H121" s="88">
        <f>SUM(H115:H120)</f>
        <v>61880</v>
      </c>
      <c r="I121" s="440"/>
    </row>
    <row r="122" spans="2:9">
      <c r="B122" s="396"/>
      <c r="C122" s="442" t="s">
        <v>229</v>
      </c>
      <c r="D122" s="378"/>
      <c r="E122" s="378"/>
      <c r="F122" s="378"/>
      <c r="G122" s="518"/>
      <c r="H122" s="518">
        <f>ROUND(H121,0)</f>
        <v>61880</v>
      </c>
      <c r="I122" s="1164"/>
    </row>
    <row r="123" spans="2:9">
      <c r="B123" s="530" t="s">
        <v>484</v>
      </c>
      <c r="C123" s="419" t="s">
        <v>482</v>
      </c>
      <c r="D123" s="558"/>
      <c r="E123" s="559"/>
      <c r="F123" s="560"/>
      <c r="G123" s="561"/>
      <c r="H123" s="562"/>
      <c r="I123" s="440"/>
    </row>
    <row r="124" spans="2:9">
      <c r="B124" s="205"/>
      <c r="C124" s="66" t="s">
        <v>28</v>
      </c>
      <c r="D124" s="207" t="s">
        <v>483</v>
      </c>
      <c r="E124" s="67" t="s">
        <v>151</v>
      </c>
      <c r="F124" s="68">
        <v>0.3</v>
      </c>
      <c r="G124" s="69">
        <f>BAHAN!$E$265</f>
        <v>20000</v>
      </c>
      <c r="H124" s="545">
        <f t="shared" ref="H124:H129" si="9">F124*G124</f>
        <v>6000</v>
      </c>
      <c r="I124" s="440"/>
    </row>
    <row r="125" spans="2:9">
      <c r="B125" s="71"/>
      <c r="C125" s="368" t="s">
        <v>28</v>
      </c>
      <c r="D125" s="76" t="s">
        <v>457</v>
      </c>
      <c r="E125" s="73" t="s">
        <v>145</v>
      </c>
      <c r="F125" s="74">
        <v>0.04</v>
      </c>
      <c r="G125" s="75">
        <f>G116</f>
        <v>54000</v>
      </c>
      <c r="H125" s="545">
        <f t="shared" si="9"/>
        <v>2160</v>
      </c>
      <c r="I125" s="440">
        <f>SUM(H124:H125)</f>
        <v>8160</v>
      </c>
    </row>
    <row r="126" spans="2:9">
      <c r="B126" s="71"/>
      <c r="C126" s="368" t="s">
        <v>28</v>
      </c>
      <c r="D126" s="76" t="s">
        <v>133</v>
      </c>
      <c r="E126" s="73" t="s">
        <v>132</v>
      </c>
      <c r="F126" s="74">
        <v>0.15</v>
      </c>
      <c r="G126" s="75">
        <f>G117</f>
        <v>136000</v>
      </c>
      <c r="H126" s="545">
        <f t="shared" si="9"/>
        <v>20400</v>
      </c>
      <c r="I126" s="440"/>
    </row>
    <row r="127" spans="2:9">
      <c r="B127" s="71"/>
      <c r="C127" s="368" t="s">
        <v>28</v>
      </c>
      <c r="D127" s="76" t="s">
        <v>134</v>
      </c>
      <c r="E127" s="73" t="s">
        <v>132</v>
      </c>
      <c r="F127" s="74">
        <v>7.0000000000000007E-2</v>
      </c>
      <c r="G127" s="75">
        <f>G118</f>
        <v>160000</v>
      </c>
      <c r="H127" s="545">
        <f t="shared" si="9"/>
        <v>11200.000000000002</v>
      </c>
      <c r="I127" s="440"/>
    </row>
    <row r="128" spans="2:9">
      <c r="B128" s="71"/>
      <c r="C128" s="368" t="s">
        <v>28</v>
      </c>
      <c r="D128" s="76" t="s">
        <v>135</v>
      </c>
      <c r="E128" s="73" t="s">
        <v>132</v>
      </c>
      <c r="F128" s="74">
        <v>8.0000000000000002E-3</v>
      </c>
      <c r="G128" s="75">
        <f>G119</f>
        <v>150000</v>
      </c>
      <c r="H128" s="545">
        <f t="shared" si="9"/>
        <v>1200</v>
      </c>
      <c r="I128" s="440"/>
    </row>
    <row r="129" spans="2:12">
      <c r="B129" s="369"/>
      <c r="C129" s="382" t="s">
        <v>28</v>
      </c>
      <c r="D129" s="448" t="s">
        <v>136</v>
      </c>
      <c r="E129" s="449" t="s">
        <v>132</v>
      </c>
      <c r="F129" s="450">
        <v>6.0000000000000001E-3</v>
      </c>
      <c r="G129" s="75">
        <f>G120</f>
        <v>180000</v>
      </c>
      <c r="H129" s="545">
        <f t="shared" si="9"/>
        <v>1080</v>
      </c>
      <c r="I129" s="440">
        <f>SUM(H126:H129)</f>
        <v>33880</v>
      </c>
    </row>
    <row r="130" spans="2:12">
      <c r="B130" s="216"/>
      <c r="C130" s="83"/>
      <c r="D130" s="84" t="s">
        <v>228</v>
      </c>
      <c r="E130" s="85"/>
      <c r="F130" s="86"/>
      <c r="G130" s="87"/>
      <c r="H130" s="88">
        <f>SUM(H124:H129)</f>
        <v>42040</v>
      </c>
      <c r="I130" s="440"/>
    </row>
    <row r="131" spans="2:12">
      <c r="B131" s="396"/>
      <c r="C131" s="442" t="s">
        <v>229</v>
      </c>
      <c r="D131" s="378"/>
      <c r="E131" s="378"/>
      <c r="F131" s="378"/>
      <c r="G131" s="518"/>
      <c r="H131" s="518">
        <f>ROUND(H130,0)</f>
        <v>42040</v>
      </c>
      <c r="I131" s="1164"/>
    </row>
    <row r="132" spans="2:12">
      <c r="B132" s="226" t="s">
        <v>487</v>
      </c>
      <c r="C132" s="328" t="s">
        <v>485</v>
      </c>
      <c r="D132" s="287"/>
      <c r="E132" s="548"/>
      <c r="F132" s="533"/>
      <c r="G132" s="534"/>
      <c r="H132" s="456"/>
      <c r="I132" s="440"/>
    </row>
    <row r="133" spans="2:12">
      <c r="B133" s="205"/>
      <c r="C133" s="206" t="s">
        <v>28</v>
      </c>
      <c r="D133" s="263" t="s">
        <v>486</v>
      </c>
      <c r="E133" s="208" t="s">
        <v>240</v>
      </c>
      <c r="F133" s="550">
        <v>1.05</v>
      </c>
      <c r="G133" s="430">
        <f>BAHAN!$E$263</f>
        <v>14500</v>
      </c>
      <c r="H133" s="545">
        <f>F133*G133</f>
        <v>15225</v>
      </c>
      <c r="I133" s="440">
        <f>SUM(H133)</f>
        <v>15225</v>
      </c>
      <c r="J133" s="1410">
        <f>BOQ!$E$477</f>
        <v>0</v>
      </c>
      <c r="K133" s="910">
        <f>J133*F133</f>
        <v>0</v>
      </c>
      <c r="L133" s="208" t="s">
        <v>240</v>
      </c>
    </row>
    <row r="134" spans="2:12">
      <c r="B134" s="71"/>
      <c r="C134" s="368" t="s">
        <v>28</v>
      </c>
      <c r="D134" s="76" t="s">
        <v>133</v>
      </c>
      <c r="E134" s="73" t="s">
        <v>132</v>
      </c>
      <c r="F134" s="551">
        <v>0.15</v>
      </c>
      <c r="G134" s="75">
        <f>$G$126</f>
        <v>136000</v>
      </c>
      <c r="H134" s="545">
        <f>F134*G134</f>
        <v>20400</v>
      </c>
      <c r="I134" s="440"/>
    </row>
    <row r="135" spans="2:12">
      <c r="B135" s="71"/>
      <c r="C135" s="368" t="s">
        <v>28</v>
      </c>
      <c r="D135" s="76" t="s">
        <v>134</v>
      </c>
      <c r="E135" s="73" t="s">
        <v>132</v>
      </c>
      <c r="F135" s="551">
        <v>0.05</v>
      </c>
      <c r="G135" s="75">
        <f>$G$127</f>
        <v>160000</v>
      </c>
      <c r="H135" s="545">
        <f>F135*G135</f>
        <v>8000</v>
      </c>
      <c r="I135" s="440"/>
    </row>
    <row r="136" spans="2:12">
      <c r="B136" s="71"/>
      <c r="C136" s="368" t="s">
        <v>28</v>
      </c>
      <c r="D136" s="76" t="s">
        <v>135</v>
      </c>
      <c r="E136" s="73" t="s">
        <v>132</v>
      </c>
      <c r="F136" s="551">
        <v>5.0000000000000001E-3</v>
      </c>
      <c r="G136" s="75">
        <f>$G$128</f>
        <v>150000</v>
      </c>
      <c r="H136" s="545">
        <f>F136*G136</f>
        <v>750</v>
      </c>
      <c r="I136" s="440"/>
    </row>
    <row r="137" spans="2:12">
      <c r="B137" s="369"/>
      <c r="C137" s="382" t="s">
        <v>28</v>
      </c>
      <c r="D137" s="448" t="s">
        <v>136</v>
      </c>
      <c r="E137" s="449" t="s">
        <v>132</v>
      </c>
      <c r="F137" s="552">
        <v>8.0000000000000002E-3</v>
      </c>
      <c r="G137" s="75">
        <f>$G$129</f>
        <v>180000</v>
      </c>
      <c r="H137" s="545">
        <f>F137*G137</f>
        <v>1440</v>
      </c>
      <c r="I137" s="440">
        <f>SUM(H134:H137)</f>
        <v>30590</v>
      </c>
    </row>
    <row r="138" spans="2:12">
      <c r="B138" s="216"/>
      <c r="C138" s="83"/>
      <c r="D138" s="84" t="s">
        <v>228</v>
      </c>
      <c r="E138" s="553"/>
      <c r="F138" s="85"/>
      <c r="G138" s="87"/>
      <c r="H138" s="88">
        <f>SUM(H133:H137)</f>
        <v>45815</v>
      </c>
      <c r="I138" s="440"/>
    </row>
    <row r="139" spans="2:12">
      <c r="B139" s="396"/>
      <c r="C139" s="442" t="s">
        <v>229</v>
      </c>
      <c r="D139" s="378"/>
      <c r="E139" s="378"/>
      <c r="F139" s="378"/>
      <c r="G139" s="518"/>
      <c r="H139" s="518">
        <f>ROUND(H138,0)</f>
        <v>45815</v>
      </c>
      <c r="I139" s="1164"/>
    </row>
    <row r="140" spans="2:12">
      <c r="B140" s="530" t="s">
        <v>491</v>
      </c>
      <c r="C140" s="419" t="s">
        <v>488</v>
      </c>
      <c r="D140" s="558"/>
      <c r="E140" s="559"/>
      <c r="F140" s="560"/>
      <c r="G140" s="561"/>
      <c r="H140" s="562"/>
      <c r="I140" s="440"/>
    </row>
    <row r="141" spans="2:12">
      <c r="B141" s="205"/>
      <c r="C141" s="66" t="s">
        <v>28</v>
      </c>
      <c r="D141" s="563" t="s">
        <v>489</v>
      </c>
      <c r="E141" s="67" t="s">
        <v>151</v>
      </c>
      <c r="F141" s="68">
        <v>1.05</v>
      </c>
      <c r="G141" s="69">
        <f>BAHAN!$E$255</f>
        <v>40644.5</v>
      </c>
      <c r="H141" s="545">
        <f t="shared" ref="H141:H146" si="10">F141*G141</f>
        <v>42676.724999999999</v>
      </c>
      <c r="I141" s="440"/>
      <c r="J141" s="1410">
        <f>BOQ!$E$479</f>
        <v>0</v>
      </c>
      <c r="K141" s="1410">
        <f>J141*F141</f>
        <v>0</v>
      </c>
      <c r="L141" s="67" t="s">
        <v>151</v>
      </c>
    </row>
    <row r="142" spans="2:12">
      <c r="B142" s="71"/>
      <c r="C142" s="368" t="s">
        <v>28</v>
      </c>
      <c r="D142" s="76" t="s">
        <v>490</v>
      </c>
      <c r="E142" s="73" t="s">
        <v>145</v>
      </c>
      <c r="F142" s="74">
        <v>0.02</v>
      </c>
      <c r="G142" s="75">
        <f>G125</f>
        <v>54000</v>
      </c>
      <c r="H142" s="545">
        <f t="shared" si="10"/>
        <v>1080</v>
      </c>
      <c r="I142" s="440">
        <f>SUM(H141:H142)</f>
        <v>43756.724999999999</v>
      </c>
      <c r="J142" s="1410">
        <f>J141</f>
        <v>0</v>
      </c>
      <c r="K142" s="1410">
        <f>J142*F142</f>
        <v>0</v>
      </c>
      <c r="L142" s="73" t="s">
        <v>145</v>
      </c>
    </row>
    <row r="143" spans="2:12">
      <c r="B143" s="71"/>
      <c r="C143" s="368" t="s">
        <v>28</v>
      </c>
      <c r="D143" s="76" t="s">
        <v>133</v>
      </c>
      <c r="E143" s="73" t="s">
        <v>132</v>
      </c>
      <c r="F143" s="74">
        <v>0.15</v>
      </c>
      <c r="G143" s="75">
        <f>G134</f>
        <v>136000</v>
      </c>
      <c r="H143" s="545">
        <f t="shared" si="10"/>
        <v>20400</v>
      </c>
      <c r="I143" s="440"/>
    </row>
    <row r="144" spans="2:12">
      <c r="B144" s="71"/>
      <c r="C144" s="368" t="s">
        <v>28</v>
      </c>
      <c r="D144" s="76" t="s">
        <v>134</v>
      </c>
      <c r="E144" s="73" t="s">
        <v>132</v>
      </c>
      <c r="F144" s="74">
        <v>0.75</v>
      </c>
      <c r="G144" s="75">
        <f>G135</f>
        <v>160000</v>
      </c>
      <c r="H144" s="545">
        <f t="shared" si="10"/>
        <v>120000</v>
      </c>
      <c r="I144" s="440"/>
    </row>
    <row r="145" spans="2:12">
      <c r="B145" s="71"/>
      <c r="C145" s="368" t="s">
        <v>28</v>
      </c>
      <c r="D145" s="76" t="s">
        <v>135</v>
      </c>
      <c r="E145" s="73" t="s">
        <v>132</v>
      </c>
      <c r="F145" s="74">
        <v>8.0000000000000002E-3</v>
      </c>
      <c r="G145" s="75">
        <f>G136</f>
        <v>150000</v>
      </c>
      <c r="H145" s="545">
        <f t="shared" si="10"/>
        <v>1200</v>
      </c>
      <c r="I145" s="440"/>
    </row>
    <row r="146" spans="2:12">
      <c r="B146" s="369"/>
      <c r="C146" s="382" t="s">
        <v>28</v>
      </c>
      <c r="D146" s="448" t="s">
        <v>136</v>
      </c>
      <c r="E146" s="449" t="s">
        <v>132</v>
      </c>
      <c r="F146" s="450">
        <v>6.0000000000000001E-3</v>
      </c>
      <c r="G146" s="75">
        <f>G137</f>
        <v>180000</v>
      </c>
      <c r="H146" s="545">
        <f t="shared" si="10"/>
        <v>1080</v>
      </c>
      <c r="I146" s="440">
        <f>SUM(H143:H146)</f>
        <v>142680</v>
      </c>
    </row>
    <row r="147" spans="2:12">
      <c r="B147" s="216"/>
      <c r="C147" s="83"/>
      <c r="D147" s="84" t="s">
        <v>228</v>
      </c>
      <c r="E147" s="85"/>
      <c r="F147" s="86"/>
      <c r="G147" s="87"/>
      <c r="H147" s="88">
        <f>SUM(H141:H146)</f>
        <v>186436.72500000001</v>
      </c>
      <c r="I147" s="440"/>
    </row>
    <row r="148" spans="2:12">
      <c r="B148" s="396"/>
      <c r="C148" s="442" t="s">
        <v>229</v>
      </c>
      <c r="D148" s="378"/>
      <c r="E148" s="378"/>
      <c r="F148" s="378"/>
      <c r="G148" s="518"/>
      <c r="H148" s="518">
        <f>ROUND(H147,0)</f>
        <v>186437</v>
      </c>
      <c r="I148" s="1164"/>
    </row>
    <row r="149" spans="2:12">
      <c r="B149" s="530" t="s">
        <v>494</v>
      </c>
      <c r="C149" s="419" t="s">
        <v>492</v>
      </c>
      <c r="D149" s="558"/>
      <c r="E149" s="559"/>
      <c r="F149" s="560"/>
      <c r="G149" s="561"/>
      <c r="H149" s="562"/>
      <c r="I149" s="440"/>
    </row>
    <row r="150" spans="2:12">
      <c r="B150" s="205"/>
      <c r="C150" s="66" t="s">
        <v>28</v>
      </c>
      <c r="D150" s="207" t="s">
        <v>493</v>
      </c>
      <c r="E150" s="67" t="s">
        <v>151</v>
      </c>
      <c r="F150" s="68">
        <v>0.3</v>
      </c>
      <c r="G150" s="69">
        <f>G124</f>
        <v>20000</v>
      </c>
      <c r="H150" s="545">
        <f t="shared" ref="H150:H155" si="11">F150*G150</f>
        <v>6000</v>
      </c>
      <c r="I150" s="440"/>
      <c r="J150" s="1410">
        <f>BOQ!$E$485</f>
        <v>0</v>
      </c>
      <c r="K150" s="910">
        <f>J150*F150</f>
        <v>0</v>
      </c>
      <c r="L150" s="67" t="s">
        <v>151</v>
      </c>
    </row>
    <row r="151" spans="2:12">
      <c r="B151" s="71"/>
      <c r="C151" s="368" t="s">
        <v>28</v>
      </c>
      <c r="D151" s="76" t="s">
        <v>490</v>
      </c>
      <c r="E151" s="73" t="s">
        <v>145</v>
      </c>
      <c r="F151" s="74">
        <v>0.04</v>
      </c>
      <c r="G151" s="75">
        <f>G142</f>
        <v>54000</v>
      </c>
      <c r="H151" s="545">
        <f t="shared" si="11"/>
        <v>2160</v>
      </c>
      <c r="I151" s="440">
        <f>SUM(H150:H151)</f>
        <v>8160</v>
      </c>
      <c r="J151" s="1410">
        <f>J150</f>
        <v>0</v>
      </c>
      <c r="K151" s="910">
        <f>J151*F151</f>
        <v>0</v>
      </c>
      <c r="L151" s="73" t="s">
        <v>145</v>
      </c>
    </row>
    <row r="152" spans="2:12">
      <c r="B152" s="71"/>
      <c r="C152" s="368" t="s">
        <v>28</v>
      </c>
      <c r="D152" s="76" t="s">
        <v>133</v>
      </c>
      <c r="E152" s="73" t="s">
        <v>132</v>
      </c>
      <c r="F152" s="74">
        <v>0.1</v>
      </c>
      <c r="G152" s="75">
        <f>G143</f>
        <v>136000</v>
      </c>
      <c r="H152" s="545">
        <f t="shared" si="11"/>
        <v>13600</v>
      </c>
      <c r="I152" s="440"/>
    </row>
    <row r="153" spans="2:12">
      <c r="B153" s="71"/>
      <c r="C153" s="368" t="s">
        <v>28</v>
      </c>
      <c r="D153" s="76" t="s">
        <v>134</v>
      </c>
      <c r="E153" s="73" t="s">
        <v>132</v>
      </c>
      <c r="F153" s="74">
        <v>1</v>
      </c>
      <c r="G153" s="75">
        <f>G144</f>
        <v>160000</v>
      </c>
      <c r="H153" s="545">
        <f t="shared" si="11"/>
        <v>160000</v>
      </c>
      <c r="I153" s="440"/>
    </row>
    <row r="154" spans="2:12">
      <c r="B154" s="71"/>
      <c r="C154" s="368" t="s">
        <v>28</v>
      </c>
      <c r="D154" s="76" t="s">
        <v>135</v>
      </c>
      <c r="E154" s="73" t="s">
        <v>132</v>
      </c>
      <c r="F154" s="74">
        <v>0.01</v>
      </c>
      <c r="G154" s="75">
        <f>G145</f>
        <v>150000</v>
      </c>
      <c r="H154" s="545">
        <f t="shared" si="11"/>
        <v>1500</v>
      </c>
      <c r="I154" s="440"/>
    </row>
    <row r="155" spans="2:12">
      <c r="B155" s="369"/>
      <c r="C155" s="382" t="s">
        <v>28</v>
      </c>
      <c r="D155" s="448" t="s">
        <v>136</v>
      </c>
      <c r="E155" s="449" t="s">
        <v>132</v>
      </c>
      <c r="F155" s="450">
        <v>0.01</v>
      </c>
      <c r="G155" s="75">
        <f>G146</f>
        <v>180000</v>
      </c>
      <c r="H155" s="545">
        <f t="shared" si="11"/>
        <v>1800</v>
      </c>
      <c r="I155" s="440">
        <f>SUM(H152:H155)</f>
        <v>176900</v>
      </c>
    </row>
    <row r="156" spans="2:12">
      <c r="B156" s="216"/>
      <c r="C156" s="83"/>
      <c r="D156" s="84" t="s">
        <v>228</v>
      </c>
      <c r="E156" s="85"/>
      <c r="F156" s="86"/>
      <c r="G156" s="87"/>
      <c r="H156" s="88">
        <f>SUM(H150:H155)</f>
        <v>185060</v>
      </c>
      <c r="I156" s="440"/>
    </row>
    <row r="157" spans="2:12">
      <c r="B157" s="396"/>
      <c r="C157" s="442" t="s">
        <v>229</v>
      </c>
      <c r="D157" s="378"/>
      <c r="E157" s="378"/>
      <c r="F157" s="378"/>
      <c r="G157" s="518"/>
      <c r="H157" s="518">
        <f>ROUND(H156,0)</f>
        <v>185060</v>
      </c>
      <c r="I157" s="1164"/>
    </row>
    <row r="158" spans="2:12">
      <c r="B158" s="530" t="s">
        <v>497</v>
      </c>
      <c r="C158" s="419" t="s">
        <v>495</v>
      </c>
      <c r="D158" s="558"/>
      <c r="E158" s="559"/>
      <c r="F158" s="560"/>
      <c r="G158" s="561"/>
      <c r="H158" s="562"/>
      <c r="I158" s="440"/>
    </row>
    <row r="159" spans="2:12">
      <c r="B159" s="205"/>
      <c r="C159" s="66" t="s">
        <v>28</v>
      </c>
      <c r="D159" s="207" t="s">
        <v>496</v>
      </c>
      <c r="E159" s="67" t="s">
        <v>240</v>
      </c>
      <c r="F159" s="68">
        <v>0.33</v>
      </c>
      <c r="G159" s="69">
        <f>BAHAN!$E$279</f>
        <v>75833.333333333343</v>
      </c>
      <c r="H159" s="545">
        <f t="shared" ref="H159:H164" si="12">F159*G159</f>
        <v>25025.000000000004</v>
      </c>
      <c r="I159" s="440"/>
      <c r="J159" s="1410">
        <f>BOQ!$E$494</f>
        <v>88</v>
      </c>
      <c r="K159" s="910">
        <f>J159*F159</f>
        <v>29.040000000000003</v>
      </c>
    </row>
    <row r="160" spans="2:12">
      <c r="B160" s="71"/>
      <c r="C160" s="368" t="s">
        <v>28</v>
      </c>
      <c r="D160" s="76" t="s">
        <v>419</v>
      </c>
      <c r="E160" s="73" t="s">
        <v>47</v>
      </c>
      <c r="F160" s="74">
        <v>0.05</v>
      </c>
      <c r="G160" s="75">
        <f>BAHAN!$E$213</f>
        <v>41750</v>
      </c>
      <c r="H160" s="545">
        <f t="shared" si="12"/>
        <v>2087.5</v>
      </c>
      <c r="I160" s="440">
        <f>SUM(H159:H160)</f>
        <v>27112.500000000004</v>
      </c>
      <c r="J160" s="1410">
        <f>J159</f>
        <v>88</v>
      </c>
      <c r="K160" s="910">
        <f>J160*F160</f>
        <v>4.4000000000000004</v>
      </c>
    </row>
    <row r="161" spans="2:9">
      <c r="B161" s="71"/>
      <c r="C161" s="368" t="s">
        <v>28</v>
      </c>
      <c r="D161" s="76" t="s">
        <v>133</v>
      </c>
      <c r="E161" s="73" t="s">
        <v>132</v>
      </c>
      <c r="F161" s="74">
        <v>0.1</v>
      </c>
      <c r="G161" s="75">
        <f>G152</f>
        <v>136000</v>
      </c>
      <c r="H161" s="545">
        <f t="shared" si="12"/>
        <v>13600</v>
      </c>
      <c r="I161" s="440"/>
    </row>
    <row r="162" spans="2:9">
      <c r="B162" s="71"/>
      <c r="C162" s="368" t="s">
        <v>28</v>
      </c>
      <c r="D162" s="76" t="s">
        <v>134</v>
      </c>
      <c r="E162" s="73" t="s">
        <v>132</v>
      </c>
      <c r="F162" s="74">
        <v>0.2</v>
      </c>
      <c r="G162" s="75">
        <f>G153</f>
        <v>160000</v>
      </c>
      <c r="H162" s="545">
        <f t="shared" si="12"/>
        <v>32000</v>
      </c>
      <c r="I162" s="440"/>
    </row>
    <row r="163" spans="2:9">
      <c r="B163" s="71"/>
      <c r="C163" s="368" t="s">
        <v>28</v>
      </c>
      <c r="D163" s="76" t="s">
        <v>135</v>
      </c>
      <c r="E163" s="73" t="s">
        <v>132</v>
      </c>
      <c r="F163" s="74">
        <v>0.02</v>
      </c>
      <c r="G163" s="75">
        <f>G154</f>
        <v>150000</v>
      </c>
      <c r="H163" s="545">
        <f t="shared" si="12"/>
        <v>3000</v>
      </c>
      <c r="I163" s="440"/>
    </row>
    <row r="164" spans="2:9">
      <c r="B164" s="369"/>
      <c r="C164" s="382" t="s">
        <v>28</v>
      </c>
      <c r="D164" s="448" t="s">
        <v>136</v>
      </c>
      <c r="E164" s="449" t="s">
        <v>132</v>
      </c>
      <c r="F164" s="450">
        <v>5.0000000000000001E-3</v>
      </c>
      <c r="G164" s="75">
        <f>G155</f>
        <v>180000</v>
      </c>
      <c r="H164" s="545">
        <f t="shared" si="12"/>
        <v>900</v>
      </c>
      <c r="I164" s="440">
        <f>SUM(H161:H164)</f>
        <v>49500</v>
      </c>
    </row>
    <row r="165" spans="2:9">
      <c r="B165" s="216"/>
      <c r="C165" s="83"/>
      <c r="D165" s="84" t="s">
        <v>228</v>
      </c>
      <c r="E165" s="85"/>
      <c r="F165" s="86"/>
      <c r="G165" s="87"/>
      <c r="H165" s="88">
        <f>SUM(H159:H164)</f>
        <v>76612.5</v>
      </c>
      <c r="I165" s="440"/>
    </row>
    <row r="166" spans="2:9">
      <c r="B166" s="396"/>
      <c r="C166" s="442" t="s">
        <v>229</v>
      </c>
      <c r="D166" s="378"/>
      <c r="E166" s="378"/>
      <c r="F166" s="378"/>
      <c r="G166" s="518"/>
      <c r="H166" s="518">
        <f>ROUND(H165,0)</f>
        <v>76613</v>
      </c>
      <c r="I166" s="1164"/>
    </row>
    <row r="167" spans="2:9">
      <c r="B167" s="530" t="s">
        <v>499</v>
      </c>
      <c r="C167" s="419" t="s">
        <v>498</v>
      </c>
      <c r="D167" s="558"/>
      <c r="E167" s="559"/>
      <c r="F167" s="560"/>
      <c r="G167" s="561"/>
      <c r="H167" s="562"/>
      <c r="I167" s="440"/>
    </row>
    <row r="168" spans="2:9">
      <c r="B168" s="205"/>
      <c r="C168" s="66" t="s">
        <v>28</v>
      </c>
      <c r="D168" s="207" t="s">
        <v>221</v>
      </c>
      <c r="E168" s="67" t="s">
        <v>47</v>
      </c>
      <c r="F168" s="68">
        <f>0.288*50</f>
        <v>14.399999999999999</v>
      </c>
      <c r="G168" s="69">
        <f>G87</f>
        <v>1500</v>
      </c>
      <c r="H168" s="545">
        <f t="shared" ref="H168:H173" si="13">F168*G168</f>
        <v>21599.999999999996</v>
      </c>
      <c r="I168" s="440"/>
    </row>
    <row r="169" spans="2:9">
      <c r="B169" s="71"/>
      <c r="C169" s="368" t="s">
        <v>28</v>
      </c>
      <c r="D169" s="76" t="s">
        <v>361</v>
      </c>
      <c r="E169" s="73" t="s">
        <v>143</v>
      </c>
      <c r="F169" s="74">
        <v>3.9E-2</v>
      </c>
      <c r="G169" s="75">
        <f>BAHAN!$E$10</f>
        <v>345000</v>
      </c>
      <c r="H169" s="545">
        <f t="shared" si="13"/>
        <v>13455</v>
      </c>
      <c r="I169" s="440">
        <f>SUM(H168:H169)</f>
        <v>35055</v>
      </c>
    </row>
    <row r="170" spans="2:9">
      <c r="B170" s="71"/>
      <c r="C170" s="368" t="s">
        <v>28</v>
      </c>
      <c r="D170" s="76" t="s">
        <v>133</v>
      </c>
      <c r="E170" s="73" t="s">
        <v>132</v>
      </c>
      <c r="F170" s="74">
        <v>0.2</v>
      </c>
      <c r="G170" s="75">
        <f>G161</f>
        <v>136000</v>
      </c>
      <c r="H170" s="545">
        <f t="shared" si="13"/>
        <v>27200</v>
      </c>
      <c r="I170" s="440"/>
    </row>
    <row r="171" spans="2:9">
      <c r="B171" s="71"/>
      <c r="C171" s="368" t="s">
        <v>28</v>
      </c>
      <c r="D171" s="76" t="s">
        <v>245</v>
      </c>
      <c r="E171" s="73" t="s">
        <v>132</v>
      </c>
      <c r="F171" s="74">
        <v>0.1</v>
      </c>
      <c r="G171" s="75">
        <f>G162</f>
        <v>160000</v>
      </c>
      <c r="H171" s="545">
        <f t="shared" si="13"/>
        <v>16000</v>
      </c>
      <c r="I171" s="440"/>
    </row>
    <row r="172" spans="2:9">
      <c r="B172" s="71"/>
      <c r="C172" s="368" t="s">
        <v>28</v>
      </c>
      <c r="D172" s="76" t="s">
        <v>135</v>
      </c>
      <c r="E172" s="73" t="s">
        <v>132</v>
      </c>
      <c r="F172" s="74">
        <v>0.01</v>
      </c>
      <c r="G172" s="75">
        <f>G163</f>
        <v>150000</v>
      </c>
      <c r="H172" s="545">
        <f t="shared" si="13"/>
        <v>1500</v>
      </c>
      <c r="I172" s="440"/>
    </row>
    <row r="173" spans="2:9">
      <c r="B173" s="369"/>
      <c r="C173" s="382" t="s">
        <v>28</v>
      </c>
      <c r="D173" s="448" t="s">
        <v>136</v>
      </c>
      <c r="E173" s="449" t="s">
        <v>132</v>
      </c>
      <c r="F173" s="450">
        <v>0.01</v>
      </c>
      <c r="G173" s="75">
        <f>G164</f>
        <v>180000</v>
      </c>
      <c r="H173" s="545">
        <f t="shared" si="13"/>
        <v>1800</v>
      </c>
      <c r="I173" s="440">
        <f>SUM(H170:H173)</f>
        <v>46500</v>
      </c>
    </row>
    <row r="174" spans="2:9">
      <c r="B174" s="216"/>
      <c r="C174" s="83"/>
      <c r="D174" s="84" t="s">
        <v>228</v>
      </c>
      <c r="E174" s="85"/>
      <c r="F174" s="86"/>
      <c r="G174" s="87"/>
      <c r="H174" s="88">
        <f>SUM(H168:H173)</f>
        <v>81555</v>
      </c>
      <c r="I174" s="440"/>
    </row>
    <row r="175" spans="2:9">
      <c r="B175" s="396"/>
      <c r="C175" s="442" t="s">
        <v>229</v>
      </c>
      <c r="D175" s="378"/>
      <c r="E175" s="378"/>
      <c r="F175" s="378"/>
      <c r="G175" s="518"/>
      <c r="H175" s="518">
        <f>ROUND(H174,0)</f>
        <v>81555</v>
      </c>
      <c r="I175" s="1164"/>
    </row>
    <row r="176" spans="2:9">
      <c r="B176" s="530" t="s">
        <v>505</v>
      </c>
      <c r="C176" s="419" t="s">
        <v>500</v>
      </c>
      <c r="D176" s="558"/>
      <c r="E176" s="559"/>
      <c r="F176" s="560"/>
      <c r="G176" s="561"/>
      <c r="H176" s="562"/>
      <c r="I176" s="440"/>
    </row>
    <row r="177" spans="2:12">
      <c r="B177" s="205"/>
      <c r="C177" s="66" t="s">
        <v>28</v>
      </c>
      <c r="D177" s="207" t="s">
        <v>501</v>
      </c>
      <c r="E177" s="67" t="s">
        <v>240</v>
      </c>
      <c r="F177" s="68">
        <v>1</v>
      </c>
      <c r="G177" s="69">
        <v>5000</v>
      </c>
      <c r="H177" s="545">
        <f t="shared" ref="H177:H183" si="14">F177*G177</f>
        <v>5000</v>
      </c>
      <c r="I177" s="440"/>
      <c r="J177" s="1410">
        <f>SUMIF(BOQ!$G$1:$G$1431,I179,BOQ!$E$1:$E$1431)</f>
        <v>0</v>
      </c>
      <c r="K177" s="910">
        <f>J177*F177</f>
        <v>0</v>
      </c>
      <c r="L177" s="67" t="s">
        <v>240</v>
      </c>
    </row>
    <row r="178" spans="2:12">
      <c r="B178" s="71"/>
      <c r="C178" s="368" t="s">
        <v>28</v>
      </c>
      <c r="D178" s="76" t="s">
        <v>502</v>
      </c>
      <c r="E178" s="73" t="s">
        <v>503</v>
      </c>
      <c r="F178" s="74">
        <v>0.4</v>
      </c>
      <c r="G178" s="75">
        <v>35000</v>
      </c>
      <c r="H178" s="545">
        <f t="shared" si="14"/>
        <v>14000</v>
      </c>
      <c r="I178" s="440"/>
      <c r="J178" s="1410">
        <f>J177</f>
        <v>0</v>
      </c>
      <c r="K178" s="910">
        <f>J178*F178</f>
        <v>0</v>
      </c>
      <c r="L178" s="73" t="s">
        <v>503</v>
      </c>
    </row>
    <row r="179" spans="2:12">
      <c r="B179" s="71"/>
      <c r="C179" s="368" t="s">
        <v>28</v>
      </c>
      <c r="D179" s="76" t="s">
        <v>504</v>
      </c>
      <c r="E179" s="73" t="s">
        <v>240</v>
      </c>
      <c r="F179" s="74">
        <v>1.05</v>
      </c>
      <c r="G179" s="75">
        <f>BAHAN!$E$52</f>
        <v>31333.333333333332</v>
      </c>
      <c r="H179" s="545">
        <f t="shared" si="14"/>
        <v>32900</v>
      </c>
      <c r="I179" s="440">
        <f>SUM(H177:H179)</f>
        <v>51900</v>
      </c>
      <c r="J179" s="1410">
        <f>J178</f>
        <v>0</v>
      </c>
      <c r="K179" s="910">
        <f>J179*F179</f>
        <v>0</v>
      </c>
      <c r="L179" s="73" t="s">
        <v>240</v>
      </c>
    </row>
    <row r="180" spans="2:12">
      <c r="B180" s="71"/>
      <c r="C180" s="368" t="s">
        <v>28</v>
      </c>
      <c r="D180" s="76" t="s">
        <v>133</v>
      </c>
      <c r="E180" s="73" t="s">
        <v>132</v>
      </c>
      <c r="F180" s="74">
        <v>0.1</v>
      </c>
      <c r="G180" s="75">
        <f>G170</f>
        <v>136000</v>
      </c>
      <c r="H180" s="545">
        <f t="shared" si="14"/>
        <v>13600</v>
      </c>
      <c r="I180" s="440"/>
    </row>
    <row r="181" spans="2:12">
      <c r="B181" s="71"/>
      <c r="C181" s="368" t="s">
        <v>28</v>
      </c>
      <c r="D181" s="76" t="s">
        <v>245</v>
      </c>
      <c r="E181" s="73" t="s">
        <v>132</v>
      </c>
      <c r="F181" s="74">
        <v>0.2</v>
      </c>
      <c r="G181" s="75">
        <f>G171</f>
        <v>160000</v>
      </c>
      <c r="H181" s="545">
        <f t="shared" si="14"/>
        <v>32000</v>
      </c>
      <c r="I181" s="440"/>
    </row>
    <row r="182" spans="2:12">
      <c r="B182" s="71"/>
      <c r="C182" s="368" t="s">
        <v>28</v>
      </c>
      <c r="D182" s="76" t="s">
        <v>135</v>
      </c>
      <c r="E182" s="73" t="s">
        <v>132</v>
      </c>
      <c r="F182" s="74">
        <v>0.02</v>
      </c>
      <c r="G182" s="75">
        <f>G172</f>
        <v>150000</v>
      </c>
      <c r="H182" s="545">
        <f t="shared" si="14"/>
        <v>3000</v>
      </c>
      <c r="I182" s="440"/>
    </row>
    <row r="183" spans="2:12">
      <c r="B183" s="369"/>
      <c r="C183" s="382" t="s">
        <v>28</v>
      </c>
      <c r="D183" s="448" t="s">
        <v>136</v>
      </c>
      <c r="E183" s="449" t="s">
        <v>132</v>
      </c>
      <c r="F183" s="450">
        <v>0.01</v>
      </c>
      <c r="G183" s="75">
        <f>G173</f>
        <v>180000</v>
      </c>
      <c r="H183" s="545">
        <f t="shared" si="14"/>
        <v>1800</v>
      </c>
      <c r="I183" s="440">
        <f>SUM(H180:H183)</f>
        <v>50400</v>
      </c>
    </row>
    <row r="184" spans="2:12">
      <c r="B184" s="216"/>
      <c r="C184" s="83"/>
      <c r="D184" s="84" t="s">
        <v>228</v>
      </c>
      <c r="E184" s="85"/>
      <c r="F184" s="86"/>
      <c r="G184" s="87"/>
      <c r="H184" s="88">
        <f>SUM(H177:H183)</f>
        <v>102300</v>
      </c>
      <c r="I184" s="440"/>
    </row>
    <row r="185" spans="2:12">
      <c r="B185" s="396"/>
      <c r="C185" s="442" t="s">
        <v>229</v>
      </c>
      <c r="D185" s="378"/>
      <c r="E185" s="378"/>
      <c r="F185" s="378"/>
      <c r="G185" s="518"/>
      <c r="H185" s="518">
        <f>ROUND(H184,0)</f>
        <v>102300</v>
      </c>
      <c r="I185" s="1164"/>
    </row>
    <row r="186" spans="2:12">
      <c r="B186" s="530" t="s">
        <v>1374</v>
      </c>
      <c r="C186" s="419" t="s">
        <v>506</v>
      </c>
      <c r="D186" s="558"/>
      <c r="E186" s="559"/>
      <c r="F186" s="560"/>
      <c r="G186" s="561"/>
      <c r="H186" s="562"/>
      <c r="I186" s="440"/>
    </row>
    <row r="187" spans="2:12">
      <c r="B187" s="71"/>
      <c r="C187" s="368" t="s">
        <v>28</v>
      </c>
      <c r="D187" s="76" t="s">
        <v>507</v>
      </c>
      <c r="E187" s="73" t="s">
        <v>240</v>
      </c>
      <c r="F187" s="74">
        <v>1.05</v>
      </c>
      <c r="G187" s="75">
        <f>BAHAN!$E$53</f>
        <v>98000</v>
      </c>
      <c r="H187" s="545">
        <f>F187*G187</f>
        <v>102900</v>
      </c>
      <c r="I187" s="440">
        <f>SUM(H187)</f>
        <v>102900</v>
      </c>
    </row>
    <row r="188" spans="2:12">
      <c r="B188" s="71"/>
      <c r="C188" s="368" t="s">
        <v>28</v>
      </c>
      <c r="D188" s="76" t="s">
        <v>133</v>
      </c>
      <c r="E188" s="73" t="s">
        <v>132</v>
      </c>
      <c r="F188" s="74">
        <v>0.25</v>
      </c>
      <c r="G188" s="75">
        <f>G180</f>
        <v>136000</v>
      </c>
      <c r="H188" s="545">
        <f>F188*G188</f>
        <v>34000</v>
      </c>
      <c r="I188" s="440"/>
    </row>
    <row r="189" spans="2:12">
      <c r="B189" s="71"/>
      <c r="C189" s="368" t="s">
        <v>28</v>
      </c>
      <c r="D189" s="76" t="s">
        <v>245</v>
      </c>
      <c r="E189" s="73" t="s">
        <v>132</v>
      </c>
      <c r="F189" s="74">
        <v>0.5</v>
      </c>
      <c r="G189" s="75">
        <f>G181</f>
        <v>160000</v>
      </c>
      <c r="H189" s="545">
        <f>F189*G189</f>
        <v>80000</v>
      </c>
      <c r="I189" s="440"/>
    </row>
    <row r="190" spans="2:12">
      <c r="B190" s="71"/>
      <c r="C190" s="368" t="s">
        <v>28</v>
      </c>
      <c r="D190" s="76" t="s">
        <v>135</v>
      </c>
      <c r="E190" s="73" t="s">
        <v>132</v>
      </c>
      <c r="F190" s="74">
        <v>0.05</v>
      </c>
      <c r="G190" s="75">
        <f>G182</f>
        <v>150000</v>
      </c>
      <c r="H190" s="545">
        <f>F190*G190</f>
        <v>7500</v>
      </c>
      <c r="I190" s="440"/>
    </row>
    <row r="191" spans="2:12">
      <c r="B191" s="369"/>
      <c r="C191" s="382" t="s">
        <v>28</v>
      </c>
      <c r="D191" s="448" t="s">
        <v>136</v>
      </c>
      <c r="E191" s="449" t="s">
        <v>132</v>
      </c>
      <c r="F191" s="450">
        <v>1.2500000000000001E-2</v>
      </c>
      <c r="G191" s="75">
        <f>G183</f>
        <v>180000</v>
      </c>
      <c r="H191" s="545">
        <f>F191*G191</f>
        <v>2250</v>
      </c>
      <c r="I191" s="440">
        <f>SUM(H188:H191)</f>
        <v>123750</v>
      </c>
    </row>
    <row r="192" spans="2:12">
      <c r="B192" s="216"/>
      <c r="C192" s="83"/>
      <c r="D192" s="84" t="s">
        <v>228</v>
      </c>
      <c r="E192" s="85"/>
      <c r="F192" s="86"/>
      <c r="G192" s="87"/>
      <c r="H192" s="88">
        <f>SUM(H187:H191)</f>
        <v>226650</v>
      </c>
      <c r="I192" s="440"/>
    </row>
    <row r="193" spans="2:12">
      <c r="B193" s="396"/>
      <c r="C193" s="442" t="s">
        <v>229</v>
      </c>
      <c r="D193" s="378"/>
      <c r="E193" s="378"/>
      <c r="F193" s="378"/>
      <c r="G193" s="518"/>
      <c r="H193" s="518">
        <f>ROUND(H192,0)</f>
        <v>226650</v>
      </c>
      <c r="I193" s="1164"/>
    </row>
    <row r="194" spans="2:12">
      <c r="B194" s="530" t="s">
        <v>1507</v>
      </c>
      <c r="C194" s="419" t="s">
        <v>1410</v>
      </c>
      <c r="D194" s="558"/>
      <c r="E194" s="559"/>
      <c r="F194" s="560"/>
      <c r="G194" s="561"/>
      <c r="H194" s="562"/>
      <c r="I194" s="440"/>
    </row>
    <row r="195" spans="2:12">
      <c r="B195" s="71"/>
      <c r="C195" s="368" t="s">
        <v>28</v>
      </c>
      <c r="D195" s="448" t="s">
        <v>1367</v>
      </c>
      <c r="E195" s="73" t="s">
        <v>124</v>
      </c>
      <c r="F195" s="74">
        <v>1</v>
      </c>
      <c r="G195" s="75">
        <v>9000</v>
      </c>
      <c r="H195" s="545">
        <f>F195*G195</f>
        <v>9000</v>
      </c>
      <c r="I195" s="440"/>
      <c r="J195" s="1410">
        <f>BOQ!$E$471</f>
        <v>243</v>
      </c>
      <c r="K195" s="910">
        <f t="shared" ref="K195:K201" si="15">J195*F195</f>
        <v>243</v>
      </c>
      <c r="L195" s="73" t="s">
        <v>124</v>
      </c>
    </row>
    <row r="196" spans="2:12">
      <c r="B196" s="864"/>
      <c r="C196" s="368" t="s">
        <v>28</v>
      </c>
      <c r="D196" s="448" t="s">
        <v>1368</v>
      </c>
      <c r="E196" s="73" t="s">
        <v>129</v>
      </c>
      <c r="F196" s="74">
        <v>2.8</v>
      </c>
      <c r="G196" s="865">
        <f>BAHAN!$E$280</f>
        <v>13612.5</v>
      </c>
      <c r="H196" s="545">
        <f t="shared" ref="H196:H205" si="16">F196*G196</f>
        <v>38115</v>
      </c>
      <c r="I196" s="440"/>
      <c r="J196" s="1410">
        <f t="shared" ref="J196:J201" si="17">J195</f>
        <v>243</v>
      </c>
      <c r="K196" s="910">
        <f t="shared" si="15"/>
        <v>680.4</v>
      </c>
      <c r="L196" s="73" t="s">
        <v>129</v>
      </c>
    </row>
    <row r="197" spans="2:12">
      <c r="B197" s="864"/>
      <c r="C197" s="368" t="s">
        <v>28</v>
      </c>
      <c r="D197" s="448" t="s">
        <v>1369</v>
      </c>
      <c r="E197" s="73" t="s">
        <v>129</v>
      </c>
      <c r="F197" s="74">
        <v>5.0999999999999996</v>
      </c>
      <c r="G197" s="865">
        <f>BAHAN!$E$281</f>
        <v>7218.5</v>
      </c>
      <c r="H197" s="545">
        <f t="shared" si="16"/>
        <v>36814.35</v>
      </c>
      <c r="I197" s="440"/>
      <c r="J197" s="1410">
        <f t="shared" si="17"/>
        <v>243</v>
      </c>
      <c r="K197" s="910">
        <f t="shared" si="15"/>
        <v>1239.3</v>
      </c>
      <c r="L197" s="73" t="s">
        <v>129</v>
      </c>
    </row>
    <row r="198" spans="2:12">
      <c r="B198" s="864"/>
      <c r="C198" s="368" t="s">
        <v>28</v>
      </c>
      <c r="D198" s="448" t="s">
        <v>1370</v>
      </c>
      <c r="E198" s="73" t="s">
        <v>88</v>
      </c>
      <c r="F198" s="74">
        <v>25</v>
      </c>
      <c r="G198" s="865">
        <v>400</v>
      </c>
      <c r="H198" s="545">
        <f t="shared" si="16"/>
        <v>10000</v>
      </c>
      <c r="I198" s="440"/>
      <c r="J198" s="1410">
        <f t="shared" si="17"/>
        <v>243</v>
      </c>
      <c r="K198" s="910">
        <f t="shared" si="15"/>
        <v>6075</v>
      </c>
      <c r="L198" s="73" t="s">
        <v>88</v>
      </c>
    </row>
    <row r="199" spans="2:12">
      <c r="B199" s="864"/>
      <c r="C199" s="368" t="s">
        <v>28</v>
      </c>
      <c r="D199" s="448" t="s">
        <v>1371</v>
      </c>
      <c r="E199" s="73" t="s">
        <v>88</v>
      </c>
      <c r="F199" s="74">
        <v>35</v>
      </c>
      <c r="G199" s="865">
        <v>350</v>
      </c>
      <c r="H199" s="545">
        <f t="shared" si="16"/>
        <v>12250</v>
      </c>
      <c r="I199" s="440"/>
      <c r="J199" s="1410">
        <f t="shared" si="17"/>
        <v>243</v>
      </c>
      <c r="K199" s="910">
        <f t="shared" si="15"/>
        <v>8505</v>
      </c>
      <c r="L199" s="73" t="s">
        <v>88</v>
      </c>
    </row>
    <row r="200" spans="2:12">
      <c r="B200" s="864"/>
      <c r="C200" s="368" t="s">
        <v>28</v>
      </c>
      <c r="D200" s="448" t="s">
        <v>1372</v>
      </c>
      <c r="E200" s="73" t="s">
        <v>88</v>
      </c>
      <c r="F200" s="74">
        <v>1</v>
      </c>
      <c r="G200" s="865">
        <v>15000</v>
      </c>
      <c r="H200" s="545">
        <f t="shared" si="16"/>
        <v>15000</v>
      </c>
      <c r="I200" s="440"/>
      <c r="J200" s="1410">
        <f t="shared" si="17"/>
        <v>243</v>
      </c>
      <c r="K200" s="910">
        <f t="shared" si="15"/>
        <v>243</v>
      </c>
      <c r="L200" s="73" t="s">
        <v>88</v>
      </c>
    </row>
    <row r="201" spans="2:12">
      <c r="B201" s="864"/>
      <c r="C201" s="368" t="s">
        <v>28</v>
      </c>
      <c r="D201" s="448" t="s">
        <v>1373</v>
      </c>
      <c r="E201" s="73" t="s">
        <v>124</v>
      </c>
      <c r="F201" s="74">
        <v>1</v>
      </c>
      <c r="G201" s="865">
        <v>5000</v>
      </c>
      <c r="H201" s="545">
        <f t="shared" si="16"/>
        <v>5000</v>
      </c>
      <c r="I201" s="440">
        <f>SUM(H195:H201)</f>
        <v>126179.35</v>
      </c>
      <c r="J201" s="1410">
        <f t="shared" si="17"/>
        <v>243</v>
      </c>
      <c r="K201" s="910">
        <f t="shared" si="15"/>
        <v>243</v>
      </c>
      <c r="L201" s="73" t="s">
        <v>124</v>
      </c>
    </row>
    <row r="202" spans="2:12">
      <c r="B202" s="71"/>
      <c r="C202" s="368" t="s">
        <v>28</v>
      </c>
      <c r="D202" s="448" t="s">
        <v>133</v>
      </c>
      <c r="E202" s="73" t="s">
        <v>132</v>
      </c>
      <c r="F202" s="74">
        <v>0.247</v>
      </c>
      <c r="G202" s="75">
        <f>G188</f>
        <v>136000</v>
      </c>
      <c r="H202" s="545">
        <f t="shared" si="16"/>
        <v>33592</v>
      </c>
      <c r="I202" s="440"/>
    </row>
    <row r="203" spans="2:12">
      <c r="B203" s="71"/>
      <c r="C203" s="368" t="s">
        <v>28</v>
      </c>
      <c r="D203" s="76" t="s">
        <v>302</v>
      </c>
      <c r="E203" s="73" t="s">
        <v>132</v>
      </c>
      <c r="F203" s="74">
        <v>0.17599999999999999</v>
      </c>
      <c r="G203" s="75">
        <f>G189</f>
        <v>160000</v>
      </c>
      <c r="H203" s="545">
        <f t="shared" si="16"/>
        <v>28160</v>
      </c>
      <c r="I203" s="440"/>
    </row>
    <row r="204" spans="2:12">
      <c r="B204" s="71"/>
      <c r="C204" s="368" t="s">
        <v>28</v>
      </c>
      <c r="D204" s="76" t="s">
        <v>135</v>
      </c>
      <c r="E204" s="73" t="s">
        <v>132</v>
      </c>
      <c r="F204" s="74">
        <v>0.11700000000000001</v>
      </c>
      <c r="G204" s="75">
        <f>G190</f>
        <v>150000</v>
      </c>
      <c r="H204" s="545">
        <f t="shared" si="16"/>
        <v>17550</v>
      </c>
      <c r="I204" s="440"/>
    </row>
    <row r="205" spans="2:12">
      <c r="B205" s="369"/>
      <c r="C205" s="382" t="s">
        <v>28</v>
      </c>
      <c r="D205" s="448" t="s">
        <v>136</v>
      </c>
      <c r="E205" s="449" t="s">
        <v>132</v>
      </c>
      <c r="F205" s="450">
        <v>0.05</v>
      </c>
      <c r="G205" s="75">
        <f>G191</f>
        <v>180000</v>
      </c>
      <c r="H205" s="545">
        <f t="shared" si="16"/>
        <v>9000</v>
      </c>
      <c r="I205" s="440">
        <f>SUM(H202:H205)</f>
        <v>88302</v>
      </c>
    </row>
    <row r="206" spans="2:12">
      <c r="B206" s="216"/>
      <c r="C206" s="83"/>
      <c r="D206" s="84" t="s">
        <v>228</v>
      </c>
      <c r="E206" s="85"/>
      <c r="F206" s="86"/>
      <c r="G206" s="87"/>
      <c r="H206" s="88">
        <f>SUM(H195:H205)</f>
        <v>214481.35</v>
      </c>
      <c r="I206" s="440"/>
    </row>
    <row r="207" spans="2:12">
      <c r="B207" s="396"/>
      <c r="C207" s="442" t="s">
        <v>229</v>
      </c>
      <c r="D207" s="378"/>
      <c r="E207" s="378"/>
      <c r="F207" s="378"/>
      <c r="G207" s="518"/>
      <c r="H207" s="518">
        <f>ROUND(H206,0)</f>
        <v>214481</v>
      </c>
      <c r="I207" s="1164"/>
    </row>
    <row r="209" spans="2:12">
      <c r="B209" s="226" t="s">
        <v>1526</v>
      </c>
      <c r="C209" s="328" t="s">
        <v>2191</v>
      </c>
      <c r="D209" s="287"/>
      <c r="E209" s="288"/>
      <c r="F209" s="445"/>
      <c r="G209" s="446"/>
      <c r="H209" s="447"/>
      <c r="I209" s="440"/>
    </row>
    <row r="210" spans="2:12">
      <c r="B210" s="205"/>
      <c r="C210" s="66" t="s">
        <v>28</v>
      </c>
      <c r="D210" s="207" t="s">
        <v>1527</v>
      </c>
      <c r="E210" s="67" t="s">
        <v>147</v>
      </c>
      <c r="F210" s="68">
        <v>1</v>
      </c>
      <c r="G210" s="69">
        <f>BAHAN!E258</f>
        <v>195000</v>
      </c>
      <c r="H210" s="545">
        <f t="shared" ref="H210:H215" si="18">F210*G210</f>
        <v>195000</v>
      </c>
      <c r="I210" s="440"/>
      <c r="J210" s="1410">
        <f>SUMIF(BOQ!$G$1:$G$2416,I211,BOQ!$E$1:$E$2416)</f>
        <v>0</v>
      </c>
      <c r="K210" s="910">
        <f>J210*F210</f>
        <v>0</v>
      </c>
      <c r="L210" s="67" t="s">
        <v>147</v>
      </c>
    </row>
    <row r="211" spans="2:12">
      <c r="B211" s="71"/>
      <c r="C211" s="368" t="s">
        <v>28</v>
      </c>
      <c r="D211" s="76" t="s">
        <v>457</v>
      </c>
      <c r="E211" s="73" t="s">
        <v>145</v>
      </c>
      <c r="F211" s="74">
        <v>0.02</v>
      </c>
      <c r="G211" s="69">
        <v>50000</v>
      </c>
      <c r="H211" s="545">
        <f t="shared" si="18"/>
        <v>1000</v>
      </c>
      <c r="I211" s="440">
        <f>SUM(H210:H211)</f>
        <v>196000</v>
      </c>
      <c r="J211" s="1410">
        <f>J210</f>
        <v>0</v>
      </c>
      <c r="K211" s="910">
        <f>J211*F211</f>
        <v>0</v>
      </c>
      <c r="L211" s="73" t="s">
        <v>145</v>
      </c>
    </row>
    <row r="212" spans="2:12">
      <c r="B212" s="71"/>
      <c r="C212" s="368" t="s">
        <v>28</v>
      </c>
      <c r="D212" s="76" t="s">
        <v>133</v>
      </c>
      <c r="E212" s="73" t="s">
        <v>132</v>
      </c>
      <c r="F212" s="74">
        <v>0.12</v>
      </c>
      <c r="G212" s="75">
        <f>G202</f>
        <v>136000</v>
      </c>
      <c r="H212" s="545">
        <f t="shared" si="18"/>
        <v>16320</v>
      </c>
      <c r="I212" s="440"/>
    </row>
    <row r="213" spans="2:12">
      <c r="B213" s="71"/>
      <c r="C213" s="368" t="s">
        <v>28</v>
      </c>
      <c r="D213" s="76" t="s">
        <v>134</v>
      </c>
      <c r="E213" s="73" t="s">
        <v>132</v>
      </c>
      <c r="F213" s="74">
        <v>0.06</v>
      </c>
      <c r="G213" s="75">
        <f>G203</f>
        <v>160000</v>
      </c>
      <c r="H213" s="545">
        <f t="shared" si="18"/>
        <v>9600</v>
      </c>
      <c r="I213" s="440"/>
    </row>
    <row r="214" spans="2:12">
      <c r="B214" s="71"/>
      <c r="C214" s="368" t="s">
        <v>28</v>
      </c>
      <c r="D214" s="76" t="s">
        <v>135</v>
      </c>
      <c r="E214" s="73" t="s">
        <v>132</v>
      </c>
      <c r="F214" s="74">
        <v>6.0000000000000001E-3</v>
      </c>
      <c r="G214" s="75">
        <f>G204</f>
        <v>150000</v>
      </c>
      <c r="H214" s="545">
        <f t="shared" si="18"/>
        <v>900</v>
      </c>
      <c r="I214" s="440"/>
    </row>
    <row r="215" spans="2:12">
      <c r="B215" s="369"/>
      <c r="C215" s="382" t="s">
        <v>28</v>
      </c>
      <c r="D215" s="448" t="s">
        <v>136</v>
      </c>
      <c r="E215" s="449" t="s">
        <v>132</v>
      </c>
      <c r="F215" s="450">
        <v>6.0000000000000001E-3</v>
      </c>
      <c r="G215" s="75">
        <f>G205</f>
        <v>180000</v>
      </c>
      <c r="H215" s="545">
        <f t="shared" si="18"/>
        <v>1080</v>
      </c>
      <c r="I215" s="440">
        <f>SUM(H212:H215)</f>
        <v>27900</v>
      </c>
    </row>
    <row r="216" spans="2:12">
      <c r="B216" s="216"/>
      <c r="C216" s="83"/>
      <c r="D216" s="84" t="s">
        <v>228</v>
      </c>
      <c r="E216" s="85"/>
      <c r="F216" s="86"/>
      <c r="G216" s="87"/>
      <c r="H216" s="88">
        <f>SUM(H210:H215)</f>
        <v>223900</v>
      </c>
      <c r="I216" s="440"/>
    </row>
    <row r="217" spans="2:12">
      <c r="B217" s="396"/>
      <c r="C217" s="442" t="s">
        <v>229</v>
      </c>
      <c r="D217" s="378"/>
      <c r="E217" s="378"/>
      <c r="F217" s="378"/>
      <c r="G217" s="518"/>
      <c r="H217" s="518">
        <f>ROUND(H216,0)</f>
        <v>223900</v>
      </c>
      <c r="I217" s="1164"/>
    </row>
    <row r="218" spans="2:12">
      <c r="B218" s="966" t="s">
        <v>1645</v>
      </c>
      <c r="C218" s="419" t="s">
        <v>1647</v>
      </c>
      <c r="D218" s="558"/>
      <c r="E218" s="559"/>
      <c r="F218" s="560"/>
      <c r="G218" s="561"/>
      <c r="H218" s="562"/>
      <c r="I218" s="440"/>
    </row>
    <row r="219" spans="2:12">
      <c r="B219" s="205"/>
      <c r="C219" s="66" t="s">
        <v>28</v>
      </c>
      <c r="D219" s="207" t="s">
        <v>1648</v>
      </c>
      <c r="E219" s="67" t="s">
        <v>88</v>
      </c>
      <c r="F219" s="68">
        <v>1</v>
      </c>
      <c r="G219" s="69">
        <v>25000</v>
      </c>
      <c r="H219" s="545">
        <f t="shared" ref="H219:H224" si="19">F219*G219</f>
        <v>25000</v>
      </c>
      <c r="I219" s="440"/>
      <c r="J219" s="5">
        <v>0</v>
      </c>
      <c r="K219" s="954">
        <f>J219*F219</f>
        <v>0</v>
      </c>
    </row>
    <row r="220" spans="2:12">
      <c r="B220" s="71"/>
      <c r="C220" s="368" t="s">
        <v>28</v>
      </c>
      <c r="D220" s="76" t="s">
        <v>490</v>
      </c>
      <c r="E220" s="73" t="s">
        <v>145</v>
      </c>
      <c r="F220" s="74">
        <v>0.04</v>
      </c>
      <c r="G220" s="75">
        <f>G211</f>
        <v>50000</v>
      </c>
      <c r="H220" s="545">
        <f t="shared" si="19"/>
        <v>2000</v>
      </c>
      <c r="I220" s="440">
        <f>SUM(H219:H220)</f>
        <v>27000</v>
      </c>
      <c r="J220" s="5">
        <f>J219</f>
        <v>0</v>
      </c>
      <c r="K220" s="954">
        <f>J220*F220</f>
        <v>0</v>
      </c>
    </row>
    <row r="221" spans="2:12">
      <c r="B221" s="71"/>
      <c r="C221" s="368" t="s">
        <v>28</v>
      </c>
      <c r="D221" s="76" t="s">
        <v>133</v>
      </c>
      <c r="E221" s="73" t="s">
        <v>132</v>
      </c>
      <c r="F221" s="74">
        <v>0.1</v>
      </c>
      <c r="G221" s="75">
        <f>G212</f>
        <v>136000</v>
      </c>
      <c r="H221" s="545">
        <f t="shared" si="19"/>
        <v>13600</v>
      </c>
      <c r="I221" s="440"/>
    </row>
    <row r="222" spans="2:12">
      <c r="B222" s="71"/>
      <c r="C222" s="368" t="s">
        <v>28</v>
      </c>
      <c r="D222" s="76" t="s">
        <v>134</v>
      </c>
      <c r="E222" s="73" t="s">
        <v>132</v>
      </c>
      <c r="F222" s="74">
        <v>1</v>
      </c>
      <c r="G222" s="75">
        <f>G213</f>
        <v>160000</v>
      </c>
      <c r="H222" s="545">
        <f t="shared" si="19"/>
        <v>160000</v>
      </c>
      <c r="I222" s="440"/>
    </row>
    <row r="223" spans="2:12">
      <c r="B223" s="71"/>
      <c r="C223" s="368" t="s">
        <v>28</v>
      </c>
      <c r="D223" s="76" t="s">
        <v>135</v>
      </c>
      <c r="E223" s="73" t="s">
        <v>132</v>
      </c>
      <c r="F223" s="74">
        <v>0.01</v>
      </c>
      <c r="G223" s="75">
        <f>G214</f>
        <v>150000</v>
      </c>
      <c r="H223" s="545">
        <f t="shared" si="19"/>
        <v>1500</v>
      </c>
      <c r="I223" s="440"/>
    </row>
    <row r="224" spans="2:12">
      <c r="B224" s="369"/>
      <c r="C224" s="382" t="s">
        <v>28</v>
      </c>
      <c r="D224" s="448" t="s">
        <v>136</v>
      </c>
      <c r="E224" s="449" t="s">
        <v>132</v>
      </c>
      <c r="F224" s="450">
        <v>0.01</v>
      </c>
      <c r="G224" s="75">
        <f>G215</f>
        <v>180000</v>
      </c>
      <c r="H224" s="545">
        <f t="shared" si="19"/>
        <v>1800</v>
      </c>
      <c r="I224" s="440">
        <f>SUM(H221:H224)</f>
        <v>176900</v>
      </c>
    </row>
    <row r="225" spans="2:14">
      <c r="B225" s="216"/>
      <c r="C225" s="83"/>
      <c r="D225" s="84" t="s">
        <v>228</v>
      </c>
      <c r="E225" s="85"/>
      <c r="F225" s="86"/>
      <c r="G225" s="87"/>
      <c r="H225" s="88">
        <f>SUM(H219:H224)</f>
        <v>203900</v>
      </c>
      <c r="I225" s="440"/>
    </row>
    <row r="226" spans="2:14">
      <c r="B226" s="396"/>
      <c r="C226" s="442" t="s">
        <v>229</v>
      </c>
      <c r="D226" s="378"/>
      <c r="E226" s="378"/>
      <c r="F226" s="378"/>
      <c r="G226" s="518"/>
      <c r="H226" s="518">
        <f>ROUND(H225,0)</f>
        <v>203900</v>
      </c>
      <c r="I226" s="1164"/>
    </row>
    <row r="227" spans="2:14">
      <c r="B227" s="966" t="s">
        <v>1646</v>
      </c>
      <c r="C227" s="419" t="s">
        <v>1649</v>
      </c>
      <c r="D227" s="558"/>
      <c r="E227" s="559"/>
      <c r="F227" s="560"/>
      <c r="G227" s="561"/>
      <c r="H227" s="562"/>
      <c r="I227" s="440"/>
    </row>
    <row r="228" spans="2:14">
      <c r="B228" s="205"/>
      <c r="C228" s="66" t="s">
        <v>28</v>
      </c>
      <c r="D228" s="207" t="s">
        <v>1650</v>
      </c>
      <c r="E228" s="67" t="s">
        <v>88</v>
      </c>
      <c r="F228" s="68">
        <v>1</v>
      </c>
      <c r="G228" s="69">
        <v>25000</v>
      </c>
      <c r="H228" s="545">
        <f t="shared" ref="H228:H233" si="20">F228*G228</f>
        <v>25000</v>
      </c>
      <c r="I228" s="440"/>
      <c r="J228" s="5">
        <f>BOQ!$E$486</f>
        <v>0</v>
      </c>
      <c r="K228" s="954">
        <f>J228*F228</f>
        <v>0</v>
      </c>
    </row>
    <row r="229" spans="2:14">
      <c r="B229" s="71"/>
      <c r="C229" s="368" t="s">
        <v>28</v>
      </c>
      <c r="D229" s="76" t="s">
        <v>490</v>
      </c>
      <c r="E229" s="73" t="s">
        <v>145</v>
      </c>
      <c r="F229" s="74">
        <v>0.04</v>
      </c>
      <c r="G229" s="75">
        <f>G220</f>
        <v>50000</v>
      </c>
      <c r="H229" s="545">
        <f t="shared" si="20"/>
        <v>2000</v>
      </c>
      <c r="I229" s="440">
        <f>SUM(H228:H229)</f>
        <v>27000</v>
      </c>
      <c r="J229" s="5">
        <f>J228</f>
        <v>0</v>
      </c>
      <c r="K229" s="954">
        <f>J229*F229</f>
        <v>0</v>
      </c>
    </row>
    <row r="230" spans="2:14">
      <c r="B230" s="71"/>
      <c r="C230" s="368" t="s">
        <v>28</v>
      </c>
      <c r="D230" s="76" t="s">
        <v>133</v>
      </c>
      <c r="E230" s="73" t="s">
        <v>132</v>
      </c>
      <c r="F230" s="74">
        <v>0.1</v>
      </c>
      <c r="G230" s="75">
        <f>G221</f>
        <v>136000</v>
      </c>
      <c r="H230" s="545">
        <f t="shared" si="20"/>
        <v>13600</v>
      </c>
      <c r="I230" s="440"/>
    </row>
    <row r="231" spans="2:14">
      <c r="B231" s="71"/>
      <c r="C231" s="368" t="s">
        <v>28</v>
      </c>
      <c r="D231" s="76" t="s">
        <v>134</v>
      </c>
      <c r="E231" s="73" t="s">
        <v>132</v>
      </c>
      <c r="F231" s="74">
        <v>1</v>
      </c>
      <c r="G231" s="75">
        <f>G222</f>
        <v>160000</v>
      </c>
      <c r="H231" s="545">
        <f t="shared" si="20"/>
        <v>160000</v>
      </c>
      <c r="I231" s="440"/>
    </row>
    <row r="232" spans="2:14">
      <c r="B232" s="71"/>
      <c r="C232" s="368" t="s">
        <v>28</v>
      </c>
      <c r="D232" s="76" t="s">
        <v>135</v>
      </c>
      <c r="E232" s="73" t="s">
        <v>132</v>
      </c>
      <c r="F232" s="74">
        <v>0.01</v>
      </c>
      <c r="G232" s="75">
        <f>G223</f>
        <v>150000</v>
      </c>
      <c r="H232" s="545">
        <f t="shared" si="20"/>
        <v>1500</v>
      </c>
      <c r="I232" s="440"/>
    </row>
    <row r="233" spans="2:14">
      <c r="B233" s="369"/>
      <c r="C233" s="382" t="s">
        <v>28</v>
      </c>
      <c r="D233" s="448" t="s">
        <v>136</v>
      </c>
      <c r="E233" s="449" t="s">
        <v>132</v>
      </c>
      <c r="F233" s="450">
        <v>0.01</v>
      </c>
      <c r="G233" s="75">
        <f>G224</f>
        <v>180000</v>
      </c>
      <c r="H233" s="545">
        <f t="shared" si="20"/>
        <v>1800</v>
      </c>
      <c r="I233" s="440">
        <f>SUM(H230:H233)</f>
        <v>176900</v>
      </c>
    </row>
    <row r="234" spans="2:14">
      <c r="B234" s="216"/>
      <c r="C234" s="83"/>
      <c r="D234" s="84" t="s">
        <v>228</v>
      </c>
      <c r="E234" s="85"/>
      <c r="F234" s="86"/>
      <c r="G234" s="87"/>
      <c r="H234" s="88">
        <f>SUM(H228:H233)</f>
        <v>203900</v>
      </c>
      <c r="I234" s="440"/>
    </row>
    <row r="235" spans="2:14">
      <c r="B235" s="396"/>
      <c r="C235" s="442" t="s">
        <v>229</v>
      </c>
      <c r="D235" s="378"/>
      <c r="E235" s="378"/>
      <c r="F235" s="378"/>
      <c r="G235" s="518"/>
      <c r="H235" s="518">
        <f>ROUND(H234,0)</f>
        <v>203900</v>
      </c>
      <c r="I235" s="1164"/>
    </row>
    <row r="236" spans="2:14">
      <c r="B236" s="967" t="s">
        <v>1651</v>
      </c>
      <c r="C236" s="328" t="s">
        <v>2593</v>
      </c>
      <c r="D236" s="287"/>
      <c r="E236" s="519"/>
      <c r="F236" s="445"/>
      <c r="G236" s="455"/>
      <c r="H236" s="456"/>
      <c r="I236" s="440"/>
    </row>
    <row r="237" spans="2:14" s="1397" customFormat="1">
      <c r="B237" s="1485"/>
      <c r="C237" s="1039" t="s">
        <v>28</v>
      </c>
      <c r="D237" s="1492" t="s">
        <v>1915</v>
      </c>
      <c r="E237" s="1487" t="s">
        <v>129</v>
      </c>
      <c r="F237" s="1488">
        <f>N238/6</f>
        <v>0.57730829420970264</v>
      </c>
      <c r="G237" s="1489">
        <f>BAHAN!$E$184</f>
        <v>373750</v>
      </c>
      <c r="H237" s="1490">
        <f>F237*G237</f>
        <v>215768.97496087637</v>
      </c>
      <c r="I237" s="1397">
        <f>5*8</f>
        <v>40</v>
      </c>
      <c r="J237" s="1613">
        <f>SUMIF(BOQ!$G$1:$G$2429,I243,BOQ!$E$1:$E$2429)</f>
        <v>0</v>
      </c>
      <c r="K237" s="1222">
        <f t="shared" ref="K237:K243" si="21">J237*F237</f>
        <v>0</v>
      </c>
      <c r="M237" s="1397">
        <v>10.65</v>
      </c>
    </row>
    <row r="238" spans="2:14" s="1397" customFormat="1">
      <c r="B238" s="1485"/>
      <c r="C238" s="1039" t="s">
        <v>28</v>
      </c>
      <c r="D238" s="1492" t="s">
        <v>2574</v>
      </c>
      <c r="E238" s="1487" t="s">
        <v>147</v>
      </c>
      <c r="F238" s="1488">
        <f>1</f>
        <v>1</v>
      </c>
      <c r="G238" s="1494">
        <f>BAHAN!$E$259</f>
        <v>72639.225181598056</v>
      </c>
      <c r="H238" s="1490">
        <f>F238*G238</f>
        <v>72639.225181598056</v>
      </c>
      <c r="I238" s="1397">
        <f>10*(8+6)</f>
        <v>140</v>
      </c>
      <c r="J238" s="1493">
        <f t="shared" ref="J238:J243" si="22">J237</f>
        <v>0</v>
      </c>
      <c r="K238" s="1222">
        <f t="shared" si="21"/>
        <v>0</v>
      </c>
      <c r="M238" s="1397">
        <v>36.89</v>
      </c>
      <c r="N238" s="1397">
        <f>M238/M237</f>
        <v>3.4638497652582161</v>
      </c>
    </row>
    <row r="239" spans="2:14" s="1397" customFormat="1">
      <c r="B239" s="1485"/>
      <c r="C239" s="1039" t="s">
        <v>28</v>
      </c>
      <c r="D239" s="1486" t="s">
        <v>1829</v>
      </c>
      <c r="E239" s="1487" t="s">
        <v>88</v>
      </c>
      <c r="F239" s="1488">
        <v>0</v>
      </c>
      <c r="G239" s="1489">
        <v>105000</v>
      </c>
      <c r="H239" s="1490">
        <f>F239*G239</f>
        <v>0</v>
      </c>
      <c r="J239" s="1493">
        <f t="shared" si="22"/>
        <v>0</v>
      </c>
      <c r="K239" s="1222">
        <f t="shared" si="21"/>
        <v>0</v>
      </c>
    </row>
    <row r="240" spans="2:14" s="1397" customFormat="1">
      <c r="B240" s="1485"/>
      <c r="C240" s="1039" t="s">
        <v>28</v>
      </c>
      <c r="D240" s="1486" t="s">
        <v>1373</v>
      </c>
      <c r="E240" s="1487" t="s">
        <v>124</v>
      </c>
      <c r="F240" s="1495">
        <v>1</v>
      </c>
      <c r="G240" s="1496">
        <f>5000</f>
        <v>5000</v>
      </c>
      <c r="H240" s="1497">
        <f>F240*G240</f>
        <v>5000</v>
      </c>
      <c r="J240" s="1493">
        <f t="shared" si="22"/>
        <v>0</v>
      </c>
      <c r="K240" s="1222">
        <f t="shared" si="21"/>
        <v>0</v>
      </c>
    </row>
    <row r="241" spans="2:14" s="1397" customFormat="1">
      <c r="B241" s="1498"/>
      <c r="C241" s="1499" t="s">
        <v>28</v>
      </c>
      <c r="D241" s="1500" t="s">
        <v>560</v>
      </c>
      <c r="E241" s="1501" t="s">
        <v>47</v>
      </c>
      <c r="F241" s="1502">
        <f>0.4/10*49</f>
        <v>1.96</v>
      </c>
      <c r="G241" s="1255">
        <f>BAHAN!$E$393</f>
        <v>36000</v>
      </c>
      <c r="H241" s="1503">
        <f t="shared" ref="H241:H247" si="23">G241*F241</f>
        <v>70560</v>
      </c>
      <c r="J241" s="1493">
        <f t="shared" si="22"/>
        <v>0</v>
      </c>
      <c r="K241" s="1222">
        <f t="shared" si="21"/>
        <v>0</v>
      </c>
    </row>
    <row r="242" spans="2:14" s="1397" customFormat="1">
      <c r="B242" s="1630"/>
      <c r="C242" s="1499" t="s">
        <v>28</v>
      </c>
      <c r="D242" s="1634" t="s">
        <v>2013</v>
      </c>
      <c r="E242" s="1487" t="s">
        <v>129</v>
      </c>
      <c r="F242" s="1502">
        <v>0</v>
      </c>
      <c r="G242" s="1255">
        <f>BAHAN!$E$149</f>
        <v>168375.16666666669</v>
      </c>
      <c r="H242" s="1503">
        <f t="shared" si="23"/>
        <v>0</v>
      </c>
      <c r="J242" s="1493">
        <f t="shared" si="22"/>
        <v>0</v>
      </c>
      <c r="K242" s="1222">
        <f t="shared" si="21"/>
        <v>0</v>
      </c>
    </row>
    <row r="243" spans="2:14" s="1397" customFormat="1">
      <c r="B243" s="1498"/>
      <c r="C243" s="1499" t="s">
        <v>28</v>
      </c>
      <c r="D243" s="1500" t="s">
        <v>561</v>
      </c>
      <c r="E243" s="1501" t="s">
        <v>309</v>
      </c>
      <c r="F243" s="1504">
        <f>0.17/10*49</f>
        <v>0.83300000000000007</v>
      </c>
      <c r="G243" s="485">
        <f>BAHAN!$E$394</f>
        <v>56250</v>
      </c>
      <c r="H243" s="1505">
        <f t="shared" si="23"/>
        <v>46856.250000000007</v>
      </c>
      <c r="I243" s="1222">
        <f>SUM(H237:H243)</f>
        <v>410824.45014247444</v>
      </c>
      <c r="J243" s="1493">
        <f t="shared" si="22"/>
        <v>0</v>
      </c>
      <c r="K243" s="1222">
        <f t="shared" si="21"/>
        <v>0</v>
      </c>
    </row>
    <row r="244" spans="2:14" s="1397" customFormat="1">
      <c r="B244" s="1498"/>
      <c r="C244" s="1499" t="s">
        <v>28</v>
      </c>
      <c r="D244" s="1500" t="s">
        <v>133</v>
      </c>
      <c r="E244" s="1506" t="s">
        <v>263</v>
      </c>
      <c r="F244" s="1507">
        <f>0.04/10*49</f>
        <v>0.19600000000000001</v>
      </c>
      <c r="G244" s="485">
        <f>UPAH!$E$26</f>
        <v>136000</v>
      </c>
      <c r="H244" s="1505">
        <f t="shared" si="23"/>
        <v>26656</v>
      </c>
    </row>
    <row r="245" spans="2:14" s="1397" customFormat="1">
      <c r="B245" s="1498"/>
      <c r="C245" s="1499" t="s">
        <v>28</v>
      </c>
      <c r="D245" s="1500" t="s">
        <v>358</v>
      </c>
      <c r="E245" s="1506" t="s">
        <v>263</v>
      </c>
      <c r="F245" s="1504">
        <f>0.02/10*49</f>
        <v>9.8000000000000004E-2</v>
      </c>
      <c r="G245" s="485">
        <f>UPAH!$E$18</f>
        <v>160000</v>
      </c>
      <c r="H245" s="1505">
        <f t="shared" si="23"/>
        <v>15680</v>
      </c>
    </row>
    <row r="246" spans="2:14" s="1397" customFormat="1">
      <c r="B246" s="1498"/>
      <c r="C246" s="1499" t="s">
        <v>28</v>
      </c>
      <c r="D246" s="1500" t="s">
        <v>562</v>
      </c>
      <c r="E246" s="1506" t="s">
        <v>263</v>
      </c>
      <c r="F246" s="1504">
        <f>0.002/10*49</f>
        <v>9.7999999999999997E-3</v>
      </c>
      <c r="G246" s="485">
        <f>UPAH!$E$12</f>
        <v>170000</v>
      </c>
      <c r="H246" s="1505">
        <f t="shared" si="23"/>
        <v>1666</v>
      </c>
    </row>
    <row r="247" spans="2:14" s="1397" customFormat="1">
      <c r="B247" s="1508"/>
      <c r="C247" s="1509" t="s">
        <v>28</v>
      </c>
      <c r="D247" s="1510" t="s">
        <v>136</v>
      </c>
      <c r="E247" s="1511" t="s">
        <v>263</v>
      </c>
      <c r="F247" s="1512">
        <f>0.002/10*49</f>
        <v>9.7999999999999997E-3</v>
      </c>
      <c r="G247" s="485">
        <f>UPAH!$E$9</f>
        <v>180000</v>
      </c>
      <c r="H247" s="1505">
        <f t="shared" si="23"/>
        <v>1764</v>
      </c>
      <c r="I247" s="1222">
        <f>SUM(H244:H247)</f>
        <v>45766</v>
      </c>
    </row>
    <row r="248" spans="2:14" s="1397" customFormat="1">
      <c r="B248" s="1513"/>
      <c r="C248" s="1514"/>
      <c r="D248" s="1226" t="s">
        <v>228</v>
      </c>
      <c r="E248" s="1515"/>
      <c r="F248" s="1516"/>
      <c r="G248" s="1517"/>
      <c r="H248" s="1518">
        <f>SUM(H237:H247)</f>
        <v>456590.45014247444</v>
      </c>
      <c r="I248" s="440"/>
    </row>
    <row r="249" spans="2:14" s="1397" customFormat="1">
      <c r="B249" s="1519"/>
      <c r="C249" s="1520" t="s">
        <v>229</v>
      </c>
      <c r="D249" s="1521"/>
      <c r="E249" s="1521"/>
      <c r="F249" s="1521"/>
      <c r="G249" s="1522"/>
      <c r="H249" s="1522">
        <f>ROUND(H248,0)</f>
        <v>456590</v>
      </c>
      <c r="I249" s="1164"/>
    </row>
    <row r="250" spans="2:14">
      <c r="B250" s="967" t="s">
        <v>1651</v>
      </c>
      <c r="C250" s="328" t="s">
        <v>2600</v>
      </c>
      <c r="D250" s="287"/>
      <c r="E250" s="519"/>
      <c r="F250" s="445"/>
      <c r="G250" s="455"/>
      <c r="H250" s="456"/>
      <c r="I250" s="440"/>
      <c r="M250" s="1410">
        <v>10.65</v>
      </c>
      <c r="N250" s="5">
        <v>1</v>
      </c>
    </row>
    <row r="251" spans="2:14" s="1397" customFormat="1">
      <c r="B251" s="1485"/>
      <c r="C251" s="1039" t="s">
        <v>28</v>
      </c>
      <c r="D251" s="1492" t="s">
        <v>1915</v>
      </c>
      <c r="E251" s="1487" t="s">
        <v>1074</v>
      </c>
      <c r="F251" s="1488">
        <f>N251/6</f>
        <v>0.57730829420970264</v>
      </c>
      <c r="G251" s="1489">
        <f>BAHAN!$E$184</f>
        <v>373750</v>
      </c>
      <c r="H251" s="1490">
        <f>F251*G251</f>
        <v>215768.97496087637</v>
      </c>
      <c r="I251" s="1397">
        <f>5*8</f>
        <v>40</v>
      </c>
      <c r="J251" s="1628">
        <f>SUMIF(BOQ!$G$1:$G$2429,I257,BOQ!$E$1:$E$2429)</f>
        <v>0</v>
      </c>
      <c r="K251" s="1493">
        <f t="shared" ref="K251:K257" si="24">J251*F251</f>
        <v>0</v>
      </c>
      <c r="M251" s="1397">
        <v>36.89</v>
      </c>
      <c r="N251" s="1397">
        <f>M251/M250</f>
        <v>3.4638497652582161</v>
      </c>
    </row>
    <row r="252" spans="2:14" s="1397" customFormat="1">
      <c r="B252" s="1485"/>
      <c r="C252" s="1039" t="s">
        <v>28</v>
      </c>
      <c r="D252" s="1492" t="s">
        <v>1828</v>
      </c>
      <c r="E252" s="1487" t="s">
        <v>147</v>
      </c>
      <c r="F252" s="1488">
        <f>1</f>
        <v>1</v>
      </c>
      <c r="G252" s="1494">
        <f>BAHAN!$E$205</f>
        <v>410000</v>
      </c>
      <c r="H252" s="1490">
        <f>F252*G252</f>
        <v>410000</v>
      </c>
      <c r="I252" s="1397">
        <f>10*(8+6)</f>
        <v>140</v>
      </c>
      <c r="J252" s="1493">
        <f t="shared" ref="J252:J257" si="25">J251</f>
        <v>0</v>
      </c>
      <c r="K252" s="1493">
        <f t="shared" si="24"/>
        <v>0</v>
      </c>
    </row>
    <row r="253" spans="2:14" s="1397" customFormat="1">
      <c r="B253" s="1485"/>
      <c r="C253" s="1039" t="s">
        <v>28</v>
      </c>
      <c r="D253" s="1486" t="s">
        <v>1829</v>
      </c>
      <c r="E253" s="1487" t="s">
        <v>88</v>
      </c>
      <c r="F253" s="1488">
        <v>0</v>
      </c>
      <c r="G253" s="1489">
        <v>105000</v>
      </c>
      <c r="H253" s="1490">
        <f>F253*G253</f>
        <v>0</v>
      </c>
      <c r="J253" s="1493">
        <f t="shared" si="25"/>
        <v>0</v>
      </c>
      <c r="K253" s="1493">
        <f t="shared" si="24"/>
        <v>0</v>
      </c>
    </row>
    <row r="254" spans="2:14" s="1397" customFormat="1">
      <c r="B254" s="1485"/>
      <c r="C254" s="1039" t="s">
        <v>28</v>
      </c>
      <c r="D254" s="1486" t="s">
        <v>1373</v>
      </c>
      <c r="E254" s="1487" t="s">
        <v>124</v>
      </c>
      <c r="F254" s="1495">
        <v>1</v>
      </c>
      <c r="G254" s="1496">
        <f>5000</f>
        <v>5000</v>
      </c>
      <c r="H254" s="1497">
        <f>F254*G254</f>
        <v>5000</v>
      </c>
      <c r="J254" s="1493">
        <f t="shared" si="25"/>
        <v>0</v>
      </c>
      <c r="K254" s="1493">
        <f t="shared" si="24"/>
        <v>0</v>
      </c>
    </row>
    <row r="255" spans="2:14" s="1397" customFormat="1">
      <c r="B255" s="1498"/>
      <c r="C255" s="1499" t="s">
        <v>28</v>
      </c>
      <c r="D255" s="1500" t="s">
        <v>560</v>
      </c>
      <c r="E255" s="1501" t="s">
        <v>47</v>
      </c>
      <c r="F255" s="1502">
        <f>0.4/10*49</f>
        <v>1.96</v>
      </c>
      <c r="G255" s="1255">
        <f>BAHAN!$E$393</f>
        <v>36000</v>
      </c>
      <c r="H255" s="1503">
        <f t="shared" ref="H255:H261" si="26">G255*F255</f>
        <v>70560</v>
      </c>
      <c r="J255" s="1493">
        <f t="shared" si="25"/>
        <v>0</v>
      </c>
      <c r="K255" s="1493">
        <f t="shared" si="24"/>
        <v>0</v>
      </c>
    </row>
    <row r="256" spans="2:14" s="1397" customFormat="1">
      <c r="B256" s="1630"/>
      <c r="C256" s="1499" t="s">
        <v>28</v>
      </c>
      <c r="D256" s="1634" t="s">
        <v>2013</v>
      </c>
      <c r="E256" s="1487" t="s">
        <v>129</v>
      </c>
      <c r="F256" s="1502">
        <v>0</v>
      </c>
      <c r="G256" s="1255">
        <f>BAHAN!$E$149</f>
        <v>168375.16666666669</v>
      </c>
      <c r="H256" s="1503">
        <f t="shared" si="26"/>
        <v>0</v>
      </c>
      <c r="J256" s="1493">
        <f t="shared" si="25"/>
        <v>0</v>
      </c>
      <c r="K256" s="1493">
        <f t="shared" si="24"/>
        <v>0</v>
      </c>
    </row>
    <row r="257" spans="2:11" s="1397" customFormat="1">
      <c r="B257" s="1498"/>
      <c r="C257" s="1499" t="s">
        <v>28</v>
      </c>
      <c r="D257" s="1500" t="s">
        <v>561</v>
      </c>
      <c r="E257" s="1501" t="s">
        <v>309</v>
      </c>
      <c r="F257" s="1504">
        <f>0.17/10*49</f>
        <v>0.83300000000000007</v>
      </c>
      <c r="G257" s="485">
        <f>BAHAN!$E$394</f>
        <v>56250</v>
      </c>
      <c r="H257" s="1505">
        <f t="shared" si="26"/>
        <v>46856.250000000007</v>
      </c>
      <c r="I257" s="1493">
        <f>SUM(H251:H257)</f>
        <v>748185.2249608764</v>
      </c>
      <c r="J257" s="1493">
        <f t="shared" si="25"/>
        <v>0</v>
      </c>
      <c r="K257" s="1493">
        <f t="shared" si="24"/>
        <v>0</v>
      </c>
    </row>
    <row r="258" spans="2:11" s="1397" customFormat="1">
      <c r="B258" s="1498"/>
      <c r="C258" s="1499" t="s">
        <v>28</v>
      </c>
      <c r="D258" s="1500" t="s">
        <v>133</v>
      </c>
      <c r="E258" s="1506" t="s">
        <v>263</v>
      </c>
      <c r="F258" s="1507">
        <f>0.04/10*49</f>
        <v>0.19600000000000001</v>
      </c>
      <c r="G258" s="485">
        <f>UPAH!$E$26</f>
        <v>136000</v>
      </c>
      <c r="H258" s="1505">
        <f t="shared" si="26"/>
        <v>26656</v>
      </c>
    </row>
    <row r="259" spans="2:11" s="1397" customFormat="1">
      <c r="B259" s="1498"/>
      <c r="C259" s="1499" t="s">
        <v>28</v>
      </c>
      <c r="D259" s="1500" t="s">
        <v>358</v>
      </c>
      <c r="E259" s="1506" t="s">
        <v>263</v>
      </c>
      <c r="F259" s="1504">
        <f>0.02/10*49</f>
        <v>9.8000000000000004E-2</v>
      </c>
      <c r="G259" s="485">
        <f>UPAH!$E$18</f>
        <v>160000</v>
      </c>
      <c r="H259" s="1505">
        <f t="shared" si="26"/>
        <v>15680</v>
      </c>
    </row>
    <row r="260" spans="2:11" s="1397" customFormat="1">
      <c r="B260" s="1498"/>
      <c r="C260" s="1499" t="s">
        <v>28</v>
      </c>
      <c r="D260" s="1500" t="s">
        <v>562</v>
      </c>
      <c r="E260" s="1506" t="s">
        <v>263</v>
      </c>
      <c r="F260" s="1504">
        <f>0.002/10*49</f>
        <v>9.7999999999999997E-3</v>
      </c>
      <c r="G260" s="485">
        <f>UPAH!$E$12</f>
        <v>170000</v>
      </c>
      <c r="H260" s="1505">
        <f t="shared" si="26"/>
        <v>1666</v>
      </c>
    </row>
    <row r="261" spans="2:11" s="1397" customFormat="1">
      <c r="B261" s="1508"/>
      <c r="C261" s="1509" t="s">
        <v>28</v>
      </c>
      <c r="D261" s="1510" t="s">
        <v>136</v>
      </c>
      <c r="E261" s="1511" t="s">
        <v>263</v>
      </c>
      <c r="F261" s="1512">
        <f>0.002/10*49</f>
        <v>9.7999999999999997E-3</v>
      </c>
      <c r="G261" s="485">
        <f>UPAH!$E$9</f>
        <v>180000</v>
      </c>
      <c r="H261" s="1505">
        <f t="shared" si="26"/>
        <v>1764</v>
      </c>
      <c r="I261" s="1493">
        <f>SUM(H258:H261)</f>
        <v>45766</v>
      </c>
    </row>
    <row r="262" spans="2:11" s="1397" customFormat="1">
      <c r="B262" s="1513"/>
      <c r="C262" s="1514"/>
      <c r="D262" s="1226" t="s">
        <v>228</v>
      </c>
      <c r="E262" s="1515"/>
      <c r="F262" s="1516"/>
      <c r="G262" s="1517"/>
      <c r="H262" s="1518">
        <f>SUM(H251:H261)</f>
        <v>793951.2249608764</v>
      </c>
      <c r="I262" s="440"/>
    </row>
    <row r="263" spans="2:11" s="1397" customFormat="1">
      <c r="B263" s="1519"/>
      <c r="C263" s="1520" t="s">
        <v>229</v>
      </c>
      <c r="D263" s="1521"/>
      <c r="E263" s="1521"/>
      <c r="F263" s="1521"/>
      <c r="G263" s="1522"/>
      <c r="H263" s="1522">
        <f>ROUND(H262,0)</f>
        <v>793951</v>
      </c>
      <c r="I263" s="1164"/>
    </row>
    <row r="264" spans="2:11">
      <c r="B264" s="967" t="s">
        <v>1651</v>
      </c>
      <c r="C264" s="328" t="s">
        <v>1839</v>
      </c>
      <c r="D264" s="287"/>
      <c r="E264" s="519"/>
      <c r="F264" s="445"/>
      <c r="G264" s="455"/>
      <c r="H264" s="456"/>
      <c r="I264" s="440"/>
    </row>
    <row r="265" spans="2:11">
      <c r="B265" s="890"/>
      <c r="C265" s="66" t="s">
        <v>28</v>
      </c>
      <c r="D265" s="891" t="s">
        <v>416</v>
      </c>
      <c r="E265" s="892" t="s">
        <v>220</v>
      </c>
      <c r="F265" s="893">
        <v>0.41499999999999998</v>
      </c>
      <c r="G265" s="894">
        <f>E!G251</f>
        <v>21869</v>
      </c>
      <c r="H265" s="895">
        <f t="shared" ref="H265:H271" si="27">F265*G265</f>
        <v>9075.6350000000002</v>
      </c>
      <c r="I265" s="440"/>
      <c r="J265" s="5">
        <v>0</v>
      </c>
      <c r="K265" s="910">
        <f>J265*F265</f>
        <v>0</v>
      </c>
    </row>
    <row r="266" spans="2:11">
      <c r="B266" s="896"/>
      <c r="C266" s="897" t="s">
        <v>28</v>
      </c>
      <c r="D266" s="898" t="s">
        <v>1697</v>
      </c>
      <c r="E266" s="888" t="s">
        <v>147</v>
      </c>
      <c r="F266" s="899">
        <v>1</v>
      </c>
      <c r="G266" s="894">
        <f>BAHAN!$E$262</f>
        <v>950000</v>
      </c>
      <c r="H266" s="895">
        <f t="shared" si="27"/>
        <v>950000</v>
      </c>
      <c r="I266" s="440"/>
      <c r="J266" s="5">
        <f>J265</f>
        <v>0</v>
      </c>
      <c r="K266" s="910">
        <f>J266*F266</f>
        <v>0</v>
      </c>
    </row>
    <row r="267" spans="2:11">
      <c r="B267" s="896"/>
      <c r="C267" s="897" t="s">
        <v>28</v>
      </c>
      <c r="D267" s="898" t="s">
        <v>521</v>
      </c>
      <c r="E267" s="888" t="s">
        <v>47</v>
      </c>
      <c r="F267" s="899">
        <v>0.11</v>
      </c>
      <c r="G267" s="894">
        <f>E!G254</f>
        <v>54000</v>
      </c>
      <c r="H267" s="895">
        <f t="shared" si="27"/>
        <v>5940</v>
      </c>
      <c r="I267" s="440">
        <f>SUM(H265:H267)</f>
        <v>965015.63500000001</v>
      </c>
      <c r="J267" s="5">
        <f>J266</f>
        <v>0</v>
      </c>
      <c r="K267" s="910">
        <f>J267*F267</f>
        <v>0</v>
      </c>
    </row>
    <row r="268" spans="2:11">
      <c r="B268" s="896"/>
      <c r="C268" s="897" t="s">
        <v>28</v>
      </c>
      <c r="D268" s="901" t="s">
        <v>133</v>
      </c>
      <c r="E268" s="888" t="s">
        <v>132</v>
      </c>
      <c r="F268" s="899">
        <v>0.1</v>
      </c>
      <c r="G268" s="894">
        <f>G243</f>
        <v>56250</v>
      </c>
      <c r="H268" s="895">
        <f t="shared" si="27"/>
        <v>5625</v>
      </c>
      <c r="I268" s="440"/>
    </row>
    <row r="269" spans="2:11">
      <c r="B269" s="896"/>
      <c r="C269" s="897" t="s">
        <v>28</v>
      </c>
      <c r="D269" s="901" t="s">
        <v>134</v>
      </c>
      <c r="E269" s="888" t="s">
        <v>132</v>
      </c>
      <c r="F269" s="899">
        <v>0.05</v>
      </c>
      <c r="G269" s="894">
        <f>G244</f>
        <v>136000</v>
      </c>
      <c r="H269" s="895">
        <f t="shared" si="27"/>
        <v>6800</v>
      </c>
      <c r="I269" s="440"/>
    </row>
    <row r="270" spans="2:11">
      <c r="B270" s="896"/>
      <c r="C270" s="897" t="s">
        <v>28</v>
      </c>
      <c r="D270" s="901" t="s">
        <v>135</v>
      </c>
      <c r="E270" s="888" t="s">
        <v>132</v>
      </c>
      <c r="F270" s="899">
        <v>5.0000000000000001E-3</v>
      </c>
      <c r="G270" s="894">
        <f>G245</f>
        <v>160000</v>
      </c>
      <c r="H270" s="895">
        <f t="shared" si="27"/>
        <v>800</v>
      </c>
      <c r="I270" s="440"/>
    </row>
    <row r="271" spans="2:11">
      <c r="B271" s="867"/>
      <c r="C271" s="78" t="s">
        <v>28</v>
      </c>
      <c r="D271" s="902" t="s">
        <v>136</v>
      </c>
      <c r="E271" s="879" t="s">
        <v>132</v>
      </c>
      <c r="F271" s="903">
        <v>5.0000000000000001E-3</v>
      </c>
      <c r="G271" s="894">
        <f>G246</f>
        <v>170000</v>
      </c>
      <c r="H271" s="895">
        <f t="shared" si="27"/>
        <v>850</v>
      </c>
      <c r="I271" s="440">
        <f>SUM(H268:H271)</f>
        <v>14075</v>
      </c>
    </row>
    <row r="272" spans="2:11">
      <c r="B272" s="193"/>
      <c r="C272" s="882"/>
      <c r="D272" s="904" t="s">
        <v>228</v>
      </c>
      <c r="E272" s="905"/>
      <c r="F272" s="906"/>
      <c r="G272" s="464"/>
      <c r="H272" s="907">
        <f>SUM(H265:H271)</f>
        <v>979090.63500000001</v>
      </c>
      <c r="I272" s="440"/>
    </row>
    <row r="273" spans="2:12">
      <c r="B273" s="566"/>
      <c r="C273" s="889" t="s">
        <v>229</v>
      </c>
      <c r="D273" s="908"/>
      <c r="E273" s="908"/>
      <c r="F273" s="908"/>
      <c r="G273" s="909"/>
      <c r="H273" s="909">
        <f>ROUND(H272,0)</f>
        <v>979091</v>
      </c>
      <c r="I273" s="1164"/>
    </row>
    <row r="274" spans="2:12">
      <c r="B274" s="966" t="s">
        <v>1645</v>
      </c>
      <c r="C274" s="419" t="s">
        <v>1753</v>
      </c>
      <c r="D274" s="558"/>
      <c r="E274" s="559"/>
      <c r="F274" s="560"/>
      <c r="G274" s="561"/>
      <c r="H274" s="562"/>
      <c r="I274" s="440"/>
    </row>
    <row r="275" spans="2:12">
      <c r="B275" s="205"/>
      <c r="C275" s="66" t="s">
        <v>28</v>
      </c>
      <c r="D275" s="207" t="s">
        <v>1648</v>
      </c>
      <c r="E275" s="67" t="s">
        <v>88</v>
      </c>
      <c r="F275" s="68">
        <v>1</v>
      </c>
      <c r="G275" s="69">
        <f>BAHAN!$E$275</f>
        <v>167000</v>
      </c>
      <c r="H275" s="545">
        <f t="shared" ref="H275:H280" si="28">F275*G275</f>
        <v>167000</v>
      </c>
      <c r="I275" s="440"/>
      <c r="J275" s="5">
        <v>0</v>
      </c>
      <c r="K275" s="910">
        <f>J275*F275</f>
        <v>0</v>
      </c>
      <c r="L275" s="67" t="s">
        <v>151</v>
      </c>
    </row>
    <row r="276" spans="2:12">
      <c r="B276" s="71"/>
      <c r="C276" s="368" t="s">
        <v>28</v>
      </c>
      <c r="D276" s="76" t="s">
        <v>490</v>
      </c>
      <c r="E276" s="73" t="s">
        <v>145</v>
      </c>
      <c r="F276" s="74">
        <v>0.04</v>
      </c>
      <c r="G276" s="75">
        <f>G267</f>
        <v>54000</v>
      </c>
      <c r="H276" s="545">
        <f t="shared" si="28"/>
        <v>2160</v>
      </c>
      <c r="I276" s="440">
        <f>SUM(H275:H276)</f>
        <v>169160</v>
      </c>
      <c r="J276" s="5">
        <f>J275</f>
        <v>0</v>
      </c>
      <c r="K276" s="910">
        <f>J276*F276</f>
        <v>0</v>
      </c>
      <c r="L276" s="73" t="s">
        <v>145</v>
      </c>
    </row>
    <row r="277" spans="2:12">
      <c r="B277" s="71"/>
      <c r="C277" s="368" t="s">
        <v>28</v>
      </c>
      <c r="D277" s="76" t="s">
        <v>133</v>
      </c>
      <c r="E277" s="73" t="s">
        <v>132</v>
      </c>
      <c r="F277" s="74">
        <v>0.1</v>
      </c>
      <c r="G277" s="75">
        <f>G268</f>
        <v>56250</v>
      </c>
      <c r="H277" s="545">
        <f t="shared" si="28"/>
        <v>5625</v>
      </c>
      <c r="I277" s="440"/>
    </row>
    <row r="278" spans="2:12">
      <c r="B278" s="71"/>
      <c r="C278" s="368" t="s">
        <v>28</v>
      </c>
      <c r="D278" s="76" t="s">
        <v>134</v>
      </c>
      <c r="E278" s="73" t="s">
        <v>132</v>
      </c>
      <c r="F278" s="74">
        <v>1</v>
      </c>
      <c r="G278" s="75">
        <f>G269</f>
        <v>136000</v>
      </c>
      <c r="H278" s="545">
        <f t="shared" si="28"/>
        <v>136000</v>
      </c>
      <c r="I278" s="440"/>
    </row>
    <row r="279" spans="2:12">
      <c r="B279" s="71"/>
      <c r="C279" s="368" t="s">
        <v>28</v>
      </c>
      <c r="D279" s="76" t="s">
        <v>135</v>
      </c>
      <c r="E279" s="73" t="s">
        <v>132</v>
      </c>
      <c r="F279" s="74">
        <v>0.01</v>
      </c>
      <c r="G279" s="75">
        <f>G270</f>
        <v>160000</v>
      </c>
      <c r="H279" s="545">
        <f t="shared" si="28"/>
        <v>1600</v>
      </c>
      <c r="I279" s="440"/>
    </row>
    <row r="280" spans="2:12">
      <c r="B280" s="369"/>
      <c r="C280" s="382" t="s">
        <v>28</v>
      </c>
      <c r="D280" s="448" t="s">
        <v>136</v>
      </c>
      <c r="E280" s="449" t="s">
        <v>132</v>
      </c>
      <c r="F280" s="450">
        <v>0.01</v>
      </c>
      <c r="G280" s="75">
        <f>G271</f>
        <v>170000</v>
      </c>
      <c r="H280" s="545">
        <f t="shared" si="28"/>
        <v>1700</v>
      </c>
      <c r="I280" s="440">
        <f>SUM(H277:H280)</f>
        <v>144925</v>
      </c>
    </row>
    <row r="281" spans="2:12">
      <c r="B281" s="1249"/>
      <c r="C281" s="83"/>
      <c r="D281" s="84" t="s">
        <v>228</v>
      </c>
      <c r="E281" s="85"/>
      <c r="F281" s="86"/>
      <c r="G281" s="87"/>
      <c r="H281" s="88">
        <f>SUM(H275:H280)</f>
        <v>314085</v>
      </c>
      <c r="I281" s="440"/>
    </row>
    <row r="282" spans="2:12">
      <c r="B282" s="396"/>
      <c r="C282" s="442" t="s">
        <v>229</v>
      </c>
      <c r="D282" s="378"/>
      <c r="E282" s="378"/>
      <c r="F282" s="378"/>
      <c r="G282" s="518"/>
      <c r="H282" s="518">
        <f>ROUND(H281,0)</f>
        <v>314085</v>
      </c>
      <c r="I282" s="1164"/>
    </row>
    <row r="283" spans="2:12">
      <c r="B283" s="966" t="s">
        <v>1646</v>
      </c>
      <c r="C283" s="419" t="s">
        <v>1754</v>
      </c>
      <c r="D283" s="558"/>
      <c r="E283" s="559"/>
      <c r="F283" s="560"/>
      <c r="G283" s="561"/>
      <c r="H283" s="562"/>
      <c r="I283" s="440"/>
    </row>
    <row r="284" spans="2:12">
      <c r="B284" s="205"/>
      <c r="C284" s="66" t="s">
        <v>28</v>
      </c>
      <c r="D284" s="207" t="s">
        <v>1650</v>
      </c>
      <c r="E284" s="67" t="s">
        <v>88</v>
      </c>
      <c r="F284" s="68">
        <v>1</v>
      </c>
      <c r="G284" s="69">
        <f>BAHAN!$E$276</f>
        <v>92800</v>
      </c>
      <c r="H284" s="545">
        <f t="shared" ref="H284:H289" si="29">F284*G284</f>
        <v>92800</v>
      </c>
      <c r="I284" s="440"/>
      <c r="J284" s="5">
        <v>0</v>
      </c>
      <c r="K284" s="910">
        <f>J284*F284</f>
        <v>0</v>
      </c>
      <c r="L284" s="67" t="s">
        <v>151</v>
      </c>
    </row>
    <row r="285" spans="2:12">
      <c r="B285" s="71"/>
      <c r="C285" s="368" t="s">
        <v>28</v>
      </c>
      <c r="D285" s="76" t="s">
        <v>490</v>
      </c>
      <c r="E285" s="73" t="s">
        <v>145</v>
      </c>
      <c r="F285" s="74">
        <v>0.04</v>
      </c>
      <c r="G285" s="75">
        <f>G276</f>
        <v>54000</v>
      </c>
      <c r="H285" s="545">
        <f t="shared" si="29"/>
        <v>2160</v>
      </c>
      <c r="I285" s="440">
        <f>SUM(H284:H285)</f>
        <v>94960</v>
      </c>
      <c r="J285" s="5">
        <f>J284</f>
        <v>0</v>
      </c>
      <c r="K285" s="910">
        <f>J285*F285</f>
        <v>0</v>
      </c>
      <c r="L285" s="73" t="s">
        <v>145</v>
      </c>
    </row>
    <row r="286" spans="2:12">
      <c r="B286" s="71"/>
      <c r="C286" s="368" t="s">
        <v>28</v>
      </c>
      <c r="D286" s="76" t="s">
        <v>133</v>
      </c>
      <c r="E286" s="73" t="s">
        <v>132</v>
      </c>
      <c r="F286" s="74">
        <v>0.1</v>
      </c>
      <c r="G286" s="75">
        <f>G277</f>
        <v>56250</v>
      </c>
      <c r="H286" s="545">
        <f t="shared" si="29"/>
        <v>5625</v>
      </c>
      <c r="I286" s="440"/>
    </row>
    <row r="287" spans="2:12">
      <c r="B287" s="71"/>
      <c r="C287" s="368" t="s">
        <v>28</v>
      </c>
      <c r="D287" s="76" t="s">
        <v>134</v>
      </c>
      <c r="E287" s="73" t="s">
        <v>132</v>
      </c>
      <c r="F287" s="74">
        <v>1</v>
      </c>
      <c r="G287" s="75">
        <f>G278</f>
        <v>136000</v>
      </c>
      <c r="H287" s="545">
        <f t="shared" si="29"/>
        <v>136000</v>
      </c>
      <c r="I287" s="440"/>
    </row>
    <row r="288" spans="2:12">
      <c r="B288" s="71"/>
      <c r="C288" s="368" t="s">
        <v>28</v>
      </c>
      <c r="D288" s="76" t="s">
        <v>135</v>
      </c>
      <c r="E288" s="73" t="s">
        <v>132</v>
      </c>
      <c r="F288" s="74">
        <v>0.01</v>
      </c>
      <c r="G288" s="75">
        <f>G279</f>
        <v>160000</v>
      </c>
      <c r="H288" s="545">
        <f t="shared" si="29"/>
        <v>1600</v>
      </c>
      <c r="I288" s="440"/>
    </row>
    <row r="289" spans="2:11">
      <c r="B289" s="369"/>
      <c r="C289" s="382" t="s">
        <v>28</v>
      </c>
      <c r="D289" s="448" t="s">
        <v>136</v>
      </c>
      <c r="E289" s="449" t="s">
        <v>132</v>
      </c>
      <c r="F289" s="450">
        <v>0.01</v>
      </c>
      <c r="G289" s="75">
        <f>G280</f>
        <v>170000</v>
      </c>
      <c r="H289" s="545">
        <f t="shared" si="29"/>
        <v>1700</v>
      </c>
      <c r="I289" s="440">
        <f>SUM(H286:H289)</f>
        <v>144925</v>
      </c>
    </row>
    <row r="290" spans="2:11">
      <c r="B290" s="1249"/>
      <c r="C290" s="83"/>
      <c r="D290" s="84" t="s">
        <v>228</v>
      </c>
      <c r="E290" s="85"/>
      <c r="F290" s="86"/>
      <c r="G290" s="87"/>
      <c r="H290" s="88">
        <f>SUM(H284:H289)</f>
        <v>239885</v>
      </c>
      <c r="I290" s="440"/>
    </row>
    <row r="291" spans="2:11">
      <c r="B291" s="396"/>
      <c r="C291" s="442" t="s">
        <v>229</v>
      </c>
      <c r="D291" s="378"/>
      <c r="E291" s="378"/>
      <c r="F291" s="378"/>
      <c r="G291" s="518"/>
      <c r="H291" s="518">
        <f>ROUND(H290,0)</f>
        <v>239885</v>
      </c>
      <c r="I291" s="1164"/>
    </row>
    <row r="292" spans="2:11">
      <c r="B292" s="226" t="s">
        <v>481</v>
      </c>
      <c r="C292" s="328" t="s">
        <v>2530</v>
      </c>
      <c r="D292" s="287"/>
      <c r="E292" s="519"/>
      <c r="F292" s="445"/>
      <c r="G292" s="455"/>
      <c r="H292" s="456"/>
      <c r="I292" s="440"/>
    </row>
    <row r="293" spans="2:11">
      <c r="B293" s="205"/>
      <c r="C293" s="206" t="s">
        <v>28</v>
      </c>
      <c r="D293" s="207" t="s">
        <v>1828</v>
      </c>
      <c r="E293" s="208" t="s">
        <v>147</v>
      </c>
      <c r="F293" s="68">
        <v>1</v>
      </c>
      <c r="G293" s="1494">
        <f>BAHAN!$E$205</f>
        <v>410000</v>
      </c>
      <c r="H293" s="545">
        <f t="shared" ref="H293:H298" si="30">F293*G293</f>
        <v>410000</v>
      </c>
      <c r="I293" s="440"/>
      <c r="J293" s="1628">
        <f>SUMIF(BOQ!$G$1:$G$2429,I294,BOQ!$E$1:$E$2429)</f>
        <v>0</v>
      </c>
      <c r="K293" s="1493">
        <f t="shared" ref="K293:K299" si="31">J293*F293</f>
        <v>0</v>
      </c>
    </row>
    <row r="294" spans="2:11">
      <c r="B294" s="71"/>
      <c r="C294" s="368" t="s">
        <v>28</v>
      </c>
      <c r="D294" s="76" t="s">
        <v>457</v>
      </c>
      <c r="E294" s="73" t="s">
        <v>145</v>
      </c>
      <c r="F294" s="74">
        <v>0.02</v>
      </c>
      <c r="G294" s="75">
        <f>$G$107</f>
        <v>54000</v>
      </c>
      <c r="H294" s="545">
        <f t="shared" si="30"/>
        <v>1080</v>
      </c>
      <c r="I294" s="440">
        <f>SUM(H293:H294)</f>
        <v>411080</v>
      </c>
      <c r="J294" s="1493">
        <f t="shared" ref="J294:J299" si="32">J293</f>
        <v>0</v>
      </c>
      <c r="K294" s="1493">
        <f t="shared" si="31"/>
        <v>0</v>
      </c>
    </row>
    <row r="295" spans="2:11">
      <c r="B295" s="71"/>
      <c r="C295" s="368" t="s">
        <v>28</v>
      </c>
      <c r="D295" s="76" t="s">
        <v>133</v>
      </c>
      <c r="E295" s="73" t="s">
        <v>132</v>
      </c>
      <c r="F295" s="74">
        <v>0.12</v>
      </c>
      <c r="G295" s="75">
        <f>$G$108</f>
        <v>136000</v>
      </c>
      <c r="H295" s="545">
        <f t="shared" si="30"/>
        <v>16320</v>
      </c>
      <c r="I295" s="440"/>
      <c r="J295" s="1493">
        <f t="shared" si="32"/>
        <v>0</v>
      </c>
      <c r="K295" s="1493">
        <f t="shared" si="31"/>
        <v>0</v>
      </c>
    </row>
    <row r="296" spans="2:11">
      <c r="B296" s="71"/>
      <c r="C296" s="368" t="s">
        <v>28</v>
      </c>
      <c r="D296" s="76" t="s">
        <v>134</v>
      </c>
      <c r="E296" s="73" t="s">
        <v>132</v>
      </c>
      <c r="F296" s="74">
        <v>0.06</v>
      </c>
      <c r="G296" s="75">
        <f>$G$109</f>
        <v>160000</v>
      </c>
      <c r="H296" s="545">
        <f t="shared" si="30"/>
        <v>9600</v>
      </c>
      <c r="I296" s="440"/>
      <c r="J296" s="1493">
        <f t="shared" si="32"/>
        <v>0</v>
      </c>
      <c r="K296" s="1493">
        <f t="shared" si="31"/>
        <v>0</v>
      </c>
    </row>
    <row r="297" spans="2:11">
      <c r="B297" s="71"/>
      <c r="C297" s="368" t="s">
        <v>28</v>
      </c>
      <c r="D297" s="76" t="s">
        <v>135</v>
      </c>
      <c r="E297" s="73" t="s">
        <v>132</v>
      </c>
      <c r="F297" s="74">
        <v>6.0000000000000001E-3</v>
      </c>
      <c r="G297" s="75">
        <f>$G$110</f>
        <v>150000</v>
      </c>
      <c r="H297" s="545">
        <f t="shared" si="30"/>
        <v>900</v>
      </c>
      <c r="I297" s="440"/>
      <c r="J297" s="1493">
        <f t="shared" si="32"/>
        <v>0</v>
      </c>
      <c r="K297" s="1493">
        <f t="shared" si="31"/>
        <v>0</v>
      </c>
    </row>
    <row r="298" spans="2:11">
      <c r="B298" s="369"/>
      <c r="C298" s="382" t="s">
        <v>28</v>
      </c>
      <c r="D298" s="448" t="s">
        <v>136</v>
      </c>
      <c r="E298" s="449" t="s">
        <v>132</v>
      </c>
      <c r="F298" s="450">
        <v>6.0000000000000001E-3</v>
      </c>
      <c r="G298" s="75">
        <f>$G$111</f>
        <v>180000</v>
      </c>
      <c r="H298" s="545">
        <f t="shared" si="30"/>
        <v>1080</v>
      </c>
      <c r="I298" s="440">
        <f>SUM(H295:H298)</f>
        <v>27900</v>
      </c>
      <c r="J298" s="1493">
        <f t="shared" si="32"/>
        <v>0</v>
      </c>
      <c r="K298" s="1493">
        <f t="shared" si="31"/>
        <v>0</v>
      </c>
    </row>
    <row r="299" spans="2:11">
      <c r="B299" s="1249"/>
      <c r="C299" s="83"/>
      <c r="D299" s="84" t="s">
        <v>228</v>
      </c>
      <c r="E299" s="85"/>
      <c r="F299" s="86"/>
      <c r="G299" s="87"/>
      <c r="H299" s="88">
        <f>SUM(H293:H298)</f>
        <v>438980</v>
      </c>
      <c r="I299" s="440"/>
      <c r="J299" s="1493">
        <f t="shared" si="32"/>
        <v>0</v>
      </c>
      <c r="K299" s="1493">
        <f t="shared" si="31"/>
        <v>0</v>
      </c>
    </row>
    <row r="300" spans="2:11">
      <c r="B300" s="396"/>
      <c r="C300" s="442" t="s">
        <v>229</v>
      </c>
      <c r="D300" s="378"/>
      <c r="E300" s="378"/>
      <c r="F300" s="378"/>
      <c r="G300" s="518"/>
      <c r="H300" s="518">
        <f>ROUND(H299,0)</f>
        <v>438980</v>
      </c>
      <c r="I300" s="1164"/>
    </row>
    <row r="301" spans="2:11">
      <c r="B301" s="226" t="s">
        <v>481</v>
      </c>
      <c r="C301" s="328" t="s">
        <v>2572</v>
      </c>
      <c r="D301" s="287"/>
      <c r="E301" s="519"/>
      <c r="F301" s="445"/>
      <c r="G301" s="455"/>
      <c r="H301" s="456"/>
      <c r="I301" s="440"/>
    </row>
    <row r="302" spans="2:11">
      <c r="B302" s="205"/>
      <c r="C302" s="206" t="s">
        <v>2573</v>
      </c>
      <c r="D302" s="207" t="s">
        <v>2574</v>
      </c>
      <c r="E302" s="208" t="s">
        <v>147</v>
      </c>
      <c r="F302" s="68">
        <v>1</v>
      </c>
      <c r="G302" s="1494">
        <f>BAHAN!$E$259</f>
        <v>72639.225181598056</v>
      </c>
      <c r="H302" s="545">
        <f t="shared" ref="H302:H307" si="33">F302*G302</f>
        <v>72639.225181598056</v>
      </c>
      <c r="I302" s="440"/>
      <c r="J302" s="1628">
        <f>SUMIF(BOQ!$G$1:$G$2429,I303,BOQ!$E$1:$E$2429)</f>
        <v>0</v>
      </c>
      <c r="K302" s="1493">
        <f t="shared" ref="K302:K308" si="34">J302*F302</f>
        <v>0</v>
      </c>
    </row>
    <row r="303" spans="2:11">
      <c r="B303" s="71"/>
      <c r="C303" s="368" t="s">
        <v>28</v>
      </c>
      <c r="D303" s="76" t="s">
        <v>457</v>
      </c>
      <c r="E303" s="73" t="s">
        <v>145</v>
      </c>
      <c r="F303" s="74">
        <v>0.02</v>
      </c>
      <c r="G303" s="75">
        <f>$G$107</f>
        <v>54000</v>
      </c>
      <c r="H303" s="545">
        <f t="shared" si="33"/>
        <v>1080</v>
      </c>
      <c r="I303" s="440">
        <f>SUM(H302:H303)</f>
        <v>73719.225181598056</v>
      </c>
      <c r="J303" s="1493">
        <f t="shared" ref="J303:J308" si="35">J302</f>
        <v>0</v>
      </c>
      <c r="K303" s="1493">
        <f t="shared" si="34"/>
        <v>0</v>
      </c>
    </row>
    <row r="304" spans="2:11">
      <c r="B304" s="71"/>
      <c r="C304" s="368" t="s">
        <v>28</v>
      </c>
      <c r="D304" s="76" t="s">
        <v>133</v>
      </c>
      <c r="E304" s="73" t="s">
        <v>132</v>
      </c>
      <c r="F304" s="74">
        <v>0.12</v>
      </c>
      <c r="G304" s="75">
        <f>$G$108</f>
        <v>136000</v>
      </c>
      <c r="H304" s="545">
        <f t="shared" si="33"/>
        <v>16320</v>
      </c>
      <c r="I304" s="440"/>
      <c r="J304" s="1493">
        <f t="shared" si="35"/>
        <v>0</v>
      </c>
      <c r="K304" s="1493">
        <f t="shared" si="34"/>
        <v>0</v>
      </c>
    </row>
    <row r="305" spans="2:11">
      <c r="B305" s="71"/>
      <c r="C305" s="368" t="s">
        <v>28</v>
      </c>
      <c r="D305" s="76" t="s">
        <v>134</v>
      </c>
      <c r="E305" s="73" t="s">
        <v>132</v>
      </c>
      <c r="F305" s="74">
        <v>0.06</v>
      </c>
      <c r="G305" s="75">
        <f>$G$109</f>
        <v>160000</v>
      </c>
      <c r="H305" s="545">
        <f t="shared" si="33"/>
        <v>9600</v>
      </c>
      <c r="I305" s="440"/>
      <c r="J305" s="1493">
        <f t="shared" si="35"/>
        <v>0</v>
      </c>
      <c r="K305" s="1493">
        <f t="shared" si="34"/>
        <v>0</v>
      </c>
    </row>
    <row r="306" spans="2:11">
      <c r="B306" s="71"/>
      <c r="C306" s="368" t="s">
        <v>28</v>
      </c>
      <c r="D306" s="76" t="s">
        <v>135</v>
      </c>
      <c r="E306" s="73" t="s">
        <v>132</v>
      </c>
      <c r="F306" s="74">
        <v>6.0000000000000001E-3</v>
      </c>
      <c r="G306" s="75">
        <f>$G$110</f>
        <v>150000</v>
      </c>
      <c r="H306" s="545">
        <f t="shared" si="33"/>
        <v>900</v>
      </c>
      <c r="I306" s="440"/>
      <c r="J306" s="1493">
        <f t="shared" si="35"/>
        <v>0</v>
      </c>
      <c r="K306" s="1493">
        <f t="shared" si="34"/>
        <v>0</v>
      </c>
    </row>
    <row r="307" spans="2:11">
      <c r="B307" s="369"/>
      <c r="C307" s="382" t="s">
        <v>28</v>
      </c>
      <c r="D307" s="448" t="s">
        <v>136</v>
      </c>
      <c r="E307" s="449" t="s">
        <v>132</v>
      </c>
      <c r="F307" s="450">
        <v>6.0000000000000001E-3</v>
      </c>
      <c r="G307" s="75">
        <f>$G$111</f>
        <v>180000</v>
      </c>
      <c r="H307" s="545">
        <f t="shared" si="33"/>
        <v>1080</v>
      </c>
      <c r="I307" s="440">
        <f>SUM(H304:H307)</f>
        <v>27900</v>
      </c>
      <c r="J307" s="1493">
        <f t="shared" si="35"/>
        <v>0</v>
      </c>
      <c r="K307" s="1493">
        <f t="shared" si="34"/>
        <v>0</v>
      </c>
    </row>
    <row r="308" spans="2:11">
      <c r="B308" s="1249"/>
      <c r="C308" s="83"/>
      <c r="D308" s="84" t="s">
        <v>228</v>
      </c>
      <c r="E308" s="85"/>
      <c r="F308" s="86"/>
      <c r="G308" s="87"/>
      <c r="H308" s="88">
        <f>SUM(H302:H307)</f>
        <v>101619.22518159806</v>
      </c>
      <c r="I308" s="440"/>
      <c r="J308" s="1493">
        <f t="shared" si="35"/>
        <v>0</v>
      </c>
      <c r="K308" s="1493">
        <f t="shared" si="34"/>
        <v>0</v>
      </c>
    </row>
    <row r="309" spans="2:11">
      <c r="B309" s="396"/>
      <c r="C309" s="442" t="s">
        <v>229</v>
      </c>
      <c r="D309" s="378"/>
      <c r="E309" s="378"/>
      <c r="F309" s="378"/>
      <c r="G309" s="518"/>
      <c r="H309" s="518">
        <f>ROUND(H308,0)</f>
        <v>101619</v>
      </c>
      <c r="I309" s="1164"/>
    </row>
  </sheetData>
  <hyperlinks>
    <hyperlink ref="J237" location="BOQ!H206" display="BOQ!H206" xr:uid="{00000000-0004-0000-1B00-000000000000}"/>
    <hyperlink ref="J293" location="BOQ!H206" display="BOQ!H206" xr:uid="{00000000-0004-0000-1B00-000001000000}"/>
    <hyperlink ref="J302" location="BOQ!H206" display="BOQ!H206" xr:uid="{00000000-0004-0000-1B00-000002000000}"/>
    <hyperlink ref="J251" location="BOQ!H206" display="BOQ!H206" xr:uid="{00000000-0004-0000-1B00-000003000000}"/>
  </hyperlinks>
  <pageMargins left="1.3" right="0.72" top="0.78740157480314998" bottom="0.78740157480314998" header="0.34" footer="0.31496062992126"/>
  <pageSetup paperSize="5" scale="80" orientation="portrait" r:id="rId1"/>
  <rowBreaks count="2" manualBreakCount="2">
    <brk id="95" min="1" max="7" man="1"/>
    <brk id="139" min="1" max="7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8"/>
  <dimension ref="B2:S90"/>
  <sheetViews>
    <sheetView topLeftCell="A38" zoomScale="130" zoomScaleNormal="130" zoomScaleSheetLayoutView="115" workbookViewId="0">
      <selection activeCell="G46" sqref="G46"/>
    </sheetView>
  </sheetViews>
  <sheetFormatPr defaultRowHeight="15"/>
  <cols>
    <col min="1" max="1" width="1.42578125" style="5" customWidth="1"/>
    <col min="2" max="2" width="4.5703125" style="5" customWidth="1"/>
    <col min="3" max="3" width="1.28515625" style="5" customWidth="1"/>
    <col min="4" max="4" width="29" style="5" bestFit="1" customWidth="1"/>
    <col min="5" max="5" width="8.28515625" style="5" customWidth="1"/>
    <col min="6" max="6" width="8.7109375" style="5" customWidth="1"/>
    <col min="7" max="7" width="14.7109375" style="5" customWidth="1"/>
    <col min="8" max="9" width="15.140625" style="5" customWidth="1"/>
    <col min="10" max="19" width="9.140625" style="1392"/>
    <col min="20" max="257" width="9.140625" style="5"/>
    <col min="258" max="258" width="1.42578125" style="5" customWidth="1"/>
    <col min="259" max="259" width="4.5703125" style="5" customWidth="1"/>
    <col min="260" max="260" width="1.28515625" style="5" customWidth="1"/>
    <col min="261" max="261" width="27.28515625" style="5" customWidth="1"/>
    <col min="262" max="262" width="8.28515625" style="5" customWidth="1"/>
    <col min="263" max="263" width="8.7109375" style="5" customWidth="1"/>
    <col min="264" max="264" width="14.7109375" style="5" customWidth="1"/>
    <col min="265" max="265" width="15.140625" style="5" customWidth="1"/>
    <col min="266" max="513" width="9.140625" style="5"/>
    <col min="514" max="514" width="1.42578125" style="5" customWidth="1"/>
    <col min="515" max="515" width="4.5703125" style="5" customWidth="1"/>
    <col min="516" max="516" width="1.28515625" style="5" customWidth="1"/>
    <col min="517" max="517" width="27.28515625" style="5" customWidth="1"/>
    <col min="518" max="518" width="8.28515625" style="5" customWidth="1"/>
    <col min="519" max="519" width="8.7109375" style="5" customWidth="1"/>
    <col min="520" max="520" width="14.7109375" style="5" customWidth="1"/>
    <col min="521" max="521" width="15.140625" style="5" customWidth="1"/>
    <col min="522" max="769" width="9.140625" style="5"/>
    <col min="770" max="770" width="1.42578125" style="5" customWidth="1"/>
    <col min="771" max="771" width="4.5703125" style="5" customWidth="1"/>
    <col min="772" max="772" width="1.28515625" style="5" customWidth="1"/>
    <col min="773" max="773" width="27.28515625" style="5" customWidth="1"/>
    <col min="774" max="774" width="8.28515625" style="5" customWidth="1"/>
    <col min="775" max="775" width="8.7109375" style="5" customWidth="1"/>
    <col min="776" max="776" width="14.7109375" style="5" customWidth="1"/>
    <col min="777" max="777" width="15.140625" style="5" customWidth="1"/>
    <col min="778" max="1025" width="9.140625" style="5"/>
    <col min="1026" max="1026" width="1.42578125" style="5" customWidth="1"/>
    <col min="1027" max="1027" width="4.5703125" style="5" customWidth="1"/>
    <col min="1028" max="1028" width="1.28515625" style="5" customWidth="1"/>
    <col min="1029" max="1029" width="27.28515625" style="5" customWidth="1"/>
    <col min="1030" max="1030" width="8.28515625" style="5" customWidth="1"/>
    <col min="1031" max="1031" width="8.7109375" style="5" customWidth="1"/>
    <col min="1032" max="1032" width="14.7109375" style="5" customWidth="1"/>
    <col min="1033" max="1033" width="15.140625" style="5" customWidth="1"/>
    <col min="1034" max="1281" width="9.140625" style="5"/>
    <col min="1282" max="1282" width="1.42578125" style="5" customWidth="1"/>
    <col min="1283" max="1283" width="4.5703125" style="5" customWidth="1"/>
    <col min="1284" max="1284" width="1.28515625" style="5" customWidth="1"/>
    <col min="1285" max="1285" width="27.28515625" style="5" customWidth="1"/>
    <col min="1286" max="1286" width="8.28515625" style="5" customWidth="1"/>
    <col min="1287" max="1287" width="8.7109375" style="5" customWidth="1"/>
    <col min="1288" max="1288" width="14.7109375" style="5" customWidth="1"/>
    <col min="1289" max="1289" width="15.140625" style="5" customWidth="1"/>
    <col min="1290" max="1537" width="9.140625" style="5"/>
    <col min="1538" max="1538" width="1.42578125" style="5" customWidth="1"/>
    <col min="1539" max="1539" width="4.5703125" style="5" customWidth="1"/>
    <col min="1540" max="1540" width="1.28515625" style="5" customWidth="1"/>
    <col min="1541" max="1541" width="27.28515625" style="5" customWidth="1"/>
    <col min="1542" max="1542" width="8.28515625" style="5" customWidth="1"/>
    <col min="1543" max="1543" width="8.7109375" style="5" customWidth="1"/>
    <col min="1544" max="1544" width="14.7109375" style="5" customWidth="1"/>
    <col min="1545" max="1545" width="15.140625" style="5" customWidth="1"/>
    <col min="1546" max="1793" width="9.140625" style="5"/>
    <col min="1794" max="1794" width="1.42578125" style="5" customWidth="1"/>
    <col min="1795" max="1795" width="4.5703125" style="5" customWidth="1"/>
    <col min="1796" max="1796" width="1.28515625" style="5" customWidth="1"/>
    <col min="1797" max="1797" width="27.28515625" style="5" customWidth="1"/>
    <col min="1798" max="1798" width="8.28515625" style="5" customWidth="1"/>
    <col min="1799" max="1799" width="8.7109375" style="5" customWidth="1"/>
    <col min="1800" max="1800" width="14.7109375" style="5" customWidth="1"/>
    <col min="1801" max="1801" width="15.140625" style="5" customWidth="1"/>
    <col min="1802" max="2049" width="9.140625" style="5"/>
    <col min="2050" max="2050" width="1.42578125" style="5" customWidth="1"/>
    <col min="2051" max="2051" width="4.5703125" style="5" customWidth="1"/>
    <col min="2052" max="2052" width="1.28515625" style="5" customWidth="1"/>
    <col min="2053" max="2053" width="27.28515625" style="5" customWidth="1"/>
    <col min="2054" max="2054" width="8.28515625" style="5" customWidth="1"/>
    <col min="2055" max="2055" width="8.7109375" style="5" customWidth="1"/>
    <col min="2056" max="2056" width="14.7109375" style="5" customWidth="1"/>
    <col min="2057" max="2057" width="15.140625" style="5" customWidth="1"/>
    <col min="2058" max="2305" width="9.140625" style="5"/>
    <col min="2306" max="2306" width="1.42578125" style="5" customWidth="1"/>
    <col min="2307" max="2307" width="4.5703125" style="5" customWidth="1"/>
    <col min="2308" max="2308" width="1.28515625" style="5" customWidth="1"/>
    <col min="2309" max="2309" width="27.28515625" style="5" customWidth="1"/>
    <col min="2310" max="2310" width="8.28515625" style="5" customWidth="1"/>
    <col min="2311" max="2311" width="8.7109375" style="5" customWidth="1"/>
    <col min="2312" max="2312" width="14.7109375" style="5" customWidth="1"/>
    <col min="2313" max="2313" width="15.140625" style="5" customWidth="1"/>
    <col min="2314" max="2561" width="9.140625" style="5"/>
    <col min="2562" max="2562" width="1.42578125" style="5" customWidth="1"/>
    <col min="2563" max="2563" width="4.5703125" style="5" customWidth="1"/>
    <col min="2564" max="2564" width="1.28515625" style="5" customWidth="1"/>
    <col min="2565" max="2565" width="27.28515625" style="5" customWidth="1"/>
    <col min="2566" max="2566" width="8.28515625" style="5" customWidth="1"/>
    <col min="2567" max="2567" width="8.7109375" style="5" customWidth="1"/>
    <col min="2568" max="2568" width="14.7109375" style="5" customWidth="1"/>
    <col min="2569" max="2569" width="15.140625" style="5" customWidth="1"/>
    <col min="2570" max="2817" width="9.140625" style="5"/>
    <col min="2818" max="2818" width="1.42578125" style="5" customWidth="1"/>
    <col min="2819" max="2819" width="4.5703125" style="5" customWidth="1"/>
    <col min="2820" max="2820" width="1.28515625" style="5" customWidth="1"/>
    <col min="2821" max="2821" width="27.28515625" style="5" customWidth="1"/>
    <col min="2822" max="2822" width="8.28515625" style="5" customWidth="1"/>
    <col min="2823" max="2823" width="8.7109375" style="5" customWidth="1"/>
    <col min="2824" max="2824" width="14.7109375" style="5" customWidth="1"/>
    <col min="2825" max="2825" width="15.140625" style="5" customWidth="1"/>
    <col min="2826" max="3073" width="9.140625" style="5"/>
    <col min="3074" max="3074" width="1.42578125" style="5" customWidth="1"/>
    <col min="3075" max="3075" width="4.5703125" style="5" customWidth="1"/>
    <col min="3076" max="3076" width="1.28515625" style="5" customWidth="1"/>
    <col min="3077" max="3077" width="27.28515625" style="5" customWidth="1"/>
    <col min="3078" max="3078" width="8.28515625" style="5" customWidth="1"/>
    <col min="3079" max="3079" width="8.7109375" style="5" customWidth="1"/>
    <col min="3080" max="3080" width="14.7109375" style="5" customWidth="1"/>
    <col min="3081" max="3081" width="15.140625" style="5" customWidth="1"/>
    <col min="3082" max="3329" width="9.140625" style="5"/>
    <col min="3330" max="3330" width="1.42578125" style="5" customWidth="1"/>
    <col min="3331" max="3331" width="4.5703125" style="5" customWidth="1"/>
    <col min="3332" max="3332" width="1.28515625" style="5" customWidth="1"/>
    <col min="3333" max="3333" width="27.28515625" style="5" customWidth="1"/>
    <col min="3334" max="3334" width="8.28515625" style="5" customWidth="1"/>
    <col min="3335" max="3335" width="8.7109375" style="5" customWidth="1"/>
    <col min="3336" max="3336" width="14.7109375" style="5" customWidth="1"/>
    <col min="3337" max="3337" width="15.140625" style="5" customWidth="1"/>
    <col min="3338" max="3585" width="9.140625" style="5"/>
    <col min="3586" max="3586" width="1.42578125" style="5" customWidth="1"/>
    <col min="3587" max="3587" width="4.5703125" style="5" customWidth="1"/>
    <col min="3588" max="3588" width="1.28515625" style="5" customWidth="1"/>
    <col min="3589" max="3589" width="27.28515625" style="5" customWidth="1"/>
    <col min="3590" max="3590" width="8.28515625" style="5" customWidth="1"/>
    <col min="3591" max="3591" width="8.7109375" style="5" customWidth="1"/>
    <col min="3592" max="3592" width="14.7109375" style="5" customWidth="1"/>
    <col min="3593" max="3593" width="15.140625" style="5" customWidth="1"/>
    <col min="3594" max="3841" width="9.140625" style="5"/>
    <col min="3842" max="3842" width="1.42578125" style="5" customWidth="1"/>
    <col min="3843" max="3843" width="4.5703125" style="5" customWidth="1"/>
    <col min="3844" max="3844" width="1.28515625" style="5" customWidth="1"/>
    <col min="3845" max="3845" width="27.28515625" style="5" customWidth="1"/>
    <col min="3846" max="3846" width="8.28515625" style="5" customWidth="1"/>
    <col min="3847" max="3847" width="8.7109375" style="5" customWidth="1"/>
    <col min="3848" max="3848" width="14.7109375" style="5" customWidth="1"/>
    <col min="3849" max="3849" width="15.140625" style="5" customWidth="1"/>
    <col min="3850" max="4097" width="9.140625" style="5"/>
    <col min="4098" max="4098" width="1.42578125" style="5" customWidth="1"/>
    <col min="4099" max="4099" width="4.5703125" style="5" customWidth="1"/>
    <col min="4100" max="4100" width="1.28515625" style="5" customWidth="1"/>
    <col min="4101" max="4101" width="27.28515625" style="5" customWidth="1"/>
    <col min="4102" max="4102" width="8.28515625" style="5" customWidth="1"/>
    <col min="4103" max="4103" width="8.7109375" style="5" customWidth="1"/>
    <col min="4104" max="4104" width="14.7109375" style="5" customWidth="1"/>
    <col min="4105" max="4105" width="15.140625" style="5" customWidth="1"/>
    <col min="4106" max="4353" width="9.140625" style="5"/>
    <col min="4354" max="4354" width="1.42578125" style="5" customWidth="1"/>
    <col min="4355" max="4355" width="4.5703125" style="5" customWidth="1"/>
    <col min="4356" max="4356" width="1.28515625" style="5" customWidth="1"/>
    <col min="4357" max="4357" width="27.28515625" style="5" customWidth="1"/>
    <col min="4358" max="4358" width="8.28515625" style="5" customWidth="1"/>
    <col min="4359" max="4359" width="8.7109375" style="5" customWidth="1"/>
    <col min="4360" max="4360" width="14.7109375" style="5" customWidth="1"/>
    <col min="4361" max="4361" width="15.140625" style="5" customWidth="1"/>
    <col min="4362" max="4609" width="9.140625" style="5"/>
    <col min="4610" max="4610" width="1.42578125" style="5" customWidth="1"/>
    <col min="4611" max="4611" width="4.5703125" style="5" customWidth="1"/>
    <col min="4612" max="4612" width="1.28515625" style="5" customWidth="1"/>
    <col min="4613" max="4613" width="27.28515625" style="5" customWidth="1"/>
    <col min="4614" max="4614" width="8.28515625" style="5" customWidth="1"/>
    <col min="4615" max="4615" width="8.7109375" style="5" customWidth="1"/>
    <col min="4616" max="4616" width="14.7109375" style="5" customWidth="1"/>
    <col min="4617" max="4617" width="15.140625" style="5" customWidth="1"/>
    <col min="4618" max="4865" width="9.140625" style="5"/>
    <col min="4866" max="4866" width="1.42578125" style="5" customWidth="1"/>
    <col min="4867" max="4867" width="4.5703125" style="5" customWidth="1"/>
    <col min="4868" max="4868" width="1.28515625" style="5" customWidth="1"/>
    <col min="4869" max="4869" width="27.28515625" style="5" customWidth="1"/>
    <col min="4870" max="4870" width="8.28515625" style="5" customWidth="1"/>
    <col min="4871" max="4871" width="8.7109375" style="5" customWidth="1"/>
    <col min="4872" max="4872" width="14.7109375" style="5" customWidth="1"/>
    <col min="4873" max="4873" width="15.140625" style="5" customWidth="1"/>
    <col min="4874" max="5121" width="9.140625" style="5"/>
    <col min="5122" max="5122" width="1.42578125" style="5" customWidth="1"/>
    <col min="5123" max="5123" width="4.5703125" style="5" customWidth="1"/>
    <col min="5124" max="5124" width="1.28515625" style="5" customWidth="1"/>
    <col min="5125" max="5125" width="27.28515625" style="5" customWidth="1"/>
    <col min="5126" max="5126" width="8.28515625" style="5" customWidth="1"/>
    <col min="5127" max="5127" width="8.7109375" style="5" customWidth="1"/>
    <col min="5128" max="5128" width="14.7109375" style="5" customWidth="1"/>
    <col min="5129" max="5129" width="15.140625" style="5" customWidth="1"/>
    <col min="5130" max="5377" width="9.140625" style="5"/>
    <col min="5378" max="5378" width="1.42578125" style="5" customWidth="1"/>
    <col min="5379" max="5379" width="4.5703125" style="5" customWidth="1"/>
    <col min="5380" max="5380" width="1.28515625" style="5" customWidth="1"/>
    <col min="5381" max="5381" width="27.28515625" style="5" customWidth="1"/>
    <col min="5382" max="5382" width="8.28515625" style="5" customWidth="1"/>
    <col min="5383" max="5383" width="8.7109375" style="5" customWidth="1"/>
    <col min="5384" max="5384" width="14.7109375" style="5" customWidth="1"/>
    <col min="5385" max="5385" width="15.140625" style="5" customWidth="1"/>
    <col min="5386" max="5633" width="9.140625" style="5"/>
    <col min="5634" max="5634" width="1.42578125" style="5" customWidth="1"/>
    <col min="5635" max="5635" width="4.5703125" style="5" customWidth="1"/>
    <col min="5636" max="5636" width="1.28515625" style="5" customWidth="1"/>
    <col min="5637" max="5637" width="27.28515625" style="5" customWidth="1"/>
    <col min="5638" max="5638" width="8.28515625" style="5" customWidth="1"/>
    <col min="5639" max="5639" width="8.7109375" style="5" customWidth="1"/>
    <col min="5640" max="5640" width="14.7109375" style="5" customWidth="1"/>
    <col min="5641" max="5641" width="15.140625" style="5" customWidth="1"/>
    <col min="5642" max="5889" width="9.140625" style="5"/>
    <col min="5890" max="5890" width="1.42578125" style="5" customWidth="1"/>
    <col min="5891" max="5891" width="4.5703125" style="5" customWidth="1"/>
    <col min="5892" max="5892" width="1.28515625" style="5" customWidth="1"/>
    <col min="5893" max="5893" width="27.28515625" style="5" customWidth="1"/>
    <col min="5894" max="5894" width="8.28515625" style="5" customWidth="1"/>
    <col min="5895" max="5895" width="8.7109375" style="5" customWidth="1"/>
    <col min="5896" max="5896" width="14.7109375" style="5" customWidth="1"/>
    <col min="5897" max="5897" width="15.140625" style="5" customWidth="1"/>
    <col min="5898" max="6145" width="9.140625" style="5"/>
    <col min="6146" max="6146" width="1.42578125" style="5" customWidth="1"/>
    <col min="6147" max="6147" width="4.5703125" style="5" customWidth="1"/>
    <col min="6148" max="6148" width="1.28515625" style="5" customWidth="1"/>
    <col min="6149" max="6149" width="27.28515625" style="5" customWidth="1"/>
    <col min="6150" max="6150" width="8.28515625" style="5" customWidth="1"/>
    <col min="6151" max="6151" width="8.7109375" style="5" customWidth="1"/>
    <col min="6152" max="6152" width="14.7109375" style="5" customWidth="1"/>
    <col min="6153" max="6153" width="15.140625" style="5" customWidth="1"/>
    <col min="6154" max="6401" width="9.140625" style="5"/>
    <col min="6402" max="6402" width="1.42578125" style="5" customWidth="1"/>
    <col min="6403" max="6403" width="4.5703125" style="5" customWidth="1"/>
    <col min="6404" max="6404" width="1.28515625" style="5" customWidth="1"/>
    <col min="6405" max="6405" width="27.28515625" style="5" customWidth="1"/>
    <col min="6406" max="6406" width="8.28515625" style="5" customWidth="1"/>
    <col min="6407" max="6407" width="8.7109375" style="5" customWidth="1"/>
    <col min="6408" max="6408" width="14.7109375" style="5" customWidth="1"/>
    <col min="6409" max="6409" width="15.140625" style="5" customWidth="1"/>
    <col min="6410" max="6657" width="9.140625" style="5"/>
    <col min="6658" max="6658" width="1.42578125" style="5" customWidth="1"/>
    <col min="6659" max="6659" width="4.5703125" style="5" customWidth="1"/>
    <col min="6660" max="6660" width="1.28515625" style="5" customWidth="1"/>
    <col min="6661" max="6661" width="27.28515625" style="5" customWidth="1"/>
    <col min="6662" max="6662" width="8.28515625" style="5" customWidth="1"/>
    <col min="6663" max="6663" width="8.7109375" style="5" customWidth="1"/>
    <col min="6664" max="6664" width="14.7109375" style="5" customWidth="1"/>
    <col min="6665" max="6665" width="15.140625" style="5" customWidth="1"/>
    <col min="6666" max="6913" width="9.140625" style="5"/>
    <col min="6914" max="6914" width="1.42578125" style="5" customWidth="1"/>
    <col min="6915" max="6915" width="4.5703125" style="5" customWidth="1"/>
    <col min="6916" max="6916" width="1.28515625" style="5" customWidth="1"/>
    <col min="6917" max="6917" width="27.28515625" style="5" customWidth="1"/>
    <col min="6918" max="6918" width="8.28515625" style="5" customWidth="1"/>
    <col min="6919" max="6919" width="8.7109375" style="5" customWidth="1"/>
    <col min="6920" max="6920" width="14.7109375" style="5" customWidth="1"/>
    <col min="6921" max="6921" width="15.140625" style="5" customWidth="1"/>
    <col min="6922" max="7169" width="9.140625" style="5"/>
    <col min="7170" max="7170" width="1.42578125" style="5" customWidth="1"/>
    <col min="7171" max="7171" width="4.5703125" style="5" customWidth="1"/>
    <col min="7172" max="7172" width="1.28515625" style="5" customWidth="1"/>
    <col min="7173" max="7173" width="27.28515625" style="5" customWidth="1"/>
    <col min="7174" max="7174" width="8.28515625" style="5" customWidth="1"/>
    <col min="7175" max="7175" width="8.7109375" style="5" customWidth="1"/>
    <col min="7176" max="7176" width="14.7109375" style="5" customWidth="1"/>
    <col min="7177" max="7177" width="15.140625" style="5" customWidth="1"/>
    <col min="7178" max="7425" width="9.140625" style="5"/>
    <col min="7426" max="7426" width="1.42578125" style="5" customWidth="1"/>
    <col min="7427" max="7427" width="4.5703125" style="5" customWidth="1"/>
    <col min="7428" max="7428" width="1.28515625" style="5" customWidth="1"/>
    <col min="7429" max="7429" width="27.28515625" style="5" customWidth="1"/>
    <col min="7430" max="7430" width="8.28515625" style="5" customWidth="1"/>
    <col min="7431" max="7431" width="8.7109375" style="5" customWidth="1"/>
    <col min="7432" max="7432" width="14.7109375" style="5" customWidth="1"/>
    <col min="7433" max="7433" width="15.140625" style="5" customWidth="1"/>
    <col min="7434" max="7681" width="9.140625" style="5"/>
    <col min="7682" max="7682" width="1.42578125" style="5" customWidth="1"/>
    <col min="7683" max="7683" width="4.5703125" style="5" customWidth="1"/>
    <col min="7684" max="7684" width="1.28515625" style="5" customWidth="1"/>
    <col min="7685" max="7685" width="27.28515625" style="5" customWidth="1"/>
    <col min="7686" max="7686" width="8.28515625" style="5" customWidth="1"/>
    <col min="7687" max="7687" width="8.7109375" style="5" customWidth="1"/>
    <col min="7688" max="7688" width="14.7109375" style="5" customWidth="1"/>
    <col min="7689" max="7689" width="15.140625" style="5" customWidth="1"/>
    <col min="7690" max="7937" width="9.140625" style="5"/>
    <col min="7938" max="7938" width="1.42578125" style="5" customWidth="1"/>
    <col min="7939" max="7939" width="4.5703125" style="5" customWidth="1"/>
    <col min="7940" max="7940" width="1.28515625" style="5" customWidth="1"/>
    <col min="7941" max="7941" width="27.28515625" style="5" customWidth="1"/>
    <col min="7942" max="7942" width="8.28515625" style="5" customWidth="1"/>
    <col min="7943" max="7943" width="8.7109375" style="5" customWidth="1"/>
    <col min="7944" max="7944" width="14.7109375" style="5" customWidth="1"/>
    <col min="7945" max="7945" width="15.140625" style="5" customWidth="1"/>
    <col min="7946" max="8193" width="9.140625" style="5"/>
    <col min="8194" max="8194" width="1.42578125" style="5" customWidth="1"/>
    <col min="8195" max="8195" width="4.5703125" style="5" customWidth="1"/>
    <col min="8196" max="8196" width="1.28515625" style="5" customWidth="1"/>
    <col min="8197" max="8197" width="27.28515625" style="5" customWidth="1"/>
    <col min="8198" max="8198" width="8.28515625" style="5" customWidth="1"/>
    <col min="8199" max="8199" width="8.7109375" style="5" customWidth="1"/>
    <col min="8200" max="8200" width="14.7109375" style="5" customWidth="1"/>
    <col min="8201" max="8201" width="15.140625" style="5" customWidth="1"/>
    <col min="8202" max="8449" width="9.140625" style="5"/>
    <col min="8450" max="8450" width="1.42578125" style="5" customWidth="1"/>
    <col min="8451" max="8451" width="4.5703125" style="5" customWidth="1"/>
    <col min="8452" max="8452" width="1.28515625" style="5" customWidth="1"/>
    <col min="8453" max="8453" width="27.28515625" style="5" customWidth="1"/>
    <col min="8454" max="8454" width="8.28515625" style="5" customWidth="1"/>
    <col min="8455" max="8455" width="8.7109375" style="5" customWidth="1"/>
    <col min="8456" max="8456" width="14.7109375" style="5" customWidth="1"/>
    <col min="8457" max="8457" width="15.140625" style="5" customWidth="1"/>
    <col min="8458" max="8705" width="9.140625" style="5"/>
    <col min="8706" max="8706" width="1.42578125" style="5" customWidth="1"/>
    <col min="8707" max="8707" width="4.5703125" style="5" customWidth="1"/>
    <col min="8708" max="8708" width="1.28515625" style="5" customWidth="1"/>
    <col min="8709" max="8709" width="27.28515625" style="5" customWidth="1"/>
    <col min="8710" max="8710" width="8.28515625" style="5" customWidth="1"/>
    <col min="8711" max="8711" width="8.7109375" style="5" customWidth="1"/>
    <col min="8712" max="8712" width="14.7109375" style="5" customWidth="1"/>
    <col min="8713" max="8713" width="15.140625" style="5" customWidth="1"/>
    <col min="8714" max="8961" width="9.140625" style="5"/>
    <col min="8962" max="8962" width="1.42578125" style="5" customWidth="1"/>
    <col min="8963" max="8963" width="4.5703125" style="5" customWidth="1"/>
    <col min="8964" max="8964" width="1.28515625" style="5" customWidth="1"/>
    <col min="8965" max="8965" width="27.28515625" style="5" customWidth="1"/>
    <col min="8966" max="8966" width="8.28515625" style="5" customWidth="1"/>
    <col min="8967" max="8967" width="8.7109375" style="5" customWidth="1"/>
    <col min="8968" max="8968" width="14.7109375" style="5" customWidth="1"/>
    <col min="8969" max="8969" width="15.140625" style="5" customWidth="1"/>
    <col min="8970" max="9217" width="9.140625" style="5"/>
    <col min="9218" max="9218" width="1.42578125" style="5" customWidth="1"/>
    <col min="9219" max="9219" width="4.5703125" style="5" customWidth="1"/>
    <col min="9220" max="9220" width="1.28515625" style="5" customWidth="1"/>
    <col min="9221" max="9221" width="27.28515625" style="5" customWidth="1"/>
    <col min="9222" max="9222" width="8.28515625" style="5" customWidth="1"/>
    <col min="9223" max="9223" width="8.7109375" style="5" customWidth="1"/>
    <col min="9224" max="9224" width="14.7109375" style="5" customWidth="1"/>
    <col min="9225" max="9225" width="15.140625" style="5" customWidth="1"/>
    <col min="9226" max="9473" width="9.140625" style="5"/>
    <col min="9474" max="9474" width="1.42578125" style="5" customWidth="1"/>
    <col min="9475" max="9475" width="4.5703125" style="5" customWidth="1"/>
    <col min="9476" max="9476" width="1.28515625" style="5" customWidth="1"/>
    <col min="9477" max="9477" width="27.28515625" style="5" customWidth="1"/>
    <col min="9478" max="9478" width="8.28515625" style="5" customWidth="1"/>
    <col min="9479" max="9479" width="8.7109375" style="5" customWidth="1"/>
    <col min="9480" max="9480" width="14.7109375" style="5" customWidth="1"/>
    <col min="9481" max="9481" width="15.140625" style="5" customWidth="1"/>
    <col min="9482" max="9729" width="9.140625" style="5"/>
    <col min="9730" max="9730" width="1.42578125" style="5" customWidth="1"/>
    <col min="9731" max="9731" width="4.5703125" style="5" customWidth="1"/>
    <col min="9732" max="9732" width="1.28515625" style="5" customWidth="1"/>
    <col min="9733" max="9733" width="27.28515625" style="5" customWidth="1"/>
    <col min="9734" max="9734" width="8.28515625" style="5" customWidth="1"/>
    <col min="9735" max="9735" width="8.7109375" style="5" customWidth="1"/>
    <col min="9736" max="9736" width="14.7109375" style="5" customWidth="1"/>
    <col min="9737" max="9737" width="15.140625" style="5" customWidth="1"/>
    <col min="9738" max="9985" width="9.140625" style="5"/>
    <col min="9986" max="9986" width="1.42578125" style="5" customWidth="1"/>
    <col min="9987" max="9987" width="4.5703125" style="5" customWidth="1"/>
    <col min="9988" max="9988" width="1.28515625" style="5" customWidth="1"/>
    <col min="9989" max="9989" width="27.28515625" style="5" customWidth="1"/>
    <col min="9990" max="9990" width="8.28515625" style="5" customWidth="1"/>
    <col min="9991" max="9991" width="8.7109375" style="5" customWidth="1"/>
    <col min="9992" max="9992" width="14.7109375" style="5" customWidth="1"/>
    <col min="9993" max="9993" width="15.140625" style="5" customWidth="1"/>
    <col min="9994" max="10241" width="9.140625" style="5"/>
    <col min="10242" max="10242" width="1.42578125" style="5" customWidth="1"/>
    <col min="10243" max="10243" width="4.5703125" style="5" customWidth="1"/>
    <col min="10244" max="10244" width="1.28515625" style="5" customWidth="1"/>
    <col min="10245" max="10245" width="27.28515625" style="5" customWidth="1"/>
    <col min="10246" max="10246" width="8.28515625" style="5" customWidth="1"/>
    <col min="10247" max="10247" width="8.7109375" style="5" customWidth="1"/>
    <col min="10248" max="10248" width="14.7109375" style="5" customWidth="1"/>
    <col min="10249" max="10249" width="15.140625" style="5" customWidth="1"/>
    <col min="10250" max="10497" width="9.140625" style="5"/>
    <col min="10498" max="10498" width="1.42578125" style="5" customWidth="1"/>
    <col min="10499" max="10499" width="4.5703125" style="5" customWidth="1"/>
    <col min="10500" max="10500" width="1.28515625" style="5" customWidth="1"/>
    <col min="10501" max="10501" width="27.28515625" style="5" customWidth="1"/>
    <col min="10502" max="10502" width="8.28515625" style="5" customWidth="1"/>
    <col min="10503" max="10503" width="8.7109375" style="5" customWidth="1"/>
    <col min="10504" max="10504" width="14.7109375" style="5" customWidth="1"/>
    <col min="10505" max="10505" width="15.140625" style="5" customWidth="1"/>
    <col min="10506" max="10753" width="9.140625" style="5"/>
    <col min="10754" max="10754" width="1.42578125" style="5" customWidth="1"/>
    <col min="10755" max="10755" width="4.5703125" style="5" customWidth="1"/>
    <col min="10756" max="10756" width="1.28515625" style="5" customWidth="1"/>
    <col min="10757" max="10757" width="27.28515625" style="5" customWidth="1"/>
    <col min="10758" max="10758" width="8.28515625" style="5" customWidth="1"/>
    <col min="10759" max="10759" width="8.7109375" style="5" customWidth="1"/>
    <col min="10760" max="10760" width="14.7109375" style="5" customWidth="1"/>
    <col min="10761" max="10761" width="15.140625" style="5" customWidth="1"/>
    <col min="10762" max="11009" width="9.140625" style="5"/>
    <col min="11010" max="11010" width="1.42578125" style="5" customWidth="1"/>
    <col min="11011" max="11011" width="4.5703125" style="5" customWidth="1"/>
    <col min="11012" max="11012" width="1.28515625" style="5" customWidth="1"/>
    <col min="11013" max="11013" width="27.28515625" style="5" customWidth="1"/>
    <col min="11014" max="11014" width="8.28515625" style="5" customWidth="1"/>
    <col min="11015" max="11015" width="8.7109375" style="5" customWidth="1"/>
    <col min="11016" max="11016" width="14.7109375" style="5" customWidth="1"/>
    <col min="11017" max="11017" width="15.140625" style="5" customWidth="1"/>
    <col min="11018" max="11265" width="9.140625" style="5"/>
    <col min="11266" max="11266" width="1.42578125" style="5" customWidth="1"/>
    <col min="11267" max="11267" width="4.5703125" style="5" customWidth="1"/>
    <col min="11268" max="11268" width="1.28515625" style="5" customWidth="1"/>
    <col min="11269" max="11269" width="27.28515625" style="5" customWidth="1"/>
    <col min="11270" max="11270" width="8.28515625" style="5" customWidth="1"/>
    <col min="11271" max="11271" width="8.7109375" style="5" customWidth="1"/>
    <col min="11272" max="11272" width="14.7109375" style="5" customWidth="1"/>
    <col min="11273" max="11273" width="15.140625" style="5" customWidth="1"/>
    <col min="11274" max="11521" width="9.140625" style="5"/>
    <col min="11522" max="11522" width="1.42578125" style="5" customWidth="1"/>
    <col min="11523" max="11523" width="4.5703125" style="5" customWidth="1"/>
    <col min="11524" max="11524" width="1.28515625" style="5" customWidth="1"/>
    <col min="11525" max="11525" width="27.28515625" style="5" customWidth="1"/>
    <col min="11526" max="11526" width="8.28515625" style="5" customWidth="1"/>
    <col min="11527" max="11527" width="8.7109375" style="5" customWidth="1"/>
    <col min="11528" max="11528" width="14.7109375" style="5" customWidth="1"/>
    <col min="11529" max="11529" width="15.140625" style="5" customWidth="1"/>
    <col min="11530" max="11777" width="9.140625" style="5"/>
    <col min="11778" max="11778" width="1.42578125" style="5" customWidth="1"/>
    <col min="11779" max="11779" width="4.5703125" style="5" customWidth="1"/>
    <col min="11780" max="11780" width="1.28515625" style="5" customWidth="1"/>
    <col min="11781" max="11781" width="27.28515625" style="5" customWidth="1"/>
    <col min="11782" max="11782" width="8.28515625" style="5" customWidth="1"/>
    <col min="11783" max="11783" width="8.7109375" style="5" customWidth="1"/>
    <col min="11784" max="11784" width="14.7109375" style="5" customWidth="1"/>
    <col min="11785" max="11785" width="15.140625" style="5" customWidth="1"/>
    <col min="11786" max="12033" width="9.140625" style="5"/>
    <col min="12034" max="12034" width="1.42578125" style="5" customWidth="1"/>
    <col min="12035" max="12035" width="4.5703125" style="5" customWidth="1"/>
    <col min="12036" max="12036" width="1.28515625" style="5" customWidth="1"/>
    <col min="12037" max="12037" width="27.28515625" style="5" customWidth="1"/>
    <col min="12038" max="12038" width="8.28515625" style="5" customWidth="1"/>
    <col min="12039" max="12039" width="8.7109375" style="5" customWidth="1"/>
    <col min="12040" max="12040" width="14.7109375" style="5" customWidth="1"/>
    <col min="12041" max="12041" width="15.140625" style="5" customWidth="1"/>
    <col min="12042" max="12289" width="9.140625" style="5"/>
    <col min="12290" max="12290" width="1.42578125" style="5" customWidth="1"/>
    <col min="12291" max="12291" width="4.5703125" style="5" customWidth="1"/>
    <col min="12292" max="12292" width="1.28515625" style="5" customWidth="1"/>
    <col min="12293" max="12293" width="27.28515625" style="5" customWidth="1"/>
    <col min="12294" max="12294" width="8.28515625" style="5" customWidth="1"/>
    <col min="12295" max="12295" width="8.7109375" style="5" customWidth="1"/>
    <col min="12296" max="12296" width="14.7109375" style="5" customWidth="1"/>
    <col min="12297" max="12297" width="15.140625" style="5" customWidth="1"/>
    <col min="12298" max="12545" width="9.140625" style="5"/>
    <col min="12546" max="12546" width="1.42578125" style="5" customWidth="1"/>
    <col min="12547" max="12547" width="4.5703125" style="5" customWidth="1"/>
    <col min="12548" max="12548" width="1.28515625" style="5" customWidth="1"/>
    <col min="12549" max="12549" width="27.28515625" style="5" customWidth="1"/>
    <col min="12550" max="12550" width="8.28515625" style="5" customWidth="1"/>
    <col min="12551" max="12551" width="8.7109375" style="5" customWidth="1"/>
    <col min="12552" max="12552" width="14.7109375" style="5" customWidth="1"/>
    <col min="12553" max="12553" width="15.140625" style="5" customWidth="1"/>
    <col min="12554" max="12801" width="9.140625" style="5"/>
    <col min="12802" max="12802" width="1.42578125" style="5" customWidth="1"/>
    <col min="12803" max="12803" width="4.5703125" style="5" customWidth="1"/>
    <col min="12804" max="12804" width="1.28515625" style="5" customWidth="1"/>
    <col min="12805" max="12805" width="27.28515625" style="5" customWidth="1"/>
    <col min="12806" max="12806" width="8.28515625" style="5" customWidth="1"/>
    <col min="12807" max="12807" width="8.7109375" style="5" customWidth="1"/>
    <col min="12808" max="12808" width="14.7109375" style="5" customWidth="1"/>
    <col min="12809" max="12809" width="15.140625" style="5" customWidth="1"/>
    <col min="12810" max="13057" width="9.140625" style="5"/>
    <col min="13058" max="13058" width="1.42578125" style="5" customWidth="1"/>
    <col min="13059" max="13059" width="4.5703125" style="5" customWidth="1"/>
    <col min="13060" max="13060" width="1.28515625" style="5" customWidth="1"/>
    <col min="13061" max="13061" width="27.28515625" style="5" customWidth="1"/>
    <col min="13062" max="13062" width="8.28515625" style="5" customWidth="1"/>
    <col min="13063" max="13063" width="8.7109375" style="5" customWidth="1"/>
    <col min="13064" max="13064" width="14.7109375" style="5" customWidth="1"/>
    <col min="13065" max="13065" width="15.140625" style="5" customWidth="1"/>
    <col min="13066" max="13313" width="9.140625" style="5"/>
    <col min="13314" max="13314" width="1.42578125" style="5" customWidth="1"/>
    <col min="13315" max="13315" width="4.5703125" style="5" customWidth="1"/>
    <col min="13316" max="13316" width="1.28515625" style="5" customWidth="1"/>
    <col min="13317" max="13317" width="27.28515625" style="5" customWidth="1"/>
    <col min="13318" max="13318" width="8.28515625" style="5" customWidth="1"/>
    <col min="13319" max="13319" width="8.7109375" style="5" customWidth="1"/>
    <col min="13320" max="13320" width="14.7109375" style="5" customWidth="1"/>
    <col min="13321" max="13321" width="15.140625" style="5" customWidth="1"/>
    <col min="13322" max="13569" width="9.140625" style="5"/>
    <col min="13570" max="13570" width="1.42578125" style="5" customWidth="1"/>
    <col min="13571" max="13571" width="4.5703125" style="5" customWidth="1"/>
    <col min="13572" max="13572" width="1.28515625" style="5" customWidth="1"/>
    <col min="13573" max="13573" width="27.28515625" style="5" customWidth="1"/>
    <col min="13574" max="13574" width="8.28515625" style="5" customWidth="1"/>
    <col min="13575" max="13575" width="8.7109375" style="5" customWidth="1"/>
    <col min="13576" max="13576" width="14.7109375" style="5" customWidth="1"/>
    <col min="13577" max="13577" width="15.140625" style="5" customWidth="1"/>
    <col min="13578" max="13825" width="9.140625" style="5"/>
    <col min="13826" max="13826" width="1.42578125" style="5" customWidth="1"/>
    <col min="13827" max="13827" width="4.5703125" style="5" customWidth="1"/>
    <col min="13828" max="13828" width="1.28515625" style="5" customWidth="1"/>
    <col min="13829" max="13829" width="27.28515625" style="5" customWidth="1"/>
    <col min="13830" max="13830" width="8.28515625" style="5" customWidth="1"/>
    <col min="13831" max="13831" width="8.7109375" style="5" customWidth="1"/>
    <col min="13832" max="13832" width="14.7109375" style="5" customWidth="1"/>
    <col min="13833" max="13833" width="15.140625" style="5" customWidth="1"/>
    <col min="13834" max="14081" width="9.140625" style="5"/>
    <col min="14082" max="14082" width="1.42578125" style="5" customWidth="1"/>
    <col min="14083" max="14083" width="4.5703125" style="5" customWidth="1"/>
    <col min="14084" max="14084" width="1.28515625" style="5" customWidth="1"/>
    <col min="14085" max="14085" width="27.28515625" style="5" customWidth="1"/>
    <col min="14086" max="14086" width="8.28515625" style="5" customWidth="1"/>
    <col min="14087" max="14087" width="8.7109375" style="5" customWidth="1"/>
    <col min="14088" max="14088" width="14.7109375" style="5" customWidth="1"/>
    <col min="14089" max="14089" width="15.140625" style="5" customWidth="1"/>
    <col min="14090" max="14337" width="9.140625" style="5"/>
    <col min="14338" max="14338" width="1.42578125" style="5" customWidth="1"/>
    <col min="14339" max="14339" width="4.5703125" style="5" customWidth="1"/>
    <col min="14340" max="14340" width="1.28515625" style="5" customWidth="1"/>
    <col min="14341" max="14341" width="27.28515625" style="5" customWidth="1"/>
    <col min="14342" max="14342" width="8.28515625" style="5" customWidth="1"/>
    <col min="14343" max="14343" width="8.7109375" style="5" customWidth="1"/>
    <col min="14344" max="14344" width="14.7109375" style="5" customWidth="1"/>
    <col min="14345" max="14345" width="15.140625" style="5" customWidth="1"/>
    <col min="14346" max="14593" width="9.140625" style="5"/>
    <col min="14594" max="14594" width="1.42578125" style="5" customWidth="1"/>
    <col min="14595" max="14595" width="4.5703125" style="5" customWidth="1"/>
    <col min="14596" max="14596" width="1.28515625" style="5" customWidth="1"/>
    <col min="14597" max="14597" width="27.28515625" style="5" customWidth="1"/>
    <col min="14598" max="14598" width="8.28515625" style="5" customWidth="1"/>
    <col min="14599" max="14599" width="8.7109375" style="5" customWidth="1"/>
    <col min="14600" max="14600" width="14.7109375" style="5" customWidth="1"/>
    <col min="14601" max="14601" width="15.140625" style="5" customWidth="1"/>
    <col min="14602" max="14849" width="9.140625" style="5"/>
    <col min="14850" max="14850" width="1.42578125" style="5" customWidth="1"/>
    <col min="14851" max="14851" width="4.5703125" style="5" customWidth="1"/>
    <col min="14852" max="14852" width="1.28515625" style="5" customWidth="1"/>
    <col min="14853" max="14853" width="27.28515625" style="5" customWidth="1"/>
    <col min="14854" max="14854" width="8.28515625" style="5" customWidth="1"/>
    <col min="14855" max="14855" width="8.7109375" style="5" customWidth="1"/>
    <col min="14856" max="14856" width="14.7109375" style="5" customWidth="1"/>
    <col min="14857" max="14857" width="15.140625" style="5" customWidth="1"/>
    <col min="14858" max="15105" width="9.140625" style="5"/>
    <col min="15106" max="15106" width="1.42578125" style="5" customWidth="1"/>
    <col min="15107" max="15107" width="4.5703125" style="5" customWidth="1"/>
    <col min="15108" max="15108" width="1.28515625" style="5" customWidth="1"/>
    <col min="15109" max="15109" width="27.28515625" style="5" customWidth="1"/>
    <col min="15110" max="15110" width="8.28515625" style="5" customWidth="1"/>
    <col min="15111" max="15111" width="8.7109375" style="5" customWidth="1"/>
    <col min="15112" max="15112" width="14.7109375" style="5" customWidth="1"/>
    <col min="15113" max="15113" width="15.140625" style="5" customWidth="1"/>
    <col min="15114" max="15361" width="9.140625" style="5"/>
    <col min="15362" max="15362" width="1.42578125" style="5" customWidth="1"/>
    <col min="15363" max="15363" width="4.5703125" style="5" customWidth="1"/>
    <col min="15364" max="15364" width="1.28515625" style="5" customWidth="1"/>
    <col min="15365" max="15365" width="27.28515625" style="5" customWidth="1"/>
    <col min="15366" max="15366" width="8.28515625" style="5" customWidth="1"/>
    <col min="15367" max="15367" width="8.7109375" style="5" customWidth="1"/>
    <col min="15368" max="15368" width="14.7109375" style="5" customWidth="1"/>
    <col min="15369" max="15369" width="15.140625" style="5" customWidth="1"/>
    <col min="15370" max="15617" width="9.140625" style="5"/>
    <col min="15618" max="15618" width="1.42578125" style="5" customWidth="1"/>
    <col min="15619" max="15619" width="4.5703125" style="5" customWidth="1"/>
    <col min="15620" max="15620" width="1.28515625" style="5" customWidth="1"/>
    <col min="15621" max="15621" width="27.28515625" style="5" customWidth="1"/>
    <col min="15622" max="15622" width="8.28515625" style="5" customWidth="1"/>
    <col min="15623" max="15623" width="8.7109375" style="5" customWidth="1"/>
    <col min="15624" max="15624" width="14.7109375" style="5" customWidth="1"/>
    <col min="15625" max="15625" width="15.140625" style="5" customWidth="1"/>
    <col min="15626" max="15873" width="9.140625" style="5"/>
    <col min="15874" max="15874" width="1.42578125" style="5" customWidth="1"/>
    <col min="15875" max="15875" width="4.5703125" style="5" customWidth="1"/>
    <col min="15876" max="15876" width="1.28515625" style="5" customWidth="1"/>
    <col min="15877" max="15877" width="27.28515625" style="5" customWidth="1"/>
    <col min="15878" max="15878" width="8.28515625" style="5" customWidth="1"/>
    <col min="15879" max="15879" width="8.7109375" style="5" customWidth="1"/>
    <col min="15880" max="15880" width="14.7109375" style="5" customWidth="1"/>
    <col min="15881" max="15881" width="15.140625" style="5" customWidth="1"/>
    <col min="15882" max="16129" width="9.140625" style="5"/>
    <col min="16130" max="16130" width="1.42578125" style="5" customWidth="1"/>
    <col min="16131" max="16131" width="4.5703125" style="5" customWidth="1"/>
    <col min="16132" max="16132" width="1.28515625" style="5" customWidth="1"/>
    <col min="16133" max="16133" width="27.28515625" style="5" customWidth="1"/>
    <col min="16134" max="16134" width="8.28515625" style="5" customWidth="1"/>
    <col min="16135" max="16135" width="8.7109375" style="5" customWidth="1"/>
    <col min="16136" max="16136" width="14.7109375" style="5" customWidth="1"/>
    <col min="16137" max="16137" width="15.140625" style="5" customWidth="1"/>
    <col min="16138" max="16384" width="9.140625" style="5"/>
  </cols>
  <sheetData>
    <row r="2" spans="2:9" ht="15.75">
      <c r="B2" s="525" t="s">
        <v>508</v>
      </c>
      <c r="C2" s="355"/>
      <c r="D2" s="355"/>
      <c r="E2" s="355"/>
      <c r="F2" s="355"/>
      <c r="G2" s="355"/>
      <c r="H2" s="355"/>
      <c r="I2" s="355"/>
    </row>
    <row r="3" spans="2:9">
      <c r="B3" s="558"/>
      <c r="C3" s="425"/>
      <c r="D3" s="425"/>
      <c r="E3" s="425"/>
      <c r="F3" s="425"/>
      <c r="G3" s="425"/>
      <c r="H3" s="440"/>
      <c r="I3" s="440"/>
    </row>
    <row r="4" spans="2:9">
      <c r="B4" s="193" t="s">
        <v>157</v>
      </c>
      <c r="C4" s="189"/>
      <c r="D4" s="190" t="s">
        <v>211</v>
      </c>
      <c r="E4" s="191" t="s">
        <v>212</v>
      </c>
      <c r="F4" s="192" t="s">
        <v>213</v>
      </c>
      <c r="G4" s="191" t="s">
        <v>214</v>
      </c>
      <c r="H4" s="193" t="s">
        <v>215</v>
      </c>
      <c r="I4" s="1165"/>
    </row>
    <row r="5" spans="2:9">
      <c r="B5" s="530"/>
      <c r="C5" s="538"/>
      <c r="D5" s="531"/>
      <c r="E5" s="420"/>
      <c r="F5" s="539"/>
      <c r="G5" s="420" t="s">
        <v>216</v>
      </c>
      <c r="H5" s="530" t="s">
        <v>216</v>
      </c>
      <c r="I5" s="1165"/>
    </row>
    <row r="6" spans="2:9">
      <c r="B6" s="226" t="s">
        <v>509</v>
      </c>
      <c r="C6" s="328" t="s">
        <v>510</v>
      </c>
      <c r="D6" s="287"/>
      <c r="E6" s="519"/>
      <c r="F6" s="445"/>
      <c r="G6" s="455"/>
      <c r="H6" s="456"/>
      <c r="I6" s="440"/>
    </row>
    <row r="7" spans="2:9">
      <c r="B7" s="65"/>
      <c r="C7" s="66" t="s">
        <v>28</v>
      </c>
      <c r="D7" s="233" t="s">
        <v>511</v>
      </c>
      <c r="E7" s="67" t="s">
        <v>512</v>
      </c>
      <c r="F7" s="520">
        <v>3.6</v>
      </c>
      <c r="G7" s="69">
        <f>BAHAN!E$175</f>
        <v>25000</v>
      </c>
      <c r="H7" s="70">
        <f t="shared" ref="H7:H14" si="0">F7*G7</f>
        <v>90000</v>
      </c>
      <c r="I7" s="440"/>
    </row>
    <row r="8" spans="2:9">
      <c r="B8" s="71"/>
      <c r="C8" s="368" t="s">
        <v>28</v>
      </c>
      <c r="D8" s="76" t="s">
        <v>513</v>
      </c>
      <c r="E8" s="73" t="s">
        <v>145</v>
      </c>
      <c r="F8" s="74">
        <v>0.15</v>
      </c>
      <c r="G8" s="75">
        <f>BAHAN!$E$153</f>
        <v>62000</v>
      </c>
      <c r="H8" s="70">
        <f t="shared" si="0"/>
        <v>9300</v>
      </c>
      <c r="I8" s="440"/>
    </row>
    <row r="9" spans="2:9">
      <c r="B9" s="71"/>
      <c r="C9" s="368" t="s">
        <v>28</v>
      </c>
      <c r="D9" s="76" t="s">
        <v>420</v>
      </c>
      <c r="E9" s="73" t="s">
        <v>239</v>
      </c>
      <c r="F9" s="74">
        <v>1.05</v>
      </c>
      <c r="G9" s="75">
        <f>BAHAN!$E$212</f>
        <v>800</v>
      </c>
      <c r="H9" s="70">
        <f t="shared" si="0"/>
        <v>840</v>
      </c>
      <c r="I9" s="440"/>
    </row>
    <row r="10" spans="2:9">
      <c r="B10" s="71"/>
      <c r="C10" s="368" t="s">
        <v>28</v>
      </c>
      <c r="D10" s="76" t="s">
        <v>514</v>
      </c>
      <c r="E10" s="73" t="s">
        <v>151</v>
      </c>
      <c r="F10" s="74">
        <v>1.5</v>
      </c>
      <c r="G10" s="75">
        <f>BAHAN!$E$88</f>
        <v>45000</v>
      </c>
      <c r="H10" s="70">
        <f t="shared" si="0"/>
        <v>67500</v>
      </c>
      <c r="I10" s="440">
        <f>SUM(H7:H10)</f>
        <v>167640</v>
      </c>
    </row>
    <row r="11" spans="2:9">
      <c r="B11" s="71"/>
      <c r="C11" s="368" t="s">
        <v>28</v>
      </c>
      <c r="D11" s="76" t="s">
        <v>133</v>
      </c>
      <c r="E11" s="73" t="s">
        <v>132</v>
      </c>
      <c r="F11" s="74">
        <v>0.15</v>
      </c>
      <c r="G11" s="75">
        <f>UPAH!$E$26</f>
        <v>136000</v>
      </c>
      <c r="H11" s="70">
        <f t="shared" si="0"/>
        <v>20400</v>
      </c>
      <c r="I11" s="440"/>
    </row>
    <row r="12" spans="2:9">
      <c r="B12" s="71"/>
      <c r="C12" s="368" t="s">
        <v>28</v>
      </c>
      <c r="D12" s="76" t="s">
        <v>134</v>
      </c>
      <c r="E12" s="73" t="s">
        <v>132</v>
      </c>
      <c r="F12" s="74">
        <v>0.5</v>
      </c>
      <c r="G12" s="75">
        <f>UPAH!$E$17</f>
        <v>160000</v>
      </c>
      <c r="H12" s="70">
        <f t="shared" si="0"/>
        <v>80000</v>
      </c>
      <c r="I12" s="440"/>
    </row>
    <row r="13" spans="2:9">
      <c r="B13" s="71"/>
      <c r="C13" s="368" t="s">
        <v>28</v>
      </c>
      <c r="D13" s="76" t="s">
        <v>135</v>
      </c>
      <c r="E13" s="73" t="s">
        <v>132</v>
      </c>
      <c r="F13" s="74">
        <v>0.05</v>
      </c>
      <c r="G13" s="75">
        <f>UPAH!$E$11</f>
        <v>150000</v>
      </c>
      <c r="H13" s="70">
        <f t="shared" si="0"/>
        <v>7500</v>
      </c>
      <c r="I13" s="440"/>
    </row>
    <row r="14" spans="2:9">
      <c r="B14" s="369"/>
      <c r="C14" s="382" t="s">
        <v>28</v>
      </c>
      <c r="D14" s="564" t="s">
        <v>136</v>
      </c>
      <c r="E14" s="449" t="s">
        <v>132</v>
      </c>
      <c r="F14" s="565">
        <v>7.4999999999999997E-3</v>
      </c>
      <c r="G14" s="75">
        <f>UPAH!$E$9</f>
        <v>180000</v>
      </c>
      <c r="H14" s="70">
        <f t="shared" si="0"/>
        <v>1350</v>
      </c>
      <c r="I14" s="440">
        <f>SUM(H11:H14)</f>
        <v>109250</v>
      </c>
    </row>
    <row r="15" spans="2:9">
      <c r="B15" s="216"/>
      <c r="C15" s="83"/>
      <c r="D15" s="84" t="s">
        <v>228</v>
      </c>
      <c r="E15" s="85"/>
      <c r="F15" s="86"/>
      <c r="G15" s="87"/>
      <c r="H15" s="88">
        <f>SUM(H7:H14)</f>
        <v>276890</v>
      </c>
      <c r="I15" s="440"/>
    </row>
    <row r="16" spans="2:9">
      <c r="B16" s="566"/>
      <c r="C16" s="442" t="s">
        <v>229</v>
      </c>
      <c r="D16" s="378"/>
      <c r="E16" s="378"/>
      <c r="F16" s="378"/>
      <c r="G16" s="518"/>
      <c r="H16" s="518">
        <f>ROUND(H15,0)</f>
        <v>276890</v>
      </c>
      <c r="I16" s="1164"/>
    </row>
    <row r="17" spans="2:12">
      <c r="B17" s="226" t="s">
        <v>515</v>
      </c>
      <c r="C17" s="328" t="s">
        <v>516</v>
      </c>
      <c r="D17" s="287"/>
      <c r="E17" s="519"/>
      <c r="F17" s="445"/>
      <c r="G17" s="455"/>
      <c r="H17" s="456"/>
      <c r="I17" s="440"/>
    </row>
    <row r="18" spans="2:12">
      <c r="B18" s="65"/>
      <c r="C18" s="66" t="s">
        <v>28</v>
      </c>
      <c r="D18" s="233" t="s">
        <v>416</v>
      </c>
      <c r="E18" s="67" t="s">
        <v>220</v>
      </c>
      <c r="F18" s="520">
        <v>0.41499999999999998</v>
      </c>
      <c r="G18" s="69">
        <f>BAHAN!$E$180</f>
        <v>69000</v>
      </c>
      <c r="H18" s="70">
        <f t="shared" ref="H18:H28" si="1">F18*G18</f>
        <v>28635</v>
      </c>
      <c r="I18" s="440"/>
      <c r="J18" s="1467">
        <f>SUMIF(BOQ!$G$1:$G$3043,I24,BOQ!$E$1:$E$3043)</f>
        <v>0</v>
      </c>
      <c r="K18" s="1393">
        <f>J18*F18</f>
        <v>0</v>
      </c>
      <c r="L18" s="1394" t="s">
        <v>220</v>
      </c>
    </row>
    <row r="19" spans="2:12">
      <c r="B19" s="71"/>
      <c r="C19" s="368" t="s">
        <v>28</v>
      </c>
      <c r="D19" s="76" t="s">
        <v>417</v>
      </c>
      <c r="E19" s="73" t="s">
        <v>220</v>
      </c>
      <c r="F19" s="74">
        <v>0.15</v>
      </c>
      <c r="G19" s="75">
        <f>BAHAN!$E$177</f>
        <v>45000</v>
      </c>
      <c r="H19" s="70">
        <f t="shared" si="1"/>
        <v>6750</v>
      </c>
      <c r="I19" s="440"/>
      <c r="J19" s="1467">
        <f t="shared" ref="J19:J24" si="2">J18</f>
        <v>0</v>
      </c>
      <c r="K19" s="1393">
        <f t="shared" ref="K19:K24" si="3">J19*F19</f>
        <v>0</v>
      </c>
      <c r="L19" s="1394" t="s">
        <v>220</v>
      </c>
    </row>
    <row r="20" spans="2:12">
      <c r="B20" s="71"/>
      <c r="C20" s="368" t="s">
        <v>28</v>
      </c>
      <c r="D20" s="76" t="s">
        <v>2192</v>
      </c>
      <c r="E20" s="73" t="s">
        <v>151</v>
      </c>
      <c r="F20" s="74">
        <v>0.36399999999999999</v>
      </c>
      <c r="G20" s="75">
        <f>BAHAN!$E$86</f>
        <v>65000</v>
      </c>
      <c r="H20" s="70">
        <f t="shared" si="1"/>
        <v>23660</v>
      </c>
      <c r="I20" s="440"/>
      <c r="J20" s="1467">
        <f t="shared" si="2"/>
        <v>0</v>
      </c>
      <c r="K20" s="1393">
        <f t="shared" si="3"/>
        <v>0</v>
      </c>
      <c r="L20" s="1394" t="s">
        <v>151</v>
      </c>
    </row>
    <row r="21" spans="2:12">
      <c r="B21" s="71"/>
      <c r="C21" s="368" t="s">
        <v>28</v>
      </c>
      <c r="D21" s="76" t="s">
        <v>518</v>
      </c>
      <c r="E21" s="73" t="s">
        <v>47</v>
      </c>
      <c r="F21" s="74">
        <v>0.11</v>
      </c>
      <c r="G21" s="75">
        <f>BAHAN!$E$214</f>
        <v>54000</v>
      </c>
      <c r="H21" s="70">
        <f t="shared" si="1"/>
        <v>5940</v>
      </c>
      <c r="I21" s="440"/>
      <c r="J21" s="1467">
        <f t="shared" si="2"/>
        <v>0</v>
      </c>
      <c r="K21" s="1393">
        <f t="shared" si="3"/>
        <v>0</v>
      </c>
      <c r="L21" s="1394" t="s">
        <v>47</v>
      </c>
    </row>
    <row r="22" spans="2:12">
      <c r="B22" s="71"/>
      <c r="C22" s="368" t="s">
        <v>28</v>
      </c>
      <c r="D22" s="76" t="s">
        <v>2193</v>
      </c>
      <c r="E22" s="73" t="s">
        <v>21</v>
      </c>
      <c r="F22" s="74">
        <v>1</v>
      </c>
      <c r="G22" s="75">
        <v>2000</v>
      </c>
      <c r="H22" s="70">
        <f t="shared" si="1"/>
        <v>2000</v>
      </c>
      <c r="I22" s="440"/>
      <c r="J22" s="1467">
        <f t="shared" si="2"/>
        <v>0</v>
      </c>
      <c r="K22" s="1393">
        <f t="shared" si="3"/>
        <v>0</v>
      </c>
      <c r="L22" s="1394" t="s">
        <v>21</v>
      </c>
    </row>
    <row r="23" spans="2:12">
      <c r="B23" s="71"/>
      <c r="C23" s="368" t="s">
        <v>28</v>
      </c>
      <c r="D23" s="76" t="s">
        <v>2194</v>
      </c>
      <c r="E23" s="73" t="s">
        <v>239</v>
      </c>
      <c r="F23" s="74">
        <v>7.1999999999999995E-2</v>
      </c>
      <c r="G23" s="75">
        <f>BAHAN!$E$89</f>
        <v>13000</v>
      </c>
      <c r="H23" s="70">
        <f t="shared" si="1"/>
        <v>935.99999999999989</v>
      </c>
      <c r="I23" s="440"/>
      <c r="J23" s="1467">
        <f t="shared" si="2"/>
        <v>0</v>
      </c>
      <c r="K23" s="1393">
        <f t="shared" si="3"/>
        <v>0</v>
      </c>
      <c r="L23" s="1394" t="s">
        <v>239</v>
      </c>
    </row>
    <row r="24" spans="2:12">
      <c r="B24" s="71"/>
      <c r="C24" s="368" t="s">
        <v>28</v>
      </c>
      <c r="D24" s="76" t="s">
        <v>1576</v>
      </c>
      <c r="E24" s="73" t="s">
        <v>396</v>
      </c>
      <c r="F24" s="74">
        <v>0.125</v>
      </c>
      <c r="G24" s="75">
        <f>BAHAN!$E$92</f>
        <v>90000</v>
      </c>
      <c r="H24" s="70">
        <f t="shared" si="1"/>
        <v>11250</v>
      </c>
      <c r="I24" s="440">
        <f>SUM(H18:H24)</f>
        <v>79171</v>
      </c>
      <c r="J24" s="1467">
        <f t="shared" si="2"/>
        <v>0</v>
      </c>
      <c r="K24" s="1393">
        <f t="shared" si="3"/>
        <v>0</v>
      </c>
      <c r="L24" s="1394" t="s">
        <v>396</v>
      </c>
    </row>
    <row r="25" spans="2:12">
      <c r="B25" s="71"/>
      <c r="C25" s="368" t="s">
        <v>28</v>
      </c>
      <c r="D25" s="76" t="s">
        <v>133</v>
      </c>
      <c r="E25" s="73" t="s">
        <v>132</v>
      </c>
      <c r="F25" s="74">
        <v>0.1</v>
      </c>
      <c r="G25" s="75">
        <f>G11</f>
        <v>136000</v>
      </c>
      <c r="H25" s="70">
        <f t="shared" si="1"/>
        <v>13600</v>
      </c>
      <c r="I25" s="440"/>
    </row>
    <row r="26" spans="2:12">
      <c r="B26" s="71"/>
      <c r="C26" s="368" t="s">
        <v>28</v>
      </c>
      <c r="D26" s="76" t="s">
        <v>134</v>
      </c>
      <c r="E26" s="73" t="s">
        <v>132</v>
      </c>
      <c r="F26" s="74">
        <v>0.05</v>
      </c>
      <c r="G26" s="75">
        <f>G12</f>
        <v>160000</v>
      </c>
      <c r="H26" s="70">
        <f t="shared" si="1"/>
        <v>8000</v>
      </c>
      <c r="I26" s="440"/>
    </row>
    <row r="27" spans="2:12">
      <c r="B27" s="71"/>
      <c r="C27" s="368" t="s">
        <v>28</v>
      </c>
      <c r="D27" s="76" t="s">
        <v>135</v>
      </c>
      <c r="E27" s="73" t="s">
        <v>132</v>
      </c>
      <c r="F27" s="74">
        <v>5.0000000000000001E-3</v>
      </c>
      <c r="G27" s="75">
        <f>G13</f>
        <v>150000</v>
      </c>
      <c r="H27" s="70">
        <f t="shared" si="1"/>
        <v>750</v>
      </c>
      <c r="I27" s="440"/>
    </row>
    <row r="28" spans="2:12">
      <c r="B28" s="386"/>
      <c r="C28" s="382" t="s">
        <v>28</v>
      </c>
      <c r="D28" s="448" t="s">
        <v>136</v>
      </c>
      <c r="E28" s="449" t="s">
        <v>132</v>
      </c>
      <c r="F28" s="450">
        <v>5.0000000000000001E-3</v>
      </c>
      <c r="G28" s="75">
        <f>G14</f>
        <v>180000</v>
      </c>
      <c r="H28" s="521">
        <f t="shared" si="1"/>
        <v>900</v>
      </c>
      <c r="I28" s="440">
        <f>SUM(H25:H28)</f>
        <v>23250</v>
      </c>
    </row>
    <row r="29" spans="2:12">
      <c r="B29" s="193"/>
      <c r="C29" s="83"/>
      <c r="D29" s="253" t="s">
        <v>228</v>
      </c>
      <c r="E29" s="522"/>
      <c r="F29" s="467"/>
      <c r="G29" s="464"/>
      <c r="H29" s="431">
        <f>SUM(H18:H28)</f>
        <v>102421</v>
      </c>
      <c r="I29" s="440"/>
    </row>
    <row r="30" spans="2:12">
      <c r="B30" s="566"/>
      <c r="C30" s="442" t="s">
        <v>229</v>
      </c>
      <c r="D30" s="378"/>
      <c r="E30" s="378"/>
      <c r="F30" s="378"/>
      <c r="G30" s="518"/>
      <c r="H30" s="518">
        <f>ROUND(H29,0)</f>
        <v>102421</v>
      </c>
      <c r="I30" s="1164"/>
    </row>
    <row r="31" spans="2:12">
      <c r="B31" s="226" t="s">
        <v>520</v>
      </c>
      <c r="C31" s="328" t="s">
        <v>1677</v>
      </c>
      <c r="D31" s="287"/>
      <c r="E31" s="519"/>
      <c r="F31" s="445"/>
      <c r="G31" s="455"/>
      <c r="H31" s="456"/>
      <c r="I31" s="440"/>
    </row>
    <row r="32" spans="2:12">
      <c r="B32" s="65"/>
      <c r="C32" s="66" t="s">
        <v>28</v>
      </c>
      <c r="D32" s="233" t="s">
        <v>416</v>
      </c>
      <c r="E32" s="67" t="s">
        <v>220</v>
      </c>
      <c r="F32" s="520">
        <v>0.41499999999999998</v>
      </c>
      <c r="G32" s="69">
        <f>G18</f>
        <v>69000</v>
      </c>
      <c r="H32" s="70">
        <f t="shared" ref="H32:H42" si="4">F32*G32</f>
        <v>28635</v>
      </c>
      <c r="I32" s="440"/>
      <c r="J32" s="1467">
        <f>SUMIF(BOQ!$G$1:$G$3043,I38,BOQ!$E$1:$E$3043)</f>
        <v>0</v>
      </c>
      <c r="K32" s="1393">
        <f>J32*F32</f>
        <v>0</v>
      </c>
      <c r="L32" s="1394" t="s">
        <v>220</v>
      </c>
    </row>
    <row r="33" spans="2:12">
      <c r="B33" s="71"/>
      <c r="C33" s="368" t="s">
        <v>28</v>
      </c>
      <c r="D33" s="76" t="s">
        <v>417</v>
      </c>
      <c r="E33" s="73" t="s">
        <v>220</v>
      </c>
      <c r="F33" s="74">
        <v>0.15</v>
      </c>
      <c r="G33" s="69">
        <f>G19</f>
        <v>45000</v>
      </c>
      <c r="H33" s="70">
        <f t="shared" si="4"/>
        <v>6750</v>
      </c>
      <c r="I33" s="440"/>
      <c r="J33" s="1467">
        <f t="shared" ref="J33:J38" si="5">J32</f>
        <v>0</v>
      </c>
      <c r="K33" s="1393">
        <f t="shared" ref="K33:K38" si="6">J33*F33</f>
        <v>0</v>
      </c>
      <c r="L33" s="1394" t="s">
        <v>220</v>
      </c>
    </row>
    <row r="34" spans="2:12">
      <c r="B34" s="71"/>
      <c r="C34" s="368" t="s">
        <v>28</v>
      </c>
      <c r="D34" s="76" t="s">
        <v>2195</v>
      </c>
      <c r="E34" s="73" t="s">
        <v>151</v>
      </c>
      <c r="F34" s="74">
        <v>0.36399999999999999</v>
      </c>
      <c r="G34" s="69">
        <f>BAHAN!$E$90</f>
        <v>95000</v>
      </c>
      <c r="H34" s="70">
        <f t="shared" si="4"/>
        <v>34580</v>
      </c>
      <c r="I34" s="440"/>
      <c r="J34" s="1467">
        <f t="shared" si="5"/>
        <v>0</v>
      </c>
      <c r="K34" s="1393">
        <f t="shared" si="6"/>
        <v>0</v>
      </c>
      <c r="L34" s="1394" t="s">
        <v>151</v>
      </c>
    </row>
    <row r="35" spans="2:12">
      <c r="B35" s="71"/>
      <c r="C35" s="368" t="s">
        <v>28</v>
      </c>
      <c r="D35" s="76" t="s">
        <v>521</v>
      </c>
      <c r="E35" s="73" t="s">
        <v>47</v>
      </c>
      <c r="F35" s="74">
        <v>0.11</v>
      </c>
      <c r="G35" s="69">
        <f>G21</f>
        <v>54000</v>
      </c>
      <c r="H35" s="70">
        <f t="shared" si="4"/>
        <v>5940</v>
      </c>
      <c r="I35" s="440"/>
      <c r="J35" s="1467">
        <f t="shared" si="5"/>
        <v>0</v>
      </c>
      <c r="K35" s="1393">
        <f t="shared" si="6"/>
        <v>0</v>
      </c>
      <c r="L35" s="1394" t="s">
        <v>47</v>
      </c>
    </row>
    <row r="36" spans="2:12">
      <c r="B36" s="71"/>
      <c r="C36" s="368" t="s">
        <v>28</v>
      </c>
      <c r="D36" s="76" t="s">
        <v>519</v>
      </c>
      <c r="E36" s="73" t="s">
        <v>21</v>
      </c>
      <c r="F36" s="74">
        <v>1</v>
      </c>
      <c r="G36" s="75">
        <v>2000</v>
      </c>
      <c r="H36" s="70">
        <f t="shared" si="4"/>
        <v>2000</v>
      </c>
      <c r="I36" s="440"/>
      <c r="J36" s="1467">
        <f t="shared" si="5"/>
        <v>0</v>
      </c>
      <c r="K36" s="1393">
        <f t="shared" si="6"/>
        <v>0</v>
      </c>
      <c r="L36" s="1394" t="s">
        <v>21</v>
      </c>
    </row>
    <row r="37" spans="2:12">
      <c r="B37" s="71"/>
      <c r="C37" s="368" t="s">
        <v>28</v>
      </c>
      <c r="D37" s="76" t="s">
        <v>2194</v>
      </c>
      <c r="E37" s="73" t="s">
        <v>239</v>
      </c>
      <c r="F37" s="74">
        <v>7.1999999999999995E-2</v>
      </c>
      <c r="G37" s="69">
        <f t="shared" ref="G37:G42" si="7">G23</f>
        <v>13000</v>
      </c>
      <c r="H37" s="70">
        <f t="shared" si="4"/>
        <v>935.99999999999989</v>
      </c>
      <c r="I37" s="440"/>
      <c r="J37" s="1467">
        <f t="shared" si="5"/>
        <v>0</v>
      </c>
      <c r="K37" s="1393">
        <f t="shared" si="6"/>
        <v>0</v>
      </c>
      <c r="L37" s="1394" t="s">
        <v>239</v>
      </c>
    </row>
    <row r="38" spans="2:12">
      <c r="B38" s="71"/>
      <c r="C38" s="368" t="s">
        <v>28</v>
      </c>
      <c r="D38" s="76" t="s">
        <v>1576</v>
      </c>
      <c r="E38" s="73" t="s">
        <v>396</v>
      </c>
      <c r="F38" s="74">
        <v>0.125</v>
      </c>
      <c r="G38" s="69">
        <f t="shared" si="7"/>
        <v>90000</v>
      </c>
      <c r="H38" s="70">
        <f t="shared" si="4"/>
        <v>11250</v>
      </c>
      <c r="I38" s="440">
        <f>SUM(H32:H38)</f>
        <v>90091</v>
      </c>
      <c r="J38" s="1467">
        <f t="shared" si="5"/>
        <v>0</v>
      </c>
      <c r="K38" s="1393">
        <f t="shared" si="6"/>
        <v>0</v>
      </c>
      <c r="L38" s="1394" t="s">
        <v>396</v>
      </c>
    </row>
    <row r="39" spans="2:12">
      <c r="B39" s="71"/>
      <c r="C39" s="368" t="s">
        <v>28</v>
      </c>
      <c r="D39" s="76" t="s">
        <v>133</v>
      </c>
      <c r="E39" s="73" t="s">
        <v>132</v>
      </c>
      <c r="F39" s="74">
        <v>0.1</v>
      </c>
      <c r="G39" s="69">
        <f t="shared" si="7"/>
        <v>136000</v>
      </c>
      <c r="H39" s="70">
        <f t="shared" si="4"/>
        <v>13600</v>
      </c>
      <c r="I39" s="440"/>
    </row>
    <row r="40" spans="2:12">
      <c r="B40" s="71"/>
      <c r="C40" s="368" t="s">
        <v>28</v>
      </c>
      <c r="D40" s="76" t="s">
        <v>134</v>
      </c>
      <c r="E40" s="73" t="s">
        <v>132</v>
      </c>
      <c r="F40" s="74">
        <v>0.05</v>
      </c>
      <c r="G40" s="69">
        <f t="shared" si="7"/>
        <v>160000</v>
      </c>
      <c r="H40" s="70">
        <f t="shared" si="4"/>
        <v>8000</v>
      </c>
      <c r="I40" s="440"/>
    </row>
    <row r="41" spans="2:12">
      <c r="B41" s="71"/>
      <c r="C41" s="368" t="s">
        <v>28</v>
      </c>
      <c r="D41" s="76" t="s">
        <v>135</v>
      </c>
      <c r="E41" s="73" t="s">
        <v>132</v>
      </c>
      <c r="F41" s="74">
        <v>5.0000000000000001E-3</v>
      </c>
      <c r="G41" s="69">
        <f t="shared" si="7"/>
        <v>150000</v>
      </c>
      <c r="H41" s="70">
        <f t="shared" si="4"/>
        <v>750</v>
      </c>
      <c r="I41" s="440"/>
    </row>
    <row r="42" spans="2:12">
      <c r="B42" s="386"/>
      <c r="C42" s="382" t="s">
        <v>28</v>
      </c>
      <c r="D42" s="448" t="s">
        <v>136</v>
      </c>
      <c r="E42" s="449" t="s">
        <v>132</v>
      </c>
      <c r="F42" s="450">
        <v>5.0000000000000001E-3</v>
      </c>
      <c r="G42" s="69">
        <f t="shared" si="7"/>
        <v>180000</v>
      </c>
      <c r="H42" s="521">
        <f t="shared" si="4"/>
        <v>900</v>
      </c>
      <c r="I42" s="440">
        <f>SUM(H39:H42)</f>
        <v>23250</v>
      </c>
    </row>
    <row r="43" spans="2:12">
      <c r="B43" s="193"/>
      <c r="C43" s="83"/>
      <c r="D43" s="253" t="s">
        <v>228</v>
      </c>
      <c r="E43" s="522"/>
      <c r="F43" s="467"/>
      <c r="G43" s="464"/>
      <c r="H43" s="431">
        <f>SUM(H32:H42)</f>
        <v>113341</v>
      </c>
      <c r="I43" s="440"/>
    </row>
    <row r="44" spans="2:12">
      <c r="B44" s="566"/>
      <c r="C44" s="442" t="s">
        <v>229</v>
      </c>
      <c r="D44" s="378"/>
      <c r="E44" s="378"/>
      <c r="F44" s="378"/>
      <c r="G44" s="518"/>
      <c r="H44" s="518">
        <f>ROUND(H43,0)</f>
        <v>113341</v>
      </c>
      <c r="I44" s="1164"/>
    </row>
    <row r="45" spans="2:12">
      <c r="B45" s="226" t="s">
        <v>522</v>
      </c>
      <c r="C45" s="328" t="s">
        <v>523</v>
      </c>
      <c r="D45" s="287"/>
      <c r="E45" s="567"/>
      <c r="F45" s="445"/>
      <c r="G45" s="568"/>
      <c r="H45" s="569"/>
      <c r="I45" s="440"/>
    </row>
    <row r="46" spans="2:12">
      <c r="B46" s="205"/>
      <c r="C46" s="66" t="s">
        <v>28</v>
      </c>
      <c r="D46" s="207" t="s">
        <v>524</v>
      </c>
      <c r="E46" s="67" t="s">
        <v>512</v>
      </c>
      <c r="F46" s="68">
        <v>1.05</v>
      </c>
      <c r="G46" s="69">
        <f>BAHAN!$E$93</f>
        <v>12500</v>
      </c>
      <c r="H46" s="70">
        <f t="shared" ref="H46:H51" si="8">F46*G46</f>
        <v>13125</v>
      </c>
      <c r="I46" s="440"/>
      <c r="J46" s="1467">
        <f>SUMIF(BOQ!$G$876:$G$889,H!I47,BOQ!$E$876:$E$889)</f>
        <v>0</v>
      </c>
      <c r="K46" s="1393">
        <f>J46*F46</f>
        <v>0</v>
      </c>
      <c r="L46" s="1394" t="s">
        <v>512</v>
      </c>
    </row>
    <row r="47" spans="2:12">
      <c r="B47" s="71"/>
      <c r="C47" s="368" t="s">
        <v>28</v>
      </c>
      <c r="D47" s="76" t="s">
        <v>525</v>
      </c>
      <c r="E47" s="73" t="s">
        <v>145</v>
      </c>
      <c r="F47" s="74">
        <v>0.15</v>
      </c>
      <c r="G47" s="75">
        <f>BAHAN!$E$87</f>
        <v>4500</v>
      </c>
      <c r="H47" s="70">
        <f t="shared" si="8"/>
        <v>675</v>
      </c>
      <c r="I47" s="440">
        <f>SUM(H46:H47)</f>
        <v>13800</v>
      </c>
      <c r="J47" s="1467">
        <f>J46</f>
        <v>0</v>
      </c>
      <c r="K47" s="1393">
        <f>J47*F47</f>
        <v>0</v>
      </c>
      <c r="L47" s="1394" t="s">
        <v>145</v>
      </c>
    </row>
    <row r="48" spans="2:12">
      <c r="B48" s="71"/>
      <c r="C48" s="368" t="s">
        <v>28</v>
      </c>
      <c r="D48" s="76" t="s">
        <v>133</v>
      </c>
      <c r="E48" s="73" t="s">
        <v>132</v>
      </c>
      <c r="F48" s="74">
        <v>0.05</v>
      </c>
      <c r="G48" s="75">
        <f>G39</f>
        <v>136000</v>
      </c>
      <c r="H48" s="70">
        <f t="shared" si="8"/>
        <v>6800</v>
      </c>
      <c r="I48" s="440"/>
    </row>
    <row r="49" spans="2:12">
      <c r="B49" s="71"/>
      <c r="C49" s="368" t="s">
        <v>28</v>
      </c>
      <c r="D49" s="76" t="s">
        <v>134</v>
      </c>
      <c r="E49" s="73" t="s">
        <v>132</v>
      </c>
      <c r="F49" s="74">
        <v>0.05</v>
      </c>
      <c r="G49" s="75">
        <f>G40</f>
        <v>160000</v>
      </c>
      <c r="H49" s="70">
        <f t="shared" si="8"/>
        <v>8000</v>
      </c>
      <c r="I49" s="440"/>
    </row>
    <row r="50" spans="2:12">
      <c r="B50" s="71"/>
      <c r="C50" s="368" t="s">
        <v>28</v>
      </c>
      <c r="D50" s="76" t="s">
        <v>135</v>
      </c>
      <c r="E50" s="73" t="s">
        <v>132</v>
      </c>
      <c r="F50" s="74">
        <v>5.0000000000000001E-3</v>
      </c>
      <c r="G50" s="75">
        <f>G41</f>
        <v>150000</v>
      </c>
      <c r="H50" s="70">
        <f t="shared" si="8"/>
        <v>750</v>
      </c>
      <c r="I50" s="440"/>
    </row>
    <row r="51" spans="2:12">
      <c r="B51" s="386"/>
      <c r="C51" s="382" t="s">
        <v>28</v>
      </c>
      <c r="D51" s="448" t="s">
        <v>136</v>
      </c>
      <c r="E51" s="449" t="s">
        <v>132</v>
      </c>
      <c r="F51" s="450">
        <v>3.0000000000000001E-3</v>
      </c>
      <c r="G51" s="75">
        <f>G42</f>
        <v>180000</v>
      </c>
      <c r="H51" s="521">
        <f t="shared" si="8"/>
        <v>540</v>
      </c>
      <c r="I51" s="440">
        <f>SUM(H48:H51)</f>
        <v>16090</v>
      </c>
    </row>
    <row r="52" spans="2:12">
      <c r="B52" s="193"/>
      <c r="C52" s="83"/>
      <c r="D52" s="253" t="s">
        <v>228</v>
      </c>
      <c r="E52" s="522"/>
      <c r="F52" s="463"/>
      <c r="G52" s="464"/>
      <c r="H52" s="431">
        <f>SUM(H46:H51)</f>
        <v>29890</v>
      </c>
      <c r="I52" s="440"/>
    </row>
    <row r="53" spans="2:12">
      <c r="B53" s="566"/>
      <c r="C53" s="442" t="s">
        <v>229</v>
      </c>
      <c r="D53" s="378"/>
      <c r="E53" s="378"/>
      <c r="F53" s="378"/>
      <c r="G53" s="518"/>
      <c r="H53" s="518">
        <f>ROUND(H52,0)</f>
        <v>29890</v>
      </c>
      <c r="I53" s="1164"/>
    </row>
    <row r="54" spans="2:12">
      <c r="B54" s="226" t="s">
        <v>520</v>
      </c>
      <c r="C54" s="328" t="s">
        <v>1489</v>
      </c>
      <c r="D54" s="287"/>
      <c r="E54" s="519"/>
      <c r="F54" s="445"/>
      <c r="G54" s="455"/>
      <c r="H54" s="456"/>
      <c r="I54" s="440"/>
    </row>
    <row r="55" spans="2:12">
      <c r="B55" s="890"/>
      <c r="C55" s="66" t="s">
        <v>28</v>
      </c>
      <c r="D55" s="891" t="s">
        <v>416</v>
      </c>
      <c r="E55" s="892" t="s">
        <v>220</v>
      </c>
      <c r="F55" s="893">
        <v>0.41499999999999998</v>
      </c>
      <c r="G55" s="894">
        <f>G32</f>
        <v>69000</v>
      </c>
      <c r="H55" s="895">
        <f t="shared" ref="H55:H65" si="9">F55*G55</f>
        <v>28635</v>
      </c>
      <c r="I55" s="440"/>
      <c r="J55" s="1467">
        <f>SUMIF(BOQ!$G$1:$G$3043,I61,BOQ!$E$1:$E$3043)</f>
        <v>0</v>
      </c>
      <c r="K55" s="1393">
        <f>J55*F55</f>
        <v>0</v>
      </c>
      <c r="L55" s="1394" t="s">
        <v>220</v>
      </c>
    </row>
    <row r="56" spans="2:12">
      <c r="B56" s="896"/>
      <c r="C56" s="897" t="s">
        <v>28</v>
      </c>
      <c r="D56" s="898" t="s">
        <v>417</v>
      </c>
      <c r="E56" s="888" t="s">
        <v>220</v>
      </c>
      <c r="F56" s="899">
        <v>0.15</v>
      </c>
      <c r="G56" s="894">
        <f>G33</f>
        <v>45000</v>
      </c>
      <c r="H56" s="895">
        <f t="shared" si="9"/>
        <v>6750</v>
      </c>
      <c r="I56" s="440"/>
      <c r="J56" s="1467">
        <f t="shared" ref="J56:J61" si="10">J55</f>
        <v>0</v>
      </c>
      <c r="K56" s="1393">
        <f t="shared" ref="K56:K61" si="11">J56*F56</f>
        <v>0</v>
      </c>
      <c r="L56" s="1394" t="s">
        <v>220</v>
      </c>
    </row>
    <row r="57" spans="2:12">
      <c r="B57" s="896"/>
      <c r="C57" s="897" t="s">
        <v>28</v>
      </c>
      <c r="D57" s="898" t="s">
        <v>1490</v>
      </c>
      <c r="E57" s="888" t="s">
        <v>151</v>
      </c>
      <c r="F57" s="899">
        <v>0.36399999999999999</v>
      </c>
      <c r="G57" s="894">
        <v>32500</v>
      </c>
      <c r="H57" s="895">
        <f t="shared" si="9"/>
        <v>11830</v>
      </c>
      <c r="I57" s="440"/>
      <c r="J57" s="1467">
        <f t="shared" si="10"/>
        <v>0</v>
      </c>
      <c r="K57" s="1393">
        <f t="shared" si="11"/>
        <v>0</v>
      </c>
      <c r="L57" s="1394" t="s">
        <v>151</v>
      </c>
    </row>
    <row r="58" spans="2:12">
      <c r="B58" s="896"/>
      <c r="C58" s="897" t="s">
        <v>28</v>
      </c>
      <c r="D58" s="898" t="s">
        <v>521</v>
      </c>
      <c r="E58" s="888" t="s">
        <v>47</v>
      </c>
      <c r="F58" s="899">
        <v>0.11</v>
      </c>
      <c r="G58" s="894">
        <f>G21</f>
        <v>54000</v>
      </c>
      <c r="H58" s="895">
        <f t="shared" si="9"/>
        <v>5940</v>
      </c>
      <c r="I58" s="440"/>
      <c r="J58" s="1467">
        <f t="shared" si="10"/>
        <v>0</v>
      </c>
      <c r="K58" s="1393">
        <f t="shared" si="11"/>
        <v>0</v>
      </c>
      <c r="L58" s="1394" t="s">
        <v>47</v>
      </c>
    </row>
    <row r="59" spans="2:12">
      <c r="B59" s="896"/>
      <c r="C59" s="897" t="s">
        <v>28</v>
      </c>
      <c r="D59" s="898" t="s">
        <v>519</v>
      </c>
      <c r="E59" s="888" t="s">
        <v>21</v>
      </c>
      <c r="F59" s="899">
        <v>1</v>
      </c>
      <c r="G59" s="900">
        <v>2000</v>
      </c>
      <c r="H59" s="895">
        <f t="shared" si="9"/>
        <v>2000</v>
      </c>
      <c r="I59" s="440"/>
      <c r="J59" s="1467">
        <f t="shared" si="10"/>
        <v>0</v>
      </c>
      <c r="K59" s="1393">
        <f t="shared" si="11"/>
        <v>0</v>
      </c>
      <c r="L59" s="1394" t="s">
        <v>21</v>
      </c>
    </row>
    <row r="60" spans="2:12">
      <c r="B60" s="896"/>
      <c r="C60" s="897" t="s">
        <v>28</v>
      </c>
      <c r="D60" s="901" t="s">
        <v>421</v>
      </c>
      <c r="E60" s="888" t="s">
        <v>239</v>
      </c>
      <c r="F60" s="899">
        <v>7.1999999999999995E-2</v>
      </c>
      <c r="G60" s="894">
        <f>G37</f>
        <v>13000</v>
      </c>
      <c r="H60" s="895">
        <f t="shared" si="9"/>
        <v>935.99999999999989</v>
      </c>
      <c r="I60" s="440"/>
      <c r="J60" s="1467">
        <f t="shared" si="10"/>
        <v>0</v>
      </c>
      <c r="K60" s="1393">
        <f t="shared" si="11"/>
        <v>0</v>
      </c>
      <c r="L60" s="1394" t="s">
        <v>239</v>
      </c>
    </row>
    <row r="61" spans="2:12">
      <c r="B61" s="896"/>
      <c r="C61" s="897" t="s">
        <v>28</v>
      </c>
      <c r="D61" s="901" t="s">
        <v>1576</v>
      </c>
      <c r="E61" s="888" t="s">
        <v>396</v>
      </c>
      <c r="F61" s="899">
        <v>0.125</v>
      </c>
      <c r="G61" s="894">
        <f>G38</f>
        <v>90000</v>
      </c>
      <c r="H61" s="895">
        <f t="shared" si="9"/>
        <v>11250</v>
      </c>
      <c r="I61" s="440">
        <f>SUM(H55:H61)</f>
        <v>67341</v>
      </c>
      <c r="J61" s="1467">
        <f t="shared" si="10"/>
        <v>0</v>
      </c>
      <c r="K61" s="1393">
        <f t="shared" si="11"/>
        <v>0</v>
      </c>
      <c r="L61" s="1394" t="s">
        <v>396</v>
      </c>
    </row>
    <row r="62" spans="2:12">
      <c r="B62" s="896"/>
      <c r="C62" s="897" t="s">
        <v>28</v>
      </c>
      <c r="D62" s="901" t="s">
        <v>133</v>
      </c>
      <c r="E62" s="888" t="s">
        <v>132</v>
      </c>
      <c r="F62" s="899">
        <v>0.1</v>
      </c>
      <c r="G62" s="894">
        <f>G48</f>
        <v>136000</v>
      </c>
      <c r="H62" s="895">
        <f t="shared" si="9"/>
        <v>13600</v>
      </c>
      <c r="I62" s="440"/>
    </row>
    <row r="63" spans="2:12">
      <c r="B63" s="896"/>
      <c r="C63" s="897" t="s">
        <v>28</v>
      </c>
      <c r="D63" s="901" t="s">
        <v>134</v>
      </c>
      <c r="E63" s="888" t="s">
        <v>132</v>
      </c>
      <c r="F63" s="899">
        <v>0.05</v>
      </c>
      <c r="G63" s="894">
        <f>G49</f>
        <v>160000</v>
      </c>
      <c r="H63" s="895">
        <f t="shared" si="9"/>
        <v>8000</v>
      </c>
      <c r="I63" s="440"/>
    </row>
    <row r="64" spans="2:12">
      <c r="B64" s="896"/>
      <c r="C64" s="897" t="s">
        <v>28</v>
      </c>
      <c r="D64" s="901" t="s">
        <v>135</v>
      </c>
      <c r="E64" s="888" t="s">
        <v>132</v>
      </c>
      <c r="F64" s="899">
        <v>5.0000000000000001E-3</v>
      </c>
      <c r="G64" s="894">
        <f>G50</f>
        <v>150000</v>
      </c>
      <c r="H64" s="895">
        <f t="shared" si="9"/>
        <v>750</v>
      </c>
      <c r="I64" s="440"/>
    </row>
    <row r="65" spans="2:12">
      <c r="B65" s="867"/>
      <c r="C65" s="78" t="s">
        <v>28</v>
      </c>
      <c r="D65" s="902" t="s">
        <v>136</v>
      </c>
      <c r="E65" s="879" t="s">
        <v>132</v>
      </c>
      <c r="F65" s="903">
        <v>5.0000000000000001E-3</v>
      </c>
      <c r="G65" s="894">
        <f>G51</f>
        <v>180000</v>
      </c>
      <c r="H65" s="521">
        <f t="shared" si="9"/>
        <v>900</v>
      </c>
      <c r="I65" s="440">
        <f>SUM(H62:H65)</f>
        <v>23250</v>
      </c>
    </row>
    <row r="66" spans="2:12">
      <c r="B66" s="193"/>
      <c r="C66" s="882"/>
      <c r="D66" s="904" t="s">
        <v>228</v>
      </c>
      <c r="E66" s="905"/>
      <c r="F66" s="906"/>
      <c r="G66" s="464"/>
      <c r="H66" s="907">
        <f>SUM(H55:H65)</f>
        <v>90591</v>
      </c>
      <c r="I66" s="440"/>
    </row>
    <row r="67" spans="2:12">
      <c r="B67" s="566"/>
      <c r="C67" s="889" t="s">
        <v>229</v>
      </c>
      <c r="D67" s="908"/>
      <c r="E67" s="908"/>
      <c r="F67" s="908"/>
      <c r="G67" s="909"/>
      <c r="H67" s="909">
        <f>ROUND(H66,0)</f>
        <v>90591</v>
      </c>
      <c r="I67" s="1164"/>
    </row>
    <row r="68" spans="2:12">
      <c r="B68" s="226" t="s">
        <v>522</v>
      </c>
      <c r="C68" s="328" t="s">
        <v>1802</v>
      </c>
      <c r="D68" s="287"/>
      <c r="E68" s="519"/>
      <c r="F68" s="445"/>
      <c r="G68" s="455"/>
      <c r="H68" s="456"/>
    </row>
    <row r="69" spans="2:12">
      <c r="B69" s="890"/>
      <c r="C69" s="66" t="s">
        <v>28</v>
      </c>
      <c r="D69" s="891" t="s">
        <v>416</v>
      </c>
      <c r="E69" s="892" t="s">
        <v>220</v>
      </c>
      <c r="F69" s="893">
        <v>0.41499999999999998</v>
      </c>
      <c r="G69" s="894">
        <f>G55</f>
        <v>69000</v>
      </c>
      <c r="H69" s="895">
        <f t="shared" ref="H69:H79" si="12">F69*G69</f>
        <v>28635</v>
      </c>
      <c r="I69" s="440"/>
      <c r="J69" s="1467">
        <f>SUMIF(BOQ!$G$1:$G$3043,I75,BOQ!$E$1:$E$3043)</f>
        <v>0</v>
      </c>
      <c r="K69" s="1393">
        <f>J69*F69</f>
        <v>0</v>
      </c>
      <c r="L69" s="1394" t="s">
        <v>220</v>
      </c>
    </row>
    <row r="70" spans="2:12">
      <c r="B70" s="896"/>
      <c r="C70" s="897" t="s">
        <v>28</v>
      </c>
      <c r="D70" s="898" t="s">
        <v>417</v>
      </c>
      <c r="E70" s="888" t="s">
        <v>220</v>
      </c>
      <c r="F70" s="899">
        <v>0.15</v>
      </c>
      <c r="G70" s="894">
        <f>G56</f>
        <v>45000</v>
      </c>
      <c r="H70" s="895">
        <f t="shared" si="12"/>
        <v>6750</v>
      </c>
      <c r="I70" s="440"/>
      <c r="J70" s="1467">
        <f t="shared" ref="J70:J75" si="13">J69</f>
        <v>0</v>
      </c>
      <c r="K70" s="1393">
        <f t="shared" ref="K70:K75" si="14">J70*F70</f>
        <v>0</v>
      </c>
      <c r="L70" s="1394" t="s">
        <v>220</v>
      </c>
    </row>
    <row r="71" spans="2:12">
      <c r="B71" s="896"/>
      <c r="C71" s="897" t="s">
        <v>28</v>
      </c>
      <c r="D71" s="898" t="s">
        <v>1801</v>
      </c>
      <c r="E71" s="888" t="s">
        <v>151</v>
      </c>
      <c r="F71" s="899">
        <v>0.36399999999999999</v>
      </c>
      <c r="G71" s="894">
        <f>BAHAN!$E$98</f>
        <v>108500</v>
      </c>
      <c r="H71" s="895">
        <f t="shared" si="12"/>
        <v>39494</v>
      </c>
      <c r="I71" s="440"/>
      <c r="J71" s="1467">
        <f t="shared" si="13"/>
        <v>0</v>
      </c>
      <c r="K71" s="1393">
        <f t="shared" si="14"/>
        <v>0</v>
      </c>
      <c r="L71" s="1394" t="s">
        <v>151</v>
      </c>
    </row>
    <row r="72" spans="2:12">
      <c r="B72" s="896"/>
      <c r="C72" s="897" t="s">
        <v>28</v>
      </c>
      <c r="D72" s="898" t="s">
        <v>521</v>
      </c>
      <c r="E72" s="888" t="s">
        <v>47</v>
      </c>
      <c r="F72" s="899">
        <v>0.11</v>
      </c>
      <c r="G72" s="894">
        <f>G58</f>
        <v>54000</v>
      </c>
      <c r="H72" s="895">
        <f t="shared" si="12"/>
        <v>5940</v>
      </c>
      <c r="I72" s="440"/>
      <c r="J72" s="1467">
        <f t="shared" si="13"/>
        <v>0</v>
      </c>
      <c r="K72" s="1393">
        <f t="shared" si="14"/>
        <v>0</v>
      </c>
      <c r="L72" s="1394" t="s">
        <v>47</v>
      </c>
    </row>
    <row r="73" spans="2:12">
      <c r="B73" s="896"/>
      <c r="C73" s="897" t="s">
        <v>28</v>
      </c>
      <c r="D73" s="898" t="s">
        <v>519</v>
      </c>
      <c r="E73" s="888" t="s">
        <v>21</v>
      </c>
      <c r="F73" s="899">
        <v>1</v>
      </c>
      <c r="G73" s="894">
        <f t="shared" ref="G73:G79" si="15">G59</f>
        <v>2000</v>
      </c>
      <c r="H73" s="895">
        <f t="shared" si="12"/>
        <v>2000</v>
      </c>
      <c r="I73" s="440"/>
      <c r="J73" s="1467">
        <f t="shared" si="13"/>
        <v>0</v>
      </c>
      <c r="K73" s="1393">
        <f t="shared" si="14"/>
        <v>0</v>
      </c>
      <c r="L73" s="1394" t="s">
        <v>21</v>
      </c>
    </row>
    <row r="74" spans="2:12">
      <c r="B74" s="896"/>
      <c r="C74" s="897" t="s">
        <v>28</v>
      </c>
      <c r="D74" s="901" t="s">
        <v>421</v>
      </c>
      <c r="E74" s="888" t="s">
        <v>239</v>
      </c>
      <c r="F74" s="899">
        <v>7.1999999999999995E-2</v>
      </c>
      <c r="G74" s="894">
        <f t="shared" si="15"/>
        <v>13000</v>
      </c>
      <c r="H74" s="895">
        <f t="shared" si="12"/>
        <v>935.99999999999989</v>
      </c>
      <c r="I74" s="440"/>
      <c r="J74" s="1467">
        <f t="shared" si="13"/>
        <v>0</v>
      </c>
      <c r="K74" s="1393">
        <f t="shared" si="14"/>
        <v>0</v>
      </c>
      <c r="L74" s="1394" t="s">
        <v>239</v>
      </c>
    </row>
    <row r="75" spans="2:12">
      <c r="B75" s="896"/>
      <c r="C75" s="897" t="s">
        <v>28</v>
      </c>
      <c r="D75" s="901" t="s">
        <v>1576</v>
      </c>
      <c r="E75" s="888" t="s">
        <v>396</v>
      </c>
      <c r="F75" s="899">
        <v>0.125</v>
      </c>
      <c r="G75" s="894">
        <f t="shared" si="15"/>
        <v>90000</v>
      </c>
      <c r="H75" s="895">
        <f t="shared" si="12"/>
        <v>11250</v>
      </c>
      <c r="I75" s="440">
        <f>SUM(H69:H75)</f>
        <v>95005</v>
      </c>
      <c r="J75" s="1467">
        <f t="shared" si="13"/>
        <v>0</v>
      </c>
      <c r="K75" s="1393">
        <f t="shared" si="14"/>
        <v>0</v>
      </c>
      <c r="L75" s="1394" t="s">
        <v>396</v>
      </c>
    </row>
    <row r="76" spans="2:12">
      <c r="B76" s="896"/>
      <c r="C76" s="897" t="s">
        <v>28</v>
      </c>
      <c r="D76" s="901" t="s">
        <v>133</v>
      </c>
      <c r="E76" s="888" t="s">
        <v>132</v>
      </c>
      <c r="F76" s="899">
        <v>0.1</v>
      </c>
      <c r="G76" s="894">
        <f t="shared" si="15"/>
        <v>136000</v>
      </c>
      <c r="H76" s="895">
        <f t="shared" si="12"/>
        <v>13600</v>
      </c>
      <c r="I76" s="440"/>
    </row>
    <row r="77" spans="2:12">
      <c r="B77" s="896"/>
      <c r="C77" s="897" t="s">
        <v>28</v>
      </c>
      <c r="D77" s="901" t="s">
        <v>134</v>
      </c>
      <c r="E77" s="888" t="s">
        <v>132</v>
      </c>
      <c r="F77" s="899">
        <v>0.05</v>
      </c>
      <c r="G77" s="894">
        <f t="shared" si="15"/>
        <v>160000</v>
      </c>
      <c r="H77" s="895">
        <f t="shared" si="12"/>
        <v>8000</v>
      </c>
      <c r="I77" s="440"/>
    </row>
    <row r="78" spans="2:12">
      <c r="B78" s="896"/>
      <c r="C78" s="897" t="s">
        <v>28</v>
      </c>
      <c r="D78" s="901" t="s">
        <v>135</v>
      </c>
      <c r="E78" s="888" t="s">
        <v>132</v>
      </c>
      <c r="F78" s="899">
        <v>5.0000000000000001E-3</v>
      </c>
      <c r="G78" s="894">
        <f t="shared" si="15"/>
        <v>150000</v>
      </c>
      <c r="H78" s="895">
        <f t="shared" si="12"/>
        <v>750</v>
      </c>
      <c r="I78" s="440"/>
    </row>
    <row r="79" spans="2:12">
      <c r="B79" s="867"/>
      <c r="C79" s="78" t="s">
        <v>28</v>
      </c>
      <c r="D79" s="902" t="s">
        <v>136</v>
      </c>
      <c r="E79" s="879" t="s">
        <v>132</v>
      </c>
      <c r="F79" s="903">
        <v>5.0000000000000001E-3</v>
      </c>
      <c r="G79" s="894">
        <f t="shared" si="15"/>
        <v>180000</v>
      </c>
      <c r="H79" s="521">
        <f t="shared" si="12"/>
        <v>900</v>
      </c>
      <c r="I79" s="440">
        <f>SUM(H76:H79)</f>
        <v>23250</v>
      </c>
    </row>
    <row r="80" spans="2:12">
      <c r="B80" s="193"/>
      <c r="C80" s="882"/>
      <c r="D80" s="904" t="s">
        <v>228</v>
      </c>
      <c r="E80" s="905"/>
      <c r="F80" s="906"/>
      <c r="G80" s="464"/>
      <c r="H80" s="907">
        <f>SUM(H69:H79)</f>
        <v>118255</v>
      </c>
    </row>
    <row r="81" spans="2:8">
      <c r="B81" s="566"/>
      <c r="C81" s="889" t="s">
        <v>229</v>
      </c>
      <c r="D81" s="908"/>
      <c r="E81" s="908"/>
      <c r="F81" s="908"/>
      <c r="G81" s="909"/>
      <c r="H81" s="909">
        <f>ROUND(H80,0)</f>
        <v>118255</v>
      </c>
    </row>
    <row r="82" spans="2:8" ht="15.75" thickBot="1"/>
    <row r="83" spans="2:8">
      <c r="D83" s="2920" t="s">
        <v>2354</v>
      </c>
      <c r="E83" s="2921"/>
    </row>
    <row r="84" spans="2:8">
      <c r="D84" s="2035" t="s">
        <v>416</v>
      </c>
      <c r="E84" s="2032">
        <f t="shared" ref="E84:E90" si="16">SUMIF($D$1:$D$79,D84,$K$1:$K$79)</f>
        <v>0</v>
      </c>
    </row>
    <row r="85" spans="2:8">
      <c r="D85" s="2035" t="s">
        <v>417</v>
      </c>
      <c r="E85" s="2032">
        <f t="shared" si="16"/>
        <v>0</v>
      </c>
    </row>
    <row r="86" spans="2:8">
      <c r="D86" s="2035" t="s">
        <v>521</v>
      </c>
      <c r="E86" s="2032">
        <f t="shared" si="16"/>
        <v>0</v>
      </c>
    </row>
    <row r="87" spans="2:8">
      <c r="D87" s="2035" t="s">
        <v>519</v>
      </c>
      <c r="E87" s="2032">
        <f t="shared" si="16"/>
        <v>0</v>
      </c>
    </row>
    <row r="88" spans="2:8">
      <c r="D88" s="2035" t="s">
        <v>421</v>
      </c>
      <c r="E88" s="2032">
        <f t="shared" si="16"/>
        <v>0</v>
      </c>
    </row>
    <row r="89" spans="2:8">
      <c r="D89" s="2035" t="s">
        <v>1576</v>
      </c>
      <c r="E89" s="2032">
        <f t="shared" si="16"/>
        <v>0</v>
      </c>
    </row>
    <row r="90" spans="2:8" ht="15.75" thickBot="1">
      <c r="D90" s="2036" t="s">
        <v>2194</v>
      </c>
      <c r="E90" s="2037">
        <f t="shared" si="16"/>
        <v>0</v>
      </c>
    </row>
  </sheetData>
  <mergeCells count="1">
    <mergeCell ref="D83:E83"/>
  </mergeCells>
  <pageMargins left="1.37795275590551" right="0.59055118110236204" top="0.98" bottom="0.78740157480314998" header="0.31496062992126" footer="0.31496062992126"/>
  <pageSetup paperSize="5" scale="73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29"/>
  <dimension ref="A2:AJ278"/>
  <sheetViews>
    <sheetView topLeftCell="A99" zoomScale="115" zoomScaleNormal="115" zoomScaleSheetLayoutView="115" workbookViewId="0">
      <selection activeCell="K122" sqref="K122"/>
    </sheetView>
  </sheetViews>
  <sheetFormatPr defaultRowHeight="15"/>
  <cols>
    <col min="1" max="1" width="1.85546875" style="5" customWidth="1"/>
    <col min="2" max="2" width="4.28515625" style="5" customWidth="1"/>
    <col min="3" max="3" width="1.28515625" style="5" customWidth="1"/>
    <col min="4" max="4" width="31.42578125" style="5" bestFit="1" customWidth="1"/>
    <col min="5" max="5" width="8.140625" style="5" customWidth="1"/>
    <col min="6" max="6" width="8.5703125" style="5" customWidth="1"/>
    <col min="7" max="7" width="13.85546875" style="5" customWidth="1"/>
    <col min="8" max="9" width="16.42578125" style="5" customWidth="1"/>
    <col min="10" max="10" width="13.85546875" style="1392" bestFit="1" customWidth="1"/>
    <col min="11" max="11" width="10.5703125" style="1392" customWidth="1"/>
    <col min="12" max="36" width="9.140625" style="1392"/>
    <col min="37" max="257" width="9.140625" style="5"/>
    <col min="258" max="258" width="1.85546875" style="5" customWidth="1"/>
    <col min="259" max="259" width="4.28515625" style="5" customWidth="1"/>
    <col min="260" max="260" width="1.28515625" style="5" customWidth="1"/>
    <col min="261" max="261" width="31.42578125" style="5" bestFit="1" customWidth="1"/>
    <col min="262" max="262" width="8.140625" style="5" customWidth="1"/>
    <col min="263" max="263" width="8.5703125" style="5" customWidth="1"/>
    <col min="264" max="264" width="13.85546875" style="5" customWidth="1"/>
    <col min="265" max="265" width="16.42578125" style="5" customWidth="1"/>
    <col min="266" max="513" width="9.140625" style="5"/>
    <col min="514" max="514" width="1.85546875" style="5" customWidth="1"/>
    <col min="515" max="515" width="4.28515625" style="5" customWidth="1"/>
    <col min="516" max="516" width="1.28515625" style="5" customWidth="1"/>
    <col min="517" max="517" width="31.42578125" style="5" bestFit="1" customWidth="1"/>
    <col min="518" max="518" width="8.140625" style="5" customWidth="1"/>
    <col min="519" max="519" width="8.5703125" style="5" customWidth="1"/>
    <col min="520" max="520" width="13.85546875" style="5" customWidth="1"/>
    <col min="521" max="521" width="16.42578125" style="5" customWidth="1"/>
    <col min="522" max="769" width="9.140625" style="5"/>
    <col min="770" max="770" width="1.85546875" style="5" customWidth="1"/>
    <col min="771" max="771" width="4.28515625" style="5" customWidth="1"/>
    <col min="772" max="772" width="1.28515625" style="5" customWidth="1"/>
    <col min="773" max="773" width="31.42578125" style="5" bestFit="1" customWidth="1"/>
    <col min="774" max="774" width="8.140625" style="5" customWidth="1"/>
    <col min="775" max="775" width="8.5703125" style="5" customWidth="1"/>
    <col min="776" max="776" width="13.85546875" style="5" customWidth="1"/>
    <col min="777" max="777" width="16.42578125" style="5" customWidth="1"/>
    <col min="778" max="1025" width="9.140625" style="5"/>
    <col min="1026" max="1026" width="1.85546875" style="5" customWidth="1"/>
    <col min="1027" max="1027" width="4.28515625" style="5" customWidth="1"/>
    <col min="1028" max="1028" width="1.28515625" style="5" customWidth="1"/>
    <col min="1029" max="1029" width="31.42578125" style="5" bestFit="1" customWidth="1"/>
    <col min="1030" max="1030" width="8.140625" style="5" customWidth="1"/>
    <col min="1031" max="1031" width="8.5703125" style="5" customWidth="1"/>
    <col min="1032" max="1032" width="13.85546875" style="5" customWidth="1"/>
    <col min="1033" max="1033" width="16.42578125" style="5" customWidth="1"/>
    <col min="1034" max="1281" width="9.140625" style="5"/>
    <col min="1282" max="1282" width="1.85546875" style="5" customWidth="1"/>
    <col min="1283" max="1283" width="4.28515625" style="5" customWidth="1"/>
    <col min="1284" max="1284" width="1.28515625" style="5" customWidth="1"/>
    <col min="1285" max="1285" width="31.42578125" style="5" bestFit="1" customWidth="1"/>
    <col min="1286" max="1286" width="8.140625" style="5" customWidth="1"/>
    <col min="1287" max="1287" width="8.5703125" style="5" customWidth="1"/>
    <col min="1288" max="1288" width="13.85546875" style="5" customWidth="1"/>
    <col min="1289" max="1289" width="16.42578125" style="5" customWidth="1"/>
    <col min="1290" max="1537" width="9.140625" style="5"/>
    <col min="1538" max="1538" width="1.85546875" style="5" customWidth="1"/>
    <col min="1539" max="1539" width="4.28515625" style="5" customWidth="1"/>
    <col min="1540" max="1540" width="1.28515625" style="5" customWidth="1"/>
    <col min="1541" max="1541" width="31.42578125" style="5" bestFit="1" customWidth="1"/>
    <col min="1542" max="1542" width="8.140625" style="5" customWidth="1"/>
    <col min="1543" max="1543" width="8.5703125" style="5" customWidth="1"/>
    <col min="1544" max="1544" width="13.85546875" style="5" customWidth="1"/>
    <col min="1545" max="1545" width="16.42578125" style="5" customWidth="1"/>
    <col min="1546" max="1793" width="9.140625" style="5"/>
    <col min="1794" max="1794" width="1.85546875" style="5" customWidth="1"/>
    <col min="1795" max="1795" width="4.28515625" style="5" customWidth="1"/>
    <col min="1796" max="1796" width="1.28515625" style="5" customWidth="1"/>
    <col min="1797" max="1797" width="31.42578125" style="5" bestFit="1" customWidth="1"/>
    <col min="1798" max="1798" width="8.140625" style="5" customWidth="1"/>
    <col min="1799" max="1799" width="8.5703125" style="5" customWidth="1"/>
    <col min="1800" max="1800" width="13.85546875" style="5" customWidth="1"/>
    <col min="1801" max="1801" width="16.42578125" style="5" customWidth="1"/>
    <col min="1802" max="2049" width="9.140625" style="5"/>
    <col min="2050" max="2050" width="1.85546875" style="5" customWidth="1"/>
    <col min="2051" max="2051" width="4.28515625" style="5" customWidth="1"/>
    <col min="2052" max="2052" width="1.28515625" style="5" customWidth="1"/>
    <col min="2053" max="2053" width="31.42578125" style="5" bestFit="1" customWidth="1"/>
    <col min="2054" max="2054" width="8.140625" style="5" customWidth="1"/>
    <col min="2055" max="2055" width="8.5703125" style="5" customWidth="1"/>
    <col min="2056" max="2056" width="13.85546875" style="5" customWidth="1"/>
    <col min="2057" max="2057" width="16.42578125" style="5" customWidth="1"/>
    <col min="2058" max="2305" width="9.140625" style="5"/>
    <col min="2306" max="2306" width="1.85546875" style="5" customWidth="1"/>
    <col min="2307" max="2307" width="4.28515625" style="5" customWidth="1"/>
    <col min="2308" max="2308" width="1.28515625" style="5" customWidth="1"/>
    <col min="2309" max="2309" width="31.42578125" style="5" bestFit="1" customWidth="1"/>
    <col min="2310" max="2310" width="8.140625" style="5" customWidth="1"/>
    <col min="2311" max="2311" width="8.5703125" style="5" customWidth="1"/>
    <col min="2312" max="2312" width="13.85546875" style="5" customWidth="1"/>
    <col min="2313" max="2313" width="16.42578125" style="5" customWidth="1"/>
    <col min="2314" max="2561" width="9.140625" style="5"/>
    <col min="2562" max="2562" width="1.85546875" style="5" customWidth="1"/>
    <col min="2563" max="2563" width="4.28515625" style="5" customWidth="1"/>
    <col min="2564" max="2564" width="1.28515625" style="5" customWidth="1"/>
    <col min="2565" max="2565" width="31.42578125" style="5" bestFit="1" customWidth="1"/>
    <col min="2566" max="2566" width="8.140625" style="5" customWidth="1"/>
    <col min="2567" max="2567" width="8.5703125" style="5" customWidth="1"/>
    <col min="2568" max="2568" width="13.85546875" style="5" customWidth="1"/>
    <col min="2569" max="2569" width="16.42578125" style="5" customWidth="1"/>
    <col min="2570" max="2817" width="9.140625" style="5"/>
    <col min="2818" max="2818" width="1.85546875" style="5" customWidth="1"/>
    <col min="2819" max="2819" width="4.28515625" style="5" customWidth="1"/>
    <col min="2820" max="2820" width="1.28515625" style="5" customWidth="1"/>
    <col min="2821" max="2821" width="31.42578125" style="5" bestFit="1" customWidth="1"/>
    <col min="2822" max="2822" width="8.140625" style="5" customWidth="1"/>
    <col min="2823" max="2823" width="8.5703125" style="5" customWidth="1"/>
    <col min="2824" max="2824" width="13.85546875" style="5" customWidth="1"/>
    <col min="2825" max="2825" width="16.42578125" style="5" customWidth="1"/>
    <col min="2826" max="3073" width="9.140625" style="5"/>
    <col min="3074" max="3074" width="1.85546875" style="5" customWidth="1"/>
    <col min="3075" max="3075" width="4.28515625" style="5" customWidth="1"/>
    <col min="3076" max="3076" width="1.28515625" style="5" customWidth="1"/>
    <col min="3077" max="3077" width="31.42578125" style="5" bestFit="1" customWidth="1"/>
    <col min="3078" max="3078" width="8.140625" style="5" customWidth="1"/>
    <col min="3079" max="3079" width="8.5703125" style="5" customWidth="1"/>
    <col min="3080" max="3080" width="13.85546875" style="5" customWidth="1"/>
    <col min="3081" max="3081" width="16.42578125" style="5" customWidth="1"/>
    <col min="3082" max="3329" width="9.140625" style="5"/>
    <col min="3330" max="3330" width="1.85546875" style="5" customWidth="1"/>
    <col min="3331" max="3331" width="4.28515625" style="5" customWidth="1"/>
    <col min="3332" max="3332" width="1.28515625" style="5" customWidth="1"/>
    <col min="3333" max="3333" width="31.42578125" style="5" bestFit="1" customWidth="1"/>
    <col min="3334" max="3334" width="8.140625" style="5" customWidth="1"/>
    <col min="3335" max="3335" width="8.5703125" style="5" customWidth="1"/>
    <col min="3336" max="3336" width="13.85546875" style="5" customWidth="1"/>
    <col min="3337" max="3337" width="16.42578125" style="5" customWidth="1"/>
    <col min="3338" max="3585" width="9.140625" style="5"/>
    <col min="3586" max="3586" width="1.85546875" style="5" customWidth="1"/>
    <col min="3587" max="3587" width="4.28515625" style="5" customWidth="1"/>
    <col min="3588" max="3588" width="1.28515625" style="5" customWidth="1"/>
    <col min="3589" max="3589" width="31.42578125" style="5" bestFit="1" customWidth="1"/>
    <col min="3590" max="3590" width="8.140625" style="5" customWidth="1"/>
    <col min="3591" max="3591" width="8.5703125" style="5" customWidth="1"/>
    <col min="3592" max="3592" width="13.85546875" style="5" customWidth="1"/>
    <col min="3593" max="3593" width="16.42578125" style="5" customWidth="1"/>
    <col min="3594" max="3841" width="9.140625" style="5"/>
    <col min="3842" max="3842" width="1.85546875" style="5" customWidth="1"/>
    <col min="3843" max="3843" width="4.28515625" style="5" customWidth="1"/>
    <col min="3844" max="3844" width="1.28515625" style="5" customWidth="1"/>
    <col min="3845" max="3845" width="31.42578125" style="5" bestFit="1" customWidth="1"/>
    <col min="3846" max="3846" width="8.140625" style="5" customWidth="1"/>
    <col min="3847" max="3847" width="8.5703125" style="5" customWidth="1"/>
    <col min="3848" max="3848" width="13.85546875" style="5" customWidth="1"/>
    <col min="3849" max="3849" width="16.42578125" style="5" customWidth="1"/>
    <col min="3850" max="4097" width="9.140625" style="5"/>
    <col min="4098" max="4098" width="1.85546875" style="5" customWidth="1"/>
    <col min="4099" max="4099" width="4.28515625" style="5" customWidth="1"/>
    <col min="4100" max="4100" width="1.28515625" style="5" customWidth="1"/>
    <col min="4101" max="4101" width="31.42578125" style="5" bestFit="1" customWidth="1"/>
    <col min="4102" max="4102" width="8.140625" style="5" customWidth="1"/>
    <col min="4103" max="4103" width="8.5703125" style="5" customWidth="1"/>
    <col min="4104" max="4104" width="13.85546875" style="5" customWidth="1"/>
    <col min="4105" max="4105" width="16.42578125" style="5" customWidth="1"/>
    <col min="4106" max="4353" width="9.140625" style="5"/>
    <col min="4354" max="4354" width="1.85546875" style="5" customWidth="1"/>
    <col min="4355" max="4355" width="4.28515625" style="5" customWidth="1"/>
    <col min="4356" max="4356" width="1.28515625" style="5" customWidth="1"/>
    <col min="4357" max="4357" width="31.42578125" style="5" bestFit="1" customWidth="1"/>
    <col min="4358" max="4358" width="8.140625" style="5" customWidth="1"/>
    <col min="4359" max="4359" width="8.5703125" style="5" customWidth="1"/>
    <col min="4360" max="4360" width="13.85546875" style="5" customWidth="1"/>
    <col min="4361" max="4361" width="16.42578125" style="5" customWidth="1"/>
    <col min="4362" max="4609" width="9.140625" style="5"/>
    <col min="4610" max="4610" width="1.85546875" style="5" customWidth="1"/>
    <col min="4611" max="4611" width="4.28515625" style="5" customWidth="1"/>
    <col min="4612" max="4612" width="1.28515625" style="5" customWidth="1"/>
    <col min="4613" max="4613" width="31.42578125" style="5" bestFit="1" customWidth="1"/>
    <col min="4614" max="4614" width="8.140625" style="5" customWidth="1"/>
    <col min="4615" max="4615" width="8.5703125" style="5" customWidth="1"/>
    <col min="4616" max="4616" width="13.85546875" style="5" customWidth="1"/>
    <col min="4617" max="4617" width="16.42578125" style="5" customWidth="1"/>
    <col min="4618" max="4865" width="9.140625" style="5"/>
    <col min="4866" max="4866" width="1.85546875" style="5" customWidth="1"/>
    <col min="4867" max="4867" width="4.28515625" style="5" customWidth="1"/>
    <col min="4868" max="4868" width="1.28515625" style="5" customWidth="1"/>
    <col min="4869" max="4869" width="31.42578125" style="5" bestFit="1" customWidth="1"/>
    <col min="4870" max="4870" width="8.140625" style="5" customWidth="1"/>
    <col min="4871" max="4871" width="8.5703125" style="5" customWidth="1"/>
    <col min="4872" max="4872" width="13.85546875" style="5" customWidth="1"/>
    <col min="4873" max="4873" width="16.42578125" style="5" customWidth="1"/>
    <col min="4874" max="5121" width="9.140625" style="5"/>
    <col min="5122" max="5122" width="1.85546875" style="5" customWidth="1"/>
    <col min="5123" max="5123" width="4.28515625" style="5" customWidth="1"/>
    <col min="5124" max="5124" width="1.28515625" style="5" customWidth="1"/>
    <col min="5125" max="5125" width="31.42578125" style="5" bestFit="1" customWidth="1"/>
    <col min="5126" max="5126" width="8.140625" style="5" customWidth="1"/>
    <col min="5127" max="5127" width="8.5703125" style="5" customWidth="1"/>
    <col min="5128" max="5128" width="13.85546875" style="5" customWidth="1"/>
    <col min="5129" max="5129" width="16.42578125" style="5" customWidth="1"/>
    <col min="5130" max="5377" width="9.140625" style="5"/>
    <col min="5378" max="5378" width="1.85546875" style="5" customWidth="1"/>
    <col min="5379" max="5379" width="4.28515625" style="5" customWidth="1"/>
    <col min="5380" max="5380" width="1.28515625" style="5" customWidth="1"/>
    <col min="5381" max="5381" width="31.42578125" style="5" bestFit="1" customWidth="1"/>
    <col min="5382" max="5382" width="8.140625" style="5" customWidth="1"/>
    <col min="5383" max="5383" width="8.5703125" style="5" customWidth="1"/>
    <col min="5384" max="5384" width="13.85546875" style="5" customWidth="1"/>
    <col min="5385" max="5385" width="16.42578125" style="5" customWidth="1"/>
    <col min="5386" max="5633" width="9.140625" style="5"/>
    <col min="5634" max="5634" width="1.85546875" style="5" customWidth="1"/>
    <col min="5635" max="5635" width="4.28515625" style="5" customWidth="1"/>
    <col min="5636" max="5636" width="1.28515625" style="5" customWidth="1"/>
    <col min="5637" max="5637" width="31.42578125" style="5" bestFit="1" customWidth="1"/>
    <col min="5638" max="5638" width="8.140625" style="5" customWidth="1"/>
    <col min="5639" max="5639" width="8.5703125" style="5" customWidth="1"/>
    <col min="5640" max="5640" width="13.85546875" style="5" customWidth="1"/>
    <col min="5641" max="5641" width="16.42578125" style="5" customWidth="1"/>
    <col min="5642" max="5889" width="9.140625" style="5"/>
    <col min="5890" max="5890" width="1.85546875" style="5" customWidth="1"/>
    <col min="5891" max="5891" width="4.28515625" style="5" customWidth="1"/>
    <col min="5892" max="5892" width="1.28515625" style="5" customWidth="1"/>
    <col min="5893" max="5893" width="31.42578125" style="5" bestFit="1" customWidth="1"/>
    <col min="5894" max="5894" width="8.140625" style="5" customWidth="1"/>
    <col min="5895" max="5895" width="8.5703125" style="5" customWidth="1"/>
    <col min="5896" max="5896" width="13.85546875" style="5" customWidth="1"/>
    <col min="5897" max="5897" width="16.42578125" style="5" customWidth="1"/>
    <col min="5898" max="6145" width="9.140625" style="5"/>
    <col min="6146" max="6146" width="1.85546875" style="5" customWidth="1"/>
    <col min="6147" max="6147" width="4.28515625" style="5" customWidth="1"/>
    <col min="6148" max="6148" width="1.28515625" style="5" customWidth="1"/>
    <col min="6149" max="6149" width="31.42578125" style="5" bestFit="1" customWidth="1"/>
    <col min="6150" max="6150" width="8.140625" style="5" customWidth="1"/>
    <col min="6151" max="6151" width="8.5703125" style="5" customWidth="1"/>
    <col min="6152" max="6152" width="13.85546875" style="5" customWidth="1"/>
    <col min="6153" max="6153" width="16.42578125" style="5" customWidth="1"/>
    <col min="6154" max="6401" width="9.140625" style="5"/>
    <col min="6402" max="6402" width="1.85546875" style="5" customWidth="1"/>
    <col min="6403" max="6403" width="4.28515625" style="5" customWidth="1"/>
    <col min="6404" max="6404" width="1.28515625" style="5" customWidth="1"/>
    <col min="6405" max="6405" width="31.42578125" style="5" bestFit="1" customWidth="1"/>
    <col min="6406" max="6406" width="8.140625" style="5" customWidth="1"/>
    <col min="6407" max="6407" width="8.5703125" style="5" customWidth="1"/>
    <col min="6408" max="6408" width="13.85546875" style="5" customWidth="1"/>
    <col min="6409" max="6409" width="16.42578125" style="5" customWidth="1"/>
    <col min="6410" max="6657" width="9.140625" style="5"/>
    <col min="6658" max="6658" width="1.85546875" style="5" customWidth="1"/>
    <col min="6659" max="6659" width="4.28515625" style="5" customWidth="1"/>
    <col min="6660" max="6660" width="1.28515625" style="5" customWidth="1"/>
    <col min="6661" max="6661" width="31.42578125" style="5" bestFit="1" customWidth="1"/>
    <col min="6662" max="6662" width="8.140625" style="5" customWidth="1"/>
    <col min="6663" max="6663" width="8.5703125" style="5" customWidth="1"/>
    <col min="6664" max="6664" width="13.85546875" style="5" customWidth="1"/>
    <col min="6665" max="6665" width="16.42578125" style="5" customWidth="1"/>
    <col min="6666" max="6913" width="9.140625" style="5"/>
    <col min="6914" max="6914" width="1.85546875" style="5" customWidth="1"/>
    <col min="6915" max="6915" width="4.28515625" style="5" customWidth="1"/>
    <col min="6916" max="6916" width="1.28515625" style="5" customWidth="1"/>
    <col min="6917" max="6917" width="31.42578125" style="5" bestFit="1" customWidth="1"/>
    <col min="6918" max="6918" width="8.140625" style="5" customWidth="1"/>
    <col min="6919" max="6919" width="8.5703125" style="5" customWidth="1"/>
    <col min="6920" max="6920" width="13.85546875" style="5" customWidth="1"/>
    <col min="6921" max="6921" width="16.42578125" style="5" customWidth="1"/>
    <col min="6922" max="7169" width="9.140625" style="5"/>
    <col min="7170" max="7170" width="1.85546875" style="5" customWidth="1"/>
    <col min="7171" max="7171" width="4.28515625" style="5" customWidth="1"/>
    <col min="7172" max="7172" width="1.28515625" style="5" customWidth="1"/>
    <col min="7173" max="7173" width="31.42578125" style="5" bestFit="1" customWidth="1"/>
    <col min="7174" max="7174" width="8.140625" style="5" customWidth="1"/>
    <col min="7175" max="7175" width="8.5703125" style="5" customWidth="1"/>
    <col min="7176" max="7176" width="13.85546875" style="5" customWidth="1"/>
    <col min="7177" max="7177" width="16.42578125" style="5" customWidth="1"/>
    <col min="7178" max="7425" width="9.140625" style="5"/>
    <col min="7426" max="7426" width="1.85546875" style="5" customWidth="1"/>
    <col min="7427" max="7427" width="4.28515625" style="5" customWidth="1"/>
    <col min="7428" max="7428" width="1.28515625" style="5" customWidth="1"/>
    <col min="7429" max="7429" width="31.42578125" style="5" bestFit="1" customWidth="1"/>
    <col min="7430" max="7430" width="8.140625" style="5" customWidth="1"/>
    <col min="7431" max="7431" width="8.5703125" style="5" customWidth="1"/>
    <col min="7432" max="7432" width="13.85546875" style="5" customWidth="1"/>
    <col min="7433" max="7433" width="16.42578125" style="5" customWidth="1"/>
    <col min="7434" max="7681" width="9.140625" style="5"/>
    <col min="7682" max="7682" width="1.85546875" style="5" customWidth="1"/>
    <col min="7683" max="7683" width="4.28515625" style="5" customWidth="1"/>
    <col min="7684" max="7684" width="1.28515625" style="5" customWidth="1"/>
    <col min="7685" max="7685" width="31.42578125" style="5" bestFit="1" customWidth="1"/>
    <col min="7686" max="7686" width="8.140625" style="5" customWidth="1"/>
    <col min="7687" max="7687" width="8.5703125" style="5" customWidth="1"/>
    <col min="7688" max="7688" width="13.85546875" style="5" customWidth="1"/>
    <col min="7689" max="7689" width="16.42578125" style="5" customWidth="1"/>
    <col min="7690" max="7937" width="9.140625" style="5"/>
    <col min="7938" max="7938" width="1.85546875" style="5" customWidth="1"/>
    <col min="7939" max="7939" width="4.28515625" style="5" customWidth="1"/>
    <col min="7940" max="7940" width="1.28515625" style="5" customWidth="1"/>
    <col min="7941" max="7941" width="31.42578125" style="5" bestFit="1" customWidth="1"/>
    <col min="7942" max="7942" width="8.140625" style="5" customWidth="1"/>
    <col min="7943" max="7943" width="8.5703125" style="5" customWidth="1"/>
    <col min="7944" max="7944" width="13.85546875" style="5" customWidth="1"/>
    <col min="7945" max="7945" width="16.42578125" style="5" customWidth="1"/>
    <col min="7946" max="8193" width="9.140625" style="5"/>
    <col min="8194" max="8194" width="1.85546875" style="5" customWidth="1"/>
    <col min="8195" max="8195" width="4.28515625" style="5" customWidth="1"/>
    <col min="8196" max="8196" width="1.28515625" style="5" customWidth="1"/>
    <col min="8197" max="8197" width="31.42578125" style="5" bestFit="1" customWidth="1"/>
    <col min="8198" max="8198" width="8.140625" style="5" customWidth="1"/>
    <col min="8199" max="8199" width="8.5703125" style="5" customWidth="1"/>
    <col min="8200" max="8200" width="13.85546875" style="5" customWidth="1"/>
    <col min="8201" max="8201" width="16.42578125" style="5" customWidth="1"/>
    <col min="8202" max="8449" width="9.140625" style="5"/>
    <col min="8450" max="8450" width="1.85546875" style="5" customWidth="1"/>
    <col min="8451" max="8451" width="4.28515625" style="5" customWidth="1"/>
    <col min="8452" max="8452" width="1.28515625" style="5" customWidth="1"/>
    <col min="8453" max="8453" width="31.42578125" style="5" bestFit="1" customWidth="1"/>
    <col min="8454" max="8454" width="8.140625" style="5" customWidth="1"/>
    <col min="8455" max="8455" width="8.5703125" style="5" customWidth="1"/>
    <col min="8456" max="8456" width="13.85546875" style="5" customWidth="1"/>
    <col min="8457" max="8457" width="16.42578125" style="5" customWidth="1"/>
    <col min="8458" max="8705" width="9.140625" style="5"/>
    <col min="8706" max="8706" width="1.85546875" style="5" customWidth="1"/>
    <col min="8707" max="8707" width="4.28515625" style="5" customWidth="1"/>
    <col min="8708" max="8708" width="1.28515625" style="5" customWidth="1"/>
    <col min="8709" max="8709" width="31.42578125" style="5" bestFit="1" customWidth="1"/>
    <col min="8710" max="8710" width="8.140625" style="5" customWidth="1"/>
    <col min="8711" max="8711" width="8.5703125" style="5" customWidth="1"/>
    <col min="8712" max="8712" width="13.85546875" style="5" customWidth="1"/>
    <col min="8713" max="8713" width="16.42578125" style="5" customWidth="1"/>
    <col min="8714" max="8961" width="9.140625" style="5"/>
    <col min="8962" max="8962" width="1.85546875" style="5" customWidth="1"/>
    <col min="8963" max="8963" width="4.28515625" style="5" customWidth="1"/>
    <col min="8964" max="8964" width="1.28515625" style="5" customWidth="1"/>
    <col min="8965" max="8965" width="31.42578125" style="5" bestFit="1" customWidth="1"/>
    <col min="8966" max="8966" width="8.140625" style="5" customWidth="1"/>
    <col min="8967" max="8967" width="8.5703125" style="5" customWidth="1"/>
    <col min="8968" max="8968" width="13.85546875" style="5" customWidth="1"/>
    <col min="8969" max="8969" width="16.42578125" style="5" customWidth="1"/>
    <col min="8970" max="9217" width="9.140625" style="5"/>
    <col min="9218" max="9218" width="1.85546875" style="5" customWidth="1"/>
    <col min="9219" max="9219" width="4.28515625" style="5" customWidth="1"/>
    <col min="9220" max="9220" width="1.28515625" style="5" customWidth="1"/>
    <col min="9221" max="9221" width="31.42578125" style="5" bestFit="1" customWidth="1"/>
    <col min="9222" max="9222" width="8.140625" style="5" customWidth="1"/>
    <col min="9223" max="9223" width="8.5703125" style="5" customWidth="1"/>
    <col min="9224" max="9224" width="13.85546875" style="5" customWidth="1"/>
    <col min="9225" max="9225" width="16.42578125" style="5" customWidth="1"/>
    <col min="9226" max="9473" width="9.140625" style="5"/>
    <col min="9474" max="9474" width="1.85546875" style="5" customWidth="1"/>
    <col min="9475" max="9475" width="4.28515625" style="5" customWidth="1"/>
    <col min="9476" max="9476" width="1.28515625" style="5" customWidth="1"/>
    <col min="9477" max="9477" width="31.42578125" style="5" bestFit="1" customWidth="1"/>
    <col min="9478" max="9478" width="8.140625" style="5" customWidth="1"/>
    <col min="9479" max="9479" width="8.5703125" style="5" customWidth="1"/>
    <col min="9480" max="9480" width="13.85546875" style="5" customWidth="1"/>
    <col min="9481" max="9481" width="16.42578125" style="5" customWidth="1"/>
    <col min="9482" max="9729" width="9.140625" style="5"/>
    <col min="9730" max="9730" width="1.85546875" style="5" customWidth="1"/>
    <col min="9731" max="9731" width="4.28515625" style="5" customWidth="1"/>
    <col min="9732" max="9732" width="1.28515625" style="5" customWidth="1"/>
    <col min="9733" max="9733" width="31.42578125" style="5" bestFit="1" customWidth="1"/>
    <col min="9734" max="9734" width="8.140625" style="5" customWidth="1"/>
    <col min="9735" max="9735" width="8.5703125" style="5" customWidth="1"/>
    <col min="9736" max="9736" width="13.85546875" style="5" customWidth="1"/>
    <col min="9737" max="9737" width="16.42578125" style="5" customWidth="1"/>
    <col min="9738" max="9985" width="9.140625" style="5"/>
    <col min="9986" max="9986" width="1.85546875" style="5" customWidth="1"/>
    <col min="9987" max="9987" width="4.28515625" style="5" customWidth="1"/>
    <col min="9988" max="9988" width="1.28515625" style="5" customWidth="1"/>
    <col min="9989" max="9989" width="31.42578125" style="5" bestFit="1" customWidth="1"/>
    <col min="9990" max="9990" width="8.140625" style="5" customWidth="1"/>
    <col min="9991" max="9991" width="8.5703125" style="5" customWidth="1"/>
    <col min="9992" max="9992" width="13.85546875" style="5" customWidth="1"/>
    <col min="9993" max="9993" width="16.42578125" style="5" customWidth="1"/>
    <col min="9994" max="10241" width="9.140625" style="5"/>
    <col min="10242" max="10242" width="1.85546875" style="5" customWidth="1"/>
    <col min="10243" max="10243" width="4.28515625" style="5" customWidth="1"/>
    <col min="10244" max="10244" width="1.28515625" style="5" customWidth="1"/>
    <col min="10245" max="10245" width="31.42578125" style="5" bestFit="1" customWidth="1"/>
    <col min="10246" max="10246" width="8.140625" style="5" customWidth="1"/>
    <col min="10247" max="10247" width="8.5703125" style="5" customWidth="1"/>
    <col min="10248" max="10248" width="13.85546875" style="5" customWidth="1"/>
    <col min="10249" max="10249" width="16.42578125" style="5" customWidth="1"/>
    <col min="10250" max="10497" width="9.140625" style="5"/>
    <col min="10498" max="10498" width="1.85546875" style="5" customWidth="1"/>
    <col min="10499" max="10499" width="4.28515625" style="5" customWidth="1"/>
    <col min="10500" max="10500" width="1.28515625" style="5" customWidth="1"/>
    <col min="10501" max="10501" width="31.42578125" style="5" bestFit="1" customWidth="1"/>
    <col min="10502" max="10502" width="8.140625" style="5" customWidth="1"/>
    <col min="10503" max="10503" width="8.5703125" style="5" customWidth="1"/>
    <col min="10504" max="10504" width="13.85546875" style="5" customWidth="1"/>
    <col min="10505" max="10505" width="16.42578125" style="5" customWidth="1"/>
    <col min="10506" max="10753" width="9.140625" style="5"/>
    <col min="10754" max="10754" width="1.85546875" style="5" customWidth="1"/>
    <col min="10755" max="10755" width="4.28515625" style="5" customWidth="1"/>
    <col min="10756" max="10756" width="1.28515625" style="5" customWidth="1"/>
    <col min="10757" max="10757" width="31.42578125" style="5" bestFit="1" customWidth="1"/>
    <col min="10758" max="10758" width="8.140625" style="5" customWidth="1"/>
    <col min="10759" max="10759" width="8.5703125" style="5" customWidth="1"/>
    <col min="10760" max="10760" width="13.85546875" style="5" customWidth="1"/>
    <col min="10761" max="10761" width="16.42578125" style="5" customWidth="1"/>
    <col min="10762" max="11009" width="9.140625" style="5"/>
    <col min="11010" max="11010" width="1.85546875" style="5" customWidth="1"/>
    <col min="11011" max="11011" width="4.28515625" style="5" customWidth="1"/>
    <col min="11012" max="11012" width="1.28515625" style="5" customWidth="1"/>
    <col min="11013" max="11013" width="31.42578125" style="5" bestFit="1" customWidth="1"/>
    <col min="11014" max="11014" width="8.140625" style="5" customWidth="1"/>
    <col min="11015" max="11015" width="8.5703125" style="5" customWidth="1"/>
    <col min="11016" max="11016" width="13.85546875" style="5" customWidth="1"/>
    <col min="11017" max="11017" width="16.42578125" style="5" customWidth="1"/>
    <col min="11018" max="11265" width="9.140625" style="5"/>
    <col min="11266" max="11266" width="1.85546875" style="5" customWidth="1"/>
    <col min="11267" max="11267" width="4.28515625" style="5" customWidth="1"/>
    <col min="11268" max="11268" width="1.28515625" style="5" customWidth="1"/>
    <col min="11269" max="11269" width="31.42578125" style="5" bestFit="1" customWidth="1"/>
    <col min="11270" max="11270" width="8.140625" style="5" customWidth="1"/>
    <col min="11271" max="11271" width="8.5703125" style="5" customWidth="1"/>
    <col min="11272" max="11272" width="13.85546875" style="5" customWidth="1"/>
    <col min="11273" max="11273" width="16.42578125" style="5" customWidth="1"/>
    <col min="11274" max="11521" width="9.140625" style="5"/>
    <col min="11522" max="11522" width="1.85546875" style="5" customWidth="1"/>
    <col min="11523" max="11523" width="4.28515625" style="5" customWidth="1"/>
    <col min="11524" max="11524" width="1.28515625" style="5" customWidth="1"/>
    <col min="11525" max="11525" width="31.42578125" style="5" bestFit="1" customWidth="1"/>
    <col min="11526" max="11526" width="8.140625" style="5" customWidth="1"/>
    <col min="11527" max="11527" width="8.5703125" style="5" customWidth="1"/>
    <col min="11528" max="11528" width="13.85546875" style="5" customWidth="1"/>
    <col min="11529" max="11529" width="16.42578125" style="5" customWidth="1"/>
    <col min="11530" max="11777" width="9.140625" style="5"/>
    <col min="11778" max="11778" width="1.85546875" style="5" customWidth="1"/>
    <col min="11779" max="11779" width="4.28515625" style="5" customWidth="1"/>
    <col min="11780" max="11780" width="1.28515625" style="5" customWidth="1"/>
    <col min="11781" max="11781" width="31.42578125" style="5" bestFit="1" customWidth="1"/>
    <col min="11782" max="11782" width="8.140625" style="5" customWidth="1"/>
    <col min="11783" max="11783" width="8.5703125" style="5" customWidth="1"/>
    <col min="11784" max="11784" width="13.85546875" style="5" customWidth="1"/>
    <col min="11785" max="11785" width="16.42578125" style="5" customWidth="1"/>
    <col min="11786" max="12033" width="9.140625" style="5"/>
    <col min="12034" max="12034" width="1.85546875" style="5" customWidth="1"/>
    <col min="12035" max="12035" width="4.28515625" style="5" customWidth="1"/>
    <col min="12036" max="12036" width="1.28515625" style="5" customWidth="1"/>
    <col min="12037" max="12037" width="31.42578125" style="5" bestFit="1" customWidth="1"/>
    <col min="12038" max="12038" width="8.140625" style="5" customWidth="1"/>
    <col min="12039" max="12039" width="8.5703125" style="5" customWidth="1"/>
    <col min="12040" max="12040" width="13.85546875" style="5" customWidth="1"/>
    <col min="12041" max="12041" width="16.42578125" style="5" customWidth="1"/>
    <col min="12042" max="12289" width="9.140625" style="5"/>
    <col min="12290" max="12290" width="1.85546875" style="5" customWidth="1"/>
    <col min="12291" max="12291" width="4.28515625" style="5" customWidth="1"/>
    <col min="12292" max="12292" width="1.28515625" style="5" customWidth="1"/>
    <col min="12293" max="12293" width="31.42578125" style="5" bestFit="1" customWidth="1"/>
    <col min="12294" max="12294" width="8.140625" style="5" customWidth="1"/>
    <col min="12295" max="12295" width="8.5703125" style="5" customWidth="1"/>
    <col min="12296" max="12296" width="13.85546875" style="5" customWidth="1"/>
    <col min="12297" max="12297" width="16.42578125" style="5" customWidth="1"/>
    <col min="12298" max="12545" width="9.140625" style="5"/>
    <col min="12546" max="12546" width="1.85546875" style="5" customWidth="1"/>
    <col min="12547" max="12547" width="4.28515625" style="5" customWidth="1"/>
    <col min="12548" max="12548" width="1.28515625" style="5" customWidth="1"/>
    <col min="12549" max="12549" width="31.42578125" style="5" bestFit="1" customWidth="1"/>
    <col min="12550" max="12550" width="8.140625" style="5" customWidth="1"/>
    <col min="12551" max="12551" width="8.5703125" style="5" customWidth="1"/>
    <col min="12552" max="12552" width="13.85546875" style="5" customWidth="1"/>
    <col min="12553" max="12553" width="16.42578125" style="5" customWidth="1"/>
    <col min="12554" max="12801" width="9.140625" style="5"/>
    <col min="12802" max="12802" width="1.85546875" style="5" customWidth="1"/>
    <col min="12803" max="12803" width="4.28515625" style="5" customWidth="1"/>
    <col min="12804" max="12804" width="1.28515625" style="5" customWidth="1"/>
    <col min="12805" max="12805" width="31.42578125" style="5" bestFit="1" customWidth="1"/>
    <col min="12806" max="12806" width="8.140625" style="5" customWidth="1"/>
    <col min="12807" max="12807" width="8.5703125" style="5" customWidth="1"/>
    <col min="12808" max="12808" width="13.85546875" style="5" customWidth="1"/>
    <col min="12809" max="12809" width="16.42578125" style="5" customWidth="1"/>
    <col min="12810" max="13057" width="9.140625" style="5"/>
    <col min="13058" max="13058" width="1.85546875" style="5" customWidth="1"/>
    <col min="13059" max="13059" width="4.28515625" style="5" customWidth="1"/>
    <col min="13060" max="13060" width="1.28515625" style="5" customWidth="1"/>
    <col min="13061" max="13061" width="31.42578125" style="5" bestFit="1" customWidth="1"/>
    <col min="13062" max="13062" width="8.140625" style="5" customWidth="1"/>
    <col min="13063" max="13063" width="8.5703125" style="5" customWidth="1"/>
    <col min="13064" max="13064" width="13.85546875" style="5" customWidth="1"/>
    <col min="13065" max="13065" width="16.42578125" style="5" customWidth="1"/>
    <col min="13066" max="13313" width="9.140625" style="5"/>
    <col min="13314" max="13314" width="1.85546875" style="5" customWidth="1"/>
    <col min="13315" max="13315" width="4.28515625" style="5" customWidth="1"/>
    <col min="13316" max="13316" width="1.28515625" style="5" customWidth="1"/>
    <col min="13317" max="13317" width="31.42578125" style="5" bestFit="1" customWidth="1"/>
    <col min="13318" max="13318" width="8.140625" style="5" customWidth="1"/>
    <col min="13319" max="13319" width="8.5703125" style="5" customWidth="1"/>
    <col min="13320" max="13320" width="13.85546875" style="5" customWidth="1"/>
    <col min="13321" max="13321" width="16.42578125" style="5" customWidth="1"/>
    <col min="13322" max="13569" width="9.140625" style="5"/>
    <col min="13570" max="13570" width="1.85546875" style="5" customWidth="1"/>
    <col min="13571" max="13571" width="4.28515625" style="5" customWidth="1"/>
    <col min="13572" max="13572" width="1.28515625" style="5" customWidth="1"/>
    <col min="13573" max="13573" width="31.42578125" style="5" bestFit="1" customWidth="1"/>
    <col min="13574" max="13574" width="8.140625" style="5" customWidth="1"/>
    <col min="13575" max="13575" width="8.5703125" style="5" customWidth="1"/>
    <col min="13576" max="13576" width="13.85546875" style="5" customWidth="1"/>
    <col min="13577" max="13577" width="16.42578125" style="5" customWidth="1"/>
    <col min="13578" max="13825" width="9.140625" style="5"/>
    <col min="13826" max="13826" width="1.85546875" style="5" customWidth="1"/>
    <col min="13827" max="13827" width="4.28515625" style="5" customWidth="1"/>
    <col min="13828" max="13828" width="1.28515625" style="5" customWidth="1"/>
    <col min="13829" max="13829" width="31.42578125" style="5" bestFit="1" customWidth="1"/>
    <col min="13830" max="13830" width="8.140625" style="5" customWidth="1"/>
    <col min="13831" max="13831" width="8.5703125" style="5" customWidth="1"/>
    <col min="13832" max="13832" width="13.85546875" style="5" customWidth="1"/>
    <col min="13833" max="13833" width="16.42578125" style="5" customWidth="1"/>
    <col min="13834" max="14081" width="9.140625" style="5"/>
    <col min="14082" max="14082" width="1.85546875" style="5" customWidth="1"/>
    <col min="14083" max="14083" width="4.28515625" style="5" customWidth="1"/>
    <col min="14084" max="14084" width="1.28515625" style="5" customWidth="1"/>
    <col min="14085" max="14085" width="31.42578125" style="5" bestFit="1" customWidth="1"/>
    <col min="14086" max="14086" width="8.140625" style="5" customWidth="1"/>
    <col min="14087" max="14087" width="8.5703125" style="5" customWidth="1"/>
    <col min="14088" max="14088" width="13.85546875" style="5" customWidth="1"/>
    <col min="14089" max="14089" width="16.42578125" style="5" customWidth="1"/>
    <col min="14090" max="14337" width="9.140625" style="5"/>
    <col min="14338" max="14338" width="1.85546875" style="5" customWidth="1"/>
    <col min="14339" max="14339" width="4.28515625" style="5" customWidth="1"/>
    <col min="14340" max="14340" width="1.28515625" style="5" customWidth="1"/>
    <col min="14341" max="14341" width="31.42578125" style="5" bestFit="1" customWidth="1"/>
    <col min="14342" max="14342" width="8.140625" style="5" customWidth="1"/>
    <col min="14343" max="14343" width="8.5703125" style="5" customWidth="1"/>
    <col min="14344" max="14344" width="13.85546875" style="5" customWidth="1"/>
    <col min="14345" max="14345" width="16.42578125" style="5" customWidth="1"/>
    <col min="14346" max="14593" width="9.140625" style="5"/>
    <col min="14594" max="14594" width="1.85546875" style="5" customWidth="1"/>
    <col min="14595" max="14595" width="4.28515625" style="5" customWidth="1"/>
    <col min="14596" max="14596" width="1.28515625" style="5" customWidth="1"/>
    <col min="14597" max="14597" width="31.42578125" style="5" bestFit="1" customWidth="1"/>
    <col min="14598" max="14598" width="8.140625" style="5" customWidth="1"/>
    <col min="14599" max="14599" width="8.5703125" style="5" customWidth="1"/>
    <col min="14600" max="14600" width="13.85546875" style="5" customWidth="1"/>
    <col min="14601" max="14601" width="16.42578125" style="5" customWidth="1"/>
    <col min="14602" max="14849" width="9.140625" style="5"/>
    <col min="14850" max="14850" width="1.85546875" style="5" customWidth="1"/>
    <col min="14851" max="14851" width="4.28515625" style="5" customWidth="1"/>
    <col min="14852" max="14852" width="1.28515625" style="5" customWidth="1"/>
    <col min="14853" max="14853" width="31.42578125" style="5" bestFit="1" customWidth="1"/>
    <col min="14854" max="14854" width="8.140625" style="5" customWidth="1"/>
    <col min="14855" max="14855" width="8.5703125" style="5" customWidth="1"/>
    <col min="14856" max="14856" width="13.85546875" style="5" customWidth="1"/>
    <col min="14857" max="14857" width="16.42578125" style="5" customWidth="1"/>
    <col min="14858" max="15105" width="9.140625" style="5"/>
    <col min="15106" max="15106" width="1.85546875" style="5" customWidth="1"/>
    <col min="15107" max="15107" width="4.28515625" style="5" customWidth="1"/>
    <col min="15108" max="15108" width="1.28515625" style="5" customWidth="1"/>
    <col min="15109" max="15109" width="31.42578125" style="5" bestFit="1" customWidth="1"/>
    <col min="15110" max="15110" width="8.140625" style="5" customWidth="1"/>
    <col min="15111" max="15111" width="8.5703125" style="5" customWidth="1"/>
    <col min="15112" max="15112" width="13.85546875" style="5" customWidth="1"/>
    <col min="15113" max="15113" width="16.42578125" style="5" customWidth="1"/>
    <col min="15114" max="15361" width="9.140625" style="5"/>
    <col min="15362" max="15362" width="1.85546875" style="5" customWidth="1"/>
    <col min="15363" max="15363" width="4.28515625" style="5" customWidth="1"/>
    <col min="15364" max="15364" width="1.28515625" style="5" customWidth="1"/>
    <col min="15365" max="15365" width="31.42578125" style="5" bestFit="1" customWidth="1"/>
    <col min="15366" max="15366" width="8.140625" style="5" customWidth="1"/>
    <col min="15367" max="15367" width="8.5703125" style="5" customWidth="1"/>
    <col min="15368" max="15368" width="13.85546875" style="5" customWidth="1"/>
    <col min="15369" max="15369" width="16.42578125" style="5" customWidth="1"/>
    <col min="15370" max="15617" width="9.140625" style="5"/>
    <col min="15618" max="15618" width="1.85546875" style="5" customWidth="1"/>
    <col min="15619" max="15619" width="4.28515625" style="5" customWidth="1"/>
    <col min="15620" max="15620" width="1.28515625" style="5" customWidth="1"/>
    <col min="15621" max="15621" width="31.42578125" style="5" bestFit="1" customWidth="1"/>
    <col min="15622" max="15622" width="8.140625" style="5" customWidth="1"/>
    <col min="15623" max="15623" width="8.5703125" style="5" customWidth="1"/>
    <col min="15624" max="15624" width="13.85546875" style="5" customWidth="1"/>
    <col min="15625" max="15625" width="16.42578125" style="5" customWidth="1"/>
    <col min="15626" max="15873" width="9.140625" style="5"/>
    <col min="15874" max="15874" width="1.85546875" style="5" customWidth="1"/>
    <col min="15875" max="15875" width="4.28515625" style="5" customWidth="1"/>
    <col min="15876" max="15876" width="1.28515625" style="5" customWidth="1"/>
    <col min="15877" max="15877" width="31.42578125" style="5" bestFit="1" customWidth="1"/>
    <col min="15878" max="15878" width="8.140625" style="5" customWidth="1"/>
    <col min="15879" max="15879" width="8.5703125" style="5" customWidth="1"/>
    <col min="15880" max="15880" width="13.85546875" style="5" customWidth="1"/>
    <col min="15881" max="15881" width="16.42578125" style="5" customWidth="1"/>
    <col min="15882" max="16129" width="9.140625" style="5"/>
    <col min="16130" max="16130" width="1.85546875" style="5" customWidth="1"/>
    <col min="16131" max="16131" width="4.28515625" style="5" customWidth="1"/>
    <col min="16132" max="16132" width="1.28515625" style="5" customWidth="1"/>
    <col min="16133" max="16133" width="31.42578125" style="5" bestFit="1" customWidth="1"/>
    <col min="16134" max="16134" width="8.140625" style="5" customWidth="1"/>
    <col min="16135" max="16135" width="8.5703125" style="5" customWidth="1"/>
    <col min="16136" max="16136" width="13.85546875" style="5" customWidth="1"/>
    <col min="16137" max="16137" width="16.42578125" style="5" customWidth="1"/>
    <col min="16138" max="16384" width="9.140625" style="5"/>
  </cols>
  <sheetData>
    <row r="2" spans="1:13" ht="15.75">
      <c r="A2" s="570"/>
      <c r="B2" s="2924" t="s">
        <v>2196</v>
      </c>
      <c r="C2" s="2924"/>
      <c r="D2" s="2924"/>
      <c r="E2" s="2924"/>
      <c r="F2" s="2924"/>
      <c r="G2" s="2924"/>
      <c r="H2" s="2924"/>
      <c r="I2" s="571"/>
    </row>
    <row r="3" spans="1:13">
      <c r="B3" s="526"/>
      <c r="C3" s="425"/>
      <c r="D3" s="425"/>
      <c r="E3" s="426"/>
      <c r="F3" s="527"/>
      <c r="G3" s="425"/>
      <c r="H3" s="425"/>
      <c r="I3" s="425"/>
    </row>
    <row r="4" spans="1:13">
      <c r="B4" s="193" t="s">
        <v>157</v>
      </c>
      <c r="C4" s="415"/>
      <c r="D4" s="190" t="s">
        <v>211</v>
      </c>
      <c r="E4" s="193" t="s">
        <v>212</v>
      </c>
      <c r="F4" s="192" t="s">
        <v>213</v>
      </c>
      <c r="G4" s="190" t="s">
        <v>214</v>
      </c>
      <c r="H4" s="190" t="s">
        <v>215</v>
      </c>
      <c r="I4" s="1165"/>
    </row>
    <row r="5" spans="1:13">
      <c r="B5" s="530"/>
      <c r="C5" s="419"/>
      <c r="D5" s="572"/>
      <c r="E5" s="540"/>
      <c r="F5" s="541"/>
      <c r="G5" s="573" t="s">
        <v>216</v>
      </c>
      <c r="H5" s="574" t="s">
        <v>216</v>
      </c>
      <c r="I5" s="1172"/>
    </row>
    <row r="6" spans="1:13">
      <c r="B6" s="575" t="s">
        <v>526</v>
      </c>
      <c r="C6" s="576" t="str">
        <f>"1 M2 Lantai "&amp;BAHAN!C107&amp;" "&amp;BAHAN!F107</f>
        <v>1 M2 Lantai Granite Tile 60x60 Ex. Niro Granite Bianco Luna GBL01 Silky White</v>
      </c>
      <c r="D6" s="577"/>
      <c r="E6" s="578"/>
      <c r="F6" s="579"/>
      <c r="G6" s="580"/>
      <c r="H6" s="581"/>
      <c r="I6" s="1173"/>
      <c r="M6" s="1392">
        <v>1</v>
      </c>
    </row>
    <row r="7" spans="1:13">
      <c r="B7" s="582"/>
      <c r="C7" s="583" t="s">
        <v>28</v>
      </c>
      <c r="D7" s="584" t="str">
        <f>BAHAN!C107&amp;" "&amp;BAHAN!F107</f>
        <v>Granite Tile 60x60 Ex. Niro Granite Bianco Luna GBL01 Silky White</v>
      </c>
      <c r="E7" s="477" t="s">
        <v>147</v>
      </c>
      <c r="F7" s="585">
        <v>1.05</v>
      </c>
      <c r="G7" s="479">
        <f>BAHAN!$E$107</f>
        <v>147000</v>
      </c>
      <c r="H7" s="480">
        <f t="shared" ref="H7:H14" si="0">G7*F7</f>
        <v>154350</v>
      </c>
      <c r="I7" s="1171"/>
      <c r="J7" s="2050">
        <f>SUMIF(BOQ!$G$1:$G$2403,I!I10,BOQ!$E$1:$E$2403)</f>
        <v>0</v>
      </c>
      <c r="K7" s="1393">
        <f>J7*F7</f>
        <v>0</v>
      </c>
      <c r="L7" s="1395" t="s">
        <v>147</v>
      </c>
      <c r="M7" s="1392">
        <v>2</v>
      </c>
    </row>
    <row r="8" spans="1:13">
      <c r="B8" s="481"/>
      <c r="C8" s="482" t="s">
        <v>28</v>
      </c>
      <c r="D8" s="487" t="s">
        <v>221</v>
      </c>
      <c r="E8" s="483" t="s">
        <v>145</v>
      </c>
      <c r="F8" s="484">
        <v>9.8000000000000007</v>
      </c>
      <c r="G8" s="485">
        <f>BAHAN!$E$30/50</f>
        <v>1500</v>
      </c>
      <c r="H8" s="486">
        <f t="shared" si="0"/>
        <v>14700.000000000002</v>
      </c>
      <c r="I8" s="1171"/>
      <c r="J8" s="1467">
        <f>J7</f>
        <v>0</v>
      </c>
      <c r="K8" s="1393">
        <f>J8*F8</f>
        <v>0</v>
      </c>
      <c r="L8" s="1395" t="s">
        <v>145</v>
      </c>
    </row>
    <row r="9" spans="1:13">
      <c r="B9" s="481"/>
      <c r="C9" s="482" t="s">
        <v>28</v>
      </c>
      <c r="D9" s="487" t="s">
        <v>453</v>
      </c>
      <c r="E9" s="483" t="s">
        <v>143</v>
      </c>
      <c r="F9" s="484">
        <v>2.1499999999999998E-2</v>
      </c>
      <c r="G9" s="485">
        <f>BAHAN!$E$9</f>
        <v>246000</v>
      </c>
      <c r="H9" s="486">
        <f t="shared" si="0"/>
        <v>5289</v>
      </c>
      <c r="I9" s="1171"/>
      <c r="J9" s="1467">
        <f>J8</f>
        <v>0</v>
      </c>
      <c r="K9" s="1393">
        <f>J9*F9</f>
        <v>0</v>
      </c>
      <c r="L9" s="1395" t="s">
        <v>143</v>
      </c>
    </row>
    <row r="10" spans="1:13">
      <c r="B10" s="481"/>
      <c r="C10" s="482" t="s">
        <v>28</v>
      </c>
      <c r="D10" s="487" t="s">
        <v>401</v>
      </c>
      <c r="E10" s="483" t="s">
        <v>145</v>
      </c>
      <c r="F10" s="484">
        <v>1.3</v>
      </c>
      <c r="G10" s="485">
        <f>BAHAN!$E$39</f>
        <v>16000</v>
      </c>
      <c r="H10" s="486">
        <f t="shared" si="0"/>
        <v>20800</v>
      </c>
      <c r="I10" s="1171">
        <f>SUM(H7:H10)</f>
        <v>195139</v>
      </c>
      <c r="J10" s="1467">
        <f>J9</f>
        <v>0</v>
      </c>
      <c r="K10" s="1393">
        <f>J10*F10</f>
        <v>0</v>
      </c>
      <c r="L10" s="1395" t="s">
        <v>145</v>
      </c>
    </row>
    <row r="11" spans="1:13">
      <c r="B11" s="481"/>
      <c r="C11" s="482" t="s">
        <v>28</v>
      </c>
      <c r="D11" s="487" t="s">
        <v>133</v>
      </c>
      <c r="E11" s="483" t="s">
        <v>132</v>
      </c>
      <c r="F11" s="484">
        <v>0.25</v>
      </c>
      <c r="G11" s="485">
        <f>UPAH!$E$26</f>
        <v>136000</v>
      </c>
      <c r="H11" s="486">
        <f t="shared" si="0"/>
        <v>34000</v>
      </c>
      <c r="I11" s="1171"/>
    </row>
    <row r="12" spans="1:13">
      <c r="B12" s="481"/>
      <c r="C12" s="482" t="s">
        <v>28</v>
      </c>
      <c r="D12" s="487" t="s">
        <v>402</v>
      </c>
      <c r="E12" s="483" t="s">
        <v>132</v>
      </c>
      <c r="F12" s="484">
        <v>0.12</v>
      </c>
      <c r="G12" s="485">
        <f>UPAH!$E$16</f>
        <v>160000</v>
      </c>
      <c r="H12" s="486">
        <f t="shared" si="0"/>
        <v>19200</v>
      </c>
      <c r="I12" s="1171"/>
    </row>
    <row r="13" spans="1:13">
      <c r="B13" s="481"/>
      <c r="C13" s="482" t="s">
        <v>28</v>
      </c>
      <c r="D13" s="487" t="s">
        <v>135</v>
      </c>
      <c r="E13" s="483" t="s">
        <v>132</v>
      </c>
      <c r="F13" s="484">
        <v>1.2E-2</v>
      </c>
      <c r="G13" s="485">
        <f>UPAH!$E$10</f>
        <v>170000</v>
      </c>
      <c r="H13" s="486">
        <f t="shared" si="0"/>
        <v>2040</v>
      </c>
      <c r="I13" s="1171"/>
    </row>
    <row r="14" spans="1:13">
      <c r="B14" s="488"/>
      <c r="C14" s="501" t="s">
        <v>28</v>
      </c>
      <c r="D14" s="502" t="s">
        <v>136</v>
      </c>
      <c r="E14" s="503" t="s">
        <v>132</v>
      </c>
      <c r="F14" s="513">
        <v>1.2500000000000001E-2</v>
      </c>
      <c r="G14" s="586">
        <f>UPAH!$E$9</f>
        <v>180000</v>
      </c>
      <c r="H14" s="504">
        <f t="shared" si="0"/>
        <v>2250</v>
      </c>
      <c r="I14" s="1171">
        <f>SUM(H11:H14)</f>
        <v>57490</v>
      </c>
    </row>
    <row r="15" spans="1:13">
      <c r="B15" s="505"/>
      <c r="C15" s="495"/>
      <c r="D15" s="506" t="s">
        <v>228</v>
      </c>
      <c r="E15" s="507"/>
      <c r="F15" s="508"/>
      <c r="G15" s="509"/>
      <c r="H15" s="510">
        <f>SUM(H7:H14)</f>
        <v>252629</v>
      </c>
      <c r="I15" s="1171"/>
    </row>
    <row r="16" spans="1:13">
      <c r="B16" s="566"/>
      <c r="C16" s="442" t="s">
        <v>229</v>
      </c>
      <c r="D16" s="378"/>
      <c r="E16" s="378"/>
      <c r="F16" s="378"/>
      <c r="G16" s="518"/>
      <c r="H16" s="518">
        <f>ROUND(H15,0)</f>
        <v>252629</v>
      </c>
      <c r="I16" s="1164"/>
    </row>
    <row r="17" spans="2:13">
      <c r="B17" s="587" t="s">
        <v>527</v>
      </c>
      <c r="C17" s="468" t="s">
        <v>2288</v>
      </c>
      <c r="D17" s="469"/>
      <c r="E17" s="588"/>
      <c r="F17" s="471"/>
      <c r="G17" s="589"/>
      <c r="H17" s="590"/>
      <c r="I17" s="1171"/>
      <c r="M17" s="1392">
        <v>3</v>
      </c>
    </row>
    <row r="18" spans="2:13">
      <c r="B18" s="582"/>
      <c r="C18" s="583" t="s">
        <v>28</v>
      </c>
      <c r="D18" s="584" t="s">
        <v>1849</v>
      </c>
      <c r="E18" s="477" t="s">
        <v>147</v>
      </c>
      <c r="F18" s="585">
        <f>0.1*1.1</f>
        <v>0.11000000000000001</v>
      </c>
      <c r="G18" s="479">
        <f>G7</f>
        <v>147000</v>
      </c>
      <c r="H18" s="480">
        <f t="shared" ref="H18:H25" si="1">G18*F18</f>
        <v>16170.000000000002</v>
      </c>
      <c r="I18" s="1171"/>
      <c r="J18" s="2050">
        <f>SUMIF(BOQ!$G$917:$G$938,I!I21,BOQ!$E$917:$E$938)</f>
        <v>0</v>
      </c>
      <c r="K18" s="1393">
        <f>J18*F18</f>
        <v>0</v>
      </c>
      <c r="L18" s="1395" t="s">
        <v>147</v>
      </c>
      <c r="M18" s="1392">
        <v>4</v>
      </c>
    </row>
    <row r="19" spans="2:13">
      <c r="B19" s="481"/>
      <c r="C19" s="482" t="s">
        <v>28</v>
      </c>
      <c r="D19" s="487" t="s">
        <v>221</v>
      </c>
      <c r="E19" s="483" t="s">
        <v>145</v>
      </c>
      <c r="F19" s="484">
        <v>1.2</v>
      </c>
      <c r="G19" s="485">
        <f>G8</f>
        <v>1500</v>
      </c>
      <c r="H19" s="486">
        <f t="shared" si="1"/>
        <v>1800</v>
      </c>
      <c r="I19" s="1171"/>
      <c r="J19" s="1467">
        <f>J18</f>
        <v>0</v>
      </c>
      <c r="K19" s="1393">
        <f>J19*F19</f>
        <v>0</v>
      </c>
      <c r="L19" s="1395" t="s">
        <v>145</v>
      </c>
    </row>
    <row r="20" spans="2:13">
      <c r="B20" s="481"/>
      <c r="C20" s="482" t="s">
        <v>28</v>
      </c>
      <c r="D20" s="487" t="s">
        <v>453</v>
      </c>
      <c r="E20" s="483" t="s">
        <v>143</v>
      </c>
      <c r="F20" s="484">
        <v>3.0000000000000001E-3</v>
      </c>
      <c r="G20" s="485">
        <f t="shared" ref="G20:G25" si="2">G9</f>
        <v>246000</v>
      </c>
      <c r="H20" s="486">
        <f t="shared" si="1"/>
        <v>738</v>
      </c>
      <c r="I20" s="1171"/>
      <c r="J20" s="1467">
        <f>J19</f>
        <v>0</v>
      </c>
      <c r="K20" s="1393">
        <f>J20*F20</f>
        <v>0</v>
      </c>
      <c r="L20" s="1395" t="s">
        <v>143</v>
      </c>
    </row>
    <row r="21" spans="2:13">
      <c r="B21" s="481"/>
      <c r="C21" s="482" t="s">
        <v>28</v>
      </c>
      <c r="D21" s="487" t="s">
        <v>401</v>
      </c>
      <c r="E21" s="483" t="s">
        <v>145</v>
      </c>
      <c r="F21" s="484">
        <v>0.1</v>
      </c>
      <c r="G21" s="485">
        <f t="shared" si="2"/>
        <v>16000</v>
      </c>
      <c r="H21" s="486">
        <f t="shared" si="1"/>
        <v>1600</v>
      </c>
      <c r="I21" s="1171">
        <f>SUM(H18:H21)</f>
        <v>20308</v>
      </c>
      <c r="J21" s="1467">
        <f>J20</f>
        <v>0</v>
      </c>
      <c r="K21" s="1393">
        <f>J21*F21</f>
        <v>0</v>
      </c>
      <c r="L21" s="1395" t="s">
        <v>145</v>
      </c>
    </row>
    <row r="22" spans="2:13">
      <c r="B22" s="481"/>
      <c r="C22" s="482" t="s">
        <v>28</v>
      </c>
      <c r="D22" s="487" t="s">
        <v>133</v>
      </c>
      <c r="E22" s="483" t="s">
        <v>132</v>
      </c>
      <c r="F22" s="484">
        <v>0.06</v>
      </c>
      <c r="G22" s="485">
        <f t="shared" si="2"/>
        <v>136000</v>
      </c>
      <c r="H22" s="486">
        <f t="shared" si="1"/>
        <v>8160</v>
      </c>
      <c r="I22" s="1171"/>
    </row>
    <row r="23" spans="2:13">
      <c r="B23" s="481"/>
      <c r="C23" s="482" t="s">
        <v>28</v>
      </c>
      <c r="D23" s="487" t="s">
        <v>402</v>
      </c>
      <c r="E23" s="483" t="s">
        <v>132</v>
      </c>
      <c r="F23" s="484">
        <v>0.03</v>
      </c>
      <c r="G23" s="485">
        <f t="shared" si="2"/>
        <v>160000</v>
      </c>
      <c r="H23" s="486">
        <f t="shared" si="1"/>
        <v>4800</v>
      </c>
      <c r="I23" s="1171"/>
    </row>
    <row r="24" spans="2:13">
      <c r="B24" s="481"/>
      <c r="C24" s="482" t="s">
        <v>28</v>
      </c>
      <c r="D24" s="487" t="s">
        <v>135</v>
      </c>
      <c r="E24" s="483" t="s">
        <v>132</v>
      </c>
      <c r="F24" s="484">
        <v>3.0000000000000001E-3</v>
      </c>
      <c r="G24" s="485">
        <f t="shared" si="2"/>
        <v>170000</v>
      </c>
      <c r="H24" s="486">
        <f t="shared" si="1"/>
        <v>510</v>
      </c>
      <c r="I24" s="1171"/>
    </row>
    <row r="25" spans="2:13">
      <c r="B25" s="488"/>
      <c r="C25" s="501" t="s">
        <v>28</v>
      </c>
      <c r="D25" s="502" t="s">
        <v>136</v>
      </c>
      <c r="E25" s="503" t="s">
        <v>132</v>
      </c>
      <c r="F25" s="513">
        <v>3.0000000000000001E-3</v>
      </c>
      <c r="G25" s="485">
        <f t="shared" si="2"/>
        <v>180000</v>
      </c>
      <c r="H25" s="504">
        <f t="shared" si="1"/>
        <v>540</v>
      </c>
      <c r="I25" s="1171">
        <f>SUM(H22:H25)</f>
        <v>14010</v>
      </c>
    </row>
    <row r="26" spans="2:13">
      <c r="B26" s="505"/>
      <c r="C26" s="495"/>
      <c r="D26" s="506" t="s">
        <v>228</v>
      </c>
      <c r="E26" s="507"/>
      <c r="F26" s="508"/>
      <c r="G26" s="509"/>
      <c r="H26" s="510">
        <f>SUM(H18:H25)</f>
        <v>34318</v>
      </c>
      <c r="I26" s="1171"/>
    </row>
    <row r="27" spans="2:13">
      <c r="B27" s="566"/>
      <c r="C27" s="442" t="s">
        <v>229</v>
      </c>
      <c r="D27" s="378"/>
      <c r="E27" s="378"/>
      <c r="F27" s="378"/>
      <c r="G27" s="518"/>
      <c r="H27" s="518">
        <f>ROUND(H26,0)</f>
        <v>34318</v>
      </c>
      <c r="I27" s="1164"/>
    </row>
    <row r="28" spans="2:13">
      <c r="B28" s="575" t="s">
        <v>528</v>
      </c>
      <c r="C28" s="576" t="s">
        <v>2359</v>
      </c>
      <c r="D28" s="577"/>
      <c r="E28" s="578"/>
      <c r="F28" s="579"/>
      <c r="G28" s="580"/>
      <c r="H28" s="581"/>
      <c r="I28" s="1173"/>
      <c r="M28" s="1392">
        <v>5</v>
      </c>
    </row>
    <row r="29" spans="2:13">
      <c r="B29" s="582"/>
      <c r="C29" s="583" t="s">
        <v>28</v>
      </c>
      <c r="D29" s="584" t="s">
        <v>2360</v>
      </c>
      <c r="E29" s="477" t="s">
        <v>147</v>
      </c>
      <c r="F29" s="585">
        <v>1.05</v>
      </c>
      <c r="G29" s="479">
        <f>BAHAN!$E$118</f>
        <v>174444.44444444444</v>
      </c>
      <c r="H29" s="480">
        <f t="shared" ref="H29:H36" si="3">G29*F29</f>
        <v>183166.66666666666</v>
      </c>
      <c r="I29" s="1171"/>
      <c r="J29" s="2050">
        <f>SUMIF(BOQ!$G$917:$G$938,I!I32,BOQ!$E$917:$E$938)</f>
        <v>0</v>
      </c>
      <c r="K29" s="1467">
        <f>J29*F29</f>
        <v>0</v>
      </c>
      <c r="L29" s="1395" t="s">
        <v>147</v>
      </c>
      <c r="M29" s="1392">
        <v>6</v>
      </c>
    </row>
    <row r="30" spans="2:13">
      <c r="B30" s="481"/>
      <c r="C30" s="482" t="s">
        <v>28</v>
      </c>
      <c r="D30" s="487" t="s">
        <v>221</v>
      </c>
      <c r="E30" s="483" t="s">
        <v>145</v>
      </c>
      <c r="F30" s="484">
        <v>9.8000000000000007</v>
      </c>
      <c r="G30" s="485">
        <f>BAHAN!$E$30/50</f>
        <v>1500</v>
      </c>
      <c r="H30" s="486">
        <f t="shared" si="3"/>
        <v>14700.000000000002</v>
      </c>
      <c r="I30" s="1171"/>
      <c r="J30" s="1467">
        <f>J29</f>
        <v>0</v>
      </c>
      <c r="K30" s="1467">
        <f>J30*F30</f>
        <v>0</v>
      </c>
      <c r="L30" s="1395" t="s">
        <v>145</v>
      </c>
    </row>
    <row r="31" spans="2:13">
      <c r="B31" s="481"/>
      <c r="C31" s="482" t="s">
        <v>28</v>
      </c>
      <c r="D31" s="487" t="s">
        <v>453</v>
      </c>
      <c r="E31" s="483" t="s">
        <v>143</v>
      </c>
      <c r="F31" s="484">
        <v>2.1499999999999998E-2</v>
      </c>
      <c r="G31" s="485">
        <f>BAHAN!$E$9</f>
        <v>246000</v>
      </c>
      <c r="H31" s="486">
        <f t="shared" si="3"/>
        <v>5289</v>
      </c>
      <c r="I31" s="1171"/>
      <c r="J31" s="1467">
        <f>J30</f>
        <v>0</v>
      </c>
      <c r="K31" s="1467">
        <f>J31*F31</f>
        <v>0</v>
      </c>
      <c r="L31" s="1395" t="s">
        <v>143</v>
      </c>
    </row>
    <row r="32" spans="2:13">
      <c r="B32" s="481"/>
      <c r="C32" s="482" t="s">
        <v>28</v>
      </c>
      <c r="D32" s="487" t="s">
        <v>401</v>
      </c>
      <c r="E32" s="483" t="s">
        <v>145</v>
      </c>
      <c r="F32" s="484">
        <v>1.3</v>
      </c>
      <c r="G32" s="485">
        <f>BAHAN!$E$39</f>
        <v>16000</v>
      </c>
      <c r="H32" s="486">
        <f t="shared" si="3"/>
        <v>20800</v>
      </c>
      <c r="I32" s="1171">
        <f>SUM(H29:H32)</f>
        <v>223955.66666666666</v>
      </c>
      <c r="J32" s="1467">
        <f>J31</f>
        <v>0</v>
      </c>
      <c r="K32" s="1467">
        <f>J32*F32</f>
        <v>0</v>
      </c>
      <c r="L32" s="1395" t="s">
        <v>145</v>
      </c>
    </row>
    <row r="33" spans="2:13">
      <c r="B33" s="481"/>
      <c r="C33" s="482" t="s">
        <v>28</v>
      </c>
      <c r="D33" s="487" t="s">
        <v>133</v>
      </c>
      <c r="E33" s="483" t="s">
        <v>132</v>
      </c>
      <c r="F33" s="484">
        <v>0.25</v>
      </c>
      <c r="G33" s="485">
        <f>UPAH!$E$26</f>
        <v>136000</v>
      </c>
      <c r="H33" s="486">
        <f t="shared" si="3"/>
        <v>34000</v>
      </c>
      <c r="I33" s="1171"/>
    </row>
    <row r="34" spans="2:13">
      <c r="B34" s="481"/>
      <c r="C34" s="482" t="s">
        <v>28</v>
      </c>
      <c r="D34" s="487" t="s">
        <v>402</v>
      </c>
      <c r="E34" s="483" t="s">
        <v>132</v>
      </c>
      <c r="F34" s="484">
        <v>0.12</v>
      </c>
      <c r="G34" s="485">
        <f>UPAH!$E$16</f>
        <v>160000</v>
      </c>
      <c r="H34" s="486">
        <f t="shared" si="3"/>
        <v>19200</v>
      </c>
      <c r="I34" s="1171"/>
    </row>
    <row r="35" spans="2:13">
      <c r="B35" s="481"/>
      <c r="C35" s="482" t="s">
        <v>28</v>
      </c>
      <c r="D35" s="487" t="s">
        <v>135</v>
      </c>
      <c r="E35" s="483" t="s">
        <v>132</v>
      </c>
      <c r="F35" s="484">
        <v>1.2E-2</v>
      </c>
      <c r="G35" s="485">
        <f>UPAH!$E$10</f>
        <v>170000</v>
      </c>
      <c r="H35" s="486">
        <f t="shared" si="3"/>
        <v>2040</v>
      </c>
      <c r="I35" s="1171"/>
    </row>
    <row r="36" spans="2:13">
      <c r="B36" s="488"/>
      <c r="C36" s="501" t="s">
        <v>28</v>
      </c>
      <c r="D36" s="502" t="s">
        <v>136</v>
      </c>
      <c r="E36" s="503" t="s">
        <v>132</v>
      </c>
      <c r="F36" s="513">
        <v>1.2500000000000001E-2</v>
      </c>
      <c r="G36" s="586">
        <f>UPAH!$E$9</f>
        <v>180000</v>
      </c>
      <c r="H36" s="504">
        <f t="shared" si="3"/>
        <v>2250</v>
      </c>
      <c r="I36" s="1171">
        <f>SUM(H33:H36)</f>
        <v>57490</v>
      </c>
    </row>
    <row r="37" spans="2:13">
      <c r="B37" s="505"/>
      <c r="C37" s="495"/>
      <c r="D37" s="506" t="s">
        <v>228</v>
      </c>
      <c r="E37" s="507"/>
      <c r="F37" s="508"/>
      <c r="G37" s="509"/>
      <c r="H37" s="510">
        <f>SUM(H29:H36)</f>
        <v>281445.66666666663</v>
      </c>
      <c r="I37" s="1171"/>
    </row>
    <row r="38" spans="2:13">
      <c r="B38" s="566"/>
      <c r="C38" s="442" t="s">
        <v>229</v>
      </c>
      <c r="D38" s="378"/>
      <c r="E38" s="378"/>
      <c r="F38" s="378"/>
      <c r="G38" s="518"/>
      <c r="H38" s="518">
        <f>ROUND(H37,0)</f>
        <v>281446</v>
      </c>
      <c r="I38" s="1164"/>
    </row>
    <row r="39" spans="2:13">
      <c r="B39" s="575" t="s">
        <v>529</v>
      </c>
      <c r="C39" s="576" t="str">
        <f>"1 M2 Lantai "&amp;BAHAN!C114&amp;" "&amp;BAHAN!F114</f>
        <v>1 M2 Lantai Granite Tile 80x80 Ex. Niro Granite Lux 3.0 GLX83 Carnelia</v>
      </c>
      <c r="D39" s="577"/>
      <c r="E39" s="578"/>
      <c r="F39" s="579"/>
      <c r="G39" s="580"/>
      <c r="H39" s="581"/>
      <c r="I39" s="1173"/>
      <c r="M39" s="1392">
        <v>7</v>
      </c>
    </row>
    <row r="40" spans="2:13">
      <c r="B40" s="582"/>
      <c r="C40" s="583" t="s">
        <v>28</v>
      </c>
      <c r="D40" s="584" t="str">
        <f>BAHAN!C114&amp;" "&amp;BAHAN!F114</f>
        <v>Granite Tile 80x80 Ex. Niro Granite Lux 3.0 GLX83 Carnelia</v>
      </c>
      <c r="E40" s="477" t="s">
        <v>147</v>
      </c>
      <c r="F40" s="585">
        <v>1.05</v>
      </c>
      <c r="G40" s="479">
        <f>BAHAN!$E$114</f>
        <v>202000</v>
      </c>
      <c r="H40" s="480">
        <f t="shared" ref="H40:H47" si="4">G40*F40</f>
        <v>212100</v>
      </c>
      <c r="I40" s="1171"/>
      <c r="J40" s="2050">
        <f>SUMIF(BOQ!$G$1:$G$2403,I!I42,BOQ!$E$1:$E$2403)</f>
        <v>0</v>
      </c>
      <c r="K40" s="1393">
        <f>J40*F40</f>
        <v>0</v>
      </c>
      <c r="L40" s="1395" t="s">
        <v>147</v>
      </c>
      <c r="M40" s="1392">
        <v>8</v>
      </c>
    </row>
    <row r="41" spans="2:13">
      <c r="B41" s="481"/>
      <c r="C41" s="482" t="s">
        <v>28</v>
      </c>
      <c r="D41" s="487" t="s">
        <v>221</v>
      </c>
      <c r="E41" s="483" t="s">
        <v>145</v>
      </c>
      <c r="F41" s="484">
        <v>9.8000000000000007</v>
      </c>
      <c r="G41" s="485">
        <f t="shared" ref="G41:G47" si="5">G19</f>
        <v>1500</v>
      </c>
      <c r="H41" s="486">
        <f t="shared" si="4"/>
        <v>14700.000000000002</v>
      </c>
      <c r="I41" s="1171"/>
      <c r="J41" s="1467">
        <f>J40</f>
        <v>0</v>
      </c>
      <c r="K41" s="1393">
        <f>J41*F41</f>
        <v>0</v>
      </c>
      <c r="L41" s="1395" t="s">
        <v>145</v>
      </c>
    </row>
    <row r="42" spans="2:13">
      <c r="B42" s="481"/>
      <c r="C42" s="482" t="s">
        <v>28</v>
      </c>
      <c r="D42" s="487" t="s">
        <v>453</v>
      </c>
      <c r="E42" s="483" t="s">
        <v>143</v>
      </c>
      <c r="F42" s="484">
        <v>2.1499999999999998E-2</v>
      </c>
      <c r="G42" s="485">
        <f t="shared" si="5"/>
        <v>246000</v>
      </c>
      <c r="H42" s="486">
        <f t="shared" si="4"/>
        <v>5289</v>
      </c>
      <c r="I42" s="1171">
        <f>SUM(H40:H43)</f>
        <v>252889</v>
      </c>
      <c r="J42" s="1467">
        <f>J41</f>
        <v>0</v>
      </c>
      <c r="K42" s="1393">
        <f>J42*F42</f>
        <v>0</v>
      </c>
      <c r="L42" s="1395" t="s">
        <v>143</v>
      </c>
    </row>
    <row r="43" spans="2:13">
      <c r="B43" s="481"/>
      <c r="C43" s="482" t="s">
        <v>28</v>
      </c>
      <c r="D43" s="487" t="s">
        <v>401</v>
      </c>
      <c r="E43" s="483" t="s">
        <v>145</v>
      </c>
      <c r="F43" s="484">
        <v>1.3</v>
      </c>
      <c r="G43" s="485">
        <f t="shared" si="5"/>
        <v>16000</v>
      </c>
      <c r="H43" s="486">
        <f t="shared" si="4"/>
        <v>20800</v>
      </c>
      <c r="I43" s="1171"/>
      <c r="J43" s="1467">
        <f>J42</f>
        <v>0</v>
      </c>
      <c r="K43" s="1393">
        <f>J43*F43</f>
        <v>0</v>
      </c>
      <c r="L43" s="1395" t="s">
        <v>145</v>
      </c>
    </row>
    <row r="44" spans="2:13">
      <c r="B44" s="481"/>
      <c r="C44" s="482" t="s">
        <v>28</v>
      </c>
      <c r="D44" s="487" t="s">
        <v>133</v>
      </c>
      <c r="E44" s="483" t="s">
        <v>132</v>
      </c>
      <c r="F44" s="484">
        <v>0.25</v>
      </c>
      <c r="G44" s="485">
        <f t="shared" si="5"/>
        <v>136000</v>
      </c>
      <c r="H44" s="486">
        <f t="shared" si="4"/>
        <v>34000</v>
      </c>
      <c r="I44" s="1171"/>
    </row>
    <row r="45" spans="2:13">
      <c r="B45" s="481"/>
      <c r="C45" s="482" t="s">
        <v>28</v>
      </c>
      <c r="D45" s="487" t="s">
        <v>402</v>
      </c>
      <c r="E45" s="483" t="s">
        <v>132</v>
      </c>
      <c r="F45" s="484">
        <v>0.12</v>
      </c>
      <c r="G45" s="485">
        <f t="shared" si="5"/>
        <v>160000</v>
      </c>
      <c r="H45" s="486">
        <f t="shared" si="4"/>
        <v>19200</v>
      </c>
      <c r="I45" s="1171"/>
    </row>
    <row r="46" spans="2:13">
      <c r="B46" s="481"/>
      <c r="C46" s="482" t="s">
        <v>28</v>
      </c>
      <c r="D46" s="487" t="s">
        <v>135</v>
      </c>
      <c r="E46" s="483" t="s">
        <v>132</v>
      </c>
      <c r="F46" s="484">
        <v>1.2E-2</v>
      </c>
      <c r="G46" s="485">
        <f t="shared" si="5"/>
        <v>170000</v>
      </c>
      <c r="H46" s="486">
        <f t="shared" si="4"/>
        <v>2040</v>
      </c>
      <c r="I46" s="1171"/>
    </row>
    <row r="47" spans="2:13">
      <c r="B47" s="488"/>
      <c r="C47" s="501" t="s">
        <v>28</v>
      </c>
      <c r="D47" s="502" t="s">
        <v>136</v>
      </c>
      <c r="E47" s="503" t="s">
        <v>132</v>
      </c>
      <c r="F47" s="513">
        <v>1.2500000000000001E-2</v>
      </c>
      <c r="G47" s="485">
        <f t="shared" si="5"/>
        <v>180000</v>
      </c>
      <c r="H47" s="504">
        <f t="shared" si="4"/>
        <v>2250</v>
      </c>
      <c r="I47" s="1171">
        <f>SUM(H44:H47)</f>
        <v>57490</v>
      </c>
    </row>
    <row r="48" spans="2:13">
      <c r="B48" s="505"/>
      <c r="C48" s="495"/>
      <c r="D48" s="506" t="s">
        <v>228</v>
      </c>
      <c r="E48" s="507"/>
      <c r="F48" s="508"/>
      <c r="G48" s="509"/>
      <c r="H48" s="510">
        <f>SUM(H40:H47)</f>
        <v>310379</v>
      </c>
      <c r="I48" s="1171"/>
    </row>
    <row r="49" spans="2:13">
      <c r="B49" s="566"/>
      <c r="C49" s="442" t="s">
        <v>229</v>
      </c>
      <c r="D49" s="378"/>
      <c r="E49" s="378"/>
      <c r="F49" s="378"/>
      <c r="G49" s="518"/>
      <c r="H49" s="518">
        <f>ROUND(H48,0)</f>
        <v>310379</v>
      </c>
      <c r="I49" s="1164"/>
    </row>
    <row r="50" spans="2:13">
      <c r="B50" s="587" t="s">
        <v>531</v>
      </c>
      <c r="C50" s="468" t="s">
        <v>2289</v>
      </c>
      <c r="D50" s="469"/>
      <c r="E50" s="588"/>
      <c r="F50" s="471"/>
      <c r="G50" s="589"/>
      <c r="H50" s="590"/>
      <c r="I50" s="1171"/>
      <c r="M50" s="1392">
        <v>9</v>
      </c>
    </row>
    <row r="51" spans="2:13">
      <c r="B51" s="582"/>
      <c r="C51" s="583" t="s">
        <v>28</v>
      </c>
      <c r="D51" s="584" t="s">
        <v>530</v>
      </c>
      <c r="E51" s="477" t="s">
        <v>147</v>
      </c>
      <c r="F51" s="585">
        <f>0.1*1.1</f>
        <v>0.11000000000000001</v>
      </c>
      <c r="G51" s="479">
        <f>G40</f>
        <v>202000</v>
      </c>
      <c r="H51" s="480">
        <f t="shared" ref="H51:H58" si="6">G51*F51</f>
        <v>22220.000000000004</v>
      </c>
      <c r="I51" s="1171"/>
      <c r="J51" s="2050">
        <f>SUMIF(BOQ!$G$917:$G$938,I!I54,BOQ!$E$917:$E$938)</f>
        <v>0</v>
      </c>
      <c r="K51" s="1467">
        <f>J51*F51</f>
        <v>0</v>
      </c>
      <c r="L51" s="1395" t="s">
        <v>147</v>
      </c>
      <c r="M51" s="1392">
        <v>10</v>
      </c>
    </row>
    <row r="52" spans="2:13">
      <c r="B52" s="481"/>
      <c r="C52" s="482" t="s">
        <v>28</v>
      </c>
      <c r="D52" s="487" t="s">
        <v>221</v>
      </c>
      <c r="E52" s="483" t="s">
        <v>145</v>
      </c>
      <c r="F52" s="484">
        <v>1.2</v>
      </c>
      <c r="G52" s="479">
        <f t="shared" ref="G52:G58" si="7">G41</f>
        <v>1500</v>
      </c>
      <c r="H52" s="486">
        <f t="shared" si="6"/>
        <v>1800</v>
      </c>
      <c r="I52" s="1171"/>
      <c r="J52" s="1467">
        <f>J51</f>
        <v>0</v>
      </c>
      <c r="K52" s="1467">
        <f>J52*F52</f>
        <v>0</v>
      </c>
      <c r="L52" s="1395" t="s">
        <v>145</v>
      </c>
    </row>
    <row r="53" spans="2:13">
      <c r="B53" s="481"/>
      <c r="C53" s="482" t="s">
        <v>28</v>
      </c>
      <c r="D53" s="487" t="s">
        <v>453</v>
      </c>
      <c r="E53" s="483" t="s">
        <v>143</v>
      </c>
      <c r="F53" s="484">
        <v>3.0000000000000001E-3</v>
      </c>
      <c r="G53" s="479">
        <f t="shared" si="7"/>
        <v>246000</v>
      </c>
      <c r="H53" s="486">
        <f t="shared" si="6"/>
        <v>738</v>
      </c>
      <c r="I53" s="1171"/>
      <c r="J53" s="1467">
        <f>J52</f>
        <v>0</v>
      </c>
      <c r="K53" s="1467">
        <f>J53*F53</f>
        <v>0</v>
      </c>
      <c r="L53" s="1395" t="s">
        <v>143</v>
      </c>
    </row>
    <row r="54" spans="2:13">
      <c r="B54" s="481"/>
      <c r="C54" s="482" t="s">
        <v>28</v>
      </c>
      <c r="D54" s="487" t="s">
        <v>401</v>
      </c>
      <c r="E54" s="483" t="s">
        <v>145</v>
      </c>
      <c r="F54" s="484">
        <v>0.1</v>
      </c>
      <c r="G54" s="479">
        <f t="shared" si="7"/>
        <v>16000</v>
      </c>
      <c r="H54" s="486">
        <f t="shared" si="6"/>
        <v>1600</v>
      </c>
      <c r="I54" s="1171">
        <f>SUM(H51:H54)</f>
        <v>26358.000000000004</v>
      </c>
      <c r="J54" s="1467">
        <f>J53</f>
        <v>0</v>
      </c>
      <c r="K54" s="1467">
        <f>J54*F54</f>
        <v>0</v>
      </c>
      <c r="L54" s="1395" t="s">
        <v>145</v>
      </c>
    </row>
    <row r="55" spans="2:13">
      <c r="B55" s="481"/>
      <c r="C55" s="482" t="s">
        <v>28</v>
      </c>
      <c r="D55" s="487" t="s">
        <v>133</v>
      </c>
      <c r="E55" s="483" t="s">
        <v>132</v>
      </c>
      <c r="F55" s="484">
        <v>0.06</v>
      </c>
      <c r="G55" s="479">
        <f t="shared" si="7"/>
        <v>136000</v>
      </c>
      <c r="H55" s="486">
        <f t="shared" si="6"/>
        <v>8160</v>
      </c>
      <c r="I55" s="1171"/>
    </row>
    <row r="56" spans="2:13">
      <c r="B56" s="481"/>
      <c r="C56" s="482" t="s">
        <v>28</v>
      </c>
      <c r="D56" s="487" t="s">
        <v>402</v>
      </c>
      <c r="E56" s="483" t="s">
        <v>132</v>
      </c>
      <c r="F56" s="484">
        <v>0.03</v>
      </c>
      <c r="G56" s="479">
        <f t="shared" si="7"/>
        <v>160000</v>
      </c>
      <c r="H56" s="486">
        <f t="shared" si="6"/>
        <v>4800</v>
      </c>
      <c r="I56" s="1171"/>
    </row>
    <row r="57" spans="2:13">
      <c r="B57" s="481"/>
      <c r="C57" s="482" t="s">
        <v>28</v>
      </c>
      <c r="D57" s="487" t="s">
        <v>135</v>
      </c>
      <c r="E57" s="483" t="s">
        <v>132</v>
      </c>
      <c r="F57" s="484">
        <v>3.0000000000000001E-3</v>
      </c>
      <c r="G57" s="479">
        <f t="shared" si="7"/>
        <v>170000</v>
      </c>
      <c r="H57" s="486">
        <f t="shared" si="6"/>
        <v>510</v>
      </c>
      <c r="I57" s="1171"/>
    </row>
    <row r="58" spans="2:13">
      <c r="B58" s="488"/>
      <c r="C58" s="501" t="s">
        <v>28</v>
      </c>
      <c r="D58" s="502" t="s">
        <v>136</v>
      </c>
      <c r="E58" s="503" t="s">
        <v>132</v>
      </c>
      <c r="F58" s="513">
        <v>3.0000000000000001E-3</v>
      </c>
      <c r="G58" s="479">
        <f t="shared" si="7"/>
        <v>180000</v>
      </c>
      <c r="H58" s="504">
        <f t="shared" si="6"/>
        <v>540</v>
      </c>
      <c r="I58" s="1171">
        <f>SUM(H55:H58)</f>
        <v>14010</v>
      </c>
    </row>
    <row r="59" spans="2:13">
      <c r="B59" s="505"/>
      <c r="C59" s="495"/>
      <c r="D59" s="506" t="s">
        <v>228</v>
      </c>
      <c r="E59" s="507"/>
      <c r="F59" s="508"/>
      <c r="G59" s="509"/>
      <c r="H59" s="510">
        <f>SUM(H51:H58)</f>
        <v>40368</v>
      </c>
      <c r="I59" s="1171"/>
    </row>
    <row r="60" spans="2:13">
      <c r="B60" s="566"/>
      <c r="C60" s="442" t="s">
        <v>229</v>
      </c>
      <c r="D60" s="378"/>
      <c r="E60" s="378"/>
      <c r="F60" s="378"/>
      <c r="G60" s="518"/>
      <c r="H60" s="518">
        <f>ROUND(H59,0)</f>
        <v>40368</v>
      </c>
      <c r="I60" s="1164"/>
    </row>
    <row r="61" spans="2:13">
      <c r="B61" s="575" t="s">
        <v>532</v>
      </c>
      <c r="C61" s="576" t="s">
        <v>2290</v>
      </c>
      <c r="D61" s="577"/>
      <c r="E61" s="578"/>
      <c r="F61" s="579"/>
      <c r="G61" s="580"/>
      <c r="H61" s="581"/>
      <c r="I61" s="1173"/>
      <c r="M61" s="1392">
        <v>11</v>
      </c>
    </row>
    <row r="62" spans="2:13">
      <c r="B62" s="582"/>
      <c r="C62" s="583" t="s">
        <v>28</v>
      </c>
      <c r="D62" s="584" t="s">
        <v>2044</v>
      </c>
      <c r="E62" s="477" t="s">
        <v>147</v>
      </c>
      <c r="F62" s="585">
        <v>1.05</v>
      </c>
      <c r="G62" s="479">
        <f>BAHAN!$E$119</f>
        <v>65500</v>
      </c>
      <c r="H62" s="480">
        <f t="shared" ref="H62:H69" si="8">G62*F62</f>
        <v>68775</v>
      </c>
      <c r="I62" s="1171"/>
      <c r="J62" s="2050">
        <f>SUMIF(BOQ!$G$1:$G$2403,I!I65,BOQ!$E$1:$E$2403)</f>
        <v>0</v>
      </c>
      <c r="K62" s="1393">
        <f>J62*F62</f>
        <v>0</v>
      </c>
      <c r="M62" s="1392">
        <v>12</v>
      </c>
    </row>
    <row r="63" spans="2:13">
      <c r="B63" s="481"/>
      <c r="C63" s="482" t="s">
        <v>28</v>
      </c>
      <c r="D63" s="487" t="s">
        <v>221</v>
      </c>
      <c r="E63" s="483" t="s">
        <v>145</v>
      </c>
      <c r="F63" s="484">
        <v>9.8000000000000007</v>
      </c>
      <c r="G63" s="485">
        <f>G52</f>
        <v>1500</v>
      </c>
      <c r="H63" s="486">
        <f t="shared" si="8"/>
        <v>14700.000000000002</v>
      </c>
      <c r="I63" s="1171"/>
      <c r="J63" s="1467">
        <f>J62</f>
        <v>0</v>
      </c>
      <c r="K63" s="1393">
        <f>J63*F63</f>
        <v>0</v>
      </c>
    </row>
    <row r="64" spans="2:13">
      <c r="B64" s="481"/>
      <c r="C64" s="482" t="s">
        <v>28</v>
      </c>
      <c r="D64" s="487" t="s">
        <v>453</v>
      </c>
      <c r="E64" s="483" t="s">
        <v>143</v>
      </c>
      <c r="F64" s="484">
        <v>2.1499999999999998E-2</v>
      </c>
      <c r="G64" s="485">
        <f t="shared" ref="G64:G69" si="9">G53</f>
        <v>246000</v>
      </c>
      <c r="H64" s="486">
        <f t="shared" si="8"/>
        <v>5289</v>
      </c>
      <c r="I64" s="1171"/>
      <c r="J64" s="1467">
        <f>J63</f>
        <v>0</v>
      </c>
      <c r="K64" s="1393">
        <f>J64*F64</f>
        <v>0</v>
      </c>
    </row>
    <row r="65" spans="2:13">
      <c r="B65" s="481"/>
      <c r="C65" s="482" t="s">
        <v>28</v>
      </c>
      <c r="D65" s="487" t="s">
        <v>401</v>
      </c>
      <c r="E65" s="483" t="s">
        <v>145</v>
      </c>
      <c r="F65" s="484">
        <v>1.3</v>
      </c>
      <c r="G65" s="485">
        <f t="shared" si="9"/>
        <v>16000</v>
      </c>
      <c r="H65" s="486">
        <f t="shared" si="8"/>
        <v>20800</v>
      </c>
      <c r="I65" s="1171">
        <f>SUM(H62:H65)</f>
        <v>109564</v>
      </c>
      <c r="J65" s="1467">
        <f>J64</f>
        <v>0</v>
      </c>
      <c r="K65" s="1393">
        <f>J65*F65</f>
        <v>0</v>
      </c>
    </row>
    <row r="66" spans="2:13">
      <c r="B66" s="481"/>
      <c r="C66" s="482" t="s">
        <v>28</v>
      </c>
      <c r="D66" s="487" t="s">
        <v>133</v>
      </c>
      <c r="E66" s="483" t="s">
        <v>132</v>
      </c>
      <c r="F66" s="484">
        <v>0.25</v>
      </c>
      <c r="G66" s="485">
        <f t="shared" si="9"/>
        <v>136000</v>
      </c>
      <c r="H66" s="486">
        <f t="shared" si="8"/>
        <v>34000</v>
      </c>
      <c r="I66" s="1171"/>
    </row>
    <row r="67" spans="2:13">
      <c r="B67" s="481"/>
      <c r="C67" s="482" t="s">
        <v>28</v>
      </c>
      <c r="D67" s="487" t="s">
        <v>402</v>
      </c>
      <c r="E67" s="483" t="s">
        <v>132</v>
      </c>
      <c r="F67" s="484">
        <v>0.12</v>
      </c>
      <c r="G67" s="485">
        <f t="shared" si="9"/>
        <v>160000</v>
      </c>
      <c r="H67" s="486">
        <f t="shared" si="8"/>
        <v>19200</v>
      </c>
      <c r="I67" s="1171"/>
    </row>
    <row r="68" spans="2:13">
      <c r="B68" s="481"/>
      <c r="C68" s="482" t="s">
        <v>28</v>
      </c>
      <c r="D68" s="487" t="s">
        <v>135</v>
      </c>
      <c r="E68" s="483" t="s">
        <v>132</v>
      </c>
      <c r="F68" s="484">
        <v>1.2E-2</v>
      </c>
      <c r="G68" s="485">
        <f t="shared" si="9"/>
        <v>170000</v>
      </c>
      <c r="H68" s="486">
        <f t="shared" si="8"/>
        <v>2040</v>
      </c>
      <c r="I68" s="1171"/>
    </row>
    <row r="69" spans="2:13">
      <c r="B69" s="488"/>
      <c r="C69" s="501" t="s">
        <v>28</v>
      </c>
      <c r="D69" s="502" t="s">
        <v>136</v>
      </c>
      <c r="E69" s="503" t="s">
        <v>132</v>
      </c>
      <c r="F69" s="513">
        <v>1.2500000000000001E-2</v>
      </c>
      <c r="G69" s="485">
        <f t="shared" si="9"/>
        <v>180000</v>
      </c>
      <c r="H69" s="504">
        <f t="shared" si="8"/>
        <v>2250</v>
      </c>
      <c r="I69" s="1171">
        <f>SUM(H66:H69)</f>
        <v>57490</v>
      </c>
    </row>
    <row r="70" spans="2:13">
      <c r="B70" s="505"/>
      <c r="C70" s="495"/>
      <c r="D70" s="506" t="s">
        <v>228</v>
      </c>
      <c r="E70" s="507"/>
      <c r="F70" s="508"/>
      <c r="G70" s="509"/>
      <c r="H70" s="510">
        <f>SUM(H62:H69)</f>
        <v>167054</v>
      </c>
      <c r="I70" s="1171"/>
    </row>
    <row r="71" spans="2:13">
      <c r="B71" s="566"/>
      <c r="C71" s="442" t="s">
        <v>229</v>
      </c>
      <c r="D71" s="378"/>
      <c r="E71" s="378"/>
      <c r="F71" s="378"/>
      <c r="G71" s="518"/>
      <c r="H71" s="518">
        <f>ROUND(H70,0)</f>
        <v>167054</v>
      </c>
      <c r="I71" s="1164"/>
    </row>
    <row r="72" spans="2:13">
      <c r="B72" s="575" t="s">
        <v>536</v>
      </c>
      <c r="C72" s="576" t="s">
        <v>2291</v>
      </c>
      <c r="D72" s="577"/>
      <c r="E72" s="578"/>
      <c r="F72" s="579"/>
      <c r="G72" s="580"/>
      <c r="H72" s="581"/>
      <c r="I72" s="1173"/>
      <c r="M72" s="1392">
        <v>13</v>
      </c>
    </row>
    <row r="73" spans="2:13">
      <c r="B73" s="582"/>
      <c r="C73" s="583" t="s">
        <v>28</v>
      </c>
      <c r="D73" s="584" t="s">
        <v>1691</v>
      </c>
      <c r="E73" s="477" t="s">
        <v>147</v>
      </c>
      <c r="F73" s="585">
        <v>1.05</v>
      </c>
      <c r="G73" s="479">
        <f>BAHAN!$E$120</f>
        <v>57000</v>
      </c>
      <c r="H73" s="480">
        <f t="shared" ref="H73:H80" si="10">G73*F73</f>
        <v>59850</v>
      </c>
      <c r="I73" s="1171"/>
      <c r="J73" s="2050">
        <f>SUMIF(BOQ!$G$1:$G$2403,I!I76,BOQ!$E$1:$E$2403)</f>
        <v>0</v>
      </c>
      <c r="K73" s="1393">
        <f>J73*F73</f>
        <v>0</v>
      </c>
      <c r="M73" s="1392">
        <v>14</v>
      </c>
    </row>
    <row r="74" spans="2:13">
      <c r="B74" s="481"/>
      <c r="C74" s="482" t="s">
        <v>28</v>
      </c>
      <c r="D74" s="487" t="s">
        <v>221</v>
      </c>
      <c r="E74" s="483" t="s">
        <v>145</v>
      </c>
      <c r="F74" s="484">
        <v>9.8000000000000007</v>
      </c>
      <c r="G74" s="485">
        <f>G63</f>
        <v>1500</v>
      </c>
      <c r="H74" s="486">
        <f t="shared" si="10"/>
        <v>14700.000000000002</v>
      </c>
      <c r="I74" s="1171"/>
      <c r="J74" s="1467">
        <f>J73</f>
        <v>0</v>
      </c>
      <c r="K74" s="1393">
        <f>J74*F74</f>
        <v>0</v>
      </c>
    </row>
    <row r="75" spans="2:13">
      <c r="B75" s="481"/>
      <c r="C75" s="482" t="s">
        <v>28</v>
      </c>
      <c r="D75" s="487" t="s">
        <v>453</v>
      </c>
      <c r="E75" s="483" t="s">
        <v>143</v>
      </c>
      <c r="F75" s="484">
        <v>2.1499999999999998E-2</v>
      </c>
      <c r="G75" s="485">
        <f t="shared" ref="G75:G80" si="11">G64</f>
        <v>246000</v>
      </c>
      <c r="H75" s="486">
        <f t="shared" si="10"/>
        <v>5289</v>
      </c>
      <c r="I75" s="1171"/>
      <c r="J75" s="1467">
        <f>J74</f>
        <v>0</v>
      </c>
      <c r="K75" s="1393">
        <f>J75*F75</f>
        <v>0</v>
      </c>
    </row>
    <row r="76" spans="2:13">
      <c r="B76" s="481"/>
      <c r="C76" s="482" t="s">
        <v>28</v>
      </c>
      <c r="D76" s="487" t="s">
        <v>401</v>
      </c>
      <c r="E76" s="483" t="s">
        <v>145</v>
      </c>
      <c r="F76" s="484">
        <v>1.3</v>
      </c>
      <c r="G76" s="485">
        <f t="shared" si="11"/>
        <v>16000</v>
      </c>
      <c r="H76" s="486">
        <f t="shared" si="10"/>
        <v>20800</v>
      </c>
      <c r="I76" s="1171">
        <f>SUM(H73:H76)</f>
        <v>100639</v>
      </c>
      <c r="J76" s="1467">
        <f>J75</f>
        <v>0</v>
      </c>
      <c r="K76" s="1393">
        <f>J76*F76</f>
        <v>0</v>
      </c>
    </row>
    <row r="77" spans="2:13">
      <c r="B77" s="481"/>
      <c r="C77" s="482" t="s">
        <v>28</v>
      </c>
      <c r="D77" s="487" t="s">
        <v>133</v>
      </c>
      <c r="E77" s="483" t="s">
        <v>132</v>
      </c>
      <c r="F77" s="484">
        <v>0.25</v>
      </c>
      <c r="G77" s="485">
        <f t="shared" si="11"/>
        <v>136000</v>
      </c>
      <c r="H77" s="486">
        <f t="shared" si="10"/>
        <v>34000</v>
      </c>
      <c r="I77" s="1171"/>
    </row>
    <row r="78" spans="2:13">
      <c r="B78" s="481"/>
      <c r="C78" s="482" t="s">
        <v>28</v>
      </c>
      <c r="D78" s="487" t="s">
        <v>402</v>
      </c>
      <c r="E78" s="483" t="s">
        <v>132</v>
      </c>
      <c r="F78" s="484">
        <v>0.12</v>
      </c>
      <c r="G78" s="485">
        <f t="shared" si="11"/>
        <v>160000</v>
      </c>
      <c r="H78" s="486">
        <f t="shared" si="10"/>
        <v>19200</v>
      </c>
      <c r="I78" s="1171"/>
    </row>
    <row r="79" spans="2:13">
      <c r="B79" s="481"/>
      <c r="C79" s="482" t="s">
        <v>28</v>
      </c>
      <c r="D79" s="487" t="s">
        <v>135</v>
      </c>
      <c r="E79" s="483" t="s">
        <v>132</v>
      </c>
      <c r="F79" s="484">
        <v>1.2E-2</v>
      </c>
      <c r="G79" s="485">
        <f t="shared" si="11"/>
        <v>170000</v>
      </c>
      <c r="H79" s="486">
        <f t="shared" si="10"/>
        <v>2040</v>
      </c>
      <c r="I79" s="1171"/>
    </row>
    <row r="80" spans="2:13">
      <c r="B80" s="488"/>
      <c r="C80" s="501" t="s">
        <v>28</v>
      </c>
      <c r="D80" s="502" t="s">
        <v>136</v>
      </c>
      <c r="E80" s="503" t="s">
        <v>132</v>
      </c>
      <c r="F80" s="513">
        <v>1.2500000000000001E-2</v>
      </c>
      <c r="G80" s="485">
        <f t="shared" si="11"/>
        <v>180000</v>
      </c>
      <c r="H80" s="504">
        <f t="shared" si="10"/>
        <v>2250</v>
      </c>
      <c r="I80" s="1171">
        <f>SUM(H77:H80)</f>
        <v>57490</v>
      </c>
    </row>
    <row r="81" spans="2:13">
      <c r="B81" s="505"/>
      <c r="C81" s="495"/>
      <c r="D81" s="506" t="s">
        <v>228</v>
      </c>
      <c r="E81" s="507"/>
      <c r="F81" s="508"/>
      <c r="G81" s="509"/>
      <c r="H81" s="510">
        <f>SUM(H73:H80)</f>
        <v>158129</v>
      </c>
      <c r="I81" s="1171"/>
    </row>
    <row r="82" spans="2:13">
      <c r="B82" s="566"/>
      <c r="C82" s="442" t="s">
        <v>229</v>
      </c>
      <c r="D82" s="378"/>
      <c r="E82" s="378"/>
      <c r="F82" s="378"/>
      <c r="G82" s="518"/>
      <c r="H82" s="518">
        <f>ROUND(H81,0)</f>
        <v>158129</v>
      </c>
      <c r="I82" s="1164"/>
    </row>
    <row r="83" spans="2:13">
      <c r="B83" s="575" t="s">
        <v>539</v>
      </c>
      <c r="C83" s="576" t="str">
        <f>"1 M2 Lantai "&amp;BAHAN!C122&amp;" "&amp;BAHAN!F122</f>
        <v>1 M2 Lantai Keramik 30x30 Ex. Roman dBorra Grey G330519</v>
      </c>
      <c r="D83" s="577"/>
      <c r="E83" s="578"/>
      <c r="F83" s="579"/>
      <c r="G83" s="580"/>
      <c r="H83" s="581"/>
      <c r="I83" s="1173"/>
      <c r="M83" s="1392">
        <v>15</v>
      </c>
    </row>
    <row r="84" spans="2:13">
      <c r="B84" s="582"/>
      <c r="C84" s="583" t="s">
        <v>28</v>
      </c>
      <c r="D84" s="584" t="s">
        <v>2632</v>
      </c>
      <c r="E84" s="477" t="s">
        <v>147</v>
      </c>
      <c r="F84" s="585">
        <v>1.05</v>
      </c>
      <c r="G84" s="479">
        <f>BAHAN!$E$122</f>
        <v>101010.10101010102</v>
      </c>
      <c r="H84" s="480">
        <f t="shared" ref="H84:H91" si="12">G84*F84</f>
        <v>106060.60606060608</v>
      </c>
      <c r="I84" s="1171"/>
      <c r="J84" s="2050">
        <f>SUMIF(BOQ!$G$1:$G$2403,I!I87,BOQ!$E$1:$E$2403)</f>
        <v>0</v>
      </c>
      <c r="K84" s="1393">
        <f>J84*F84</f>
        <v>0</v>
      </c>
      <c r="M84" s="1392">
        <v>16</v>
      </c>
    </row>
    <row r="85" spans="2:13">
      <c r="B85" s="481"/>
      <c r="C85" s="482" t="s">
        <v>28</v>
      </c>
      <c r="D85" s="487" t="s">
        <v>221</v>
      </c>
      <c r="E85" s="483" t="s">
        <v>145</v>
      </c>
      <c r="F85" s="484">
        <v>9.8000000000000007</v>
      </c>
      <c r="G85" s="485">
        <f t="shared" ref="G85:G91" si="13">G63</f>
        <v>1500</v>
      </c>
      <c r="H85" s="486">
        <f t="shared" si="12"/>
        <v>14700.000000000002</v>
      </c>
      <c r="I85" s="1171"/>
      <c r="J85" s="1467">
        <f>J84</f>
        <v>0</v>
      </c>
      <c r="K85" s="1393">
        <f>J85*F85</f>
        <v>0</v>
      </c>
    </row>
    <row r="86" spans="2:13">
      <c r="B86" s="481"/>
      <c r="C86" s="482" t="s">
        <v>28</v>
      </c>
      <c r="D86" s="487" t="s">
        <v>453</v>
      </c>
      <c r="E86" s="483" t="s">
        <v>143</v>
      </c>
      <c r="F86" s="484">
        <v>2.1499999999999998E-2</v>
      </c>
      <c r="G86" s="485">
        <f t="shared" si="13"/>
        <v>246000</v>
      </c>
      <c r="H86" s="486">
        <f t="shared" si="12"/>
        <v>5289</v>
      </c>
      <c r="I86" s="1171"/>
      <c r="J86" s="1467">
        <f>J85</f>
        <v>0</v>
      </c>
      <c r="K86" s="1393">
        <f>J86*F86</f>
        <v>0</v>
      </c>
    </row>
    <row r="87" spans="2:13">
      <c r="B87" s="481"/>
      <c r="C87" s="482" t="s">
        <v>28</v>
      </c>
      <c r="D87" s="487" t="s">
        <v>401</v>
      </c>
      <c r="E87" s="483" t="s">
        <v>145</v>
      </c>
      <c r="F87" s="484">
        <v>1.3</v>
      </c>
      <c r="G87" s="485">
        <f t="shared" si="13"/>
        <v>16000</v>
      </c>
      <c r="H87" s="486">
        <f t="shared" si="12"/>
        <v>20800</v>
      </c>
      <c r="I87" s="1171">
        <f>SUM(H84:H87)</f>
        <v>146849.60606060608</v>
      </c>
      <c r="J87" s="1467">
        <f>J86</f>
        <v>0</v>
      </c>
      <c r="K87" s="1393">
        <f>J87*F87</f>
        <v>0</v>
      </c>
    </row>
    <row r="88" spans="2:13">
      <c r="B88" s="481"/>
      <c r="C88" s="482" t="s">
        <v>28</v>
      </c>
      <c r="D88" s="487" t="s">
        <v>133</v>
      </c>
      <c r="E88" s="483" t="s">
        <v>132</v>
      </c>
      <c r="F88" s="484">
        <v>0.25</v>
      </c>
      <c r="G88" s="485">
        <f t="shared" si="13"/>
        <v>136000</v>
      </c>
      <c r="H88" s="486">
        <f t="shared" si="12"/>
        <v>34000</v>
      </c>
      <c r="I88" s="1171"/>
    </row>
    <row r="89" spans="2:13">
      <c r="B89" s="481"/>
      <c r="C89" s="482" t="s">
        <v>28</v>
      </c>
      <c r="D89" s="487" t="s">
        <v>402</v>
      </c>
      <c r="E89" s="483" t="s">
        <v>132</v>
      </c>
      <c r="F89" s="484">
        <v>0.12</v>
      </c>
      <c r="G89" s="485">
        <f t="shared" si="13"/>
        <v>160000</v>
      </c>
      <c r="H89" s="486">
        <f t="shared" si="12"/>
        <v>19200</v>
      </c>
      <c r="I89" s="1171"/>
    </row>
    <row r="90" spans="2:13">
      <c r="B90" s="481"/>
      <c r="C90" s="482" t="s">
        <v>28</v>
      </c>
      <c r="D90" s="487" t="s">
        <v>135</v>
      </c>
      <c r="E90" s="483" t="s">
        <v>132</v>
      </c>
      <c r="F90" s="484">
        <v>1.2E-2</v>
      </c>
      <c r="G90" s="485">
        <f t="shared" si="13"/>
        <v>170000</v>
      </c>
      <c r="H90" s="486">
        <f t="shared" si="12"/>
        <v>2040</v>
      </c>
      <c r="I90" s="1171"/>
    </row>
    <row r="91" spans="2:13">
      <c r="B91" s="488"/>
      <c r="C91" s="501" t="s">
        <v>28</v>
      </c>
      <c r="D91" s="502" t="s">
        <v>136</v>
      </c>
      <c r="E91" s="503" t="s">
        <v>132</v>
      </c>
      <c r="F91" s="513">
        <v>1.2500000000000001E-2</v>
      </c>
      <c r="G91" s="485">
        <f t="shared" si="13"/>
        <v>180000</v>
      </c>
      <c r="H91" s="504">
        <f t="shared" si="12"/>
        <v>2250</v>
      </c>
      <c r="I91" s="1171">
        <f>SUM(H88:H91)</f>
        <v>57490</v>
      </c>
    </row>
    <row r="92" spans="2:13">
      <c r="B92" s="505"/>
      <c r="C92" s="495"/>
      <c r="D92" s="506" t="s">
        <v>228</v>
      </c>
      <c r="E92" s="507"/>
      <c r="F92" s="508"/>
      <c r="G92" s="509"/>
      <c r="H92" s="510">
        <f>SUM(H84:H91)</f>
        <v>204339.60606060608</v>
      </c>
      <c r="I92" s="1171"/>
    </row>
    <row r="93" spans="2:13">
      <c r="B93" s="566"/>
      <c r="C93" s="442" t="s">
        <v>229</v>
      </c>
      <c r="D93" s="378"/>
      <c r="E93" s="378"/>
      <c r="F93" s="378"/>
      <c r="G93" s="518"/>
      <c r="H93" s="518">
        <f>ROUND(H92,0)</f>
        <v>204340</v>
      </c>
      <c r="I93" s="1164"/>
    </row>
    <row r="94" spans="2:13">
      <c r="B94" s="575" t="s">
        <v>542</v>
      </c>
      <c r="C94" s="576" t="s">
        <v>2292</v>
      </c>
      <c r="D94" s="1253"/>
      <c r="E94" s="578"/>
      <c r="F94" s="579"/>
      <c r="G94" s="580"/>
      <c r="H94" s="581"/>
      <c r="I94" s="1173"/>
      <c r="M94" s="1392">
        <v>17</v>
      </c>
    </row>
    <row r="95" spans="2:13">
      <c r="B95" s="582"/>
      <c r="C95" s="583" t="s">
        <v>28</v>
      </c>
      <c r="D95" s="584" t="s">
        <v>2033</v>
      </c>
      <c r="E95" s="1254" t="s">
        <v>147</v>
      </c>
      <c r="F95" s="585">
        <v>1.05</v>
      </c>
      <c r="G95" s="1255">
        <f>BAHAN!E116</f>
        <v>90000</v>
      </c>
      <c r="H95" s="1256">
        <f t="shared" ref="H95:H102" si="14">G95*F95</f>
        <v>94500</v>
      </c>
      <c r="I95" s="1171"/>
      <c r="J95" s="2050">
        <f>SUMIF(BOQ!$G$917:$G$938,I!I98,BOQ!$E$917:$E$938)</f>
        <v>0</v>
      </c>
      <c r="K95" s="1393">
        <f>J95*F95</f>
        <v>0</v>
      </c>
      <c r="L95" s="1395" t="s">
        <v>147</v>
      </c>
      <c r="M95" s="1392">
        <v>18</v>
      </c>
    </row>
    <row r="96" spans="2:13">
      <c r="B96" s="1257"/>
      <c r="C96" s="1258" t="s">
        <v>28</v>
      </c>
      <c r="D96" s="1259" t="s">
        <v>221</v>
      </c>
      <c r="E96" s="1260" t="s">
        <v>145</v>
      </c>
      <c r="F96" s="1261">
        <v>9.8000000000000007</v>
      </c>
      <c r="G96" s="1262">
        <f>G85</f>
        <v>1500</v>
      </c>
      <c r="H96" s="1263">
        <f t="shared" si="14"/>
        <v>14700.000000000002</v>
      </c>
      <c r="I96" s="1171"/>
      <c r="J96" s="1467">
        <f>J95</f>
        <v>0</v>
      </c>
      <c r="K96" s="1393">
        <f>J96*F96</f>
        <v>0</v>
      </c>
      <c r="L96" s="1395" t="s">
        <v>145</v>
      </c>
    </row>
    <row r="97" spans="2:13">
      <c r="B97" s="1257"/>
      <c r="C97" s="1258" t="s">
        <v>28</v>
      </c>
      <c r="D97" s="1259" t="s">
        <v>453</v>
      </c>
      <c r="E97" s="1260" t="s">
        <v>143</v>
      </c>
      <c r="F97" s="1261">
        <v>2.1499999999999998E-2</v>
      </c>
      <c r="G97" s="1262">
        <f t="shared" ref="G97:G102" si="15">G86</f>
        <v>246000</v>
      </c>
      <c r="H97" s="1263">
        <f t="shared" si="14"/>
        <v>5289</v>
      </c>
      <c r="I97" s="1171"/>
      <c r="J97" s="1467">
        <f>J96</f>
        <v>0</v>
      </c>
      <c r="K97" s="1393">
        <f>J97*F97</f>
        <v>0</v>
      </c>
      <c r="L97" s="1395" t="s">
        <v>143</v>
      </c>
    </row>
    <row r="98" spans="2:13">
      <c r="B98" s="1257"/>
      <c r="C98" s="1258" t="s">
        <v>28</v>
      </c>
      <c r="D98" s="1259" t="s">
        <v>401</v>
      </c>
      <c r="E98" s="1260" t="s">
        <v>145</v>
      </c>
      <c r="F98" s="1261">
        <v>1.3</v>
      </c>
      <c r="G98" s="1262">
        <f t="shared" si="15"/>
        <v>16000</v>
      </c>
      <c r="H98" s="1263">
        <f t="shared" si="14"/>
        <v>20800</v>
      </c>
      <c r="I98" s="1171">
        <f>SUM(H95:H98)</f>
        <v>135289</v>
      </c>
      <c r="J98" s="1467">
        <f>J97</f>
        <v>0</v>
      </c>
      <c r="K98" s="1393">
        <f>J98*F98</f>
        <v>0</v>
      </c>
      <c r="L98" s="1395" t="s">
        <v>145</v>
      </c>
    </row>
    <row r="99" spans="2:13">
      <c r="B99" s="1257"/>
      <c r="C99" s="1258" t="s">
        <v>28</v>
      </c>
      <c r="D99" s="1259" t="s">
        <v>133</v>
      </c>
      <c r="E99" s="1260" t="s">
        <v>132</v>
      </c>
      <c r="F99" s="1261">
        <v>0.25</v>
      </c>
      <c r="G99" s="1262">
        <f t="shared" si="15"/>
        <v>136000</v>
      </c>
      <c r="H99" s="1263">
        <f t="shared" si="14"/>
        <v>34000</v>
      </c>
      <c r="I99" s="1171"/>
    </row>
    <row r="100" spans="2:13">
      <c r="B100" s="1257"/>
      <c r="C100" s="1258" t="s">
        <v>28</v>
      </c>
      <c r="D100" s="1259" t="s">
        <v>402</v>
      </c>
      <c r="E100" s="1260" t="s">
        <v>132</v>
      </c>
      <c r="F100" s="1261">
        <v>0.12</v>
      </c>
      <c r="G100" s="1262">
        <f t="shared" si="15"/>
        <v>160000</v>
      </c>
      <c r="H100" s="1263">
        <f t="shared" si="14"/>
        <v>19200</v>
      </c>
      <c r="I100" s="1171"/>
    </row>
    <row r="101" spans="2:13">
      <c r="B101" s="1257"/>
      <c r="C101" s="1258" t="s">
        <v>28</v>
      </c>
      <c r="D101" s="1259" t="s">
        <v>135</v>
      </c>
      <c r="E101" s="1260" t="s">
        <v>132</v>
      </c>
      <c r="F101" s="1261">
        <v>1.2E-2</v>
      </c>
      <c r="G101" s="1262">
        <f t="shared" si="15"/>
        <v>170000</v>
      </c>
      <c r="H101" s="1263">
        <f t="shared" si="14"/>
        <v>2040</v>
      </c>
      <c r="I101" s="1171"/>
    </row>
    <row r="102" spans="2:13">
      <c r="B102" s="1195"/>
      <c r="C102" s="1264" t="s">
        <v>28</v>
      </c>
      <c r="D102" s="1265" t="s">
        <v>136</v>
      </c>
      <c r="E102" s="1266" t="s">
        <v>132</v>
      </c>
      <c r="F102" s="1267">
        <v>1.2500000000000001E-2</v>
      </c>
      <c r="G102" s="1262">
        <f t="shared" si="15"/>
        <v>180000</v>
      </c>
      <c r="H102" s="1268">
        <f t="shared" si="14"/>
        <v>2250</v>
      </c>
      <c r="I102" s="1171">
        <f>SUM(H99:H102)</f>
        <v>57490</v>
      </c>
    </row>
    <row r="103" spans="2:13">
      <c r="B103" s="505"/>
      <c r="C103" s="1269"/>
      <c r="D103" s="1080" t="s">
        <v>228</v>
      </c>
      <c r="E103" s="1081"/>
      <c r="F103" s="1270"/>
      <c r="G103" s="1083"/>
      <c r="H103" s="1084">
        <f>SUM(H95:H102)</f>
        <v>192779</v>
      </c>
      <c r="I103" s="1171"/>
    </row>
    <row r="104" spans="2:13">
      <c r="B104" s="566"/>
      <c r="C104" s="1227" t="s">
        <v>229</v>
      </c>
      <c r="D104" s="1228"/>
      <c r="E104" s="1228"/>
      <c r="F104" s="1228"/>
      <c r="G104" s="1229"/>
      <c r="H104" s="1229">
        <f>ROUND(H103,0)</f>
        <v>192779</v>
      </c>
      <c r="I104" s="1164"/>
    </row>
    <row r="105" spans="2:13">
      <c r="B105" s="575" t="s">
        <v>545</v>
      </c>
      <c r="C105" s="576" t="s">
        <v>2996</v>
      </c>
      <c r="D105" s="577"/>
      <c r="E105" s="578"/>
      <c r="F105" s="579"/>
      <c r="G105" s="580"/>
      <c r="H105" s="581"/>
      <c r="I105" s="1173"/>
      <c r="M105" s="1392">
        <v>19</v>
      </c>
    </row>
    <row r="106" spans="2:13">
      <c r="B106" s="582"/>
      <c r="C106" s="583" t="s">
        <v>28</v>
      </c>
      <c r="D106" s="584" t="s">
        <v>2229</v>
      </c>
      <c r="E106" s="477" t="s">
        <v>147</v>
      </c>
      <c r="F106" s="585">
        <v>1.05</v>
      </c>
      <c r="G106" s="479">
        <f>BAHAN!$E$123</f>
        <v>190000</v>
      </c>
      <c r="H106" s="480">
        <f t="shared" ref="H106:H113" si="16">G106*F106</f>
        <v>199500</v>
      </c>
      <c r="I106" s="1171"/>
      <c r="J106" s="2050">
        <f>SUMIF(BOQ!$G$1:$G$2421,I!I109,BOQ!$E$1:$E$2421)</f>
        <v>0</v>
      </c>
      <c r="K106" s="1467">
        <f>J106*F106</f>
        <v>0</v>
      </c>
      <c r="L106" s="1395" t="s">
        <v>147</v>
      </c>
      <c r="M106" s="1392">
        <v>20</v>
      </c>
    </row>
    <row r="107" spans="2:13">
      <c r="B107" s="481"/>
      <c r="C107" s="482" t="s">
        <v>28</v>
      </c>
      <c r="D107" s="487" t="s">
        <v>221</v>
      </c>
      <c r="E107" s="483" t="s">
        <v>145</v>
      </c>
      <c r="F107" s="484">
        <v>9.8000000000000007</v>
      </c>
      <c r="G107" s="485">
        <f t="shared" ref="G107:G113" si="17">G85</f>
        <v>1500</v>
      </c>
      <c r="H107" s="486">
        <f t="shared" si="16"/>
        <v>14700.000000000002</v>
      </c>
      <c r="I107" s="1171"/>
      <c r="J107" s="1467">
        <f>$J$106</f>
        <v>0</v>
      </c>
      <c r="K107" s="1467">
        <f>J107*F107</f>
        <v>0</v>
      </c>
      <c r="L107" s="1395" t="s">
        <v>145</v>
      </c>
    </row>
    <row r="108" spans="2:13">
      <c r="B108" s="481"/>
      <c r="C108" s="482" t="s">
        <v>28</v>
      </c>
      <c r="D108" s="487" t="s">
        <v>453</v>
      </c>
      <c r="E108" s="483" t="s">
        <v>143</v>
      </c>
      <c r="F108" s="484">
        <v>2.1499999999999998E-2</v>
      </c>
      <c r="G108" s="485">
        <f t="shared" si="17"/>
        <v>246000</v>
      </c>
      <c r="H108" s="486">
        <f t="shared" si="16"/>
        <v>5289</v>
      </c>
      <c r="I108" s="1171"/>
      <c r="J108" s="1467">
        <f>$J$106</f>
        <v>0</v>
      </c>
      <c r="K108" s="1467">
        <f>J108*F108</f>
        <v>0</v>
      </c>
      <c r="L108" s="1395" t="s">
        <v>143</v>
      </c>
    </row>
    <row r="109" spans="2:13">
      <c r="B109" s="481"/>
      <c r="C109" s="482" t="s">
        <v>28</v>
      </c>
      <c r="D109" s="487" t="s">
        <v>401</v>
      </c>
      <c r="E109" s="483" t="s">
        <v>145</v>
      </c>
      <c r="F109" s="484">
        <v>1.3</v>
      </c>
      <c r="G109" s="485">
        <f t="shared" si="17"/>
        <v>16000</v>
      </c>
      <c r="H109" s="486">
        <f t="shared" si="16"/>
        <v>20800</v>
      </c>
      <c r="I109" s="1171">
        <f>SUM(H106:H109)</f>
        <v>240289</v>
      </c>
      <c r="J109" s="1467">
        <f>$J$106</f>
        <v>0</v>
      </c>
      <c r="K109" s="1467">
        <f>J109*F109</f>
        <v>0</v>
      </c>
      <c r="L109" s="1395" t="s">
        <v>145</v>
      </c>
    </row>
    <row r="110" spans="2:13">
      <c r="B110" s="481"/>
      <c r="C110" s="482" t="s">
        <v>28</v>
      </c>
      <c r="D110" s="487" t="s">
        <v>133</v>
      </c>
      <c r="E110" s="483" t="s">
        <v>132</v>
      </c>
      <c r="F110" s="484">
        <v>0.25</v>
      </c>
      <c r="G110" s="485">
        <f t="shared" si="17"/>
        <v>136000</v>
      </c>
      <c r="H110" s="486">
        <f t="shared" si="16"/>
        <v>34000</v>
      </c>
      <c r="I110" s="1171"/>
    </row>
    <row r="111" spans="2:13">
      <c r="B111" s="481"/>
      <c r="C111" s="482" t="s">
        <v>28</v>
      </c>
      <c r="D111" s="487" t="s">
        <v>402</v>
      </c>
      <c r="E111" s="483" t="s">
        <v>132</v>
      </c>
      <c r="F111" s="484">
        <v>0.12</v>
      </c>
      <c r="G111" s="485">
        <f t="shared" si="17"/>
        <v>160000</v>
      </c>
      <c r="H111" s="486">
        <f t="shared" si="16"/>
        <v>19200</v>
      </c>
      <c r="I111" s="1171"/>
    </row>
    <row r="112" spans="2:13">
      <c r="B112" s="481"/>
      <c r="C112" s="482" t="s">
        <v>28</v>
      </c>
      <c r="D112" s="487" t="s">
        <v>135</v>
      </c>
      <c r="E112" s="483" t="s">
        <v>132</v>
      </c>
      <c r="F112" s="484">
        <v>1.2E-2</v>
      </c>
      <c r="G112" s="485">
        <f t="shared" si="17"/>
        <v>170000</v>
      </c>
      <c r="H112" s="486">
        <f t="shared" si="16"/>
        <v>2040</v>
      </c>
      <c r="I112" s="1171"/>
    </row>
    <row r="113" spans="2:13">
      <c r="B113" s="488"/>
      <c r="C113" s="501" t="s">
        <v>28</v>
      </c>
      <c r="D113" s="502" t="s">
        <v>136</v>
      </c>
      <c r="E113" s="503" t="s">
        <v>132</v>
      </c>
      <c r="F113" s="513">
        <v>1.2500000000000001E-2</v>
      </c>
      <c r="G113" s="485">
        <f t="shared" si="17"/>
        <v>180000</v>
      </c>
      <c r="H113" s="504">
        <f t="shared" si="16"/>
        <v>2250</v>
      </c>
      <c r="I113" s="1171">
        <f>SUM(H110:H113)</f>
        <v>57490</v>
      </c>
    </row>
    <row r="114" spans="2:13">
      <c r="B114" s="505"/>
      <c r="C114" s="495"/>
      <c r="D114" s="506" t="s">
        <v>228</v>
      </c>
      <c r="E114" s="507"/>
      <c r="F114" s="508"/>
      <c r="G114" s="509"/>
      <c r="H114" s="510">
        <f>SUM(H106:H113)</f>
        <v>297779</v>
      </c>
      <c r="I114" s="1171"/>
    </row>
    <row r="115" spans="2:13">
      <c r="B115" s="566"/>
      <c r="C115" s="442" t="s">
        <v>229</v>
      </c>
      <c r="D115" s="378"/>
      <c r="E115" s="378"/>
      <c r="F115" s="378"/>
      <c r="G115" s="518"/>
      <c r="H115" s="518">
        <f>ROUND(H114,0)</f>
        <v>297779</v>
      </c>
      <c r="I115" s="1164"/>
    </row>
    <row r="116" spans="2:13">
      <c r="B116" s="591" t="s">
        <v>1407</v>
      </c>
      <c r="C116" s="576" t="s">
        <v>2293</v>
      </c>
      <c r="D116" s="577"/>
      <c r="E116" s="578"/>
      <c r="F116" s="579"/>
      <c r="G116" s="580"/>
      <c r="H116" s="581"/>
      <c r="I116" s="1173"/>
      <c r="M116" s="1392">
        <v>21</v>
      </c>
    </row>
    <row r="117" spans="2:13">
      <c r="B117" s="582"/>
      <c r="C117" s="583" t="s">
        <v>28</v>
      </c>
      <c r="D117" s="584" t="str">
        <f>BAHAN!F130</f>
        <v xml:space="preserve">Ex.Pool Tile V 4808-7 Mosaic Mozaik Kolam Keramik Kolam Renang </v>
      </c>
      <c r="E117" s="477" t="s">
        <v>147</v>
      </c>
      <c r="F117" s="585">
        <v>1.05</v>
      </c>
      <c r="G117" s="479">
        <f>BAHAN!$E$130</f>
        <v>39393.939393939392</v>
      </c>
      <c r="H117" s="480">
        <f t="shared" ref="H117:H124" si="18">G117*F117</f>
        <v>41363.63636363636</v>
      </c>
      <c r="I117" s="1171"/>
      <c r="J117" s="2050">
        <f>SUMIF(BOQ!$G$917:$G$938,I!I120,BOQ!$E$917:$E$938)</f>
        <v>0</v>
      </c>
      <c r="K117" s="1393">
        <f>J117*F117</f>
        <v>0</v>
      </c>
      <c r="L117" s="1395" t="s">
        <v>147</v>
      </c>
      <c r="M117" s="1392">
        <v>22</v>
      </c>
    </row>
    <row r="118" spans="2:13">
      <c r="B118" s="481"/>
      <c r="C118" s="482" t="s">
        <v>28</v>
      </c>
      <c r="D118" s="487" t="s">
        <v>221</v>
      </c>
      <c r="E118" s="483" t="s">
        <v>145</v>
      </c>
      <c r="F118" s="484">
        <v>9.8000000000000007</v>
      </c>
      <c r="G118" s="485">
        <f t="shared" ref="G118:G124" si="19">G96</f>
        <v>1500</v>
      </c>
      <c r="H118" s="486">
        <f t="shared" si="18"/>
        <v>14700.000000000002</v>
      </c>
      <c r="I118" s="1171"/>
      <c r="J118" s="1467">
        <f>J117</f>
        <v>0</v>
      </c>
      <c r="K118" s="1393">
        <f>J118*F118</f>
        <v>0</v>
      </c>
      <c r="L118" s="1395" t="s">
        <v>145</v>
      </c>
    </row>
    <row r="119" spans="2:13">
      <c r="B119" s="481"/>
      <c r="C119" s="482" t="s">
        <v>28</v>
      </c>
      <c r="D119" s="487" t="s">
        <v>453</v>
      </c>
      <c r="E119" s="483" t="s">
        <v>143</v>
      </c>
      <c r="F119" s="484">
        <v>2.1499999999999998E-2</v>
      </c>
      <c r="G119" s="485">
        <f t="shared" si="19"/>
        <v>246000</v>
      </c>
      <c r="H119" s="486">
        <f t="shared" si="18"/>
        <v>5289</v>
      </c>
      <c r="I119" s="1171"/>
      <c r="J119" s="1467">
        <f>J118</f>
        <v>0</v>
      </c>
      <c r="K119" s="1393">
        <f>J119*F119</f>
        <v>0</v>
      </c>
      <c r="L119" s="1395" t="s">
        <v>143</v>
      </c>
    </row>
    <row r="120" spans="2:13">
      <c r="B120" s="481"/>
      <c r="C120" s="482" t="s">
        <v>28</v>
      </c>
      <c r="D120" s="487" t="s">
        <v>401</v>
      </c>
      <c r="E120" s="483" t="s">
        <v>145</v>
      </c>
      <c r="F120" s="484">
        <v>1.3</v>
      </c>
      <c r="G120" s="485">
        <f t="shared" si="19"/>
        <v>16000</v>
      </c>
      <c r="H120" s="486">
        <f t="shared" si="18"/>
        <v>20800</v>
      </c>
      <c r="I120" s="1171">
        <f>SUM(H117:H120)</f>
        <v>82152.636363636353</v>
      </c>
      <c r="J120" s="1467">
        <f>J119</f>
        <v>0</v>
      </c>
      <c r="K120" s="1393">
        <f>J120*F120</f>
        <v>0</v>
      </c>
      <c r="L120" s="1395" t="s">
        <v>145</v>
      </c>
    </row>
    <row r="121" spans="2:13">
      <c r="B121" s="481"/>
      <c r="C121" s="482" t="s">
        <v>28</v>
      </c>
      <c r="D121" s="487" t="s">
        <v>133</v>
      </c>
      <c r="E121" s="483" t="s">
        <v>132</v>
      </c>
      <c r="F121" s="484">
        <v>0.25</v>
      </c>
      <c r="G121" s="485">
        <f t="shared" si="19"/>
        <v>136000</v>
      </c>
      <c r="H121" s="486">
        <f t="shared" si="18"/>
        <v>34000</v>
      </c>
      <c r="I121" s="1171"/>
    </row>
    <row r="122" spans="2:13">
      <c r="B122" s="481"/>
      <c r="C122" s="482" t="s">
        <v>28</v>
      </c>
      <c r="D122" s="487" t="s">
        <v>402</v>
      </c>
      <c r="E122" s="483" t="s">
        <v>132</v>
      </c>
      <c r="F122" s="484">
        <v>0.12</v>
      </c>
      <c r="G122" s="485">
        <f t="shared" si="19"/>
        <v>160000</v>
      </c>
      <c r="H122" s="486">
        <f t="shared" si="18"/>
        <v>19200</v>
      </c>
      <c r="I122" s="1171"/>
    </row>
    <row r="123" spans="2:13">
      <c r="B123" s="481"/>
      <c r="C123" s="482" t="s">
        <v>28</v>
      </c>
      <c r="D123" s="487" t="s">
        <v>135</v>
      </c>
      <c r="E123" s="483" t="s">
        <v>132</v>
      </c>
      <c r="F123" s="484">
        <v>1.2E-2</v>
      </c>
      <c r="G123" s="485">
        <f t="shared" si="19"/>
        <v>170000</v>
      </c>
      <c r="H123" s="486">
        <f t="shared" si="18"/>
        <v>2040</v>
      </c>
      <c r="I123" s="1171"/>
    </row>
    <row r="124" spans="2:13">
      <c r="B124" s="488"/>
      <c r="C124" s="501" t="s">
        <v>28</v>
      </c>
      <c r="D124" s="502" t="s">
        <v>136</v>
      </c>
      <c r="E124" s="503" t="s">
        <v>132</v>
      </c>
      <c r="F124" s="513">
        <v>1.2500000000000001E-2</v>
      </c>
      <c r="G124" s="485">
        <f t="shared" si="19"/>
        <v>180000</v>
      </c>
      <c r="H124" s="504">
        <f t="shared" si="18"/>
        <v>2250</v>
      </c>
      <c r="I124" s="1171">
        <f>SUM(H121:H124)</f>
        <v>57490</v>
      </c>
    </row>
    <row r="125" spans="2:13">
      <c r="B125" s="505"/>
      <c r="C125" s="495"/>
      <c r="D125" s="506" t="s">
        <v>228</v>
      </c>
      <c r="E125" s="507"/>
      <c r="F125" s="508"/>
      <c r="G125" s="509"/>
      <c r="H125" s="510">
        <f>SUM(H117:H124)</f>
        <v>139642.63636363635</v>
      </c>
      <c r="I125" s="1171"/>
    </row>
    <row r="126" spans="2:13">
      <c r="B126" s="566"/>
      <c r="C126" s="442" t="s">
        <v>229</v>
      </c>
      <c r="D126" s="378"/>
      <c r="E126" s="378"/>
      <c r="F126" s="378"/>
      <c r="G126" s="518"/>
      <c r="H126" s="518">
        <f>ROUND(H125,0)</f>
        <v>139643</v>
      </c>
      <c r="I126" s="1164"/>
    </row>
    <row r="127" spans="2:13">
      <c r="B127" s="587" t="s">
        <v>1468</v>
      </c>
      <c r="C127" s="468" t="s">
        <v>533</v>
      </c>
      <c r="D127" s="469"/>
      <c r="E127" s="470"/>
      <c r="F127" s="471"/>
      <c r="G127" s="472"/>
      <c r="H127" s="473"/>
      <c r="I127" s="1171"/>
      <c r="M127" s="1392">
        <v>23</v>
      </c>
    </row>
    <row r="128" spans="2:13">
      <c r="B128" s="582"/>
      <c r="C128" s="592" t="s">
        <v>28</v>
      </c>
      <c r="D128" s="584" t="s">
        <v>534</v>
      </c>
      <c r="E128" s="593" t="s">
        <v>147</v>
      </c>
      <c r="F128" s="585">
        <v>1.06</v>
      </c>
      <c r="G128" s="594">
        <f>BAHAN!$E$113</f>
        <v>725000</v>
      </c>
      <c r="H128" s="595">
        <f t="shared" ref="H128:H135" si="20">G128*F128</f>
        <v>768500</v>
      </c>
      <c r="I128" s="1171"/>
      <c r="J128" s="2050">
        <f>SUMIF(BOQ!$G$917:$G$938,I!I131,BOQ!$E$917:$E$938)</f>
        <v>0</v>
      </c>
      <c r="K128" s="1467">
        <f>J128*F128</f>
        <v>0</v>
      </c>
      <c r="L128" s="1395" t="s">
        <v>147</v>
      </c>
      <c r="M128" s="1392">
        <v>24</v>
      </c>
    </row>
    <row r="129" spans="2:13">
      <c r="B129" s="481"/>
      <c r="C129" s="482" t="s">
        <v>28</v>
      </c>
      <c r="D129" s="487" t="s">
        <v>221</v>
      </c>
      <c r="E129" s="483" t="s">
        <v>145</v>
      </c>
      <c r="F129" s="484">
        <v>8.19</v>
      </c>
      <c r="G129" s="485">
        <f t="shared" ref="G129:G135" si="21">G63</f>
        <v>1500</v>
      </c>
      <c r="H129" s="486">
        <f t="shared" si="20"/>
        <v>12285</v>
      </c>
      <c r="I129" s="1171"/>
      <c r="J129" s="1467">
        <f>J128</f>
        <v>0</v>
      </c>
      <c r="K129" s="1467">
        <f>J129*F129</f>
        <v>0</v>
      </c>
      <c r="L129" s="1395" t="s">
        <v>145</v>
      </c>
    </row>
    <row r="130" spans="2:13">
      <c r="B130" s="481"/>
      <c r="C130" s="482" t="s">
        <v>28</v>
      </c>
      <c r="D130" s="487" t="s">
        <v>535</v>
      </c>
      <c r="E130" s="483" t="s">
        <v>143</v>
      </c>
      <c r="F130" s="484">
        <v>4.4999999999999998E-2</v>
      </c>
      <c r="G130" s="485">
        <f t="shared" si="21"/>
        <v>246000</v>
      </c>
      <c r="H130" s="486">
        <f t="shared" si="20"/>
        <v>11070</v>
      </c>
      <c r="I130" s="1171"/>
      <c r="J130" s="1467">
        <f>J129</f>
        <v>0</v>
      </c>
      <c r="K130" s="1467">
        <f>J130*F130</f>
        <v>0</v>
      </c>
      <c r="L130" s="1395" t="s">
        <v>143</v>
      </c>
    </row>
    <row r="131" spans="2:13">
      <c r="B131" s="481"/>
      <c r="C131" s="482" t="s">
        <v>28</v>
      </c>
      <c r="D131" s="487" t="s">
        <v>401</v>
      </c>
      <c r="E131" s="483" t="s">
        <v>145</v>
      </c>
      <c r="F131" s="484">
        <v>0.65</v>
      </c>
      <c r="G131" s="485">
        <f t="shared" si="21"/>
        <v>16000</v>
      </c>
      <c r="H131" s="486">
        <f t="shared" si="20"/>
        <v>10400</v>
      </c>
      <c r="I131" s="1171">
        <f>SUM(H128:H131)</f>
        <v>802255</v>
      </c>
      <c r="J131" s="1467">
        <f>J130</f>
        <v>0</v>
      </c>
      <c r="K131" s="1467">
        <f>J131*F131</f>
        <v>0</v>
      </c>
      <c r="L131" s="1395" t="s">
        <v>145</v>
      </c>
    </row>
    <row r="132" spans="2:13">
      <c r="B132" s="481"/>
      <c r="C132" s="482" t="s">
        <v>28</v>
      </c>
      <c r="D132" s="487" t="s">
        <v>133</v>
      </c>
      <c r="E132" s="483" t="s">
        <v>132</v>
      </c>
      <c r="F132" s="484">
        <v>0.7</v>
      </c>
      <c r="G132" s="485">
        <f t="shared" si="21"/>
        <v>136000</v>
      </c>
      <c r="H132" s="486">
        <f t="shared" si="20"/>
        <v>95200</v>
      </c>
      <c r="I132" s="1171"/>
    </row>
    <row r="133" spans="2:13">
      <c r="B133" s="481"/>
      <c r="C133" s="482" t="s">
        <v>28</v>
      </c>
      <c r="D133" s="487" t="s">
        <v>402</v>
      </c>
      <c r="E133" s="483" t="s">
        <v>132</v>
      </c>
      <c r="F133" s="484">
        <v>0.35</v>
      </c>
      <c r="G133" s="485">
        <f t="shared" si="21"/>
        <v>160000</v>
      </c>
      <c r="H133" s="486">
        <f t="shared" si="20"/>
        <v>56000</v>
      </c>
      <c r="I133" s="1171"/>
    </row>
    <row r="134" spans="2:13">
      <c r="B134" s="481"/>
      <c r="C134" s="482" t="s">
        <v>28</v>
      </c>
      <c r="D134" s="487" t="s">
        <v>135</v>
      </c>
      <c r="E134" s="483" t="s">
        <v>132</v>
      </c>
      <c r="F134" s="484">
        <v>3.5000000000000003E-2</v>
      </c>
      <c r="G134" s="485">
        <f t="shared" si="21"/>
        <v>170000</v>
      </c>
      <c r="H134" s="486">
        <f t="shared" si="20"/>
        <v>5950.0000000000009</v>
      </c>
      <c r="I134" s="1171"/>
    </row>
    <row r="135" spans="2:13">
      <c r="B135" s="488"/>
      <c r="C135" s="501" t="s">
        <v>28</v>
      </c>
      <c r="D135" s="502" t="s">
        <v>136</v>
      </c>
      <c r="E135" s="503" t="s">
        <v>132</v>
      </c>
      <c r="F135" s="484">
        <v>3.5000000000000003E-2</v>
      </c>
      <c r="G135" s="485">
        <f t="shared" si="21"/>
        <v>180000</v>
      </c>
      <c r="H135" s="504">
        <f t="shared" si="20"/>
        <v>6300.0000000000009</v>
      </c>
      <c r="I135" s="1171">
        <f>SUM(H132:H135)</f>
        <v>163450</v>
      </c>
    </row>
    <row r="136" spans="2:13">
      <c r="B136" s="505"/>
      <c r="C136" s="495"/>
      <c r="D136" s="506" t="s">
        <v>228</v>
      </c>
      <c r="E136" s="507"/>
      <c r="F136" s="508"/>
      <c r="G136" s="509"/>
      <c r="H136" s="510">
        <f>SUM(H128:H135)</f>
        <v>965705</v>
      </c>
      <c r="I136" s="1171"/>
    </row>
    <row r="137" spans="2:13">
      <c r="B137" s="566"/>
      <c r="C137" s="442" t="s">
        <v>229</v>
      </c>
      <c r="D137" s="378"/>
      <c r="E137" s="378"/>
      <c r="F137" s="378"/>
      <c r="G137" s="518"/>
      <c r="H137" s="518">
        <f>ROUND(H136,0)</f>
        <v>965705</v>
      </c>
      <c r="I137" s="1164"/>
    </row>
    <row r="138" spans="2:13">
      <c r="B138" s="591" t="s">
        <v>1470</v>
      </c>
      <c r="C138" s="468" t="s">
        <v>537</v>
      </c>
      <c r="D138" s="469"/>
      <c r="E138" s="588"/>
      <c r="F138" s="471"/>
      <c r="G138" s="589"/>
      <c r="H138" s="590"/>
      <c r="I138" s="1171"/>
      <c r="M138" s="1392">
        <v>25</v>
      </c>
    </row>
    <row r="139" spans="2:13">
      <c r="B139" s="582"/>
      <c r="C139" s="583" t="s">
        <v>28</v>
      </c>
      <c r="D139" s="584" t="s">
        <v>538</v>
      </c>
      <c r="E139" s="477" t="s">
        <v>147</v>
      </c>
      <c r="F139" s="585">
        <f>0.1*1.1</f>
        <v>0.11000000000000001</v>
      </c>
      <c r="G139" s="479">
        <f>G128</f>
        <v>725000</v>
      </c>
      <c r="H139" s="480">
        <f t="shared" ref="H139:H146" si="22">G139*F139</f>
        <v>79750.000000000015</v>
      </c>
      <c r="I139" s="1171"/>
      <c r="J139" s="2050">
        <f>SUMIF(BOQ!$G$917:$G$938,I!I142,BOQ!$E$917:$E$938)</f>
        <v>0</v>
      </c>
      <c r="K139" s="1467">
        <f>J139*F139</f>
        <v>0</v>
      </c>
      <c r="L139" s="1395" t="s">
        <v>147</v>
      </c>
      <c r="M139" s="1392">
        <v>26</v>
      </c>
    </row>
    <row r="140" spans="2:13">
      <c r="B140" s="481"/>
      <c r="C140" s="482" t="s">
        <v>28</v>
      </c>
      <c r="D140" s="487" t="s">
        <v>221</v>
      </c>
      <c r="E140" s="483" t="s">
        <v>145</v>
      </c>
      <c r="F140" s="484">
        <v>1.2</v>
      </c>
      <c r="G140" s="479">
        <f t="shared" ref="G140:G146" si="23">G129</f>
        <v>1500</v>
      </c>
      <c r="H140" s="486">
        <f t="shared" si="22"/>
        <v>1800</v>
      </c>
      <c r="I140" s="1171"/>
      <c r="J140" s="1467">
        <f>J139</f>
        <v>0</v>
      </c>
      <c r="K140" s="1467">
        <f>J140*F140</f>
        <v>0</v>
      </c>
      <c r="L140" s="1395" t="s">
        <v>145</v>
      </c>
    </row>
    <row r="141" spans="2:13">
      <c r="B141" s="481"/>
      <c r="C141" s="482" t="s">
        <v>28</v>
      </c>
      <c r="D141" s="487" t="s">
        <v>453</v>
      </c>
      <c r="E141" s="483" t="s">
        <v>143</v>
      </c>
      <c r="F141" s="484">
        <v>3.0000000000000001E-3</v>
      </c>
      <c r="G141" s="479">
        <f t="shared" si="23"/>
        <v>246000</v>
      </c>
      <c r="H141" s="486">
        <f t="shared" si="22"/>
        <v>738</v>
      </c>
      <c r="I141" s="1171"/>
      <c r="J141" s="1467">
        <f>J140</f>
        <v>0</v>
      </c>
      <c r="K141" s="1467">
        <f>J141*F141</f>
        <v>0</v>
      </c>
      <c r="L141" s="1395" t="s">
        <v>143</v>
      </c>
    </row>
    <row r="142" spans="2:13">
      <c r="B142" s="481"/>
      <c r="C142" s="482" t="s">
        <v>28</v>
      </c>
      <c r="D142" s="487" t="s">
        <v>401</v>
      </c>
      <c r="E142" s="483" t="s">
        <v>145</v>
      </c>
      <c r="F142" s="484">
        <v>0.1</v>
      </c>
      <c r="G142" s="479">
        <f t="shared" si="23"/>
        <v>16000</v>
      </c>
      <c r="H142" s="486">
        <f t="shared" si="22"/>
        <v>1600</v>
      </c>
      <c r="I142" s="1171">
        <f>SUM(H139:H142)</f>
        <v>83888.000000000015</v>
      </c>
      <c r="J142" s="1467">
        <f>J141</f>
        <v>0</v>
      </c>
      <c r="K142" s="1467">
        <f>J142*F142</f>
        <v>0</v>
      </c>
      <c r="L142" s="1395" t="s">
        <v>145</v>
      </c>
    </row>
    <row r="143" spans="2:13">
      <c r="B143" s="481"/>
      <c r="C143" s="482" t="s">
        <v>28</v>
      </c>
      <c r="D143" s="487" t="s">
        <v>133</v>
      </c>
      <c r="E143" s="483" t="s">
        <v>132</v>
      </c>
      <c r="F143" s="484">
        <v>0.7</v>
      </c>
      <c r="G143" s="479">
        <f t="shared" si="23"/>
        <v>136000</v>
      </c>
      <c r="H143" s="486">
        <f t="shared" si="22"/>
        <v>95200</v>
      </c>
      <c r="I143" s="1171"/>
    </row>
    <row r="144" spans="2:13">
      <c r="B144" s="481"/>
      <c r="C144" s="482" t="s">
        <v>28</v>
      </c>
      <c r="D144" s="487" t="s">
        <v>402</v>
      </c>
      <c r="E144" s="483" t="s">
        <v>132</v>
      </c>
      <c r="F144" s="484">
        <v>0.35</v>
      </c>
      <c r="G144" s="479">
        <f t="shared" si="23"/>
        <v>160000</v>
      </c>
      <c r="H144" s="486">
        <f t="shared" si="22"/>
        <v>56000</v>
      </c>
      <c r="I144" s="1171"/>
    </row>
    <row r="145" spans="2:13">
      <c r="B145" s="481"/>
      <c r="C145" s="482" t="s">
        <v>28</v>
      </c>
      <c r="D145" s="487" t="s">
        <v>135</v>
      </c>
      <c r="E145" s="483" t="s">
        <v>132</v>
      </c>
      <c r="F145" s="484">
        <v>3.5000000000000003E-2</v>
      </c>
      <c r="G145" s="479">
        <f t="shared" si="23"/>
        <v>170000</v>
      </c>
      <c r="H145" s="486">
        <f t="shared" si="22"/>
        <v>5950.0000000000009</v>
      </c>
      <c r="I145" s="1171"/>
    </row>
    <row r="146" spans="2:13">
      <c r="B146" s="488"/>
      <c r="C146" s="501" t="s">
        <v>28</v>
      </c>
      <c r="D146" s="502" t="s">
        <v>136</v>
      </c>
      <c r="E146" s="503" t="s">
        <v>132</v>
      </c>
      <c r="F146" s="484">
        <v>3.5000000000000003E-2</v>
      </c>
      <c r="G146" s="479">
        <f t="shared" si="23"/>
        <v>180000</v>
      </c>
      <c r="H146" s="504">
        <f t="shared" si="22"/>
        <v>6300.0000000000009</v>
      </c>
      <c r="I146" s="1171">
        <f>SUM(H143:H146)</f>
        <v>163450</v>
      </c>
    </row>
    <row r="147" spans="2:13">
      <c r="B147" s="505"/>
      <c r="C147" s="495"/>
      <c r="D147" s="506" t="s">
        <v>228</v>
      </c>
      <c r="E147" s="507"/>
      <c r="F147" s="508"/>
      <c r="G147" s="509"/>
      <c r="H147" s="510">
        <f>SUM(H139:H146)</f>
        <v>247338</v>
      </c>
      <c r="I147" s="1171"/>
    </row>
    <row r="148" spans="2:13">
      <c r="B148" s="566"/>
      <c r="C148" s="442" t="s">
        <v>229</v>
      </c>
      <c r="D148" s="378"/>
      <c r="E148" s="378"/>
      <c r="F148" s="378"/>
      <c r="G148" s="518"/>
      <c r="H148" s="518">
        <f>ROUND(H147,0)</f>
        <v>247338</v>
      </c>
      <c r="I148" s="1164"/>
    </row>
    <row r="149" spans="2:13">
      <c r="B149" s="591" t="s">
        <v>1495</v>
      </c>
      <c r="C149" s="468" t="s">
        <v>540</v>
      </c>
      <c r="D149" s="596"/>
      <c r="E149" s="597"/>
      <c r="F149" s="598"/>
      <c r="G149" s="599"/>
      <c r="H149" s="473"/>
      <c r="I149" s="1171"/>
      <c r="M149" s="1392">
        <v>27</v>
      </c>
    </row>
    <row r="150" spans="2:13">
      <c r="B150" s="582"/>
      <c r="C150" s="592" t="s">
        <v>28</v>
      </c>
      <c r="D150" s="584" t="s">
        <v>1471</v>
      </c>
      <c r="E150" s="593" t="s">
        <v>240</v>
      </c>
      <c r="F150" s="585">
        <v>1.05</v>
      </c>
      <c r="G150" s="594">
        <f>BAHAN!$E$124</f>
        <v>175000</v>
      </c>
      <c r="H150" s="595">
        <f t="shared" ref="H150:H155" si="24">G150*F150</f>
        <v>183750</v>
      </c>
      <c r="I150" s="1171"/>
      <c r="J150" s="2050">
        <f>SUMIF(BOQ!$G$917:$G$938,I!I151,BOQ!$E$917:$E$938)</f>
        <v>0</v>
      </c>
      <c r="K150" s="1403">
        <f>J150*F150</f>
        <v>0</v>
      </c>
      <c r="M150" s="1392">
        <v>28</v>
      </c>
    </row>
    <row r="151" spans="2:13">
      <c r="B151" s="481"/>
      <c r="C151" s="482" t="s">
        <v>28</v>
      </c>
      <c r="D151" s="487" t="s">
        <v>541</v>
      </c>
      <c r="E151" s="483" t="s">
        <v>145</v>
      </c>
      <c r="F151" s="484">
        <v>0.6</v>
      </c>
      <c r="G151" s="485">
        <f>BAHAN!$E$174</f>
        <v>70000</v>
      </c>
      <c r="H151" s="486">
        <f t="shared" si="24"/>
        <v>42000</v>
      </c>
      <c r="I151" s="1171">
        <f>SUM(H150:H151)</f>
        <v>225750</v>
      </c>
      <c r="J151" s="1467">
        <f>J150</f>
        <v>0</v>
      </c>
      <c r="K151" s="1403">
        <f>J151*F151</f>
        <v>0</v>
      </c>
    </row>
    <row r="152" spans="2:13">
      <c r="B152" s="481"/>
      <c r="C152" s="482" t="s">
        <v>28</v>
      </c>
      <c r="D152" s="487" t="s">
        <v>133</v>
      </c>
      <c r="E152" s="483" t="s">
        <v>132</v>
      </c>
      <c r="F152" s="484">
        <v>0.65</v>
      </c>
      <c r="G152" s="485">
        <f>G143</f>
        <v>136000</v>
      </c>
      <c r="H152" s="486">
        <f t="shared" si="24"/>
        <v>88400</v>
      </c>
      <c r="I152" s="1171"/>
    </row>
    <row r="153" spans="2:13">
      <c r="B153" s="481"/>
      <c r="C153" s="482" t="s">
        <v>28</v>
      </c>
      <c r="D153" s="487" t="s">
        <v>139</v>
      </c>
      <c r="E153" s="483" t="s">
        <v>132</v>
      </c>
      <c r="F153" s="484">
        <f>F133</f>
        <v>0.35</v>
      </c>
      <c r="G153" s="485">
        <f>UPAH!E17</f>
        <v>160000</v>
      </c>
      <c r="H153" s="486">
        <f t="shared" si="24"/>
        <v>56000</v>
      </c>
      <c r="I153" s="1171"/>
    </row>
    <row r="154" spans="2:13">
      <c r="B154" s="481"/>
      <c r="C154" s="482" t="s">
        <v>28</v>
      </c>
      <c r="D154" s="487" t="s">
        <v>135</v>
      </c>
      <c r="E154" s="483" t="s">
        <v>132</v>
      </c>
      <c r="F154" s="484">
        <f>F134</f>
        <v>3.5000000000000003E-2</v>
      </c>
      <c r="G154" s="485">
        <f>UPAH!E11</f>
        <v>150000</v>
      </c>
      <c r="H154" s="486">
        <f t="shared" si="24"/>
        <v>5250.0000000000009</v>
      </c>
      <c r="I154" s="1171"/>
    </row>
    <row r="155" spans="2:13">
      <c r="B155" s="488"/>
      <c r="C155" s="501" t="s">
        <v>28</v>
      </c>
      <c r="D155" s="515" t="s">
        <v>136</v>
      </c>
      <c r="E155" s="503" t="s">
        <v>132</v>
      </c>
      <c r="F155" s="484">
        <v>3.2500000000000001E-2</v>
      </c>
      <c r="G155" s="485">
        <f>G135</f>
        <v>180000</v>
      </c>
      <c r="H155" s="504">
        <f t="shared" si="24"/>
        <v>5850</v>
      </c>
      <c r="I155" s="1171">
        <f>SUM(H152:H155)</f>
        <v>155500</v>
      </c>
    </row>
    <row r="156" spans="2:13">
      <c r="B156" s="505"/>
      <c r="C156" s="495"/>
      <c r="D156" s="506" t="s">
        <v>228</v>
      </c>
      <c r="E156" s="507"/>
      <c r="F156" s="508"/>
      <c r="G156" s="509"/>
      <c r="H156" s="510">
        <f>SUM(H150:H155)</f>
        <v>381250</v>
      </c>
      <c r="I156" s="1171"/>
    </row>
    <row r="157" spans="2:13">
      <c r="B157" s="566"/>
      <c r="C157" s="442" t="s">
        <v>229</v>
      </c>
      <c r="D157" s="378"/>
      <c r="E157" s="378"/>
      <c r="F157" s="378"/>
      <c r="G157" s="518"/>
      <c r="H157" s="518">
        <f>ROUND(H156,0)</f>
        <v>381250</v>
      </c>
      <c r="I157" s="1164"/>
    </row>
    <row r="158" spans="2:13">
      <c r="B158" s="591" t="s">
        <v>1692</v>
      </c>
      <c r="C158" s="468" t="s">
        <v>540</v>
      </c>
      <c r="D158" s="596"/>
      <c r="E158" s="597"/>
      <c r="F158" s="598"/>
      <c r="G158" s="599"/>
      <c r="H158" s="473"/>
      <c r="I158" s="1171"/>
      <c r="M158" s="1392">
        <v>29</v>
      </c>
    </row>
    <row r="159" spans="2:13">
      <c r="B159" s="582"/>
      <c r="C159" s="592" t="s">
        <v>28</v>
      </c>
      <c r="D159" s="584" t="s">
        <v>1472</v>
      </c>
      <c r="E159" s="593" t="s">
        <v>240</v>
      </c>
      <c r="F159" s="585">
        <v>1.05</v>
      </c>
      <c r="G159" s="594">
        <f>BAHAN!E125</f>
        <v>222000</v>
      </c>
      <c r="H159" s="595">
        <f t="shared" ref="H159:H164" si="25">G159*F159</f>
        <v>233100</v>
      </c>
      <c r="I159" s="1171"/>
      <c r="M159" s="1392">
        <v>30</v>
      </c>
    </row>
    <row r="160" spans="2:13">
      <c r="B160" s="481"/>
      <c r="C160" s="482" t="s">
        <v>28</v>
      </c>
      <c r="D160" s="487" t="s">
        <v>541</v>
      </c>
      <c r="E160" s="483" t="s">
        <v>145</v>
      </c>
      <c r="F160" s="484">
        <v>0.6</v>
      </c>
      <c r="G160" s="485">
        <f>BAHAN!$E$174</f>
        <v>70000</v>
      </c>
      <c r="H160" s="486">
        <f t="shared" si="25"/>
        <v>42000</v>
      </c>
      <c r="I160" s="1171">
        <f>SUM(H159:H160)</f>
        <v>275100</v>
      </c>
    </row>
    <row r="161" spans="2:13">
      <c r="B161" s="481"/>
      <c r="C161" s="482" t="s">
        <v>28</v>
      </c>
      <c r="D161" s="487" t="s">
        <v>133</v>
      </c>
      <c r="E161" s="483" t="s">
        <v>132</v>
      </c>
      <c r="F161" s="484">
        <v>0.65</v>
      </c>
      <c r="G161" s="485">
        <f>G152</f>
        <v>136000</v>
      </c>
      <c r="H161" s="486">
        <f t="shared" si="25"/>
        <v>88400</v>
      </c>
      <c r="I161" s="1171"/>
    </row>
    <row r="162" spans="2:13">
      <c r="B162" s="481"/>
      <c r="C162" s="482" t="s">
        <v>28</v>
      </c>
      <c r="D162" s="487" t="s">
        <v>139</v>
      </c>
      <c r="E162" s="483" t="s">
        <v>132</v>
      </c>
      <c r="F162" s="484">
        <f>F153</f>
        <v>0.35</v>
      </c>
      <c r="G162" s="485">
        <f>G153</f>
        <v>160000</v>
      </c>
      <c r="H162" s="486">
        <f t="shared" si="25"/>
        <v>56000</v>
      </c>
      <c r="I162" s="1171"/>
    </row>
    <row r="163" spans="2:13">
      <c r="B163" s="481"/>
      <c r="C163" s="482" t="s">
        <v>28</v>
      </c>
      <c r="D163" s="487" t="s">
        <v>135</v>
      </c>
      <c r="E163" s="483" t="s">
        <v>132</v>
      </c>
      <c r="F163" s="484">
        <f>F154</f>
        <v>3.5000000000000003E-2</v>
      </c>
      <c r="G163" s="485">
        <f>G154</f>
        <v>150000</v>
      </c>
      <c r="H163" s="486">
        <f t="shared" si="25"/>
        <v>5250.0000000000009</v>
      </c>
      <c r="I163" s="1171"/>
    </row>
    <row r="164" spans="2:13">
      <c r="B164" s="488"/>
      <c r="C164" s="501" t="s">
        <v>28</v>
      </c>
      <c r="D164" s="515" t="s">
        <v>136</v>
      </c>
      <c r="E164" s="503" t="s">
        <v>132</v>
      </c>
      <c r="F164" s="484">
        <v>3.2500000000000001E-2</v>
      </c>
      <c r="G164" s="485">
        <f>G155</f>
        <v>180000</v>
      </c>
      <c r="H164" s="504">
        <f t="shared" si="25"/>
        <v>5850</v>
      </c>
      <c r="I164" s="1171">
        <f>SUM(H161:H164)</f>
        <v>155500</v>
      </c>
    </row>
    <row r="165" spans="2:13">
      <c r="B165" s="505"/>
      <c r="C165" s="495"/>
      <c r="D165" s="506" t="s">
        <v>228</v>
      </c>
      <c r="E165" s="507"/>
      <c r="F165" s="508"/>
      <c r="G165" s="509"/>
      <c r="H165" s="510">
        <f>SUM(H159:H164)</f>
        <v>430600</v>
      </c>
      <c r="I165" s="1171"/>
    </row>
    <row r="166" spans="2:13">
      <c r="B166" s="566"/>
      <c r="C166" s="442" t="s">
        <v>229</v>
      </c>
      <c r="D166" s="378"/>
      <c r="E166" s="378"/>
      <c r="F166" s="378"/>
      <c r="G166" s="518"/>
      <c r="H166" s="518">
        <f>ROUND(H165,0)</f>
        <v>430600</v>
      </c>
      <c r="I166" s="1164"/>
    </row>
    <row r="167" spans="2:13">
      <c r="B167" s="591" t="s">
        <v>1693</v>
      </c>
      <c r="C167" s="468" t="s">
        <v>1496</v>
      </c>
      <c r="D167" s="596"/>
      <c r="E167" s="597"/>
      <c r="F167" s="598"/>
      <c r="G167" s="599"/>
      <c r="H167" s="473"/>
      <c r="I167" s="1171"/>
      <c r="M167" s="1392">
        <v>31</v>
      </c>
    </row>
    <row r="168" spans="2:13">
      <c r="B168" s="582"/>
      <c r="C168" s="592" t="s">
        <v>28</v>
      </c>
      <c r="D168" s="584" t="s">
        <v>1497</v>
      </c>
      <c r="E168" s="593" t="s">
        <v>240</v>
      </c>
      <c r="F168" s="585">
        <v>1.05</v>
      </c>
      <c r="G168" s="594">
        <f>BAHAN!E126</f>
        <v>985000</v>
      </c>
      <c r="H168" s="595">
        <f t="shared" ref="H168:H173" si="26">G168*F168</f>
        <v>1034250</v>
      </c>
      <c r="I168" s="1171"/>
      <c r="M168" s="1392">
        <v>32</v>
      </c>
    </row>
    <row r="169" spans="2:13">
      <c r="B169" s="481"/>
      <c r="C169" s="482" t="s">
        <v>28</v>
      </c>
      <c r="D169" s="487" t="s">
        <v>541</v>
      </c>
      <c r="E169" s="483" t="s">
        <v>145</v>
      </c>
      <c r="F169" s="484">
        <v>0.6</v>
      </c>
      <c r="G169" s="485">
        <f>BAHAN!$E$174</f>
        <v>70000</v>
      </c>
      <c r="H169" s="486">
        <f t="shared" si="26"/>
        <v>42000</v>
      </c>
      <c r="I169" s="1171">
        <f>SUM(H168:H169)</f>
        <v>1076250</v>
      </c>
    </row>
    <row r="170" spans="2:13">
      <c r="B170" s="481"/>
      <c r="C170" s="482" t="s">
        <v>28</v>
      </c>
      <c r="D170" s="487" t="s">
        <v>133</v>
      </c>
      <c r="E170" s="483" t="s">
        <v>132</v>
      </c>
      <c r="F170" s="484">
        <v>0.65</v>
      </c>
      <c r="G170" s="485">
        <f>G161</f>
        <v>136000</v>
      </c>
      <c r="H170" s="486">
        <f t="shared" si="26"/>
        <v>88400</v>
      </c>
      <c r="I170" s="1171"/>
    </row>
    <row r="171" spans="2:13">
      <c r="B171" s="481"/>
      <c r="C171" s="482" t="s">
        <v>28</v>
      </c>
      <c r="D171" s="487" t="s">
        <v>139</v>
      </c>
      <c r="E171" s="483" t="s">
        <v>132</v>
      </c>
      <c r="F171" s="484">
        <f>F162</f>
        <v>0.35</v>
      </c>
      <c r="G171" s="485">
        <f>G162</f>
        <v>160000</v>
      </c>
      <c r="H171" s="486">
        <f t="shared" si="26"/>
        <v>56000</v>
      </c>
      <c r="I171" s="1171"/>
    </row>
    <row r="172" spans="2:13">
      <c r="B172" s="481"/>
      <c r="C172" s="482" t="s">
        <v>28</v>
      </c>
      <c r="D172" s="487" t="s">
        <v>135</v>
      </c>
      <c r="E172" s="483" t="s">
        <v>132</v>
      </c>
      <c r="F172" s="484">
        <f>F163</f>
        <v>3.5000000000000003E-2</v>
      </c>
      <c r="G172" s="485">
        <f>G163</f>
        <v>150000</v>
      </c>
      <c r="H172" s="486">
        <f t="shared" si="26"/>
        <v>5250.0000000000009</v>
      </c>
      <c r="I172" s="1171"/>
    </row>
    <row r="173" spans="2:13">
      <c r="B173" s="488"/>
      <c r="C173" s="501" t="s">
        <v>28</v>
      </c>
      <c r="D173" s="515" t="s">
        <v>136</v>
      </c>
      <c r="E173" s="503" t="s">
        <v>132</v>
      </c>
      <c r="F173" s="484">
        <v>3.2500000000000001E-2</v>
      </c>
      <c r="G173" s="485">
        <f>G164</f>
        <v>180000</v>
      </c>
      <c r="H173" s="504">
        <f t="shared" si="26"/>
        <v>5850</v>
      </c>
      <c r="I173" s="1171">
        <f>SUM(H170:H173)</f>
        <v>155500</v>
      </c>
    </row>
    <row r="174" spans="2:13">
      <c r="B174" s="505"/>
      <c r="C174" s="495"/>
      <c r="D174" s="506" t="s">
        <v>228</v>
      </c>
      <c r="E174" s="507"/>
      <c r="F174" s="508"/>
      <c r="G174" s="509"/>
      <c r="H174" s="510">
        <f>SUM(H168:H173)</f>
        <v>1231750</v>
      </c>
      <c r="I174" s="1171"/>
    </row>
    <row r="175" spans="2:13">
      <c r="B175" s="566"/>
      <c r="C175" s="442" t="s">
        <v>229</v>
      </c>
      <c r="D175" s="378"/>
      <c r="E175" s="378"/>
      <c r="F175" s="378"/>
      <c r="G175" s="518"/>
      <c r="H175" s="518">
        <f>ROUND(H174,0)</f>
        <v>1231750</v>
      </c>
      <c r="I175" s="1164"/>
    </row>
    <row r="176" spans="2:13">
      <c r="B176" s="591" t="s">
        <v>1799</v>
      </c>
      <c r="C176" s="468" t="s">
        <v>543</v>
      </c>
      <c r="D176" s="469"/>
      <c r="E176" s="507"/>
      <c r="F176" s="471"/>
      <c r="G176" s="589"/>
      <c r="H176" s="590"/>
      <c r="I176" s="1171"/>
      <c r="M176" s="1392">
        <v>33</v>
      </c>
    </row>
    <row r="177" spans="2:13">
      <c r="B177" s="582"/>
      <c r="C177" s="583" t="s">
        <v>28</v>
      </c>
      <c r="D177" s="600" t="s">
        <v>544</v>
      </c>
      <c r="E177" s="601" t="s">
        <v>240</v>
      </c>
      <c r="F177" s="602">
        <v>1.05</v>
      </c>
      <c r="G177" s="479">
        <f>BAHAN!$E$28</f>
        <v>79000</v>
      </c>
      <c r="H177" s="480">
        <f t="shared" ref="H177:H182" si="27">G177*F177</f>
        <v>82950</v>
      </c>
      <c r="I177" s="1171"/>
      <c r="J177" s="2050">
        <f>SUMIF(BOQ!$G$917:$G$938,I!I178,BOQ!$E$917:$E$938)</f>
        <v>0</v>
      </c>
      <c r="K177" s="1646">
        <f>F177*J177</f>
        <v>0</v>
      </c>
      <c r="M177" s="1392">
        <v>34</v>
      </c>
    </row>
    <row r="178" spans="2:13">
      <c r="B178" s="481"/>
      <c r="C178" s="482" t="s">
        <v>28</v>
      </c>
      <c r="D178" s="603" t="s">
        <v>453</v>
      </c>
      <c r="E178" s="604" t="s">
        <v>143</v>
      </c>
      <c r="F178" s="605">
        <f>1*1*0.1</f>
        <v>0.1</v>
      </c>
      <c r="G178" s="485">
        <f>G141</f>
        <v>246000</v>
      </c>
      <c r="H178" s="486">
        <f t="shared" si="27"/>
        <v>24600</v>
      </c>
      <c r="I178" s="1171">
        <f>SUM(H177:H178)</f>
        <v>107550</v>
      </c>
      <c r="J178" s="1467">
        <f>J177</f>
        <v>0</v>
      </c>
      <c r="K178" s="1646">
        <f>F178*J178</f>
        <v>0</v>
      </c>
    </row>
    <row r="179" spans="2:13">
      <c r="B179" s="481"/>
      <c r="C179" s="482" t="s">
        <v>28</v>
      </c>
      <c r="D179" s="606" t="s">
        <v>133</v>
      </c>
      <c r="E179" s="604" t="s">
        <v>132</v>
      </c>
      <c r="F179" s="336">
        <v>0.25</v>
      </c>
      <c r="G179" s="485">
        <f>G143</f>
        <v>136000</v>
      </c>
      <c r="H179" s="486">
        <f t="shared" si="27"/>
        <v>34000</v>
      </c>
      <c r="I179" s="1171"/>
    </row>
    <row r="180" spans="2:13">
      <c r="B180" s="481"/>
      <c r="C180" s="482" t="s">
        <v>28</v>
      </c>
      <c r="D180" s="606" t="s">
        <v>402</v>
      </c>
      <c r="E180" s="604" t="s">
        <v>132</v>
      </c>
      <c r="F180" s="336">
        <v>0.5</v>
      </c>
      <c r="G180" s="485">
        <f>G144</f>
        <v>160000</v>
      </c>
      <c r="H180" s="486">
        <f t="shared" si="27"/>
        <v>80000</v>
      </c>
      <c r="I180" s="1171"/>
    </row>
    <row r="181" spans="2:13">
      <c r="B181" s="481"/>
      <c r="C181" s="482" t="s">
        <v>28</v>
      </c>
      <c r="D181" s="606" t="s">
        <v>135</v>
      </c>
      <c r="E181" s="604" t="s">
        <v>132</v>
      </c>
      <c r="F181" s="336">
        <v>2.5000000000000001E-2</v>
      </c>
      <c r="G181" s="485">
        <f>G145</f>
        <v>170000</v>
      </c>
      <c r="H181" s="486">
        <f t="shared" si="27"/>
        <v>4250</v>
      </c>
      <c r="I181" s="1171"/>
    </row>
    <row r="182" spans="2:13">
      <c r="B182" s="514"/>
      <c r="C182" s="501" t="s">
        <v>28</v>
      </c>
      <c r="D182" s="607" t="s">
        <v>136</v>
      </c>
      <c r="E182" s="608" t="s">
        <v>132</v>
      </c>
      <c r="F182" s="609">
        <v>2.5000000000000001E-3</v>
      </c>
      <c r="G182" s="485">
        <f>G146</f>
        <v>180000</v>
      </c>
      <c r="H182" s="504">
        <f t="shared" si="27"/>
        <v>450</v>
      </c>
      <c r="I182" s="1171">
        <f>SUM(H179:H182)</f>
        <v>118700</v>
      </c>
    </row>
    <row r="183" spans="2:13">
      <c r="B183" s="494"/>
      <c r="C183" s="495"/>
      <c r="D183" s="496" t="s">
        <v>228</v>
      </c>
      <c r="E183" s="497"/>
      <c r="F183" s="517"/>
      <c r="G183" s="499"/>
      <c r="H183" s="500">
        <f>SUM(H177:H182)</f>
        <v>226250</v>
      </c>
      <c r="I183" s="1171"/>
    </row>
    <row r="184" spans="2:13">
      <c r="B184" s="566"/>
      <c r="C184" s="442" t="s">
        <v>229</v>
      </c>
      <c r="D184" s="378"/>
      <c r="E184" s="378"/>
      <c r="F184" s="378"/>
      <c r="G184" s="518"/>
      <c r="H184" s="518">
        <f>ROUND(H183,0)</f>
        <v>226250</v>
      </c>
      <c r="I184" s="1164"/>
    </row>
    <row r="185" spans="2:13">
      <c r="B185" s="591" t="s">
        <v>1804</v>
      </c>
      <c r="C185" s="468" t="s">
        <v>546</v>
      </c>
      <c r="D185" s="469"/>
      <c r="E185" s="507"/>
      <c r="F185" s="471"/>
      <c r="G185" s="589"/>
      <c r="H185" s="590"/>
      <c r="I185" s="1171"/>
      <c r="M185" s="1392">
        <v>35</v>
      </c>
    </row>
    <row r="186" spans="2:13">
      <c r="B186" s="582"/>
      <c r="C186" s="583" t="s">
        <v>28</v>
      </c>
      <c r="D186" s="600" t="s">
        <v>547</v>
      </c>
      <c r="E186" s="601" t="s">
        <v>239</v>
      </c>
      <c r="F186" s="602">
        <f>1/(0.2*0.2)</f>
        <v>24.999999999999996</v>
      </c>
      <c r="G186" s="479">
        <f>BAHAN!$E$27/4</f>
        <v>15000</v>
      </c>
      <c r="H186" s="480">
        <f t="shared" ref="H186:H191" si="28">G186*F186</f>
        <v>374999.99999999994</v>
      </c>
      <c r="I186" s="1171"/>
      <c r="J186" s="2050">
        <f>SUMIF(BOQ!$G$917:$G$938,I!I187,BOQ!$E$917:$E$938)</f>
        <v>0</v>
      </c>
      <c r="K186" s="1392">
        <f>J186*F186</f>
        <v>0</v>
      </c>
      <c r="M186" s="1392">
        <v>36</v>
      </c>
    </row>
    <row r="187" spans="2:13">
      <c r="B187" s="481"/>
      <c r="C187" s="482" t="s">
        <v>28</v>
      </c>
      <c r="D187" s="603" t="s">
        <v>453</v>
      </c>
      <c r="E187" s="604" t="s">
        <v>143</v>
      </c>
      <c r="F187" s="605">
        <v>0.1</v>
      </c>
      <c r="G187" s="485">
        <f>G178</f>
        <v>246000</v>
      </c>
      <c r="H187" s="486">
        <f t="shared" si="28"/>
        <v>24600</v>
      </c>
      <c r="I187" s="1171">
        <f>SUM(H186:H187)</f>
        <v>399599.99999999994</v>
      </c>
      <c r="J187" s="1392">
        <f>J186</f>
        <v>0</v>
      </c>
      <c r="K187" s="1392">
        <f>J187*F187</f>
        <v>0</v>
      </c>
    </row>
    <row r="188" spans="2:13">
      <c r="B188" s="481"/>
      <c r="C188" s="482" t="s">
        <v>28</v>
      </c>
      <c r="D188" s="606" t="s">
        <v>133</v>
      </c>
      <c r="E188" s="604" t="s">
        <v>132</v>
      </c>
      <c r="F188" s="336">
        <v>0.25</v>
      </c>
      <c r="G188" s="485">
        <f>G179</f>
        <v>136000</v>
      </c>
      <c r="H188" s="486">
        <f t="shared" si="28"/>
        <v>34000</v>
      </c>
      <c r="I188" s="1171"/>
    </row>
    <row r="189" spans="2:13">
      <c r="B189" s="481"/>
      <c r="C189" s="482" t="s">
        <v>28</v>
      </c>
      <c r="D189" s="606" t="s">
        <v>402</v>
      </c>
      <c r="E189" s="604" t="s">
        <v>132</v>
      </c>
      <c r="F189" s="336">
        <v>0.5</v>
      </c>
      <c r="G189" s="485">
        <f>G180</f>
        <v>160000</v>
      </c>
      <c r="H189" s="486">
        <f t="shared" si="28"/>
        <v>80000</v>
      </c>
      <c r="I189" s="1171"/>
    </row>
    <row r="190" spans="2:13">
      <c r="B190" s="481"/>
      <c r="C190" s="482" t="s">
        <v>28</v>
      </c>
      <c r="D190" s="606" t="s">
        <v>135</v>
      </c>
      <c r="E190" s="604" t="s">
        <v>132</v>
      </c>
      <c r="F190" s="336">
        <v>2.5000000000000001E-2</v>
      </c>
      <c r="G190" s="485">
        <f>G181</f>
        <v>170000</v>
      </c>
      <c r="H190" s="486">
        <f t="shared" si="28"/>
        <v>4250</v>
      </c>
      <c r="I190" s="1171"/>
    </row>
    <row r="191" spans="2:13">
      <c r="B191" s="514"/>
      <c r="C191" s="501" t="s">
        <v>28</v>
      </c>
      <c r="D191" s="607" t="s">
        <v>136</v>
      </c>
      <c r="E191" s="608" t="s">
        <v>132</v>
      </c>
      <c r="F191" s="609">
        <v>2.5000000000000001E-3</v>
      </c>
      <c r="G191" s="485">
        <f>G182</f>
        <v>180000</v>
      </c>
      <c r="H191" s="504">
        <f t="shared" si="28"/>
        <v>450</v>
      </c>
      <c r="I191" s="1171">
        <f>SUM(H188:H191)</f>
        <v>118700</v>
      </c>
    </row>
    <row r="192" spans="2:13">
      <c r="B192" s="494"/>
      <c r="C192" s="495"/>
      <c r="D192" s="496" t="s">
        <v>228</v>
      </c>
      <c r="E192" s="497"/>
      <c r="F192" s="517"/>
      <c r="G192" s="499"/>
      <c r="H192" s="500">
        <f>SUM(H186:H191)</f>
        <v>518299.99999999994</v>
      </c>
      <c r="I192" s="1171"/>
    </row>
    <row r="193" spans="2:13">
      <c r="B193" s="566"/>
      <c r="C193" s="442" t="s">
        <v>229</v>
      </c>
      <c r="D193" s="378"/>
      <c r="E193" s="378"/>
      <c r="F193" s="378"/>
      <c r="G193" s="518"/>
      <c r="H193" s="518">
        <f>ROUND(H192,0)</f>
        <v>518300</v>
      </c>
      <c r="I193" s="1164"/>
    </row>
    <row r="194" spans="2:13">
      <c r="B194" s="226" t="s">
        <v>1805</v>
      </c>
      <c r="C194" s="468" t="s">
        <v>1408</v>
      </c>
      <c r="D194" s="469"/>
      <c r="E194" s="507"/>
      <c r="F194" s="471"/>
      <c r="G194" s="589"/>
      <c r="H194" s="590"/>
      <c r="I194" s="1171"/>
      <c r="M194" s="1392">
        <v>37</v>
      </c>
    </row>
    <row r="195" spans="2:13">
      <c r="B195" s="582"/>
      <c r="C195" s="583" t="s">
        <v>28</v>
      </c>
      <c r="D195" s="600" t="s">
        <v>933</v>
      </c>
      <c r="E195" s="601" t="s">
        <v>145</v>
      </c>
      <c r="F195" s="602">
        <v>16.7</v>
      </c>
      <c r="G195" s="479">
        <f>BAHAN!$E$20</f>
        <v>5000</v>
      </c>
      <c r="H195" s="480">
        <f t="shared" ref="H195:H202" si="29">G195*F195</f>
        <v>83500</v>
      </c>
      <c r="I195" s="1171"/>
      <c r="J195" s="2050">
        <f>SUMIF(BOQ!$G$917:$G$938,I!I198,BOQ!$E$917:$E$938)</f>
        <v>0</v>
      </c>
      <c r="K195" s="1392">
        <f>J195*F195</f>
        <v>0</v>
      </c>
      <c r="M195" s="1392">
        <v>38</v>
      </c>
    </row>
    <row r="196" spans="2:13">
      <c r="B196" s="481"/>
      <c r="C196" s="482" t="s">
        <v>28</v>
      </c>
      <c r="D196" s="487" t="s">
        <v>221</v>
      </c>
      <c r="E196" s="483" t="s">
        <v>145</v>
      </c>
      <c r="F196" s="484">
        <v>0.23499999999999999</v>
      </c>
      <c r="G196" s="485">
        <f>BAHAN!$E$30/50</f>
        <v>1500</v>
      </c>
      <c r="H196" s="486">
        <f t="shared" si="29"/>
        <v>352.5</v>
      </c>
      <c r="I196" s="1171"/>
      <c r="J196" s="1392">
        <f>J195</f>
        <v>0</v>
      </c>
      <c r="K196" s="1392">
        <f>J196*F196</f>
        <v>0</v>
      </c>
    </row>
    <row r="197" spans="2:13">
      <c r="B197" s="481"/>
      <c r="C197" s="482" t="s">
        <v>28</v>
      </c>
      <c r="D197" s="603" t="s">
        <v>453</v>
      </c>
      <c r="E197" s="604" t="s">
        <v>143</v>
      </c>
      <c r="F197" s="605">
        <v>3.5000000000000003E-2</v>
      </c>
      <c r="G197" s="485">
        <f>G187</f>
        <v>246000</v>
      </c>
      <c r="H197" s="486">
        <f t="shared" si="29"/>
        <v>8610</v>
      </c>
      <c r="I197" s="1171"/>
      <c r="J197" s="1392">
        <f>J196</f>
        <v>0</v>
      </c>
      <c r="K197" s="1392">
        <f>J197*F197</f>
        <v>0</v>
      </c>
    </row>
    <row r="198" spans="2:13">
      <c r="B198" s="481"/>
      <c r="C198" s="482" t="s">
        <v>28</v>
      </c>
      <c r="D198" s="603" t="s">
        <v>1409</v>
      </c>
      <c r="E198" s="604" t="s">
        <v>301</v>
      </c>
      <c r="F198" s="605">
        <v>0.5</v>
      </c>
      <c r="G198" s="485">
        <f>BAHAN!$E$395</f>
        <v>45000</v>
      </c>
      <c r="H198" s="486">
        <f>G198*F198</f>
        <v>22500</v>
      </c>
      <c r="I198" s="1171">
        <f>SUM(H195:H198)</f>
        <v>114962.5</v>
      </c>
      <c r="J198" s="1392">
        <f>J197</f>
        <v>0</v>
      </c>
      <c r="K198" s="1392">
        <f>J198*F198</f>
        <v>0</v>
      </c>
    </row>
    <row r="199" spans="2:13">
      <c r="B199" s="481"/>
      <c r="C199" s="482" t="s">
        <v>28</v>
      </c>
      <c r="D199" s="606" t="s">
        <v>133</v>
      </c>
      <c r="E199" s="604" t="s">
        <v>132</v>
      </c>
      <c r="F199" s="336">
        <v>0.25</v>
      </c>
      <c r="G199" s="485">
        <f>G188</f>
        <v>136000</v>
      </c>
      <c r="H199" s="486">
        <f t="shared" si="29"/>
        <v>34000</v>
      </c>
      <c r="I199" s="1171"/>
    </row>
    <row r="200" spans="2:13">
      <c r="B200" s="481"/>
      <c r="C200" s="482" t="s">
        <v>28</v>
      </c>
      <c r="D200" s="606" t="s">
        <v>402</v>
      </c>
      <c r="E200" s="604" t="s">
        <v>132</v>
      </c>
      <c r="F200" s="336">
        <v>0.5</v>
      </c>
      <c r="G200" s="485">
        <f>G189</f>
        <v>160000</v>
      </c>
      <c r="H200" s="486">
        <f t="shared" si="29"/>
        <v>80000</v>
      </c>
      <c r="I200" s="1171"/>
    </row>
    <row r="201" spans="2:13">
      <c r="B201" s="481"/>
      <c r="C201" s="482" t="s">
        <v>28</v>
      </c>
      <c r="D201" s="606" t="s">
        <v>135</v>
      </c>
      <c r="E201" s="604" t="s">
        <v>132</v>
      </c>
      <c r="F201" s="336">
        <v>2.5000000000000001E-2</v>
      </c>
      <c r="G201" s="485">
        <f>G190</f>
        <v>170000</v>
      </c>
      <c r="H201" s="486">
        <f t="shared" si="29"/>
        <v>4250</v>
      </c>
      <c r="I201" s="1171"/>
    </row>
    <row r="202" spans="2:13">
      <c r="B202" s="514"/>
      <c r="C202" s="501" t="s">
        <v>28</v>
      </c>
      <c r="D202" s="607" t="s">
        <v>136</v>
      </c>
      <c r="E202" s="608" t="s">
        <v>132</v>
      </c>
      <c r="F202" s="609">
        <v>2.5000000000000001E-3</v>
      </c>
      <c r="G202" s="485">
        <f>G191</f>
        <v>180000</v>
      </c>
      <c r="H202" s="504">
        <f t="shared" si="29"/>
        <v>450</v>
      </c>
      <c r="I202" s="1171">
        <f>SUM(H199:H202)</f>
        <v>118700</v>
      </c>
    </row>
    <row r="203" spans="2:13">
      <c r="B203" s="494"/>
      <c r="C203" s="495"/>
      <c r="D203" s="496" t="s">
        <v>228</v>
      </c>
      <c r="E203" s="497"/>
      <c r="F203" s="517"/>
      <c r="G203" s="499"/>
      <c r="H203" s="500">
        <f>SUM(H195:H202)</f>
        <v>233662.5</v>
      </c>
      <c r="I203" s="1171"/>
    </row>
    <row r="204" spans="2:13">
      <c r="B204" s="566"/>
      <c r="C204" s="442" t="s">
        <v>229</v>
      </c>
      <c r="D204" s="378"/>
      <c r="E204" s="378"/>
      <c r="F204" s="378"/>
      <c r="G204" s="518"/>
      <c r="H204" s="518">
        <f>ROUND(H203,0)</f>
        <v>233663</v>
      </c>
      <c r="I204" s="1164"/>
    </row>
    <row r="205" spans="2:13">
      <c r="B205" s="226" t="s">
        <v>1806</v>
      </c>
      <c r="C205" s="328" t="s">
        <v>1694</v>
      </c>
      <c r="D205" s="287"/>
      <c r="E205" s="519"/>
      <c r="F205" s="445"/>
      <c r="G205" s="455"/>
      <c r="H205" s="456"/>
      <c r="I205" s="440"/>
      <c r="M205" s="1392">
        <v>39</v>
      </c>
    </row>
    <row r="206" spans="2:13">
      <c r="B206" s="890"/>
      <c r="C206" s="66" t="s">
        <v>28</v>
      </c>
      <c r="D206" s="891" t="s">
        <v>1695</v>
      </c>
      <c r="E206" s="1093" t="s">
        <v>1074</v>
      </c>
      <c r="F206" s="893">
        <v>2.5</v>
      </c>
      <c r="G206" s="1094">
        <f>BAHAN!$E$127</f>
        <v>245000</v>
      </c>
      <c r="H206" s="1095">
        <f t="shared" ref="H206:H212" si="30">F206*G206</f>
        <v>612500</v>
      </c>
      <c r="I206" s="440"/>
      <c r="J206" s="2050">
        <f>SUMIF(BOQ!$G$1:$G$2421,I!I208,BOQ!$E$1:$E$2421)</f>
        <v>0</v>
      </c>
      <c r="K206" s="1393">
        <f>F206*J206</f>
        <v>0</v>
      </c>
      <c r="L206" s="1395" t="s">
        <v>147</v>
      </c>
      <c r="M206" s="1392">
        <v>40</v>
      </c>
    </row>
    <row r="207" spans="2:13">
      <c r="B207" s="1096"/>
      <c r="C207" s="1097" t="s">
        <v>28</v>
      </c>
      <c r="D207" s="1098" t="s">
        <v>221</v>
      </c>
      <c r="E207" s="1099" t="s">
        <v>47</v>
      </c>
      <c r="F207" s="1100">
        <v>0</v>
      </c>
      <c r="G207" s="1094">
        <v>1290</v>
      </c>
      <c r="H207" s="1095">
        <f t="shared" si="30"/>
        <v>0</v>
      </c>
      <c r="I207" s="440"/>
      <c r="J207" s="1467">
        <f>J206</f>
        <v>0</v>
      </c>
      <c r="K207" s="1393">
        <f>F207*J207</f>
        <v>0</v>
      </c>
      <c r="L207" s="1395" t="s">
        <v>145</v>
      </c>
    </row>
    <row r="208" spans="2:13">
      <c r="B208" s="1096"/>
      <c r="C208" s="1097" t="s">
        <v>28</v>
      </c>
      <c r="D208" s="1098" t="s">
        <v>237</v>
      </c>
      <c r="E208" s="1099" t="s">
        <v>100</v>
      </c>
      <c r="F208" s="1100">
        <v>0</v>
      </c>
      <c r="G208" s="1094">
        <v>200500</v>
      </c>
      <c r="H208" s="1095">
        <f t="shared" si="30"/>
        <v>0</v>
      </c>
      <c r="I208" s="440">
        <f>SUM(H206:H208)</f>
        <v>612500</v>
      </c>
      <c r="J208" s="1467">
        <f>J207</f>
        <v>0</v>
      </c>
      <c r="K208" s="1393">
        <f>F208*J208</f>
        <v>0</v>
      </c>
      <c r="L208" s="1395" t="s">
        <v>143</v>
      </c>
    </row>
    <row r="209" spans="2:36">
      <c r="B209" s="1096"/>
      <c r="C209" s="1097" t="s">
        <v>28</v>
      </c>
      <c r="D209" s="1098" t="s">
        <v>133</v>
      </c>
      <c r="E209" s="1099" t="s">
        <v>132</v>
      </c>
      <c r="F209" s="1100">
        <v>0.25</v>
      </c>
      <c r="G209" s="1094">
        <f>G199</f>
        <v>136000</v>
      </c>
      <c r="H209" s="1095">
        <f t="shared" si="30"/>
        <v>34000</v>
      </c>
      <c r="I209" s="440"/>
      <c r="J209" s="1467"/>
      <c r="K209" s="1393"/>
      <c r="L209" s="1395"/>
    </row>
    <row r="210" spans="2:36">
      <c r="B210" s="1096"/>
      <c r="C210" s="1097" t="s">
        <v>28</v>
      </c>
      <c r="D210" s="1098" t="s">
        <v>134</v>
      </c>
      <c r="E210" s="1099" t="s">
        <v>132</v>
      </c>
      <c r="F210" s="1100">
        <v>0.12</v>
      </c>
      <c r="G210" s="1094">
        <f>G200</f>
        <v>160000</v>
      </c>
      <c r="H210" s="1095">
        <f t="shared" si="30"/>
        <v>19200</v>
      </c>
      <c r="I210" s="440"/>
    </row>
    <row r="211" spans="2:36">
      <c r="B211" s="1096"/>
      <c r="C211" s="1097" t="s">
        <v>28</v>
      </c>
      <c r="D211" s="1098" t="s">
        <v>135</v>
      </c>
      <c r="E211" s="1099" t="s">
        <v>132</v>
      </c>
      <c r="F211" s="1100">
        <v>1.2E-2</v>
      </c>
      <c r="G211" s="1094">
        <f>G201</f>
        <v>170000</v>
      </c>
      <c r="H211" s="1095">
        <f t="shared" si="30"/>
        <v>2040</v>
      </c>
      <c r="I211" s="440"/>
    </row>
    <row r="212" spans="2:36">
      <c r="B212" s="1116"/>
      <c r="C212" s="78" t="s">
        <v>28</v>
      </c>
      <c r="D212" s="902" t="s">
        <v>136</v>
      </c>
      <c r="E212" s="1104" t="s">
        <v>132</v>
      </c>
      <c r="F212" s="1105">
        <v>1.2500000000000001E-2</v>
      </c>
      <c r="G212" s="1094">
        <f>G202</f>
        <v>180000</v>
      </c>
      <c r="H212" s="521">
        <f t="shared" si="30"/>
        <v>2250</v>
      </c>
      <c r="I212" s="440">
        <f>SUM(H209:H212)</f>
        <v>57490</v>
      </c>
    </row>
    <row r="213" spans="2:36">
      <c r="B213" s="193"/>
      <c r="C213" s="882"/>
      <c r="D213" s="904" t="s">
        <v>228</v>
      </c>
      <c r="E213" s="905"/>
      <c r="F213" s="906"/>
      <c r="G213" s="464"/>
      <c r="H213" s="907">
        <f>SUM(H206:H212)</f>
        <v>669990</v>
      </c>
      <c r="I213" s="440"/>
    </row>
    <row r="214" spans="2:36">
      <c r="B214" s="566"/>
      <c r="C214" s="1107" t="s">
        <v>229</v>
      </c>
      <c r="D214" s="1108"/>
      <c r="E214" s="1108"/>
      <c r="F214" s="1108"/>
      <c r="G214" s="1109"/>
      <c r="H214" s="1109">
        <f>ROUND(H213,0)</f>
        <v>669990</v>
      </c>
      <c r="I214" s="1164"/>
    </row>
    <row r="215" spans="2:36">
      <c r="B215" s="575" t="s">
        <v>2114</v>
      </c>
      <c r="C215" s="576" t="str">
        <f>"1 M2 Lantai "&amp;BAHAN!C123&amp;" "&amp;BAHAN!F123</f>
        <v>1 M2 Lantai Batu Andesit Bintik 50x50  Finishing Polished</v>
      </c>
      <c r="D215" s="1253"/>
      <c r="E215" s="578"/>
      <c r="F215" s="579"/>
      <c r="G215" s="580"/>
      <c r="H215" s="581"/>
      <c r="I215" s="1173"/>
      <c r="J215" s="5"/>
      <c r="K215" s="5"/>
      <c r="L215" s="5"/>
      <c r="M215" s="5">
        <v>41</v>
      </c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</row>
    <row r="216" spans="2:36">
      <c r="B216" s="582"/>
      <c r="C216" s="583" t="s">
        <v>28</v>
      </c>
      <c r="D216" s="584" t="str">
        <f>BAHAN!C123</f>
        <v xml:space="preserve">Batu Andesit Bintik 50x50 </v>
      </c>
      <c r="E216" s="1254" t="s">
        <v>147</v>
      </c>
      <c r="F216" s="585">
        <v>1.05</v>
      </c>
      <c r="G216" s="1255">
        <f>BAHAN!E123</f>
        <v>190000</v>
      </c>
      <c r="H216" s="1256">
        <f t="shared" ref="H216:H223" si="31">G216*F216</f>
        <v>199500</v>
      </c>
      <c r="I216" s="1171"/>
      <c r="J216" s="2050">
        <f>SUMIF(BOQ!$G$1:$G$2403,I!I218,BOQ!$E$1:$E$2403)</f>
        <v>0</v>
      </c>
      <c r="K216" s="910">
        <f>J216*F216</f>
        <v>0</v>
      </c>
      <c r="L216" s="1775" t="s">
        <v>147</v>
      </c>
      <c r="M216" s="5">
        <v>42</v>
      </c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</row>
    <row r="217" spans="2:36">
      <c r="B217" s="1776"/>
      <c r="C217" s="1777" t="s">
        <v>28</v>
      </c>
      <c r="D217" s="1778" t="s">
        <v>221</v>
      </c>
      <c r="E217" s="1260" t="s">
        <v>145</v>
      </c>
      <c r="F217" s="1779">
        <v>9.8000000000000007</v>
      </c>
      <c r="G217" s="1262">
        <v>1290</v>
      </c>
      <c r="H217" s="1780">
        <f t="shared" si="31"/>
        <v>12642.000000000002</v>
      </c>
      <c r="I217" s="1171"/>
      <c r="J217" s="1410">
        <f>J216</f>
        <v>0</v>
      </c>
      <c r="K217" s="910">
        <f>J217*F217</f>
        <v>0</v>
      </c>
      <c r="L217" s="1775" t="s">
        <v>145</v>
      </c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</row>
    <row r="218" spans="2:36">
      <c r="B218" s="1776"/>
      <c r="C218" s="1777" t="s">
        <v>28</v>
      </c>
      <c r="D218" s="1778" t="s">
        <v>453</v>
      </c>
      <c r="E218" s="1260" t="s">
        <v>143</v>
      </c>
      <c r="F218" s="1779">
        <v>2.1499999999999998E-2</v>
      </c>
      <c r="G218" s="1262">
        <v>220000</v>
      </c>
      <c r="H218" s="1780">
        <f t="shared" si="31"/>
        <v>4730</v>
      </c>
      <c r="I218" s="1171">
        <f>SUM(H216:H219)</f>
        <v>233122</v>
      </c>
      <c r="J218" s="1410">
        <f>J217</f>
        <v>0</v>
      </c>
      <c r="K218" s="910">
        <f>J218*F218</f>
        <v>0</v>
      </c>
      <c r="L218" s="1775" t="s">
        <v>143</v>
      </c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</row>
    <row r="219" spans="2:36">
      <c r="B219" s="1776"/>
      <c r="C219" s="1777" t="s">
        <v>28</v>
      </c>
      <c r="D219" s="1778" t="s">
        <v>401</v>
      </c>
      <c r="E219" s="1260" t="s">
        <v>145</v>
      </c>
      <c r="F219" s="1779">
        <v>1.3</v>
      </c>
      <c r="G219" s="1262">
        <v>12500</v>
      </c>
      <c r="H219" s="1780">
        <f t="shared" si="31"/>
        <v>16250</v>
      </c>
      <c r="I219" s="1171"/>
      <c r="J219" s="1410">
        <f>J218</f>
        <v>0</v>
      </c>
      <c r="K219" s="910">
        <f>J219*F219</f>
        <v>0</v>
      </c>
      <c r="L219" s="1775" t="s">
        <v>145</v>
      </c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</row>
    <row r="220" spans="2:36">
      <c r="B220" s="1776"/>
      <c r="C220" s="1777" t="s">
        <v>28</v>
      </c>
      <c r="D220" s="1778" t="s">
        <v>133</v>
      </c>
      <c r="E220" s="1260" t="s">
        <v>132</v>
      </c>
      <c r="F220" s="1779">
        <v>0.25</v>
      </c>
      <c r="G220" s="1262">
        <v>90000</v>
      </c>
      <c r="H220" s="1780">
        <f t="shared" si="31"/>
        <v>22500</v>
      </c>
      <c r="I220" s="1171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</row>
    <row r="221" spans="2:36">
      <c r="B221" s="1776"/>
      <c r="C221" s="1777" t="s">
        <v>28</v>
      </c>
      <c r="D221" s="1778" t="s">
        <v>402</v>
      </c>
      <c r="E221" s="1260" t="s">
        <v>132</v>
      </c>
      <c r="F221" s="1779">
        <v>0.12</v>
      </c>
      <c r="G221" s="1262">
        <v>120000</v>
      </c>
      <c r="H221" s="1780">
        <f t="shared" si="31"/>
        <v>14400</v>
      </c>
      <c r="I221" s="1171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</row>
    <row r="222" spans="2:36">
      <c r="B222" s="1776"/>
      <c r="C222" s="1777" t="s">
        <v>28</v>
      </c>
      <c r="D222" s="1778" t="s">
        <v>135</v>
      </c>
      <c r="E222" s="1260" t="s">
        <v>132</v>
      </c>
      <c r="F222" s="1779">
        <v>1.2E-2</v>
      </c>
      <c r="G222" s="1262">
        <v>150000</v>
      </c>
      <c r="H222" s="1780">
        <f t="shared" si="31"/>
        <v>1800</v>
      </c>
      <c r="I222" s="1171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</row>
    <row r="223" spans="2:36">
      <c r="B223" s="1195"/>
      <c r="C223" s="1781" t="s">
        <v>28</v>
      </c>
      <c r="D223" s="1265" t="s">
        <v>136</v>
      </c>
      <c r="E223" s="1782" t="s">
        <v>132</v>
      </c>
      <c r="F223" s="1267">
        <v>1.2500000000000001E-2</v>
      </c>
      <c r="G223" s="1783">
        <v>200000</v>
      </c>
      <c r="H223" s="1784">
        <f t="shared" si="31"/>
        <v>2500</v>
      </c>
      <c r="I223" s="1171">
        <f>SUM(H220:H223)</f>
        <v>41200</v>
      </c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</row>
    <row r="224" spans="2:36">
      <c r="B224" s="505"/>
      <c r="C224" s="1269"/>
      <c r="D224" s="1080" t="s">
        <v>228</v>
      </c>
      <c r="E224" s="1081"/>
      <c r="F224" s="1270"/>
      <c r="G224" s="1083"/>
      <c r="H224" s="1084">
        <f>SUM(H216:H223)</f>
        <v>274322</v>
      </c>
      <c r="I224" s="1171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</row>
    <row r="225" spans="2:36">
      <c r="B225" s="566"/>
      <c r="C225" s="1520" t="s">
        <v>229</v>
      </c>
      <c r="D225" s="1228"/>
      <c r="E225" s="1228"/>
      <c r="F225" s="1228"/>
      <c r="G225" s="1229"/>
      <c r="H225" s="1229">
        <f>ROUND(H224,0)</f>
        <v>274322</v>
      </c>
      <c r="I225" s="1164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</row>
    <row r="226" spans="2:36">
      <c r="B226" s="575" t="s">
        <v>2115</v>
      </c>
      <c r="C226" s="576" t="s">
        <v>2294</v>
      </c>
      <c r="D226" s="1253"/>
      <c r="E226" s="578"/>
      <c r="F226" s="579"/>
      <c r="G226" s="580"/>
      <c r="H226" s="581"/>
      <c r="I226" s="1173"/>
      <c r="J226" s="5"/>
      <c r="K226" s="5"/>
      <c r="L226" s="5"/>
      <c r="M226" s="5">
        <v>43</v>
      </c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</row>
    <row r="227" spans="2:36">
      <c r="B227" s="582"/>
      <c r="C227" s="583" t="s">
        <v>28</v>
      </c>
      <c r="D227" s="584" t="s">
        <v>2116</v>
      </c>
      <c r="E227" s="1254" t="s">
        <v>147</v>
      </c>
      <c r="F227" s="585">
        <v>1.05</v>
      </c>
      <c r="G227" s="1255">
        <v>228000</v>
      </c>
      <c r="H227" s="1256">
        <f t="shared" ref="H227:H234" si="32">G227*F227</f>
        <v>239400</v>
      </c>
      <c r="I227" s="1171"/>
      <c r="J227" s="2050">
        <f>SUMIF(BOQ!$G$917:$G$938,I!I229,BOQ!$E$917:$E$938)</f>
        <v>0</v>
      </c>
      <c r="K227" s="910">
        <f>J227*F227</f>
        <v>0</v>
      </c>
      <c r="L227" s="1775" t="s">
        <v>147</v>
      </c>
      <c r="M227" s="5">
        <v>44</v>
      </c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</row>
    <row r="228" spans="2:36">
      <c r="B228" s="1776"/>
      <c r="C228" s="1777" t="s">
        <v>28</v>
      </c>
      <c r="D228" s="1778" t="s">
        <v>221</v>
      </c>
      <c r="E228" s="1260" t="s">
        <v>145</v>
      </c>
      <c r="F228" s="1779">
        <v>9.8000000000000007</v>
      </c>
      <c r="G228" s="1262">
        <v>1290</v>
      </c>
      <c r="H228" s="1780">
        <f t="shared" si="32"/>
        <v>12642.000000000002</v>
      </c>
      <c r="I228" s="1171"/>
      <c r="J228" s="1410">
        <f>J227</f>
        <v>0</v>
      </c>
      <c r="K228" s="910">
        <f>J228*F228</f>
        <v>0</v>
      </c>
      <c r="L228" s="1775" t="s">
        <v>145</v>
      </c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</row>
    <row r="229" spans="2:36">
      <c r="B229" s="1776"/>
      <c r="C229" s="1777" t="s">
        <v>28</v>
      </c>
      <c r="D229" s="1778" t="s">
        <v>453</v>
      </c>
      <c r="E229" s="1260" t="s">
        <v>143</v>
      </c>
      <c r="F229" s="1779">
        <v>2.1499999999999998E-2</v>
      </c>
      <c r="G229" s="1262">
        <v>220000</v>
      </c>
      <c r="H229" s="1780">
        <f t="shared" si="32"/>
        <v>4730</v>
      </c>
      <c r="I229" s="1171">
        <f>SUM(H227:H229)</f>
        <v>256772</v>
      </c>
      <c r="J229" s="1410">
        <f>J228</f>
        <v>0</v>
      </c>
      <c r="K229" s="910">
        <f>J229*F229</f>
        <v>0</v>
      </c>
      <c r="L229" s="1775" t="s">
        <v>143</v>
      </c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</row>
    <row r="230" spans="2:36">
      <c r="B230" s="1776"/>
      <c r="C230" s="1777" t="s">
        <v>28</v>
      </c>
      <c r="D230" s="1778" t="s">
        <v>401</v>
      </c>
      <c r="E230" s="1260" t="s">
        <v>145</v>
      </c>
      <c r="F230" s="1779">
        <v>1.3</v>
      </c>
      <c r="G230" s="1262">
        <v>12500</v>
      </c>
      <c r="H230" s="1780">
        <f t="shared" si="32"/>
        <v>16250</v>
      </c>
      <c r="I230" s="1171"/>
      <c r="J230" s="1410">
        <f>J229</f>
        <v>0</v>
      </c>
      <c r="K230" s="910">
        <f>J230*F230</f>
        <v>0</v>
      </c>
      <c r="L230" s="1775" t="s">
        <v>145</v>
      </c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</row>
    <row r="231" spans="2:36">
      <c r="B231" s="1776"/>
      <c r="C231" s="1777" t="s">
        <v>28</v>
      </c>
      <c r="D231" s="1778" t="s">
        <v>133</v>
      </c>
      <c r="E231" s="1260" t="s">
        <v>132</v>
      </c>
      <c r="F231" s="1779">
        <v>0.25</v>
      </c>
      <c r="G231" s="1262">
        <v>90000</v>
      </c>
      <c r="H231" s="1780">
        <f t="shared" si="32"/>
        <v>22500</v>
      </c>
      <c r="I231" s="1171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</row>
    <row r="232" spans="2:36">
      <c r="B232" s="1776"/>
      <c r="C232" s="1777" t="s">
        <v>28</v>
      </c>
      <c r="D232" s="1778" t="s">
        <v>402</v>
      </c>
      <c r="E232" s="1260" t="s">
        <v>132</v>
      </c>
      <c r="F232" s="1779">
        <v>0.12</v>
      </c>
      <c r="G232" s="1262">
        <v>120000</v>
      </c>
      <c r="H232" s="1780">
        <f t="shared" si="32"/>
        <v>14400</v>
      </c>
      <c r="I232" s="1171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</row>
    <row r="233" spans="2:36">
      <c r="B233" s="1776"/>
      <c r="C233" s="1777" t="s">
        <v>28</v>
      </c>
      <c r="D233" s="1778" t="s">
        <v>135</v>
      </c>
      <c r="E233" s="1260" t="s">
        <v>132</v>
      </c>
      <c r="F233" s="1779">
        <v>1.2E-2</v>
      </c>
      <c r="G233" s="1262">
        <v>150000</v>
      </c>
      <c r="H233" s="1780">
        <f t="shared" si="32"/>
        <v>1800</v>
      </c>
      <c r="I233" s="1171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</row>
    <row r="234" spans="2:36">
      <c r="B234" s="1195"/>
      <c r="C234" s="1781" t="s">
        <v>28</v>
      </c>
      <c r="D234" s="1265" t="s">
        <v>136</v>
      </c>
      <c r="E234" s="1782" t="s">
        <v>132</v>
      </c>
      <c r="F234" s="1267">
        <v>1.2500000000000001E-2</v>
      </c>
      <c r="G234" s="1783">
        <v>200000</v>
      </c>
      <c r="H234" s="1784">
        <f t="shared" si="32"/>
        <v>2500</v>
      </c>
      <c r="I234" s="1171">
        <f>SUM(H230:H234)</f>
        <v>57450</v>
      </c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</row>
    <row r="235" spans="2:36">
      <c r="B235" s="505"/>
      <c r="C235" s="1269"/>
      <c r="D235" s="1080" t="s">
        <v>228</v>
      </c>
      <c r="E235" s="1081"/>
      <c r="F235" s="1270"/>
      <c r="G235" s="1083"/>
      <c r="H235" s="1084">
        <f>SUM(H227:H234)</f>
        <v>314222</v>
      </c>
      <c r="I235" s="1171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</row>
    <row r="236" spans="2:36">
      <c r="B236" s="566"/>
      <c r="C236" s="1520" t="s">
        <v>229</v>
      </c>
      <c r="D236" s="1228"/>
      <c r="E236" s="1228"/>
      <c r="F236" s="1228"/>
      <c r="G236" s="1229"/>
      <c r="H236" s="1229">
        <f>ROUND(H235,0)</f>
        <v>314222</v>
      </c>
      <c r="I236" s="1164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</row>
    <row r="237" spans="2:36">
      <c r="B237" s="575" t="s">
        <v>2117</v>
      </c>
      <c r="C237" s="576" t="s">
        <v>2361</v>
      </c>
      <c r="D237" s="1253"/>
      <c r="E237" s="578"/>
      <c r="F237" s="579"/>
      <c r="G237" s="580"/>
      <c r="H237" s="581"/>
      <c r="I237" s="1173"/>
      <c r="J237" s="5"/>
      <c r="K237" s="5"/>
      <c r="L237" s="5"/>
      <c r="M237" s="5">
        <v>45</v>
      </c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</row>
    <row r="238" spans="2:36">
      <c r="B238" s="582"/>
      <c r="C238" s="583" t="s">
        <v>28</v>
      </c>
      <c r="D238" s="584" t="s">
        <v>929</v>
      </c>
      <c r="E238" s="1254" t="s">
        <v>147</v>
      </c>
      <c r="F238" s="585">
        <v>1.05</v>
      </c>
      <c r="G238" s="1255">
        <f>BAHAN!$E$17</f>
        <v>75000</v>
      </c>
      <c r="H238" s="1256">
        <f t="shared" ref="H238:H245" si="33">G238*F238</f>
        <v>78750</v>
      </c>
      <c r="I238" s="1171"/>
      <c r="J238" s="2050">
        <f>SUMIF(BOQ!$G$917:$G$938,I!I241,BOQ!$E$917:$E$938)</f>
        <v>0</v>
      </c>
      <c r="K238" s="910">
        <f>J238*F238</f>
        <v>0</v>
      </c>
      <c r="L238" s="1775" t="s">
        <v>147</v>
      </c>
      <c r="M238" s="5">
        <v>46</v>
      </c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</row>
    <row r="239" spans="2:36">
      <c r="B239" s="1776"/>
      <c r="C239" s="1777" t="s">
        <v>28</v>
      </c>
      <c r="D239" s="1778" t="s">
        <v>221</v>
      </c>
      <c r="E239" s="1260" t="s">
        <v>145</v>
      </c>
      <c r="F239" s="1779">
        <v>9.8000000000000007</v>
      </c>
      <c r="G239" s="1262">
        <v>1290</v>
      </c>
      <c r="H239" s="1780">
        <f t="shared" si="33"/>
        <v>12642.000000000002</v>
      </c>
      <c r="I239" s="1171"/>
      <c r="J239" s="1410">
        <f>J238</f>
        <v>0</v>
      </c>
      <c r="K239" s="910">
        <f>J239*F239</f>
        <v>0</v>
      </c>
      <c r="L239" s="1775" t="s">
        <v>145</v>
      </c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</row>
    <row r="240" spans="2:36">
      <c r="B240" s="1776"/>
      <c r="C240" s="1777" t="s">
        <v>28</v>
      </c>
      <c r="D240" s="1778" t="s">
        <v>453</v>
      </c>
      <c r="E240" s="1260" t="s">
        <v>143</v>
      </c>
      <c r="F240" s="1779">
        <v>2.1499999999999998E-2</v>
      </c>
      <c r="G240" s="1262">
        <v>220000</v>
      </c>
      <c r="H240" s="1780">
        <f t="shared" si="33"/>
        <v>4730</v>
      </c>
      <c r="I240" s="1171"/>
      <c r="J240" s="1410">
        <f>J239</f>
        <v>0</v>
      </c>
      <c r="K240" s="910">
        <f>J240*F240</f>
        <v>0</v>
      </c>
      <c r="L240" s="1775" t="s">
        <v>143</v>
      </c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</row>
    <row r="241" spans="2:36">
      <c r="B241" s="1776"/>
      <c r="C241" s="1777" t="s">
        <v>28</v>
      </c>
      <c r="D241" s="1778" t="s">
        <v>401</v>
      </c>
      <c r="E241" s="1260" t="s">
        <v>145</v>
      </c>
      <c r="F241" s="1779">
        <v>1.3</v>
      </c>
      <c r="G241" s="1262">
        <v>12500</v>
      </c>
      <c r="H241" s="1780">
        <f t="shared" si="33"/>
        <v>16250</v>
      </c>
      <c r="I241" s="1171">
        <f>SUM(H238:H241)</f>
        <v>112372</v>
      </c>
      <c r="J241" s="1410">
        <f>J240</f>
        <v>0</v>
      </c>
      <c r="K241" s="910">
        <f>J241*F241</f>
        <v>0</v>
      </c>
      <c r="L241" s="1775" t="s">
        <v>145</v>
      </c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</row>
    <row r="242" spans="2:36">
      <c r="B242" s="1776"/>
      <c r="C242" s="1777" t="s">
        <v>28</v>
      </c>
      <c r="D242" s="1778" t="s">
        <v>133</v>
      </c>
      <c r="E242" s="1260" t="s">
        <v>132</v>
      </c>
      <c r="F242" s="1779">
        <v>0.25</v>
      </c>
      <c r="G242" s="1262">
        <v>90000</v>
      </c>
      <c r="H242" s="1780">
        <f t="shared" si="33"/>
        <v>22500</v>
      </c>
      <c r="I242" s="1171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</row>
    <row r="243" spans="2:36">
      <c r="B243" s="1776"/>
      <c r="C243" s="1777" t="s">
        <v>28</v>
      </c>
      <c r="D243" s="1778" t="s">
        <v>402</v>
      </c>
      <c r="E243" s="1260" t="s">
        <v>132</v>
      </c>
      <c r="F243" s="1779">
        <v>0.12</v>
      </c>
      <c r="G243" s="1262">
        <v>120000</v>
      </c>
      <c r="H243" s="1780">
        <f t="shared" si="33"/>
        <v>14400</v>
      </c>
      <c r="I243" s="1171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</row>
    <row r="244" spans="2:36">
      <c r="B244" s="1776"/>
      <c r="C244" s="1777" t="s">
        <v>28</v>
      </c>
      <c r="D244" s="1778" t="s">
        <v>135</v>
      </c>
      <c r="E244" s="1260" t="s">
        <v>132</v>
      </c>
      <c r="F244" s="1779">
        <v>1.2E-2</v>
      </c>
      <c r="G244" s="1262">
        <v>150000</v>
      </c>
      <c r="H244" s="1780">
        <f t="shared" si="33"/>
        <v>1800</v>
      </c>
      <c r="I244" s="1171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</row>
    <row r="245" spans="2:36">
      <c r="B245" s="1195"/>
      <c r="C245" s="1781" t="s">
        <v>28</v>
      </c>
      <c r="D245" s="1265" t="s">
        <v>136</v>
      </c>
      <c r="E245" s="1782" t="s">
        <v>132</v>
      </c>
      <c r="F245" s="1267">
        <v>1.2500000000000001E-2</v>
      </c>
      <c r="G245" s="1783">
        <v>200000</v>
      </c>
      <c r="H245" s="1784">
        <f t="shared" si="33"/>
        <v>2500</v>
      </c>
      <c r="I245" s="1171">
        <f>SUM(H242:H245)</f>
        <v>41200</v>
      </c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</row>
    <row r="246" spans="2:36">
      <c r="B246" s="505"/>
      <c r="C246" s="1269"/>
      <c r="D246" s="1080" t="s">
        <v>228</v>
      </c>
      <c r="E246" s="1081"/>
      <c r="F246" s="1270"/>
      <c r="G246" s="1083"/>
      <c r="H246" s="1084">
        <f>SUM(H238:H245)</f>
        <v>153572</v>
      </c>
      <c r="I246" s="1171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</row>
    <row r="247" spans="2:36">
      <c r="B247" s="566"/>
      <c r="C247" s="1520" t="s">
        <v>229</v>
      </c>
      <c r="D247" s="1228"/>
      <c r="E247" s="1228"/>
      <c r="F247" s="1228"/>
      <c r="G247" s="1229"/>
      <c r="H247" s="1229">
        <f>ROUND(H246,0)</f>
        <v>153572</v>
      </c>
      <c r="I247" s="1164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</row>
    <row r="249" spans="2:36" ht="15.75" thickBot="1"/>
    <row r="250" spans="2:36">
      <c r="D250" s="2920" t="s">
        <v>2354</v>
      </c>
      <c r="E250" s="2921"/>
    </row>
    <row r="251" spans="2:36">
      <c r="D251" s="2034" t="s">
        <v>221</v>
      </c>
      <c r="E251" s="2032">
        <f>SUMIF($D$1:$D$245,D251,$K$1:$K$245)</f>
        <v>0</v>
      </c>
    </row>
    <row r="252" spans="2:36">
      <c r="D252" s="2034" t="s">
        <v>453</v>
      </c>
      <c r="E252" s="2032">
        <f>SUMIF($D$1:$D$245,D252,$K$1:$K$245)</f>
        <v>0</v>
      </c>
    </row>
    <row r="253" spans="2:36" ht="15.75" thickBot="1">
      <c r="D253" s="2039" t="s">
        <v>401</v>
      </c>
      <c r="E253" s="2037">
        <f>SUMIF($D$1:$D$245,D253,$K$1:$K$245)</f>
        <v>0</v>
      </c>
    </row>
    <row r="255" spans="2:36">
      <c r="G255" s="2284" t="s">
        <v>2738</v>
      </c>
      <c r="H255" s="2284" t="s">
        <v>2739</v>
      </c>
    </row>
    <row r="256" spans="2:36" ht="22.5">
      <c r="B256" s="2490">
        <v>1</v>
      </c>
      <c r="C256" s="2490">
        <v>2</v>
      </c>
      <c r="D256" s="2492" t="str">
        <f>LOOKUP(B256,$M$6:$M$238,$C$6:$C$238)</f>
        <v>1 M2 Lantai Granite Tile 60x60 Ex. Niro Granite Bianco Luna GBL01 Silky White</v>
      </c>
      <c r="E256" s="2490"/>
      <c r="F256" s="2490"/>
      <c r="G256" s="2490">
        <f t="shared" ref="G256:G278" si="34">LOOKUP(C256,$M$6:$M$238,$K$6:$K$238)</f>
        <v>0</v>
      </c>
      <c r="I256" s="2491">
        <f t="shared" ref="I256:I278" si="35">LOOKUP(C256,$M$6:$M$238,$G$6:$G$238)</f>
        <v>147000</v>
      </c>
    </row>
    <row r="257" spans="2:9" ht="22.5">
      <c r="B257" s="2490">
        <v>3</v>
      </c>
      <c r="C257" s="2490">
        <v>4</v>
      </c>
      <c r="D257" s="2492" t="str">
        <f t="shared" ref="D257:D278" si="36">LOOKUP(B257,$M$6:$M$238,$C$6:$C$238)</f>
        <v>1 M¹ Plint Granite Tile uk. 10 x 80 cm Setara Indogress</v>
      </c>
      <c r="E257" s="2490"/>
      <c r="F257" s="2490"/>
      <c r="G257" s="2490">
        <f t="shared" si="34"/>
        <v>0</v>
      </c>
      <c r="I257" s="2491">
        <f t="shared" si="35"/>
        <v>147000</v>
      </c>
    </row>
    <row r="258" spans="2:9" ht="22.5">
      <c r="B258" s="2490">
        <v>5</v>
      </c>
      <c r="C258" s="2490">
        <v>6</v>
      </c>
      <c r="D258" s="2492" t="str">
        <f t="shared" si="36"/>
        <v>1 M2 Lantai Keramik area service uk. 60x60 cm Setara KIA Siena Ivory</v>
      </c>
      <c r="E258" s="2490"/>
      <c r="F258" s="2490"/>
      <c r="G258" s="2490">
        <f t="shared" si="34"/>
        <v>0</v>
      </c>
      <c r="I258" s="2491">
        <f t="shared" si="35"/>
        <v>174444.44444444444</v>
      </c>
    </row>
    <row r="259" spans="2:9" ht="22.5">
      <c r="B259" s="2490">
        <v>7</v>
      </c>
      <c r="C259" s="2490">
        <v>8</v>
      </c>
      <c r="D259" s="2492" t="str">
        <f t="shared" si="36"/>
        <v>1 M2 Lantai Granite Tile 80x80 Ex. Niro Granite Lux 3.0 GLX83 Carnelia</v>
      </c>
      <c r="E259" s="2490"/>
      <c r="F259" s="2490"/>
      <c r="G259" s="2490">
        <f t="shared" si="34"/>
        <v>0</v>
      </c>
      <c r="I259" s="2491">
        <f t="shared" si="35"/>
        <v>202000</v>
      </c>
    </row>
    <row r="260" spans="2:9" ht="22.5">
      <c r="B260" s="2490">
        <v>9</v>
      </c>
      <c r="C260" s="2490">
        <v>10</v>
      </c>
      <c r="D260" s="2492" t="str">
        <f t="shared" si="36"/>
        <v>1 M¹ Plint Granite Tile uk. 10 x 60 cm Setara Roman Granit</v>
      </c>
      <c r="E260" s="2490"/>
      <c r="F260" s="2490"/>
      <c r="G260" s="2490">
        <f t="shared" si="34"/>
        <v>0</v>
      </c>
      <c r="I260" s="2491">
        <f t="shared" si="35"/>
        <v>202000</v>
      </c>
    </row>
    <row r="261" spans="2:9" ht="22.5">
      <c r="B261" s="2490">
        <v>11</v>
      </c>
      <c r="C261" s="2490">
        <v>12</v>
      </c>
      <c r="D261" s="2492" t="str">
        <f t="shared" si="36"/>
        <v>1 M2 Lantai Keramik Kasar area service uk. 40 x 40 cm Setara KIA Terazo</v>
      </c>
      <c r="E261" s="2490"/>
      <c r="F261" s="2490"/>
      <c r="G261" s="2490">
        <f t="shared" si="34"/>
        <v>0</v>
      </c>
      <c r="I261" s="2491">
        <f t="shared" si="35"/>
        <v>65500</v>
      </c>
    </row>
    <row r="262" spans="2:9" ht="22.5">
      <c r="B262" s="2490">
        <v>13</v>
      </c>
      <c r="C262" s="2490">
        <v>14</v>
      </c>
      <c r="D262" s="2492" t="str">
        <f t="shared" si="36"/>
        <v>1 M2 Lantai Keramik Area Service uk. 40 x 40 cm Setara KIA Monza Crema</v>
      </c>
      <c r="E262" s="2490"/>
      <c r="F262" s="2490"/>
      <c r="G262" s="2490">
        <f t="shared" si="34"/>
        <v>0</v>
      </c>
      <c r="I262" s="2491">
        <f t="shared" si="35"/>
        <v>57000</v>
      </c>
    </row>
    <row r="263" spans="2:9" ht="22.5">
      <c r="B263" s="2490">
        <v>15</v>
      </c>
      <c r="C263" s="2490">
        <v>16</v>
      </c>
      <c r="D263" s="2492" t="str">
        <f t="shared" si="36"/>
        <v>1 M2 Lantai Keramik 30x30 Ex. Roman dBorra Grey G330519</v>
      </c>
      <c r="E263" s="2490"/>
      <c r="F263" s="2490"/>
      <c r="G263" s="2490">
        <f t="shared" si="34"/>
        <v>0</v>
      </c>
      <c r="I263" s="2491">
        <f t="shared" si="35"/>
        <v>101010.10101010102</v>
      </c>
    </row>
    <row r="264" spans="2:9" ht="22.5">
      <c r="B264" s="2490">
        <v>17</v>
      </c>
      <c r="C264" s="2490">
        <v>18</v>
      </c>
      <c r="D264" s="2492" t="str">
        <f t="shared" si="36"/>
        <v>1 M2 Lantai Granite Unpolished area KM/WC uk. 60 x 60 cm Setara Roman Granit</v>
      </c>
      <c r="E264" s="2490"/>
      <c r="F264" s="2490"/>
      <c r="G264" s="2490">
        <f t="shared" si="34"/>
        <v>0</v>
      </c>
      <c r="I264" s="2491">
        <f t="shared" si="35"/>
        <v>90000</v>
      </c>
    </row>
    <row r="265" spans="2:9" ht="22.5">
      <c r="B265" s="2490">
        <v>19</v>
      </c>
      <c r="C265" s="2490">
        <v>20</v>
      </c>
      <c r="D265" s="2492" t="str">
        <f t="shared" si="36"/>
        <v>1 M2 Lantai Batu Andesit Bintik uk. 50 x 50 cm Finishing Polished</v>
      </c>
      <c r="E265" s="2490"/>
      <c r="F265" s="2490"/>
      <c r="G265" s="2490">
        <f t="shared" si="34"/>
        <v>0</v>
      </c>
      <c r="I265" s="2491">
        <f t="shared" si="35"/>
        <v>190000</v>
      </c>
    </row>
    <row r="266" spans="2:9" ht="22.5">
      <c r="B266" s="2490">
        <v>21</v>
      </c>
      <c r="C266" s="2490">
        <v>22</v>
      </c>
      <c r="D266" s="2492" t="str">
        <f t="shared" si="36"/>
        <v xml:space="preserve">1 M2 Lantai Keramik Mozaik uk. 30 x 30 cm setara Kuda Laut </v>
      </c>
      <c r="E266" s="2490"/>
      <c r="F266" s="2490"/>
      <c r="G266" s="2490">
        <f t="shared" si="34"/>
        <v>0</v>
      </c>
      <c r="I266" s="2491">
        <f t="shared" si="35"/>
        <v>39393.939393939392</v>
      </c>
    </row>
    <row r="267" spans="2:9" ht="22.5">
      <c r="B267" s="2490">
        <v>23</v>
      </c>
      <c r="C267" s="2490">
        <v>24</v>
      </c>
      <c r="D267" s="2492" t="str">
        <f t="shared" si="36"/>
        <v>1 M2 Lantai Marmer Alam Setara Ujung Pandang</v>
      </c>
      <c r="E267" s="2490"/>
      <c r="F267" s="2490"/>
      <c r="G267" s="2490">
        <f t="shared" si="34"/>
        <v>0</v>
      </c>
      <c r="I267" s="2491">
        <f t="shared" si="35"/>
        <v>725000</v>
      </c>
    </row>
    <row r="268" spans="2:9" ht="22.5">
      <c r="B268" s="2490">
        <v>25</v>
      </c>
      <c r="C268" s="2490">
        <v>26</v>
      </c>
      <c r="D268" s="2492" t="str">
        <f t="shared" si="36"/>
        <v>1 M¹ Plint Marmer Alam setara Ujung Pandang</v>
      </c>
      <c r="E268" s="2490"/>
      <c r="F268" s="2490"/>
      <c r="G268" s="2490">
        <f t="shared" si="34"/>
        <v>0</v>
      </c>
      <c r="I268" s="2491">
        <f t="shared" si="35"/>
        <v>725000</v>
      </c>
    </row>
    <row r="269" spans="2:9">
      <c r="B269" s="2490">
        <v>27</v>
      </c>
      <c r="C269" s="2490">
        <v>28</v>
      </c>
      <c r="D269" s="2492" t="str">
        <f t="shared" si="36"/>
        <v>1 M2 Lantai Parquet Jati</v>
      </c>
      <c r="E269" s="2490"/>
      <c r="F269" s="2490"/>
      <c r="G269" s="2490">
        <f t="shared" si="34"/>
        <v>0</v>
      </c>
      <c r="I269" s="2491">
        <f t="shared" si="35"/>
        <v>175000</v>
      </c>
    </row>
    <row r="270" spans="2:9">
      <c r="B270" s="2490">
        <v>29</v>
      </c>
      <c r="C270" s="2490">
        <v>30</v>
      </c>
      <c r="D270" s="2492" t="str">
        <f t="shared" si="36"/>
        <v>1 M2 Lantai Parquet Jati</v>
      </c>
      <c r="E270" s="2490"/>
      <c r="F270" s="2490"/>
      <c r="G270" s="2490">
        <f t="shared" si="34"/>
        <v>0</v>
      </c>
      <c r="I270" s="2491">
        <f t="shared" si="35"/>
        <v>222000</v>
      </c>
    </row>
    <row r="271" spans="2:9">
      <c r="B271" s="2490">
        <v>31</v>
      </c>
      <c r="C271" s="2490">
        <v>32</v>
      </c>
      <c r="D271" s="2492" t="str">
        <f t="shared" si="36"/>
        <v xml:space="preserve">1 M2 Lantai Kayu Ulin Kalimantan </v>
      </c>
      <c r="E271" s="2490"/>
      <c r="F271" s="2490"/>
      <c r="G271" s="2490">
        <f t="shared" si="34"/>
        <v>0</v>
      </c>
      <c r="I271" s="2491">
        <f t="shared" si="35"/>
        <v>985000</v>
      </c>
    </row>
    <row r="272" spans="2:9">
      <c r="B272" s="2490">
        <v>33</v>
      </c>
      <c r="C272" s="2490">
        <v>34</v>
      </c>
      <c r="D272" s="2492" t="str">
        <f t="shared" si="36"/>
        <v>1 M2 Paving block natural 6 cm</v>
      </c>
      <c r="E272" s="2490"/>
      <c r="F272" s="2490"/>
      <c r="G272" s="2490">
        <f t="shared" si="34"/>
        <v>0</v>
      </c>
      <c r="I272" s="2491">
        <f t="shared" si="35"/>
        <v>79000</v>
      </c>
    </row>
    <row r="273" spans="2:9">
      <c r="B273" s="2490">
        <v>35</v>
      </c>
      <c r="C273" s="2490">
        <v>36</v>
      </c>
      <c r="D273" s="2492" t="str">
        <f t="shared" si="36"/>
        <v>1 M2 Grass Block 20 x 20</v>
      </c>
      <c r="E273" s="2490"/>
      <c r="F273" s="2490"/>
      <c r="G273" s="2490">
        <f t="shared" si="34"/>
        <v>0</v>
      </c>
      <c r="I273" s="2491">
        <f t="shared" si="35"/>
        <v>15000</v>
      </c>
    </row>
    <row r="274" spans="2:9">
      <c r="B274" s="2490">
        <v>37</v>
      </c>
      <c r="C274" s="2490">
        <v>38</v>
      </c>
      <c r="D274" s="2492" t="str">
        <f t="shared" si="36"/>
        <v>1 M2 Pemasangan Lantai Koral Sikat</v>
      </c>
      <c r="E274" s="2490"/>
      <c r="F274" s="2490"/>
      <c r="G274" s="2490">
        <f t="shared" si="34"/>
        <v>0</v>
      </c>
      <c r="I274" s="2491">
        <f t="shared" si="35"/>
        <v>5000</v>
      </c>
    </row>
    <row r="275" spans="2:9">
      <c r="B275" s="2490">
        <v>39</v>
      </c>
      <c r="C275" s="2490">
        <v>40</v>
      </c>
      <c r="D275" s="2492" t="str">
        <f t="shared" si="36"/>
        <v>1 M2 Lantai Parket WPC</v>
      </c>
      <c r="E275" s="2490"/>
      <c r="F275" s="2490"/>
      <c r="G275" s="2490">
        <f t="shared" si="34"/>
        <v>0</v>
      </c>
      <c r="I275" s="2491">
        <f t="shared" si="35"/>
        <v>245000</v>
      </c>
    </row>
    <row r="276" spans="2:9" ht="22.5">
      <c r="B276" s="2490">
        <v>41</v>
      </c>
      <c r="C276" s="2490">
        <v>42</v>
      </c>
      <c r="D276" s="2492" t="str">
        <f t="shared" si="36"/>
        <v>1 M2 Lantai Batu Andesit Bintik 50x50  Finishing Polished</v>
      </c>
      <c r="E276" s="2490"/>
      <c r="F276" s="2490"/>
      <c r="G276" s="2490">
        <f t="shared" si="34"/>
        <v>0</v>
      </c>
      <c r="I276" s="2491">
        <f t="shared" si="35"/>
        <v>190000</v>
      </c>
    </row>
    <row r="277" spans="2:9" ht="22.5">
      <c r="B277" s="2490">
        <v>43</v>
      </c>
      <c r="C277" s="2490">
        <v>44</v>
      </c>
      <c r="D277" s="2492" t="str">
        <f t="shared" si="36"/>
        <v>1 M2 Lantai Keramik uk. 30 x 60 cm Setara COTTO</v>
      </c>
      <c r="E277" s="2490"/>
      <c r="F277" s="2490"/>
      <c r="G277" s="2490">
        <f t="shared" si="34"/>
        <v>0</v>
      </c>
      <c r="I277" s="2491">
        <f t="shared" si="35"/>
        <v>228000</v>
      </c>
    </row>
    <row r="278" spans="2:9">
      <c r="B278" s="2490">
        <v>45</v>
      </c>
      <c r="C278" s="2490">
        <v>46</v>
      </c>
      <c r="D278" s="2492" t="str">
        <f t="shared" si="36"/>
        <v>1 M2 Lantai Batu Tempel Hitam</v>
      </c>
      <c r="E278" s="2490"/>
      <c r="F278" s="2490"/>
      <c r="G278" s="2490">
        <f t="shared" si="34"/>
        <v>0</v>
      </c>
      <c r="I278" s="2491">
        <f t="shared" si="35"/>
        <v>75000</v>
      </c>
    </row>
  </sheetData>
  <mergeCells count="2">
    <mergeCell ref="B2:H2"/>
    <mergeCell ref="D250:E250"/>
  </mergeCells>
  <pageMargins left="1.4173228346456701" right="0.59055118110236204" top="0.64" bottom="0.78740157480314998" header="0.31496062992126" footer="0.31496062992126"/>
  <pageSetup paperSize="5" scale="95" orientation="portrait" horizontalDpi="4294967294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0"/>
  <dimension ref="B2:I101"/>
  <sheetViews>
    <sheetView view="pageBreakPreview" topLeftCell="A69" zoomScale="115" zoomScaleSheetLayoutView="115" workbookViewId="0">
      <selection activeCell="G86" sqref="G86"/>
    </sheetView>
  </sheetViews>
  <sheetFormatPr defaultRowHeight="15"/>
  <cols>
    <col min="1" max="1" width="1.7109375" style="5" customWidth="1"/>
    <col min="2" max="2" width="4.42578125" style="5" customWidth="1"/>
    <col min="3" max="3" width="1" style="5" customWidth="1"/>
    <col min="4" max="4" width="25.7109375" style="5" customWidth="1"/>
    <col min="5" max="5" width="8.140625" style="5" customWidth="1"/>
    <col min="6" max="6" width="8.7109375" style="5" customWidth="1"/>
    <col min="7" max="7" width="15.28515625" style="5" customWidth="1"/>
    <col min="8" max="8" width="17" style="5" customWidth="1"/>
    <col min="9" max="9" width="16.42578125" style="5" customWidth="1"/>
    <col min="10" max="256" width="9.140625" style="5"/>
    <col min="257" max="257" width="1.7109375" style="5" customWidth="1"/>
    <col min="258" max="258" width="4.42578125" style="5" customWidth="1"/>
    <col min="259" max="259" width="1" style="5" customWidth="1"/>
    <col min="260" max="260" width="25.7109375" style="5" customWidth="1"/>
    <col min="261" max="261" width="8.140625" style="5" customWidth="1"/>
    <col min="262" max="262" width="8.7109375" style="5" customWidth="1"/>
    <col min="263" max="263" width="15.28515625" style="5" customWidth="1"/>
    <col min="264" max="264" width="17" style="5" customWidth="1"/>
    <col min="265" max="512" width="9.140625" style="5"/>
    <col min="513" max="513" width="1.7109375" style="5" customWidth="1"/>
    <col min="514" max="514" width="4.42578125" style="5" customWidth="1"/>
    <col min="515" max="515" width="1" style="5" customWidth="1"/>
    <col min="516" max="516" width="25.7109375" style="5" customWidth="1"/>
    <col min="517" max="517" width="8.140625" style="5" customWidth="1"/>
    <col min="518" max="518" width="8.7109375" style="5" customWidth="1"/>
    <col min="519" max="519" width="15.28515625" style="5" customWidth="1"/>
    <col min="520" max="520" width="17" style="5" customWidth="1"/>
    <col min="521" max="768" width="9.140625" style="5"/>
    <col min="769" max="769" width="1.7109375" style="5" customWidth="1"/>
    <col min="770" max="770" width="4.42578125" style="5" customWidth="1"/>
    <col min="771" max="771" width="1" style="5" customWidth="1"/>
    <col min="772" max="772" width="25.7109375" style="5" customWidth="1"/>
    <col min="773" max="773" width="8.140625" style="5" customWidth="1"/>
    <col min="774" max="774" width="8.7109375" style="5" customWidth="1"/>
    <col min="775" max="775" width="15.28515625" style="5" customWidth="1"/>
    <col min="776" max="776" width="17" style="5" customWidth="1"/>
    <col min="777" max="1024" width="9.140625" style="5"/>
    <col min="1025" max="1025" width="1.7109375" style="5" customWidth="1"/>
    <col min="1026" max="1026" width="4.42578125" style="5" customWidth="1"/>
    <col min="1027" max="1027" width="1" style="5" customWidth="1"/>
    <col min="1028" max="1028" width="25.7109375" style="5" customWidth="1"/>
    <col min="1029" max="1029" width="8.140625" style="5" customWidth="1"/>
    <col min="1030" max="1030" width="8.7109375" style="5" customWidth="1"/>
    <col min="1031" max="1031" width="15.28515625" style="5" customWidth="1"/>
    <col min="1032" max="1032" width="17" style="5" customWidth="1"/>
    <col min="1033" max="1280" width="9.140625" style="5"/>
    <col min="1281" max="1281" width="1.7109375" style="5" customWidth="1"/>
    <col min="1282" max="1282" width="4.42578125" style="5" customWidth="1"/>
    <col min="1283" max="1283" width="1" style="5" customWidth="1"/>
    <col min="1284" max="1284" width="25.7109375" style="5" customWidth="1"/>
    <col min="1285" max="1285" width="8.140625" style="5" customWidth="1"/>
    <col min="1286" max="1286" width="8.7109375" style="5" customWidth="1"/>
    <col min="1287" max="1287" width="15.28515625" style="5" customWidth="1"/>
    <col min="1288" max="1288" width="17" style="5" customWidth="1"/>
    <col min="1289" max="1536" width="9.140625" style="5"/>
    <col min="1537" max="1537" width="1.7109375" style="5" customWidth="1"/>
    <col min="1538" max="1538" width="4.42578125" style="5" customWidth="1"/>
    <col min="1539" max="1539" width="1" style="5" customWidth="1"/>
    <col min="1540" max="1540" width="25.7109375" style="5" customWidth="1"/>
    <col min="1541" max="1541" width="8.140625" style="5" customWidth="1"/>
    <col min="1542" max="1542" width="8.7109375" style="5" customWidth="1"/>
    <col min="1543" max="1543" width="15.28515625" style="5" customWidth="1"/>
    <col min="1544" max="1544" width="17" style="5" customWidth="1"/>
    <col min="1545" max="1792" width="9.140625" style="5"/>
    <col min="1793" max="1793" width="1.7109375" style="5" customWidth="1"/>
    <col min="1794" max="1794" width="4.42578125" style="5" customWidth="1"/>
    <col min="1795" max="1795" width="1" style="5" customWidth="1"/>
    <col min="1796" max="1796" width="25.7109375" style="5" customWidth="1"/>
    <col min="1797" max="1797" width="8.140625" style="5" customWidth="1"/>
    <col min="1798" max="1798" width="8.7109375" style="5" customWidth="1"/>
    <col min="1799" max="1799" width="15.28515625" style="5" customWidth="1"/>
    <col min="1800" max="1800" width="17" style="5" customWidth="1"/>
    <col min="1801" max="2048" width="9.140625" style="5"/>
    <col min="2049" max="2049" width="1.7109375" style="5" customWidth="1"/>
    <col min="2050" max="2050" width="4.42578125" style="5" customWidth="1"/>
    <col min="2051" max="2051" width="1" style="5" customWidth="1"/>
    <col min="2052" max="2052" width="25.7109375" style="5" customWidth="1"/>
    <col min="2053" max="2053" width="8.140625" style="5" customWidth="1"/>
    <col min="2054" max="2054" width="8.7109375" style="5" customWidth="1"/>
    <col min="2055" max="2055" width="15.28515625" style="5" customWidth="1"/>
    <col min="2056" max="2056" width="17" style="5" customWidth="1"/>
    <col min="2057" max="2304" width="9.140625" style="5"/>
    <col min="2305" max="2305" width="1.7109375" style="5" customWidth="1"/>
    <col min="2306" max="2306" width="4.42578125" style="5" customWidth="1"/>
    <col min="2307" max="2307" width="1" style="5" customWidth="1"/>
    <col min="2308" max="2308" width="25.7109375" style="5" customWidth="1"/>
    <col min="2309" max="2309" width="8.140625" style="5" customWidth="1"/>
    <col min="2310" max="2310" width="8.7109375" style="5" customWidth="1"/>
    <col min="2311" max="2311" width="15.28515625" style="5" customWidth="1"/>
    <col min="2312" max="2312" width="17" style="5" customWidth="1"/>
    <col min="2313" max="2560" width="9.140625" style="5"/>
    <col min="2561" max="2561" width="1.7109375" style="5" customWidth="1"/>
    <col min="2562" max="2562" width="4.42578125" style="5" customWidth="1"/>
    <col min="2563" max="2563" width="1" style="5" customWidth="1"/>
    <col min="2564" max="2564" width="25.7109375" style="5" customWidth="1"/>
    <col min="2565" max="2565" width="8.140625" style="5" customWidth="1"/>
    <col min="2566" max="2566" width="8.7109375" style="5" customWidth="1"/>
    <col min="2567" max="2567" width="15.28515625" style="5" customWidth="1"/>
    <col min="2568" max="2568" width="17" style="5" customWidth="1"/>
    <col min="2569" max="2816" width="9.140625" style="5"/>
    <col min="2817" max="2817" width="1.7109375" style="5" customWidth="1"/>
    <col min="2818" max="2818" width="4.42578125" style="5" customWidth="1"/>
    <col min="2819" max="2819" width="1" style="5" customWidth="1"/>
    <col min="2820" max="2820" width="25.7109375" style="5" customWidth="1"/>
    <col min="2821" max="2821" width="8.140625" style="5" customWidth="1"/>
    <col min="2822" max="2822" width="8.7109375" style="5" customWidth="1"/>
    <col min="2823" max="2823" width="15.28515625" style="5" customWidth="1"/>
    <col min="2824" max="2824" width="17" style="5" customWidth="1"/>
    <col min="2825" max="3072" width="9.140625" style="5"/>
    <col min="3073" max="3073" width="1.7109375" style="5" customWidth="1"/>
    <col min="3074" max="3074" width="4.42578125" style="5" customWidth="1"/>
    <col min="3075" max="3075" width="1" style="5" customWidth="1"/>
    <col min="3076" max="3076" width="25.7109375" style="5" customWidth="1"/>
    <col min="3077" max="3077" width="8.140625" style="5" customWidth="1"/>
    <col min="3078" max="3078" width="8.7109375" style="5" customWidth="1"/>
    <col min="3079" max="3079" width="15.28515625" style="5" customWidth="1"/>
    <col min="3080" max="3080" width="17" style="5" customWidth="1"/>
    <col min="3081" max="3328" width="9.140625" style="5"/>
    <col min="3329" max="3329" width="1.7109375" style="5" customWidth="1"/>
    <col min="3330" max="3330" width="4.42578125" style="5" customWidth="1"/>
    <col min="3331" max="3331" width="1" style="5" customWidth="1"/>
    <col min="3332" max="3332" width="25.7109375" style="5" customWidth="1"/>
    <col min="3333" max="3333" width="8.140625" style="5" customWidth="1"/>
    <col min="3334" max="3334" width="8.7109375" style="5" customWidth="1"/>
    <col min="3335" max="3335" width="15.28515625" style="5" customWidth="1"/>
    <col min="3336" max="3336" width="17" style="5" customWidth="1"/>
    <col min="3337" max="3584" width="9.140625" style="5"/>
    <col min="3585" max="3585" width="1.7109375" style="5" customWidth="1"/>
    <col min="3586" max="3586" width="4.42578125" style="5" customWidth="1"/>
    <col min="3587" max="3587" width="1" style="5" customWidth="1"/>
    <col min="3588" max="3588" width="25.7109375" style="5" customWidth="1"/>
    <col min="3589" max="3589" width="8.140625" style="5" customWidth="1"/>
    <col min="3590" max="3590" width="8.7109375" style="5" customWidth="1"/>
    <col min="3591" max="3591" width="15.28515625" style="5" customWidth="1"/>
    <col min="3592" max="3592" width="17" style="5" customWidth="1"/>
    <col min="3593" max="3840" width="9.140625" style="5"/>
    <col min="3841" max="3841" width="1.7109375" style="5" customWidth="1"/>
    <col min="3842" max="3842" width="4.42578125" style="5" customWidth="1"/>
    <col min="3843" max="3843" width="1" style="5" customWidth="1"/>
    <col min="3844" max="3844" width="25.7109375" style="5" customWidth="1"/>
    <col min="3845" max="3845" width="8.140625" style="5" customWidth="1"/>
    <col min="3846" max="3846" width="8.7109375" style="5" customWidth="1"/>
    <col min="3847" max="3847" width="15.28515625" style="5" customWidth="1"/>
    <col min="3848" max="3848" width="17" style="5" customWidth="1"/>
    <col min="3849" max="4096" width="9.140625" style="5"/>
    <col min="4097" max="4097" width="1.7109375" style="5" customWidth="1"/>
    <col min="4098" max="4098" width="4.42578125" style="5" customWidth="1"/>
    <col min="4099" max="4099" width="1" style="5" customWidth="1"/>
    <col min="4100" max="4100" width="25.7109375" style="5" customWidth="1"/>
    <col min="4101" max="4101" width="8.140625" style="5" customWidth="1"/>
    <col min="4102" max="4102" width="8.7109375" style="5" customWidth="1"/>
    <col min="4103" max="4103" width="15.28515625" style="5" customWidth="1"/>
    <col min="4104" max="4104" width="17" style="5" customWidth="1"/>
    <col min="4105" max="4352" width="9.140625" style="5"/>
    <col min="4353" max="4353" width="1.7109375" style="5" customWidth="1"/>
    <col min="4354" max="4354" width="4.42578125" style="5" customWidth="1"/>
    <col min="4355" max="4355" width="1" style="5" customWidth="1"/>
    <col min="4356" max="4356" width="25.7109375" style="5" customWidth="1"/>
    <col min="4357" max="4357" width="8.140625" style="5" customWidth="1"/>
    <col min="4358" max="4358" width="8.7109375" style="5" customWidth="1"/>
    <col min="4359" max="4359" width="15.28515625" style="5" customWidth="1"/>
    <col min="4360" max="4360" width="17" style="5" customWidth="1"/>
    <col min="4361" max="4608" width="9.140625" style="5"/>
    <col min="4609" max="4609" width="1.7109375" style="5" customWidth="1"/>
    <col min="4610" max="4610" width="4.42578125" style="5" customWidth="1"/>
    <col min="4611" max="4611" width="1" style="5" customWidth="1"/>
    <col min="4612" max="4612" width="25.7109375" style="5" customWidth="1"/>
    <col min="4613" max="4613" width="8.140625" style="5" customWidth="1"/>
    <col min="4614" max="4614" width="8.7109375" style="5" customWidth="1"/>
    <col min="4615" max="4615" width="15.28515625" style="5" customWidth="1"/>
    <col min="4616" max="4616" width="17" style="5" customWidth="1"/>
    <col min="4617" max="4864" width="9.140625" style="5"/>
    <col min="4865" max="4865" width="1.7109375" style="5" customWidth="1"/>
    <col min="4866" max="4866" width="4.42578125" style="5" customWidth="1"/>
    <col min="4867" max="4867" width="1" style="5" customWidth="1"/>
    <col min="4868" max="4868" width="25.7109375" style="5" customWidth="1"/>
    <col min="4869" max="4869" width="8.140625" style="5" customWidth="1"/>
    <col min="4870" max="4870" width="8.7109375" style="5" customWidth="1"/>
    <col min="4871" max="4871" width="15.28515625" style="5" customWidth="1"/>
    <col min="4872" max="4872" width="17" style="5" customWidth="1"/>
    <col min="4873" max="5120" width="9.140625" style="5"/>
    <col min="5121" max="5121" width="1.7109375" style="5" customWidth="1"/>
    <col min="5122" max="5122" width="4.42578125" style="5" customWidth="1"/>
    <col min="5123" max="5123" width="1" style="5" customWidth="1"/>
    <col min="5124" max="5124" width="25.7109375" style="5" customWidth="1"/>
    <col min="5125" max="5125" width="8.140625" style="5" customWidth="1"/>
    <col min="5126" max="5126" width="8.7109375" style="5" customWidth="1"/>
    <col min="5127" max="5127" width="15.28515625" style="5" customWidth="1"/>
    <col min="5128" max="5128" width="17" style="5" customWidth="1"/>
    <col min="5129" max="5376" width="9.140625" style="5"/>
    <col min="5377" max="5377" width="1.7109375" style="5" customWidth="1"/>
    <col min="5378" max="5378" width="4.42578125" style="5" customWidth="1"/>
    <col min="5379" max="5379" width="1" style="5" customWidth="1"/>
    <col min="5380" max="5380" width="25.7109375" style="5" customWidth="1"/>
    <col min="5381" max="5381" width="8.140625" style="5" customWidth="1"/>
    <col min="5382" max="5382" width="8.7109375" style="5" customWidth="1"/>
    <col min="5383" max="5383" width="15.28515625" style="5" customWidth="1"/>
    <col min="5384" max="5384" width="17" style="5" customWidth="1"/>
    <col min="5385" max="5632" width="9.140625" style="5"/>
    <col min="5633" max="5633" width="1.7109375" style="5" customWidth="1"/>
    <col min="5634" max="5634" width="4.42578125" style="5" customWidth="1"/>
    <col min="5635" max="5635" width="1" style="5" customWidth="1"/>
    <col min="5636" max="5636" width="25.7109375" style="5" customWidth="1"/>
    <col min="5637" max="5637" width="8.140625" style="5" customWidth="1"/>
    <col min="5638" max="5638" width="8.7109375" style="5" customWidth="1"/>
    <col min="5639" max="5639" width="15.28515625" style="5" customWidth="1"/>
    <col min="5640" max="5640" width="17" style="5" customWidth="1"/>
    <col min="5641" max="5888" width="9.140625" style="5"/>
    <col min="5889" max="5889" width="1.7109375" style="5" customWidth="1"/>
    <col min="5890" max="5890" width="4.42578125" style="5" customWidth="1"/>
    <col min="5891" max="5891" width="1" style="5" customWidth="1"/>
    <col min="5892" max="5892" width="25.7109375" style="5" customWidth="1"/>
    <col min="5893" max="5893" width="8.140625" style="5" customWidth="1"/>
    <col min="5894" max="5894" width="8.7109375" style="5" customWidth="1"/>
    <col min="5895" max="5895" width="15.28515625" style="5" customWidth="1"/>
    <col min="5896" max="5896" width="17" style="5" customWidth="1"/>
    <col min="5897" max="6144" width="9.140625" style="5"/>
    <col min="6145" max="6145" width="1.7109375" style="5" customWidth="1"/>
    <col min="6146" max="6146" width="4.42578125" style="5" customWidth="1"/>
    <col min="6147" max="6147" width="1" style="5" customWidth="1"/>
    <col min="6148" max="6148" width="25.7109375" style="5" customWidth="1"/>
    <col min="6149" max="6149" width="8.140625" style="5" customWidth="1"/>
    <col min="6150" max="6150" width="8.7109375" style="5" customWidth="1"/>
    <col min="6151" max="6151" width="15.28515625" style="5" customWidth="1"/>
    <col min="6152" max="6152" width="17" style="5" customWidth="1"/>
    <col min="6153" max="6400" width="9.140625" style="5"/>
    <col min="6401" max="6401" width="1.7109375" style="5" customWidth="1"/>
    <col min="6402" max="6402" width="4.42578125" style="5" customWidth="1"/>
    <col min="6403" max="6403" width="1" style="5" customWidth="1"/>
    <col min="6404" max="6404" width="25.7109375" style="5" customWidth="1"/>
    <col min="6405" max="6405" width="8.140625" style="5" customWidth="1"/>
    <col min="6406" max="6406" width="8.7109375" style="5" customWidth="1"/>
    <col min="6407" max="6407" width="15.28515625" style="5" customWidth="1"/>
    <col min="6408" max="6408" width="17" style="5" customWidth="1"/>
    <col min="6409" max="6656" width="9.140625" style="5"/>
    <col min="6657" max="6657" width="1.7109375" style="5" customWidth="1"/>
    <col min="6658" max="6658" width="4.42578125" style="5" customWidth="1"/>
    <col min="6659" max="6659" width="1" style="5" customWidth="1"/>
    <col min="6660" max="6660" width="25.7109375" style="5" customWidth="1"/>
    <col min="6661" max="6661" width="8.140625" style="5" customWidth="1"/>
    <col min="6662" max="6662" width="8.7109375" style="5" customWidth="1"/>
    <col min="6663" max="6663" width="15.28515625" style="5" customWidth="1"/>
    <col min="6664" max="6664" width="17" style="5" customWidth="1"/>
    <col min="6665" max="6912" width="9.140625" style="5"/>
    <col min="6913" max="6913" width="1.7109375" style="5" customWidth="1"/>
    <col min="6914" max="6914" width="4.42578125" style="5" customWidth="1"/>
    <col min="6915" max="6915" width="1" style="5" customWidth="1"/>
    <col min="6916" max="6916" width="25.7109375" style="5" customWidth="1"/>
    <col min="6917" max="6917" width="8.140625" style="5" customWidth="1"/>
    <col min="6918" max="6918" width="8.7109375" style="5" customWidth="1"/>
    <col min="6919" max="6919" width="15.28515625" style="5" customWidth="1"/>
    <col min="6920" max="6920" width="17" style="5" customWidth="1"/>
    <col min="6921" max="7168" width="9.140625" style="5"/>
    <col min="7169" max="7169" width="1.7109375" style="5" customWidth="1"/>
    <col min="7170" max="7170" width="4.42578125" style="5" customWidth="1"/>
    <col min="7171" max="7171" width="1" style="5" customWidth="1"/>
    <col min="7172" max="7172" width="25.7109375" style="5" customWidth="1"/>
    <col min="7173" max="7173" width="8.140625" style="5" customWidth="1"/>
    <col min="7174" max="7174" width="8.7109375" style="5" customWidth="1"/>
    <col min="7175" max="7175" width="15.28515625" style="5" customWidth="1"/>
    <col min="7176" max="7176" width="17" style="5" customWidth="1"/>
    <col min="7177" max="7424" width="9.140625" style="5"/>
    <col min="7425" max="7425" width="1.7109375" style="5" customWidth="1"/>
    <col min="7426" max="7426" width="4.42578125" style="5" customWidth="1"/>
    <col min="7427" max="7427" width="1" style="5" customWidth="1"/>
    <col min="7428" max="7428" width="25.7109375" style="5" customWidth="1"/>
    <col min="7429" max="7429" width="8.140625" style="5" customWidth="1"/>
    <col min="7430" max="7430" width="8.7109375" style="5" customWidth="1"/>
    <col min="7431" max="7431" width="15.28515625" style="5" customWidth="1"/>
    <col min="7432" max="7432" width="17" style="5" customWidth="1"/>
    <col min="7433" max="7680" width="9.140625" style="5"/>
    <col min="7681" max="7681" width="1.7109375" style="5" customWidth="1"/>
    <col min="7682" max="7682" width="4.42578125" style="5" customWidth="1"/>
    <col min="7683" max="7683" width="1" style="5" customWidth="1"/>
    <col min="7684" max="7684" width="25.7109375" style="5" customWidth="1"/>
    <col min="7685" max="7685" width="8.140625" style="5" customWidth="1"/>
    <col min="7686" max="7686" width="8.7109375" style="5" customWidth="1"/>
    <col min="7687" max="7687" width="15.28515625" style="5" customWidth="1"/>
    <col min="7688" max="7688" width="17" style="5" customWidth="1"/>
    <col min="7689" max="7936" width="9.140625" style="5"/>
    <col min="7937" max="7937" width="1.7109375" style="5" customWidth="1"/>
    <col min="7938" max="7938" width="4.42578125" style="5" customWidth="1"/>
    <col min="7939" max="7939" width="1" style="5" customWidth="1"/>
    <col min="7940" max="7940" width="25.7109375" style="5" customWidth="1"/>
    <col min="7941" max="7941" width="8.140625" style="5" customWidth="1"/>
    <col min="7942" max="7942" width="8.7109375" style="5" customWidth="1"/>
    <col min="7943" max="7943" width="15.28515625" style="5" customWidth="1"/>
    <col min="7944" max="7944" width="17" style="5" customWidth="1"/>
    <col min="7945" max="8192" width="9.140625" style="5"/>
    <col min="8193" max="8193" width="1.7109375" style="5" customWidth="1"/>
    <col min="8194" max="8194" width="4.42578125" style="5" customWidth="1"/>
    <col min="8195" max="8195" width="1" style="5" customWidth="1"/>
    <col min="8196" max="8196" width="25.7109375" style="5" customWidth="1"/>
    <col min="8197" max="8197" width="8.140625" style="5" customWidth="1"/>
    <col min="8198" max="8198" width="8.7109375" style="5" customWidth="1"/>
    <col min="8199" max="8199" width="15.28515625" style="5" customWidth="1"/>
    <col min="8200" max="8200" width="17" style="5" customWidth="1"/>
    <col min="8201" max="8448" width="9.140625" style="5"/>
    <col min="8449" max="8449" width="1.7109375" style="5" customWidth="1"/>
    <col min="8450" max="8450" width="4.42578125" style="5" customWidth="1"/>
    <col min="8451" max="8451" width="1" style="5" customWidth="1"/>
    <col min="8452" max="8452" width="25.7109375" style="5" customWidth="1"/>
    <col min="8453" max="8453" width="8.140625" style="5" customWidth="1"/>
    <col min="8454" max="8454" width="8.7109375" style="5" customWidth="1"/>
    <col min="8455" max="8455" width="15.28515625" style="5" customWidth="1"/>
    <col min="8456" max="8456" width="17" style="5" customWidth="1"/>
    <col min="8457" max="8704" width="9.140625" style="5"/>
    <col min="8705" max="8705" width="1.7109375" style="5" customWidth="1"/>
    <col min="8706" max="8706" width="4.42578125" style="5" customWidth="1"/>
    <col min="8707" max="8707" width="1" style="5" customWidth="1"/>
    <col min="8708" max="8708" width="25.7109375" style="5" customWidth="1"/>
    <col min="8709" max="8709" width="8.140625" style="5" customWidth="1"/>
    <col min="8710" max="8710" width="8.7109375" style="5" customWidth="1"/>
    <col min="8711" max="8711" width="15.28515625" style="5" customWidth="1"/>
    <col min="8712" max="8712" width="17" style="5" customWidth="1"/>
    <col min="8713" max="8960" width="9.140625" style="5"/>
    <col min="8961" max="8961" width="1.7109375" style="5" customWidth="1"/>
    <col min="8962" max="8962" width="4.42578125" style="5" customWidth="1"/>
    <col min="8963" max="8963" width="1" style="5" customWidth="1"/>
    <col min="8964" max="8964" width="25.7109375" style="5" customWidth="1"/>
    <col min="8965" max="8965" width="8.140625" style="5" customWidth="1"/>
    <col min="8966" max="8966" width="8.7109375" style="5" customWidth="1"/>
    <col min="8967" max="8967" width="15.28515625" style="5" customWidth="1"/>
    <col min="8968" max="8968" width="17" style="5" customWidth="1"/>
    <col min="8969" max="9216" width="9.140625" style="5"/>
    <col min="9217" max="9217" width="1.7109375" style="5" customWidth="1"/>
    <col min="9218" max="9218" width="4.42578125" style="5" customWidth="1"/>
    <col min="9219" max="9219" width="1" style="5" customWidth="1"/>
    <col min="9220" max="9220" width="25.7109375" style="5" customWidth="1"/>
    <col min="9221" max="9221" width="8.140625" style="5" customWidth="1"/>
    <col min="9222" max="9222" width="8.7109375" style="5" customWidth="1"/>
    <col min="9223" max="9223" width="15.28515625" style="5" customWidth="1"/>
    <col min="9224" max="9224" width="17" style="5" customWidth="1"/>
    <col min="9225" max="9472" width="9.140625" style="5"/>
    <col min="9473" max="9473" width="1.7109375" style="5" customWidth="1"/>
    <col min="9474" max="9474" width="4.42578125" style="5" customWidth="1"/>
    <col min="9475" max="9475" width="1" style="5" customWidth="1"/>
    <col min="9476" max="9476" width="25.7109375" style="5" customWidth="1"/>
    <col min="9477" max="9477" width="8.140625" style="5" customWidth="1"/>
    <col min="9478" max="9478" width="8.7109375" style="5" customWidth="1"/>
    <col min="9479" max="9479" width="15.28515625" style="5" customWidth="1"/>
    <col min="9480" max="9480" width="17" style="5" customWidth="1"/>
    <col min="9481" max="9728" width="9.140625" style="5"/>
    <col min="9729" max="9729" width="1.7109375" style="5" customWidth="1"/>
    <col min="9730" max="9730" width="4.42578125" style="5" customWidth="1"/>
    <col min="9731" max="9731" width="1" style="5" customWidth="1"/>
    <col min="9732" max="9732" width="25.7109375" style="5" customWidth="1"/>
    <col min="9733" max="9733" width="8.140625" style="5" customWidth="1"/>
    <col min="9734" max="9734" width="8.7109375" style="5" customWidth="1"/>
    <col min="9735" max="9735" width="15.28515625" style="5" customWidth="1"/>
    <col min="9736" max="9736" width="17" style="5" customWidth="1"/>
    <col min="9737" max="9984" width="9.140625" style="5"/>
    <col min="9985" max="9985" width="1.7109375" style="5" customWidth="1"/>
    <col min="9986" max="9986" width="4.42578125" style="5" customWidth="1"/>
    <col min="9987" max="9987" width="1" style="5" customWidth="1"/>
    <col min="9988" max="9988" width="25.7109375" style="5" customWidth="1"/>
    <col min="9989" max="9989" width="8.140625" style="5" customWidth="1"/>
    <col min="9990" max="9990" width="8.7109375" style="5" customWidth="1"/>
    <col min="9991" max="9991" width="15.28515625" style="5" customWidth="1"/>
    <col min="9992" max="9992" width="17" style="5" customWidth="1"/>
    <col min="9993" max="10240" width="9.140625" style="5"/>
    <col min="10241" max="10241" width="1.7109375" style="5" customWidth="1"/>
    <col min="10242" max="10242" width="4.42578125" style="5" customWidth="1"/>
    <col min="10243" max="10243" width="1" style="5" customWidth="1"/>
    <col min="10244" max="10244" width="25.7109375" style="5" customWidth="1"/>
    <col min="10245" max="10245" width="8.140625" style="5" customWidth="1"/>
    <col min="10246" max="10246" width="8.7109375" style="5" customWidth="1"/>
    <col min="10247" max="10247" width="15.28515625" style="5" customWidth="1"/>
    <col min="10248" max="10248" width="17" style="5" customWidth="1"/>
    <col min="10249" max="10496" width="9.140625" style="5"/>
    <col min="10497" max="10497" width="1.7109375" style="5" customWidth="1"/>
    <col min="10498" max="10498" width="4.42578125" style="5" customWidth="1"/>
    <col min="10499" max="10499" width="1" style="5" customWidth="1"/>
    <col min="10500" max="10500" width="25.7109375" style="5" customWidth="1"/>
    <col min="10501" max="10501" width="8.140625" style="5" customWidth="1"/>
    <col min="10502" max="10502" width="8.7109375" style="5" customWidth="1"/>
    <col min="10503" max="10503" width="15.28515625" style="5" customWidth="1"/>
    <col min="10504" max="10504" width="17" style="5" customWidth="1"/>
    <col min="10505" max="10752" width="9.140625" style="5"/>
    <col min="10753" max="10753" width="1.7109375" style="5" customWidth="1"/>
    <col min="10754" max="10754" width="4.42578125" style="5" customWidth="1"/>
    <col min="10755" max="10755" width="1" style="5" customWidth="1"/>
    <col min="10756" max="10756" width="25.7109375" style="5" customWidth="1"/>
    <col min="10757" max="10757" width="8.140625" style="5" customWidth="1"/>
    <col min="10758" max="10758" width="8.7109375" style="5" customWidth="1"/>
    <col min="10759" max="10759" width="15.28515625" style="5" customWidth="1"/>
    <col min="10760" max="10760" width="17" style="5" customWidth="1"/>
    <col min="10761" max="11008" width="9.140625" style="5"/>
    <col min="11009" max="11009" width="1.7109375" style="5" customWidth="1"/>
    <col min="11010" max="11010" width="4.42578125" style="5" customWidth="1"/>
    <col min="11011" max="11011" width="1" style="5" customWidth="1"/>
    <col min="11012" max="11012" width="25.7109375" style="5" customWidth="1"/>
    <col min="11013" max="11013" width="8.140625" style="5" customWidth="1"/>
    <col min="11014" max="11014" width="8.7109375" style="5" customWidth="1"/>
    <col min="11015" max="11015" width="15.28515625" style="5" customWidth="1"/>
    <col min="11016" max="11016" width="17" style="5" customWidth="1"/>
    <col min="11017" max="11264" width="9.140625" style="5"/>
    <col min="11265" max="11265" width="1.7109375" style="5" customWidth="1"/>
    <col min="11266" max="11266" width="4.42578125" style="5" customWidth="1"/>
    <col min="11267" max="11267" width="1" style="5" customWidth="1"/>
    <col min="11268" max="11268" width="25.7109375" style="5" customWidth="1"/>
    <col min="11269" max="11269" width="8.140625" style="5" customWidth="1"/>
    <col min="11270" max="11270" width="8.7109375" style="5" customWidth="1"/>
    <col min="11271" max="11271" width="15.28515625" style="5" customWidth="1"/>
    <col min="11272" max="11272" width="17" style="5" customWidth="1"/>
    <col min="11273" max="11520" width="9.140625" style="5"/>
    <col min="11521" max="11521" width="1.7109375" style="5" customWidth="1"/>
    <col min="11522" max="11522" width="4.42578125" style="5" customWidth="1"/>
    <col min="11523" max="11523" width="1" style="5" customWidth="1"/>
    <col min="11524" max="11524" width="25.7109375" style="5" customWidth="1"/>
    <col min="11525" max="11525" width="8.140625" style="5" customWidth="1"/>
    <col min="11526" max="11526" width="8.7109375" style="5" customWidth="1"/>
    <col min="11527" max="11527" width="15.28515625" style="5" customWidth="1"/>
    <col min="11528" max="11528" width="17" style="5" customWidth="1"/>
    <col min="11529" max="11776" width="9.140625" style="5"/>
    <col min="11777" max="11777" width="1.7109375" style="5" customWidth="1"/>
    <col min="11778" max="11778" width="4.42578125" style="5" customWidth="1"/>
    <col min="11779" max="11779" width="1" style="5" customWidth="1"/>
    <col min="11780" max="11780" width="25.7109375" style="5" customWidth="1"/>
    <col min="11781" max="11781" width="8.140625" style="5" customWidth="1"/>
    <col min="11782" max="11782" width="8.7109375" style="5" customWidth="1"/>
    <col min="11783" max="11783" width="15.28515625" style="5" customWidth="1"/>
    <col min="11784" max="11784" width="17" style="5" customWidth="1"/>
    <col min="11785" max="12032" width="9.140625" style="5"/>
    <col min="12033" max="12033" width="1.7109375" style="5" customWidth="1"/>
    <col min="12034" max="12034" width="4.42578125" style="5" customWidth="1"/>
    <col min="12035" max="12035" width="1" style="5" customWidth="1"/>
    <col min="12036" max="12036" width="25.7109375" style="5" customWidth="1"/>
    <col min="12037" max="12037" width="8.140625" style="5" customWidth="1"/>
    <col min="12038" max="12038" width="8.7109375" style="5" customWidth="1"/>
    <col min="12039" max="12039" width="15.28515625" style="5" customWidth="1"/>
    <col min="12040" max="12040" width="17" style="5" customWidth="1"/>
    <col min="12041" max="12288" width="9.140625" style="5"/>
    <col min="12289" max="12289" width="1.7109375" style="5" customWidth="1"/>
    <col min="12290" max="12290" width="4.42578125" style="5" customWidth="1"/>
    <col min="12291" max="12291" width="1" style="5" customWidth="1"/>
    <col min="12292" max="12292" width="25.7109375" style="5" customWidth="1"/>
    <col min="12293" max="12293" width="8.140625" style="5" customWidth="1"/>
    <col min="12294" max="12294" width="8.7109375" style="5" customWidth="1"/>
    <col min="12295" max="12295" width="15.28515625" style="5" customWidth="1"/>
    <col min="12296" max="12296" width="17" style="5" customWidth="1"/>
    <col min="12297" max="12544" width="9.140625" style="5"/>
    <col min="12545" max="12545" width="1.7109375" style="5" customWidth="1"/>
    <col min="12546" max="12546" width="4.42578125" style="5" customWidth="1"/>
    <col min="12547" max="12547" width="1" style="5" customWidth="1"/>
    <col min="12548" max="12548" width="25.7109375" style="5" customWidth="1"/>
    <col min="12549" max="12549" width="8.140625" style="5" customWidth="1"/>
    <col min="12550" max="12550" width="8.7109375" style="5" customWidth="1"/>
    <col min="12551" max="12551" width="15.28515625" style="5" customWidth="1"/>
    <col min="12552" max="12552" width="17" style="5" customWidth="1"/>
    <col min="12553" max="12800" width="9.140625" style="5"/>
    <col min="12801" max="12801" width="1.7109375" style="5" customWidth="1"/>
    <col min="12802" max="12802" width="4.42578125" style="5" customWidth="1"/>
    <col min="12803" max="12803" width="1" style="5" customWidth="1"/>
    <col min="12804" max="12804" width="25.7109375" style="5" customWidth="1"/>
    <col min="12805" max="12805" width="8.140625" style="5" customWidth="1"/>
    <col min="12806" max="12806" width="8.7109375" style="5" customWidth="1"/>
    <col min="12807" max="12807" width="15.28515625" style="5" customWidth="1"/>
    <col min="12808" max="12808" width="17" style="5" customWidth="1"/>
    <col min="12809" max="13056" width="9.140625" style="5"/>
    <col min="13057" max="13057" width="1.7109375" style="5" customWidth="1"/>
    <col min="13058" max="13058" width="4.42578125" style="5" customWidth="1"/>
    <col min="13059" max="13059" width="1" style="5" customWidth="1"/>
    <col min="13060" max="13060" width="25.7109375" style="5" customWidth="1"/>
    <col min="13061" max="13061" width="8.140625" style="5" customWidth="1"/>
    <col min="13062" max="13062" width="8.7109375" style="5" customWidth="1"/>
    <col min="13063" max="13063" width="15.28515625" style="5" customWidth="1"/>
    <col min="13064" max="13064" width="17" style="5" customWidth="1"/>
    <col min="13065" max="13312" width="9.140625" style="5"/>
    <col min="13313" max="13313" width="1.7109375" style="5" customWidth="1"/>
    <col min="13314" max="13314" width="4.42578125" style="5" customWidth="1"/>
    <col min="13315" max="13315" width="1" style="5" customWidth="1"/>
    <col min="13316" max="13316" width="25.7109375" style="5" customWidth="1"/>
    <col min="13317" max="13317" width="8.140625" style="5" customWidth="1"/>
    <col min="13318" max="13318" width="8.7109375" style="5" customWidth="1"/>
    <col min="13319" max="13319" width="15.28515625" style="5" customWidth="1"/>
    <col min="13320" max="13320" width="17" style="5" customWidth="1"/>
    <col min="13321" max="13568" width="9.140625" style="5"/>
    <col min="13569" max="13569" width="1.7109375" style="5" customWidth="1"/>
    <col min="13570" max="13570" width="4.42578125" style="5" customWidth="1"/>
    <col min="13571" max="13571" width="1" style="5" customWidth="1"/>
    <col min="13572" max="13572" width="25.7109375" style="5" customWidth="1"/>
    <col min="13573" max="13573" width="8.140625" style="5" customWidth="1"/>
    <col min="13574" max="13574" width="8.7109375" style="5" customWidth="1"/>
    <col min="13575" max="13575" width="15.28515625" style="5" customWidth="1"/>
    <col min="13576" max="13576" width="17" style="5" customWidth="1"/>
    <col min="13577" max="13824" width="9.140625" style="5"/>
    <col min="13825" max="13825" width="1.7109375" style="5" customWidth="1"/>
    <col min="13826" max="13826" width="4.42578125" style="5" customWidth="1"/>
    <col min="13827" max="13827" width="1" style="5" customWidth="1"/>
    <col min="13828" max="13828" width="25.7109375" style="5" customWidth="1"/>
    <col min="13829" max="13829" width="8.140625" style="5" customWidth="1"/>
    <col min="13830" max="13830" width="8.7109375" style="5" customWidth="1"/>
    <col min="13831" max="13831" width="15.28515625" style="5" customWidth="1"/>
    <col min="13832" max="13832" width="17" style="5" customWidth="1"/>
    <col min="13833" max="14080" width="9.140625" style="5"/>
    <col min="14081" max="14081" width="1.7109375" style="5" customWidth="1"/>
    <col min="14082" max="14082" width="4.42578125" style="5" customWidth="1"/>
    <col min="14083" max="14083" width="1" style="5" customWidth="1"/>
    <col min="14084" max="14084" width="25.7109375" style="5" customWidth="1"/>
    <col min="14085" max="14085" width="8.140625" style="5" customWidth="1"/>
    <col min="14086" max="14086" width="8.7109375" style="5" customWidth="1"/>
    <col min="14087" max="14087" width="15.28515625" style="5" customWidth="1"/>
    <col min="14088" max="14088" width="17" style="5" customWidth="1"/>
    <col min="14089" max="14336" width="9.140625" style="5"/>
    <col min="14337" max="14337" width="1.7109375" style="5" customWidth="1"/>
    <col min="14338" max="14338" width="4.42578125" style="5" customWidth="1"/>
    <col min="14339" max="14339" width="1" style="5" customWidth="1"/>
    <col min="14340" max="14340" width="25.7109375" style="5" customWidth="1"/>
    <col min="14341" max="14341" width="8.140625" style="5" customWidth="1"/>
    <col min="14342" max="14342" width="8.7109375" style="5" customWidth="1"/>
    <col min="14343" max="14343" width="15.28515625" style="5" customWidth="1"/>
    <col min="14344" max="14344" width="17" style="5" customWidth="1"/>
    <col min="14345" max="14592" width="9.140625" style="5"/>
    <col min="14593" max="14593" width="1.7109375" style="5" customWidth="1"/>
    <col min="14594" max="14594" width="4.42578125" style="5" customWidth="1"/>
    <col min="14595" max="14595" width="1" style="5" customWidth="1"/>
    <col min="14596" max="14596" width="25.7109375" style="5" customWidth="1"/>
    <col min="14597" max="14597" width="8.140625" style="5" customWidth="1"/>
    <col min="14598" max="14598" width="8.7109375" style="5" customWidth="1"/>
    <col min="14599" max="14599" width="15.28515625" style="5" customWidth="1"/>
    <col min="14600" max="14600" width="17" style="5" customWidth="1"/>
    <col min="14601" max="14848" width="9.140625" style="5"/>
    <col min="14849" max="14849" width="1.7109375" style="5" customWidth="1"/>
    <col min="14850" max="14850" width="4.42578125" style="5" customWidth="1"/>
    <col min="14851" max="14851" width="1" style="5" customWidth="1"/>
    <col min="14852" max="14852" width="25.7109375" style="5" customWidth="1"/>
    <col min="14853" max="14853" width="8.140625" style="5" customWidth="1"/>
    <col min="14854" max="14854" width="8.7109375" style="5" customWidth="1"/>
    <col min="14855" max="14855" width="15.28515625" style="5" customWidth="1"/>
    <col min="14856" max="14856" width="17" style="5" customWidth="1"/>
    <col min="14857" max="15104" width="9.140625" style="5"/>
    <col min="15105" max="15105" width="1.7109375" style="5" customWidth="1"/>
    <col min="15106" max="15106" width="4.42578125" style="5" customWidth="1"/>
    <col min="15107" max="15107" width="1" style="5" customWidth="1"/>
    <col min="15108" max="15108" width="25.7109375" style="5" customWidth="1"/>
    <col min="15109" max="15109" width="8.140625" style="5" customWidth="1"/>
    <col min="15110" max="15110" width="8.7109375" style="5" customWidth="1"/>
    <col min="15111" max="15111" width="15.28515625" style="5" customWidth="1"/>
    <col min="15112" max="15112" width="17" style="5" customWidth="1"/>
    <col min="15113" max="15360" width="9.140625" style="5"/>
    <col min="15361" max="15361" width="1.7109375" style="5" customWidth="1"/>
    <col min="15362" max="15362" width="4.42578125" style="5" customWidth="1"/>
    <col min="15363" max="15363" width="1" style="5" customWidth="1"/>
    <col min="15364" max="15364" width="25.7109375" style="5" customWidth="1"/>
    <col min="15365" max="15365" width="8.140625" style="5" customWidth="1"/>
    <col min="15366" max="15366" width="8.7109375" style="5" customWidth="1"/>
    <col min="15367" max="15367" width="15.28515625" style="5" customWidth="1"/>
    <col min="15368" max="15368" width="17" style="5" customWidth="1"/>
    <col min="15369" max="15616" width="9.140625" style="5"/>
    <col min="15617" max="15617" width="1.7109375" style="5" customWidth="1"/>
    <col min="15618" max="15618" width="4.42578125" style="5" customWidth="1"/>
    <col min="15619" max="15619" width="1" style="5" customWidth="1"/>
    <col min="15620" max="15620" width="25.7109375" style="5" customWidth="1"/>
    <col min="15621" max="15621" width="8.140625" style="5" customWidth="1"/>
    <col min="15622" max="15622" width="8.7109375" style="5" customWidth="1"/>
    <col min="15623" max="15623" width="15.28515625" style="5" customWidth="1"/>
    <col min="15624" max="15624" width="17" style="5" customWidth="1"/>
    <col min="15625" max="15872" width="9.140625" style="5"/>
    <col min="15873" max="15873" width="1.7109375" style="5" customWidth="1"/>
    <col min="15874" max="15874" width="4.42578125" style="5" customWidth="1"/>
    <col min="15875" max="15875" width="1" style="5" customWidth="1"/>
    <col min="15876" max="15876" width="25.7109375" style="5" customWidth="1"/>
    <col min="15877" max="15877" width="8.140625" style="5" customWidth="1"/>
    <col min="15878" max="15878" width="8.7109375" style="5" customWidth="1"/>
    <col min="15879" max="15879" width="15.28515625" style="5" customWidth="1"/>
    <col min="15880" max="15880" width="17" style="5" customWidth="1"/>
    <col min="15881" max="16128" width="9.140625" style="5"/>
    <col min="16129" max="16129" width="1.7109375" style="5" customWidth="1"/>
    <col min="16130" max="16130" width="4.42578125" style="5" customWidth="1"/>
    <col min="16131" max="16131" width="1" style="5" customWidth="1"/>
    <col min="16132" max="16132" width="25.7109375" style="5" customWidth="1"/>
    <col min="16133" max="16133" width="8.140625" style="5" customWidth="1"/>
    <col min="16134" max="16134" width="8.7109375" style="5" customWidth="1"/>
    <col min="16135" max="16135" width="15.28515625" style="5" customWidth="1"/>
    <col min="16136" max="16136" width="17" style="5" customWidth="1"/>
    <col min="16137" max="16384" width="9.140625" style="5"/>
  </cols>
  <sheetData>
    <row r="2" spans="2:9" ht="15.75">
      <c r="B2" s="182" t="s">
        <v>548</v>
      </c>
      <c r="C2" s="355"/>
      <c r="D2" s="355"/>
      <c r="E2" s="355"/>
      <c r="F2" s="355"/>
      <c r="G2" s="610"/>
      <c r="H2" s="355"/>
    </row>
    <row r="3" spans="2:9">
      <c r="B3" s="526"/>
      <c r="C3" s="425"/>
      <c r="D3" s="425"/>
      <c r="E3" s="426"/>
      <c r="F3" s="527"/>
      <c r="G3" s="428"/>
      <c r="H3" s="425"/>
    </row>
    <row r="4" spans="2:9">
      <c r="B4" s="193" t="s">
        <v>157</v>
      </c>
      <c r="C4" s="189"/>
      <c r="D4" s="190" t="s">
        <v>211</v>
      </c>
      <c r="E4" s="191" t="s">
        <v>212</v>
      </c>
      <c r="F4" s="192" t="s">
        <v>213</v>
      </c>
      <c r="G4" s="611" t="s">
        <v>214</v>
      </c>
      <c r="H4" s="190" t="s">
        <v>215</v>
      </c>
    </row>
    <row r="5" spans="2:9">
      <c r="B5" s="530"/>
      <c r="C5" s="538"/>
      <c r="D5" s="531"/>
      <c r="E5" s="420"/>
      <c r="F5" s="539"/>
      <c r="G5" s="612" t="s">
        <v>216</v>
      </c>
      <c r="H5" s="423" t="s">
        <v>216</v>
      </c>
    </row>
    <row r="6" spans="2:9">
      <c r="B6" s="530" t="s">
        <v>549</v>
      </c>
      <c r="C6" s="538" t="s">
        <v>137</v>
      </c>
      <c r="D6" s="558"/>
      <c r="E6" s="559"/>
      <c r="F6" s="613"/>
      <c r="G6" s="614"/>
      <c r="H6" s="615"/>
    </row>
    <row r="7" spans="2:9">
      <c r="B7" s="205"/>
      <c r="C7" s="66" t="s">
        <v>28</v>
      </c>
      <c r="D7" s="233" t="s">
        <v>138</v>
      </c>
      <c r="E7" s="67" t="s">
        <v>100</v>
      </c>
      <c r="F7" s="520">
        <v>1.2</v>
      </c>
      <c r="G7" s="69">
        <f>BAHAN!$E$69</f>
        <v>13856111.111111101</v>
      </c>
      <c r="H7" s="70">
        <f>G7*F7</f>
        <v>16627333.333333321</v>
      </c>
      <c r="I7" s="910">
        <f>SUM(H7)</f>
        <v>16627333.333333321</v>
      </c>
    </row>
    <row r="8" spans="2:9">
      <c r="B8" s="71"/>
      <c r="C8" s="368" t="s">
        <v>28</v>
      </c>
      <c r="D8" s="76" t="s">
        <v>133</v>
      </c>
      <c r="E8" s="73" t="s">
        <v>132</v>
      </c>
      <c r="F8" s="74">
        <v>6</v>
      </c>
      <c r="G8" s="75">
        <f>UPAH!$E$26</f>
        <v>136000</v>
      </c>
      <c r="H8" s="545">
        <f>G8*F8</f>
        <v>816000</v>
      </c>
    </row>
    <row r="9" spans="2:9">
      <c r="B9" s="71"/>
      <c r="C9" s="368" t="s">
        <v>28</v>
      </c>
      <c r="D9" s="76" t="s">
        <v>139</v>
      </c>
      <c r="E9" s="73" t="s">
        <v>132</v>
      </c>
      <c r="F9" s="74">
        <v>18</v>
      </c>
      <c r="G9" s="75">
        <f>UPAH!$E$17</f>
        <v>160000</v>
      </c>
      <c r="H9" s="545">
        <f>G9*F9</f>
        <v>2880000</v>
      </c>
    </row>
    <row r="10" spans="2:9">
      <c r="B10" s="71"/>
      <c r="C10" s="368" t="s">
        <v>28</v>
      </c>
      <c r="D10" s="76" t="s">
        <v>140</v>
      </c>
      <c r="E10" s="73" t="s">
        <v>132</v>
      </c>
      <c r="F10" s="74">
        <v>2</v>
      </c>
      <c r="G10" s="75">
        <f>UPAH!$E$11</f>
        <v>150000</v>
      </c>
      <c r="H10" s="545">
        <f>G10*F10</f>
        <v>300000</v>
      </c>
    </row>
    <row r="11" spans="2:9">
      <c r="B11" s="369"/>
      <c r="C11" s="382" t="s">
        <v>28</v>
      </c>
      <c r="D11" s="448" t="s">
        <v>136</v>
      </c>
      <c r="E11" s="449" t="s">
        <v>132</v>
      </c>
      <c r="F11" s="450">
        <v>0.3</v>
      </c>
      <c r="G11" s="75">
        <f>UPAH!$E$9</f>
        <v>180000</v>
      </c>
      <c r="H11" s="547">
        <f>G11*F11</f>
        <v>54000</v>
      </c>
      <c r="I11" s="910">
        <f>SUM(H8:H11)</f>
        <v>4050000</v>
      </c>
    </row>
    <row r="12" spans="2:9">
      <c r="B12" s="216"/>
      <c r="C12" s="83"/>
      <c r="D12" s="84" t="s">
        <v>228</v>
      </c>
      <c r="E12" s="85"/>
      <c r="F12" s="86"/>
      <c r="G12" s="87"/>
      <c r="H12" s="88">
        <f>SUM(H7:H11)</f>
        <v>20677333.333333321</v>
      </c>
    </row>
    <row r="13" spans="2:9">
      <c r="B13" s="566"/>
      <c r="C13" s="442" t="s">
        <v>229</v>
      </c>
      <c r="D13" s="378"/>
      <c r="E13" s="378"/>
      <c r="F13" s="378"/>
      <c r="G13" s="518"/>
      <c r="H13" s="518">
        <f>ROUND(H12,0)</f>
        <v>20677333</v>
      </c>
    </row>
    <row r="14" spans="2:9">
      <c r="B14" s="226" t="s">
        <v>550</v>
      </c>
      <c r="C14" s="380" t="s">
        <v>551</v>
      </c>
      <c r="D14" s="287"/>
      <c r="E14" s="519"/>
      <c r="F14" s="445"/>
      <c r="G14" s="455"/>
      <c r="H14" s="456"/>
    </row>
    <row r="15" spans="2:9">
      <c r="B15" s="205"/>
      <c r="C15" s="206" t="s">
        <v>28</v>
      </c>
      <c r="D15" s="207" t="s">
        <v>144</v>
      </c>
      <c r="E15" s="208" t="s">
        <v>143</v>
      </c>
      <c r="F15" s="68">
        <v>0.04</v>
      </c>
      <c r="G15" s="430">
        <f>BAHAN!$E$70</f>
        <v>15289883.333333351</v>
      </c>
      <c r="H15" s="544">
        <f t="shared" ref="H15:H20" si="0">G15*F15</f>
        <v>611595.33333333407</v>
      </c>
    </row>
    <row r="16" spans="2:9">
      <c r="B16" s="65"/>
      <c r="C16" s="616" t="s">
        <v>28</v>
      </c>
      <c r="D16" s="279" t="s">
        <v>146</v>
      </c>
      <c r="E16" s="67" t="s">
        <v>145</v>
      </c>
      <c r="F16" s="520">
        <v>0.05</v>
      </c>
      <c r="G16" s="69">
        <f>BAHAN!$E$208</f>
        <v>23750</v>
      </c>
      <c r="H16" s="545">
        <f t="shared" si="0"/>
        <v>1187.5</v>
      </c>
      <c r="I16" s="910">
        <f>SUM(H15:H16)</f>
        <v>612782.83333333407</v>
      </c>
    </row>
    <row r="17" spans="2:9">
      <c r="B17" s="71"/>
      <c r="C17" s="368" t="s">
        <v>28</v>
      </c>
      <c r="D17" s="76" t="s">
        <v>133</v>
      </c>
      <c r="E17" s="73" t="s">
        <v>132</v>
      </c>
      <c r="F17" s="551">
        <v>1</v>
      </c>
      <c r="G17" s="75">
        <f>G8</f>
        <v>136000</v>
      </c>
      <c r="H17" s="545">
        <f t="shared" si="0"/>
        <v>136000</v>
      </c>
    </row>
    <row r="18" spans="2:9">
      <c r="B18" s="71"/>
      <c r="C18" s="368" t="s">
        <v>28</v>
      </c>
      <c r="D18" s="76" t="s">
        <v>139</v>
      </c>
      <c r="E18" s="73" t="s">
        <v>132</v>
      </c>
      <c r="F18" s="551">
        <v>2.5</v>
      </c>
      <c r="G18" s="75">
        <f>G9</f>
        <v>160000</v>
      </c>
      <c r="H18" s="545">
        <f t="shared" si="0"/>
        <v>400000</v>
      </c>
    </row>
    <row r="19" spans="2:9">
      <c r="B19" s="71"/>
      <c r="C19" s="368" t="s">
        <v>28</v>
      </c>
      <c r="D19" s="76" t="s">
        <v>140</v>
      </c>
      <c r="E19" s="73" t="s">
        <v>132</v>
      </c>
      <c r="F19" s="551">
        <v>0.25</v>
      </c>
      <c r="G19" s="75">
        <f>G10</f>
        <v>150000</v>
      </c>
      <c r="H19" s="545">
        <f t="shared" si="0"/>
        <v>37500</v>
      </c>
    </row>
    <row r="20" spans="2:9">
      <c r="B20" s="369"/>
      <c r="C20" s="382" t="s">
        <v>28</v>
      </c>
      <c r="D20" s="448" t="s">
        <v>136</v>
      </c>
      <c r="E20" s="449" t="s">
        <v>132</v>
      </c>
      <c r="F20" s="552">
        <v>0.05</v>
      </c>
      <c r="G20" s="75">
        <f>G11</f>
        <v>180000</v>
      </c>
      <c r="H20" s="547">
        <f t="shared" si="0"/>
        <v>9000</v>
      </c>
      <c r="I20" s="910">
        <f>SUM(H17:H20)</f>
        <v>582500</v>
      </c>
    </row>
    <row r="21" spans="2:9">
      <c r="B21" s="216"/>
      <c r="C21" s="83"/>
      <c r="D21" s="84" t="s">
        <v>228</v>
      </c>
      <c r="E21" s="553"/>
      <c r="F21" s="554"/>
      <c r="G21" s="87"/>
      <c r="H21" s="88">
        <f>SUM(H15:H20)</f>
        <v>1195282.833333334</v>
      </c>
    </row>
    <row r="22" spans="2:9">
      <c r="B22" s="566"/>
      <c r="C22" s="442" t="s">
        <v>229</v>
      </c>
      <c r="D22" s="378"/>
      <c r="E22" s="378"/>
      <c r="F22" s="378"/>
      <c r="G22" s="518"/>
      <c r="H22" s="518">
        <f>ROUND(H21,0)</f>
        <v>1195283</v>
      </c>
    </row>
    <row r="23" spans="2:9">
      <c r="B23" s="269" t="s">
        <v>552</v>
      </c>
      <c r="C23" s="380" t="s">
        <v>553</v>
      </c>
      <c r="D23" s="312"/>
      <c r="E23" s="312"/>
      <c r="F23" s="617"/>
      <c r="G23" s="446"/>
      <c r="H23" s="447"/>
    </row>
    <row r="24" spans="2:9">
      <c r="B24" s="258"/>
      <c r="C24" s="66" t="s">
        <v>28</v>
      </c>
      <c r="D24" s="233" t="s">
        <v>144</v>
      </c>
      <c r="E24" s="67" t="s">
        <v>143</v>
      </c>
      <c r="F24" s="618">
        <v>1.9599999999999999E-2</v>
      </c>
      <c r="G24" s="69">
        <f>G15</f>
        <v>15289883.333333351</v>
      </c>
      <c r="H24" s="70">
        <f t="shared" ref="H24:H31" si="1">G24*F24</f>
        <v>299681.71333333367</v>
      </c>
    </row>
    <row r="25" spans="2:9">
      <c r="B25" s="267"/>
      <c r="C25" s="368" t="s">
        <v>28</v>
      </c>
      <c r="D25" s="76" t="s">
        <v>148</v>
      </c>
      <c r="E25" s="73" t="s">
        <v>145</v>
      </c>
      <c r="F25" s="619">
        <v>0.03</v>
      </c>
      <c r="G25" s="75">
        <f>G16</f>
        <v>23750</v>
      </c>
      <c r="H25" s="545">
        <f t="shared" si="1"/>
        <v>712.5</v>
      </c>
    </row>
    <row r="26" spans="2:9">
      <c r="B26" s="267"/>
      <c r="C26" s="368" t="s">
        <v>28</v>
      </c>
      <c r="D26" s="76" t="s">
        <v>150</v>
      </c>
      <c r="E26" s="73" t="s">
        <v>149</v>
      </c>
      <c r="F26" s="619">
        <v>0.3</v>
      </c>
      <c r="G26" s="75">
        <f>BAHAN!$E$173</f>
        <v>25000</v>
      </c>
      <c r="H26" s="545">
        <f t="shared" si="1"/>
        <v>7500</v>
      </c>
    </row>
    <row r="27" spans="2:9">
      <c r="B27" s="267"/>
      <c r="C27" s="368" t="s">
        <v>28</v>
      </c>
      <c r="D27" s="76" t="s">
        <v>554</v>
      </c>
      <c r="E27" s="73" t="s">
        <v>151</v>
      </c>
      <c r="F27" s="619">
        <v>1</v>
      </c>
      <c r="G27" s="75">
        <f>BAHAN!$E$98</f>
        <v>108500</v>
      </c>
      <c r="H27" s="545">
        <f t="shared" si="1"/>
        <v>108500</v>
      </c>
      <c r="I27" s="910">
        <f>SUM(H24:H27)</f>
        <v>416394.21333333367</v>
      </c>
    </row>
    <row r="28" spans="2:9">
      <c r="B28" s="267"/>
      <c r="C28" s="368" t="s">
        <v>28</v>
      </c>
      <c r="D28" s="76" t="s">
        <v>133</v>
      </c>
      <c r="E28" s="73" t="s">
        <v>132</v>
      </c>
      <c r="F28" s="619">
        <v>0.6</v>
      </c>
      <c r="G28" s="75">
        <f>G17</f>
        <v>136000</v>
      </c>
      <c r="H28" s="545">
        <f t="shared" si="1"/>
        <v>81600</v>
      </c>
    </row>
    <row r="29" spans="2:9">
      <c r="B29" s="267"/>
      <c r="C29" s="368" t="s">
        <v>28</v>
      </c>
      <c r="D29" s="76" t="s">
        <v>139</v>
      </c>
      <c r="E29" s="73" t="s">
        <v>132</v>
      </c>
      <c r="F29" s="619">
        <v>2</v>
      </c>
      <c r="G29" s="75">
        <f>G18</f>
        <v>160000</v>
      </c>
      <c r="H29" s="545">
        <f t="shared" si="1"/>
        <v>320000</v>
      </c>
    </row>
    <row r="30" spans="2:9">
      <c r="B30" s="267"/>
      <c r="C30" s="368" t="s">
        <v>28</v>
      </c>
      <c r="D30" s="76" t="s">
        <v>140</v>
      </c>
      <c r="E30" s="73" t="s">
        <v>132</v>
      </c>
      <c r="F30" s="619">
        <v>0.2</v>
      </c>
      <c r="G30" s="75">
        <f>G19</f>
        <v>150000</v>
      </c>
      <c r="H30" s="545">
        <f t="shared" si="1"/>
        <v>30000</v>
      </c>
    </row>
    <row r="31" spans="2:9">
      <c r="B31" s="620"/>
      <c r="C31" s="382" t="s">
        <v>28</v>
      </c>
      <c r="D31" s="448" t="s">
        <v>136</v>
      </c>
      <c r="E31" s="449" t="s">
        <v>132</v>
      </c>
      <c r="F31" s="461">
        <v>0.03</v>
      </c>
      <c r="G31" s="75">
        <f>G20</f>
        <v>180000</v>
      </c>
      <c r="H31" s="547">
        <f t="shared" si="1"/>
        <v>5400</v>
      </c>
      <c r="I31" s="910">
        <f>SUM(H28:H31)</f>
        <v>437000</v>
      </c>
    </row>
    <row r="32" spans="2:9">
      <c r="B32" s="236"/>
      <c r="C32" s="237"/>
      <c r="D32" s="84" t="s">
        <v>228</v>
      </c>
      <c r="E32" s="238"/>
      <c r="F32" s="86"/>
      <c r="G32" s="87"/>
      <c r="H32" s="88">
        <f>SUM(H24:H31)</f>
        <v>853394.21333333361</v>
      </c>
    </row>
    <row r="33" spans="2:9">
      <c r="B33" s="566"/>
      <c r="C33" s="442" t="s">
        <v>229</v>
      </c>
      <c r="D33" s="378"/>
      <c r="E33" s="378"/>
      <c r="F33" s="378"/>
      <c r="G33" s="518"/>
      <c r="H33" s="518">
        <f>ROUND(H32,0)</f>
        <v>853394</v>
      </c>
    </row>
    <row r="34" spans="2:9">
      <c r="B34" s="530" t="s">
        <v>1653</v>
      </c>
      <c r="C34" s="538" t="s">
        <v>1654</v>
      </c>
      <c r="D34" s="558"/>
      <c r="E34" s="559"/>
      <c r="F34" s="613"/>
      <c r="G34" s="614"/>
      <c r="H34" s="615"/>
    </row>
    <row r="35" spans="2:9">
      <c r="B35" s="205"/>
      <c r="C35" s="66" t="s">
        <v>28</v>
      </c>
      <c r="D35" s="968" t="s">
        <v>1728</v>
      </c>
      <c r="E35" s="892" t="s">
        <v>100</v>
      </c>
      <c r="F35" s="893">
        <v>1.2</v>
      </c>
      <c r="G35" s="894">
        <f>BAHAN!$E$74</f>
        <v>29166666.666666668</v>
      </c>
      <c r="H35" s="895">
        <f>G35*F35</f>
        <v>35000000</v>
      </c>
      <c r="I35" s="910">
        <f>SUM(H35)</f>
        <v>35000000</v>
      </c>
    </row>
    <row r="36" spans="2:9">
      <c r="B36" s="969"/>
      <c r="C36" s="970" t="s">
        <v>28</v>
      </c>
      <c r="D36" s="971" t="s">
        <v>133</v>
      </c>
      <c r="E36" s="972" t="s">
        <v>132</v>
      </c>
      <c r="F36" s="973">
        <v>6</v>
      </c>
      <c r="G36" s="75">
        <f>UPAH!$E$26</f>
        <v>136000</v>
      </c>
      <c r="H36" s="974">
        <f>G36*F36</f>
        <v>816000</v>
      </c>
    </row>
    <row r="37" spans="2:9">
      <c r="B37" s="969"/>
      <c r="C37" s="970" t="s">
        <v>28</v>
      </c>
      <c r="D37" s="971" t="s">
        <v>139</v>
      </c>
      <c r="E37" s="972" t="s">
        <v>132</v>
      </c>
      <c r="F37" s="973">
        <v>18</v>
      </c>
      <c r="G37" s="75">
        <f>UPAH!$E$17</f>
        <v>160000</v>
      </c>
      <c r="H37" s="974">
        <f>G37*F37</f>
        <v>2880000</v>
      </c>
    </row>
    <row r="38" spans="2:9">
      <c r="B38" s="969"/>
      <c r="C38" s="970" t="s">
        <v>28</v>
      </c>
      <c r="D38" s="971" t="s">
        <v>140</v>
      </c>
      <c r="E38" s="972" t="s">
        <v>132</v>
      </c>
      <c r="F38" s="973">
        <v>2</v>
      </c>
      <c r="G38" s="75">
        <f>UPAH!$E$11</f>
        <v>150000</v>
      </c>
      <c r="H38" s="974">
        <f>G38*F38</f>
        <v>300000</v>
      </c>
    </row>
    <row r="39" spans="2:9">
      <c r="B39" s="975"/>
      <c r="C39" s="78" t="s">
        <v>28</v>
      </c>
      <c r="D39" s="902" t="s">
        <v>136</v>
      </c>
      <c r="E39" s="976" t="s">
        <v>132</v>
      </c>
      <c r="F39" s="977">
        <v>0.3</v>
      </c>
      <c r="G39" s="75">
        <f>UPAH!$E$9</f>
        <v>180000</v>
      </c>
      <c r="H39" s="978">
        <f>G39*F39</f>
        <v>54000</v>
      </c>
      <c r="I39" s="910">
        <f>SUM(H36:H39)</f>
        <v>4050000</v>
      </c>
    </row>
    <row r="40" spans="2:9">
      <c r="B40" s="216"/>
      <c r="C40" s="882"/>
      <c r="D40" s="866" t="s">
        <v>228</v>
      </c>
      <c r="E40" s="883"/>
      <c r="F40" s="979"/>
      <c r="G40" s="885"/>
      <c r="H40" s="886">
        <f>SUM(H35:H39)</f>
        <v>39050000</v>
      </c>
    </row>
    <row r="41" spans="2:9">
      <c r="B41" s="566"/>
      <c r="C41" s="980" t="s">
        <v>229</v>
      </c>
      <c r="D41" s="981"/>
      <c r="E41" s="981"/>
      <c r="F41" s="981"/>
      <c r="G41" s="982"/>
      <c r="H41" s="982">
        <f>ROUND(H40,0)</f>
        <v>39050000</v>
      </c>
    </row>
    <row r="42" spans="2:9">
      <c r="B42" s="226" t="s">
        <v>1655</v>
      </c>
      <c r="C42" s="380" t="s">
        <v>1656</v>
      </c>
      <c r="D42" s="287"/>
      <c r="E42" s="519"/>
      <c r="F42" s="445"/>
      <c r="G42" s="455"/>
      <c r="H42" s="456"/>
    </row>
    <row r="43" spans="2:9">
      <c r="B43" s="205"/>
      <c r="C43" s="206" t="s">
        <v>28</v>
      </c>
      <c r="D43" s="207" t="s">
        <v>1729</v>
      </c>
      <c r="E43" s="208" t="s">
        <v>143</v>
      </c>
      <c r="F43" s="68">
        <v>0.04</v>
      </c>
      <c r="G43" s="430">
        <f>BAHAN!$E$75</f>
        <v>30000000</v>
      </c>
      <c r="H43" s="544">
        <f t="shared" ref="H43:H48" si="2">G43*F43</f>
        <v>1200000</v>
      </c>
    </row>
    <row r="44" spans="2:9">
      <c r="B44" s="890"/>
      <c r="C44" s="616" t="s">
        <v>28</v>
      </c>
      <c r="D44" s="983" t="s">
        <v>146</v>
      </c>
      <c r="E44" s="892" t="s">
        <v>145</v>
      </c>
      <c r="F44" s="893">
        <v>0.05</v>
      </c>
      <c r="G44" s="69">
        <f>BAHAN!$E$208</f>
        <v>23750</v>
      </c>
      <c r="H44" s="974">
        <f t="shared" si="2"/>
        <v>1187.5</v>
      </c>
      <c r="I44" s="910">
        <f>SUM(H43:H44)</f>
        <v>1201187.5</v>
      </c>
    </row>
    <row r="45" spans="2:9">
      <c r="B45" s="969"/>
      <c r="C45" s="970" t="s">
        <v>28</v>
      </c>
      <c r="D45" s="971" t="s">
        <v>133</v>
      </c>
      <c r="E45" s="972" t="s">
        <v>132</v>
      </c>
      <c r="F45" s="984">
        <v>1</v>
      </c>
      <c r="G45" s="75">
        <f>UPAH!$E$26</f>
        <v>136000</v>
      </c>
      <c r="H45" s="974">
        <f t="shared" si="2"/>
        <v>136000</v>
      </c>
    </row>
    <row r="46" spans="2:9">
      <c r="B46" s="969"/>
      <c r="C46" s="970" t="s">
        <v>28</v>
      </c>
      <c r="D46" s="971" t="s">
        <v>139</v>
      </c>
      <c r="E46" s="972" t="s">
        <v>132</v>
      </c>
      <c r="F46" s="984">
        <v>2.5</v>
      </c>
      <c r="G46" s="75">
        <f>UPAH!$E$17</f>
        <v>160000</v>
      </c>
      <c r="H46" s="974">
        <f t="shared" si="2"/>
        <v>400000</v>
      </c>
    </row>
    <row r="47" spans="2:9">
      <c r="B47" s="969"/>
      <c r="C47" s="970" t="s">
        <v>28</v>
      </c>
      <c r="D47" s="971" t="s">
        <v>140</v>
      </c>
      <c r="E47" s="972" t="s">
        <v>132</v>
      </c>
      <c r="F47" s="984">
        <v>0.25</v>
      </c>
      <c r="G47" s="75">
        <f>UPAH!$E$11</f>
        <v>150000</v>
      </c>
      <c r="H47" s="974">
        <f t="shared" si="2"/>
        <v>37500</v>
      </c>
    </row>
    <row r="48" spans="2:9">
      <c r="B48" s="975"/>
      <c r="C48" s="78" t="s">
        <v>28</v>
      </c>
      <c r="D48" s="902" t="s">
        <v>136</v>
      </c>
      <c r="E48" s="976" t="s">
        <v>132</v>
      </c>
      <c r="F48" s="985">
        <v>0.05</v>
      </c>
      <c r="G48" s="75">
        <f>UPAH!$E$9</f>
        <v>180000</v>
      </c>
      <c r="H48" s="978">
        <f t="shared" si="2"/>
        <v>9000</v>
      </c>
      <c r="I48" s="910">
        <f>SUM(H45:H48)</f>
        <v>582500</v>
      </c>
    </row>
    <row r="49" spans="2:9">
      <c r="B49" s="216"/>
      <c r="C49" s="882"/>
      <c r="D49" s="866" t="s">
        <v>228</v>
      </c>
      <c r="E49" s="884"/>
      <c r="F49" s="986"/>
      <c r="G49" s="885"/>
      <c r="H49" s="886">
        <f>SUM(H43:H48)</f>
        <v>1783687.5</v>
      </c>
    </row>
    <row r="50" spans="2:9">
      <c r="B50" s="566"/>
      <c r="C50" s="980" t="s">
        <v>229</v>
      </c>
      <c r="D50" s="981"/>
      <c r="E50" s="981"/>
      <c r="F50" s="981"/>
      <c r="G50" s="982"/>
      <c r="H50" s="982">
        <f>ROUND(H49,0)</f>
        <v>1783688</v>
      </c>
    </row>
    <row r="51" spans="2:9">
      <c r="B51" s="530" t="s">
        <v>1680</v>
      </c>
      <c r="C51" s="538" t="s">
        <v>1681</v>
      </c>
      <c r="D51" s="558"/>
      <c r="E51" s="559"/>
      <c r="F51" s="613"/>
      <c r="G51" s="614"/>
      <c r="H51" s="615"/>
    </row>
    <row r="52" spans="2:9">
      <c r="B52" s="205"/>
      <c r="C52" s="66" t="s">
        <v>28</v>
      </c>
      <c r="D52" s="1092" t="s">
        <v>1682</v>
      </c>
      <c r="E52" s="1093" t="s">
        <v>100</v>
      </c>
      <c r="F52" s="893">
        <v>1.2</v>
      </c>
      <c r="G52" s="1094">
        <v>9750000</v>
      </c>
      <c r="H52" s="1095">
        <f>G52*F52</f>
        <v>11700000</v>
      </c>
      <c r="I52" s="910">
        <f>SUM(H52)</f>
        <v>11700000</v>
      </c>
    </row>
    <row r="53" spans="2:9">
      <c r="B53" s="1096"/>
      <c r="C53" s="1097" t="s">
        <v>28</v>
      </c>
      <c r="D53" s="1098" t="s">
        <v>133</v>
      </c>
      <c r="E53" s="1099" t="s">
        <v>132</v>
      </c>
      <c r="F53" s="1100">
        <v>6</v>
      </c>
      <c r="G53" s="75">
        <f>UPAH!$E$26</f>
        <v>136000</v>
      </c>
      <c r="H53" s="1101">
        <f>G53*F53</f>
        <v>816000</v>
      </c>
    </row>
    <row r="54" spans="2:9">
      <c r="B54" s="1096"/>
      <c r="C54" s="1097" t="s">
        <v>28</v>
      </c>
      <c r="D54" s="1102" t="s">
        <v>139</v>
      </c>
      <c r="E54" s="1099" t="s">
        <v>132</v>
      </c>
      <c r="F54" s="1100">
        <v>18</v>
      </c>
      <c r="G54" s="75">
        <f>UPAH!$E$17</f>
        <v>160000</v>
      </c>
      <c r="H54" s="1101">
        <f>G54*F54</f>
        <v>2880000</v>
      </c>
    </row>
    <row r="55" spans="2:9">
      <c r="B55" s="1096"/>
      <c r="C55" s="1097" t="s">
        <v>28</v>
      </c>
      <c r="D55" s="1102" t="s">
        <v>140</v>
      </c>
      <c r="E55" s="1099" t="s">
        <v>132</v>
      </c>
      <c r="F55" s="1100">
        <v>2</v>
      </c>
      <c r="G55" s="75">
        <f>UPAH!$E$11</f>
        <v>150000</v>
      </c>
      <c r="H55" s="1101">
        <f>G55*F55</f>
        <v>300000</v>
      </c>
    </row>
    <row r="56" spans="2:9">
      <c r="B56" s="1103"/>
      <c r="C56" s="78" t="s">
        <v>28</v>
      </c>
      <c r="D56" s="902" t="s">
        <v>136</v>
      </c>
      <c r="E56" s="1104" t="s">
        <v>132</v>
      </c>
      <c r="F56" s="1105">
        <v>0.3</v>
      </c>
      <c r="G56" s="75">
        <f>UPAH!$E$9</f>
        <v>180000</v>
      </c>
      <c r="H56" s="1106">
        <f>G56*F56</f>
        <v>54000</v>
      </c>
      <c r="I56" s="910">
        <f>SUM(H53:H56)</f>
        <v>4050000</v>
      </c>
    </row>
    <row r="57" spans="2:9">
      <c r="B57" s="216"/>
      <c r="C57" s="882"/>
      <c r="D57" s="866" t="s">
        <v>228</v>
      </c>
      <c r="E57" s="883"/>
      <c r="F57" s="979"/>
      <c r="G57" s="885"/>
      <c r="H57" s="886">
        <f>SUM(H52:H56)</f>
        <v>15750000</v>
      </c>
    </row>
    <row r="58" spans="2:9">
      <c r="B58" s="566"/>
      <c r="C58" s="1107" t="s">
        <v>229</v>
      </c>
      <c r="D58" s="1108"/>
      <c r="E58" s="1108"/>
      <c r="F58" s="1108"/>
      <c r="G58" s="1109"/>
      <c r="H58" s="1109">
        <f>ROUND(H57,0)</f>
        <v>15750000</v>
      </c>
    </row>
    <row r="59" spans="2:9">
      <c r="B59" s="226" t="s">
        <v>1683</v>
      </c>
      <c r="C59" s="380" t="s">
        <v>1684</v>
      </c>
      <c r="D59" s="287"/>
      <c r="E59" s="519"/>
      <c r="F59" s="445"/>
      <c r="G59" s="455"/>
      <c r="H59" s="456"/>
    </row>
    <row r="60" spans="2:9">
      <c r="B60" s="205"/>
      <c r="C60" s="206" t="s">
        <v>28</v>
      </c>
      <c r="D60" s="207" t="s">
        <v>1685</v>
      </c>
      <c r="E60" s="208" t="s">
        <v>143</v>
      </c>
      <c r="F60" s="68">
        <v>0.04</v>
      </c>
      <c r="G60" s="430">
        <v>11000000</v>
      </c>
      <c r="H60" s="544">
        <f t="shared" ref="H60:H65" si="3">G60*F60</f>
        <v>440000</v>
      </c>
    </row>
    <row r="61" spans="2:9">
      <c r="B61" s="890"/>
      <c r="C61" s="616" t="s">
        <v>28</v>
      </c>
      <c r="D61" s="1110" t="s">
        <v>146</v>
      </c>
      <c r="E61" s="1093" t="s">
        <v>145</v>
      </c>
      <c r="F61" s="893">
        <v>0.05</v>
      </c>
      <c r="G61" s="69">
        <f>BAHAN!$E$208</f>
        <v>23750</v>
      </c>
      <c r="H61" s="1101">
        <f t="shared" si="3"/>
        <v>1187.5</v>
      </c>
      <c r="I61" s="910">
        <f>SUM(H60:H61)</f>
        <v>441187.5</v>
      </c>
    </row>
    <row r="62" spans="2:9">
      <c r="B62" s="1096"/>
      <c r="C62" s="1097" t="s">
        <v>28</v>
      </c>
      <c r="D62" s="1102" t="s">
        <v>133</v>
      </c>
      <c r="E62" s="1099" t="s">
        <v>132</v>
      </c>
      <c r="F62" s="1111">
        <v>1</v>
      </c>
      <c r="G62" s="75">
        <f>UPAH!$E$26</f>
        <v>136000</v>
      </c>
      <c r="H62" s="1101">
        <f t="shared" si="3"/>
        <v>136000</v>
      </c>
    </row>
    <row r="63" spans="2:9">
      <c r="B63" s="1096"/>
      <c r="C63" s="1097" t="s">
        <v>28</v>
      </c>
      <c r="D63" s="1102" t="s">
        <v>139</v>
      </c>
      <c r="E63" s="1099" t="s">
        <v>132</v>
      </c>
      <c r="F63" s="1111">
        <v>2.5</v>
      </c>
      <c r="G63" s="75">
        <f>UPAH!$E$17</f>
        <v>160000</v>
      </c>
      <c r="H63" s="1101">
        <f t="shared" si="3"/>
        <v>400000</v>
      </c>
    </row>
    <row r="64" spans="2:9">
      <c r="B64" s="1096"/>
      <c r="C64" s="1097" t="s">
        <v>28</v>
      </c>
      <c r="D64" s="1102" t="s">
        <v>140</v>
      </c>
      <c r="E64" s="1099" t="s">
        <v>132</v>
      </c>
      <c r="F64" s="1111">
        <v>0.25</v>
      </c>
      <c r="G64" s="75">
        <f>UPAH!$E$11</f>
        <v>150000</v>
      </c>
      <c r="H64" s="1101">
        <f t="shared" si="3"/>
        <v>37500</v>
      </c>
    </row>
    <row r="65" spans="2:9">
      <c r="B65" s="1103"/>
      <c r="C65" s="78" t="s">
        <v>28</v>
      </c>
      <c r="D65" s="902" t="s">
        <v>136</v>
      </c>
      <c r="E65" s="1104" t="s">
        <v>132</v>
      </c>
      <c r="F65" s="1112">
        <v>0.05</v>
      </c>
      <c r="G65" s="75">
        <f>UPAH!$E$9</f>
        <v>180000</v>
      </c>
      <c r="H65" s="1106">
        <f t="shared" si="3"/>
        <v>9000</v>
      </c>
      <c r="I65" s="910">
        <f>SUM(H62:H65)</f>
        <v>582500</v>
      </c>
    </row>
    <row r="66" spans="2:9">
      <c r="B66" s="216"/>
      <c r="C66" s="882"/>
      <c r="D66" s="866" t="s">
        <v>228</v>
      </c>
      <c r="E66" s="884"/>
      <c r="F66" s="986"/>
      <c r="G66" s="885"/>
      <c r="H66" s="886">
        <f>SUM(H60:H65)</f>
        <v>1023687.5</v>
      </c>
    </row>
    <row r="67" spans="2:9">
      <c r="B67" s="566"/>
      <c r="C67" s="1107" t="s">
        <v>229</v>
      </c>
      <c r="D67" s="1108"/>
      <c r="E67" s="1108"/>
      <c r="F67" s="1108"/>
      <c r="G67" s="1109"/>
      <c r="H67" s="1109">
        <f>ROUND(H66,0)</f>
        <v>1023688</v>
      </c>
    </row>
    <row r="68" spans="2:9">
      <c r="B68" s="530" t="s">
        <v>1653</v>
      </c>
      <c r="C68" s="538" t="s">
        <v>1730</v>
      </c>
      <c r="D68" s="558"/>
      <c r="E68" s="559"/>
      <c r="F68" s="613"/>
      <c r="G68" s="614"/>
      <c r="H68" s="615"/>
    </row>
    <row r="69" spans="2:9">
      <c r="B69" s="205"/>
      <c r="C69" s="66" t="s">
        <v>28</v>
      </c>
      <c r="D69" s="1092" t="s">
        <v>1731</v>
      </c>
      <c r="E69" s="1093" t="s">
        <v>100</v>
      </c>
      <c r="F69" s="893">
        <v>1.2</v>
      </c>
      <c r="G69" s="1094">
        <f>BAHAN!$E$72</f>
        <v>44750000</v>
      </c>
      <c r="H69" s="1095">
        <f>G69*F69</f>
        <v>53700000</v>
      </c>
      <c r="I69" s="910">
        <f>SUM(H69)</f>
        <v>53700000</v>
      </c>
    </row>
    <row r="70" spans="2:9">
      <c r="B70" s="1185"/>
      <c r="C70" s="1097" t="s">
        <v>28</v>
      </c>
      <c r="D70" s="1102" t="s">
        <v>133</v>
      </c>
      <c r="E70" s="1121" t="s">
        <v>132</v>
      </c>
      <c r="F70" s="1100">
        <v>6</v>
      </c>
      <c r="G70" s="75">
        <f>UPAH!$E$26</f>
        <v>136000</v>
      </c>
      <c r="H70" s="1101">
        <f>G70*F70</f>
        <v>816000</v>
      </c>
    </row>
    <row r="71" spans="2:9">
      <c r="B71" s="1185"/>
      <c r="C71" s="1097" t="s">
        <v>28</v>
      </c>
      <c r="D71" s="1102" t="s">
        <v>139</v>
      </c>
      <c r="E71" s="1121" t="s">
        <v>132</v>
      </c>
      <c r="F71" s="1100">
        <v>18</v>
      </c>
      <c r="G71" s="75">
        <f>UPAH!$E$17</f>
        <v>160000</v>
      </c>
      <c r="H71" s="1101">
        <f>G71*F71</f>
        <v>2880000</v>
      </c>
    </row>
    <row r="72" spans="2:9">
      <c r="B72" s="1185"/>
      <c r="C72" s="1097" t="s">
        <v>28</v>
      </c>
      <c r="D72" s="1102" t="s">
        <v>140</v>
      </c>
      <c r="E72" s="1121" t="s">
        <v>132</v>
      </c>
      <c r="F72" s="1100">
        <v>2</v>
      </c>
      <c r="G72" s="75">
        <f>UPAH!$E$11</f>
        <v>150000</v>
      </c>
      <c r="H72" s="1101">
        <f>G72*F72</f>
        <v>300000</v>
      </c>
    </row>
    <row r="73" spans="2:9">
      <c r="B73" s="1103"/>
      <c r="C73" s="78" t="s">
        <v>28</v>
      </c>
      <c r="D73" s="1187" t="s">
        <v>136</v>
      </c>
      <c r="E73" s="1104" t="s">
        <v>132</v>
      </c>
      <c r="F73" s="1105">
        <v>0.3</v>
      </c>
      <c r="G73" s="75">
        <f>UPAH!$E$9</f>
        <v>180000</v>
      </c>
      <c r="H73" s="1106">
        <f>G73*F73</f>
        <v>54000</v>
      </c>
      <c r="I73" s="910">
        <f>SUM(H70:H73)</f>
        <v>4050000</v>
      </c>
    </row>
    <row r="74" spans="2:9">
      <c r="B74" s="216"/>
      <c r="C74" s="882"/>
      <c r="D74" s="866" t="s">
        <v>228</v>
      </c>
      <c r="E74" s="883"/>
      <c r="F74" s="979"/>
      <c r="G74" s="885"/>
      <c r="H74" s="886">
        <f>SUM(H69:H73)</f>
        <v>57750000</v>
      </c>
    </row>
    <row r="75" spans="2:9">
      <c r="B75" s="566"/>
      <c r="C75" s="1107" t="s">
        <v>229</v>
      </c>
      <c r="D75" s="1108"/>
      <c r="E75" s="1108"/>
      <c r="F75" s="1108"/>
      <c r="G75" s="1109"/>
      <c r="H75" s="1109">
        <f>ROUND(H74,0)</f>
        <v>57750000</v>
      </c>
    </row>
    <row r="76" spans="2:9">
      <c r="B76" s="226" t="s">
        <v>1655</v>
      </c>
      <c r="C76" s="380" t="s">
        <v>1732</v>
      </c>
      <c r="D76" s="287"/>
      <c r="E76" s="519"/>
      <c r="F76" s="445"/>
      <c r="G76" s="455"/>
      <c r="H76" s="456"/>
    </row>
    <row r="77" spans="2:9">
      <c r="B77" s="205"/>
      <c r="C77" s="206" t="s">
        <v>28</v>
      </c>
      <c r="D77" s="207" t="s">
        <v>1733</v>
      </c>
      <c r="E77" s="208" t="s">
        <v>143</v>
      </c>
      <c r="F77" s="68">
        <v>0.04</v>
      </c>
      <c r="G77" s="430">
        <f>BAHAN!$E$73</f>
        <v>44750000</v>
      </c>
      <c r="H77" s="544">
        <f t="shared" ref="H77:H82" si="4">G77*F77</f>
        <v>1790000</v>
      </c>
    </row>
    <row r="78" spans="2:9">
      <c r="B78" s="890"/>
      <c r="C78" s="616" t="s">
        <v>28</v>
      </c>
      <c r="D78" s="1120" t="s">
        <v>146</v>
      </c>
      <c r="E78" s="1093" t="s">
        <v>145</v>
      </c>
      <c r="F78" s="893">
        <v>0.05</v>
      </c>
      <c r="G78" s="69">
        <f>BAHAN!$E$208</f>
        <v>23750</v>
      </c>
      <c r="H78" s="1101">
        <f t="shared" si="4"/>
        <v>1187.5</v>
      </c>
      <c r="I78" s="910">
        <f>SUM(H77:H78)</f>
        <v>1791187.5</v>
      </c>
    </row>
    <row r="79" spans="2:9">
      <c r="B79" s="1185"/>
      <c r="C79" s="1097" t="s">
        <v>28</v>
      </c>
      <c r="D79" s="1102" t="s">
        <v>133</v>
      </c>
      <c r="E79" s="1121" t="s">
        <v>132</v>
      </c>
      <c r="F79" s="1111">
        <v>1</v>
      </c>
      <c r="G79" s="75">
        <f>UPAH!$E$26</f>
        <v>136000</v>
      </c>
      <c r="H79" s="1101">
        <f t="shared" si="4"/>
        <v>136000</v>
      </c>
    </row>
    <row r="80" spans="2:9">
      <c r="B80" s="1185"/>
      <c r="C80" s="1097" t="s">
        <v>28</v>
      </c>
      <c r="D80" s="1102" t="s">
        <v>139</v>
      </c>
      <c r="E80" s="1121" t="s">
        <v>132</v>
      </c>
      <c r="F80" s="1111">
        <v>2.5</v>
      </c>
      <c r="G80" s="75">
        <f>UPAH!$E$17</f>
        <v>160000</v>
      </c>
      <c r="H80" s="1101">
        <f t="shared" si="4"/>
        <v>400000</v>
      </c>
    </row>
    <row r="81" spans="2:9">
      <c r="B81" s="1185"/>
      <c r="C81" s="1097" t="s">
        <v>28</v>
      </c>
      <c r="D81" s="1102" t="s">
        <v>140</v>
      </c>
      <c r="E81" s="1121" t="s">
        <v>132</v>
      </c>
      <c r="F81" s="1111">
        <v>0.25</v>
      </c>
      <c r="G81" s="75">
        <f>UPAH!$E$11</f>
        <v>150000</v>
      </c>
      <c r="H81" s="1101">
        <f t="shared" si="4"/>
        <v>37500</v>
      </c>
    </row>
    <row r="82" spans="2:9">
      <c r="B82" s="1103"/>
      <c r="C82" s="78" t="s">
        <v>28</v>
      </c>
      <c r="D82" s="1187" t="s">
        <v>136</v>
      </c>
      <c r="E82" s="1104" t="s">
        <v>132</v>
      </c>
      <c r="F82" s="1112">
        <v>0.05</v>
      </c>
      <c r="G82" s="75">
        <f>UPAH!$E$9</f>
        <v>180000</v>
      </c>
      <c r="H82" s="1106">
        <f t="shared" si="4"/>
        <v>9000</v>
      </c>
      <c r="I82" s="910">
        <f>SUM(H79:H82)</f>
        <v>582500</v>
      </c>
    </row>
    <row r="83" spans="2:9">
      <c r="B83" s="216"/>
      <c r="C83" s="882"/>
      <c r="D83" s="866" t="s">
        <v>228</v>
      </c>
      <c r="E83" s="884"/>
      <c r="F83" s="986"/>
      <c r="G83" s="885"/>
      <c r="H83" s="886">
        <f>SUM(H77:H82)</f>
        <v>2373687.5</v>
      </c>
    </row>
    <row r="84" spans="2:9">
      <c r="B84" s="566"/>
      <c r="C84" s="1107" t="s">
        <v>229</v>
      </c>
      <c r="D84" s="1108"/>
      <c r="E84" s="1108"/>
      <c r="F84" s="1108"/>
      <c r="G84" s="1109"/>
      <c r="H84" s="1109">
        <f>ROUND(H83,0)</f>
        <v>2373688</v>
      </c>
    </row>
    <row r="85" spans="2:9">
      <c r="B85" s="530" t="s">
        <v>1680</v>
      </c>
      <c r="C85" s="538" t="s">
        <v>2510</v>
      </c>
      <c r="D85" s="558"/>
      <c r="E85" s="559"/>
      <c r="F85" s="613"/>
      <c r="G85" s="614"/>
      <c r="H85" s="615"/>
    </row>
    <row r="86" spans="2:9">
      <c r="B86" s="205"/>
      <c r="C86" s="66" t="s">
        <v>28</v>
      </c>
      <c r="D86" s="233" t="s">
        <v>138</v>
      </c>
      <c r="E86" s="67" t="s">
        <v>100</v>
      </c>
      <c r="F86" s="520">
        <v>1.2</v>
      </c>
      <c r="G86" s="69">
        <f>BAHAN!$E$71</f>
        <v>12370000</v>
      </c>
      <c r="H86" s="70">
        <f>G86*F86</f>
        <v>14844000</v>
      </c>
      <c r="I86" s="1410">
        <f>SUM(H86)</f>
        <v>14844000</v>
      </c>
    </row>
    <row r="87" spans="2:9">
      <c r="B87" s="71"/>
      <c r="C87" s="368" t="s">
        <v>28</v>
      </c>
      <c r="D87" s="76" t="s">
        <v>133</v>
      </c>
      <c r="E87" s="73" t="s">
        <v>132</v>
      </c>
      <c r="F87" s="74">
        <v>6</v>
      </c>
      <c r="G87" s="75">
        <f>UPAH!$E$26</f>
        <v>136000</v>
      </c>
      <c r="H87" s="545">
        <f>G87*F87</f>
        <v>816000</v>
      </c>
    </row>
    <row r="88" spans="2:9">
      <c r="B88" s="71"/>
      <c r="C88" s="368" t="s">
        <v>28</v>
      </c>
      <c r="D88" s="76" t="s">
        <v>139</v>
      </c>
      <c r="E88" s="73" t="s">
        <v>132</v>
      </c>
      <c r="F88" s="74">
        <v>18</v>
      </c>
      <c r="G88" s="75">
        <f>UPAH!$E$17</f>
        <v>160000</v>
      </c>
      <c r="H88" s="545">
        <f>G88*F88</f>
        <v>2880000</v>
      </c>
    </row>
    <row r="89" spans="2:9">
      <c r="B89" s="71"/>
      <c r="C89" s="368" t="s">
        <v>28</v>
      </c>
      <c r="D89" s="76" t="s">
        <v>140</v>
      </c>
      <c r="E89" s="73" t="s">
        <v>132</v>
      </c>
      <c r="F89" s="74">
        <v>2</v>
      </c>
      <c r="G89" s="75">
        <f>UPAH!$E$11</f>
        <v>150000</v>
      </c>
      <c r="H89" s="545">
        <f>G89*F89</f>
        <v>300000</v>
      </c>
    </row>
    <row r="90" spans="2:9">
      <c r="B90" s="369"/>
      <c r="C90" s="382" t="s">
        <v>28</v>
      </c>
      <c r="D90" s="448" t="s">
        <v>136</v>
      </c>
      <c r="E90" s="449" t="s">
        <v>132</v>
      </c>
      <c r="F90" s="450">
        <v>0.3</v>
      </c>
      <c r="G90" s="75">
        <f>UPAH!$E$9</f>
        <v>180000</v>
      </c>
      <c r="H90" s="547">
        <f>G90*F90</f>
        <v>54000</v>
      </c>
      <c r="I90" s="1410">
        <f>SUM(H87:H90)</f>
        <v>4050000</v>
      </c>
    </row>
    <row r="91" spans="2:9">
      <c r="B91" s="1249"/>
      <c r="C91" s="83"/>
      <c r="D91" s="84" t="s">
        <v>228</v>
      </c>
      <c r="E91" s="85"/>
      <c r="F91" s="86"/>
      <c r="G91" s="87"/>
      <c r="H91" s="88">
        <f>SUM(H86:H90)</f>
        <v>18894000</v>
      </c>
    </row>
    <row r="92" spans="2:9">
      <c r="B92" s="566"/>
      <c r="C92" s="442" t="s">
        <v>229</v>
      </c>
      <c r="D92" s="378"/>
      <c r="E92" s="378"/>
      <c r="F92" s="378"/>
      <c r="G92" s="518"/>
      <c r="H92" s="518">
        <f>ROUND(H91,0)</f>
        <v>18894000</v>
      </c>
    </row>
    <row r="93" spans="2:9">
      <c r="B93" s="226" t="s">
        <v>1683</v>
      </c>
      <c r="C93" s="380" t="s">
        <v>2276</v>
      </c>
      <c r="D93" s="287"/>
      <c r="E93" s="519"/>
      <c r="F93" s="445"/>
      <c r="G93" s="455"/>
      <c r="H93" s="456"/>
    </row>
    <row r="94" spans="2:9">
      <c r="B94" s="205"/>
      <c r="C94" s="206" t="s">
        <v>28</v>
      </c>
      <c r="D94" s="207" t="s">
        <v>144</v>
      </c>
      <c r="E94" s="208" t="s">
        <v>143</v>
      </c>
      <c r="F94" s="68">
        <v>1.2800000000000001E-2</v>
      </c>
      <c r="G94" s="430">
        <f>BAHAN!$E$70</f>
        <v>15289883.333333351</v>
      </c>
      <c r="H94" s="544">
        <f t="shared" ref="H94:H99" si="5">G94*F94</f>
        <v>195710.50666666689</v>
      </c>
    </row>
    <row r="95" spans="2:9">
      <c r="B95" s="65"/>
      <c r="C95" s="616" t="s">
        <v>28</v>
      </c>
      <c r="D95" s="279" t="s">
        <v>146</v>
      </c>
      <c r="E95" s="67" t="s">
        <v>145</v>
      </c>
      <c r="F95" s="520">
        <v>0.05</v>
      </c>
      <c r="G95" s="69">
        <f>BAHAN!$E$208</f>
        <v>23750</v>
      </c>
      <c r="H95" s="545">
        <f t="shared" si="5"/>
        <v>1187.5</v>
      </c>
      <c r="I95" s="1410">
        <f>SUM(H94:H95)</f>
        <v>196898.00666666689</v>
      </c>
    </row>
    <row r="96" spans="2:9">
      <c r="B96" s="71"/>
      <c r="C96" s="368" t="s">
        <v>28</v>
      </c>
      <c r="D96" s="76" t="s">
        <v>133</v>
      </c>
      <c r="E96" s="73" t="s">
        <v>132</v>
      </c>
      <c r="F96" s="551">
        <v>1</v>
      </c>
      <c r="G96" s="75">
        <f>G87</f>
        <v>136000</v>
      </c>
      <c r="H96" s="545">
        <f t="shared" si="5"/>
        <v>136000</v>
      </c>
    </row>
    <row r="97" spans="2:9">
      <c r="B97" s="71"/>
      <c r="C97" s="368" t="s">
        <v>28</v>
      </c>
      <c r="D97" s="76" t="s">
        <v>139</v>
      </c>
      <c r="E97" s="73" t="s">
        <v>132</v>
      </c>
      <c r="F97" s="551">
        <v>2.5</v>
      </c>
      <c r="G97" s="75">
        <f>G88</f>
        <v>160000</v>
      </c>
      <c r="H97" s="545">
        <f t="shared" si="5"/>
        <v>400000</v>
      </c>
    </row>
    <row r="98" spans="2:9">
      <c r="B98" s="71"/>
      <c r="C98" s="368" t="s">
        <v>28</v>
      </c>
      <c r="D98" s="76" t="s">
        <v>140</v>
      </c>
      <c r="E98" s="73" t="s">
        <v>132</v>
      </c>
      <c r="F98" s="551">
        <v>0.25</v>
      </c>
      <c r="G98" s="75">
        <f>G89</f>
        <v>150000</v>
      </c>
      <c r="H98" s="545">
        <f t="shared" si="5"/>
        <v>37500</v>
      </c>
    </row>
    <row r="99" spans="2:9">
      <c r="B99" s="369"/>
      <c r="C99" s="382" t="s">
        <v>28</v>
      </c>
      <c r="D99" s="448" t="s">
        <v>136</v>
      </c>
      <c r="E99" s="449" t="s">
        <v>132</v>
      </c>
      <c r="F99" s="552">
        <v>0.05</v>
      </c>
      <c r="G99" s="75">
        <f>G90</f>
        <v>180000</v>
      </c>
      <c r="H99" s="547">
        <f t="shared" si="5"/>
        <v>9000</v>
      </c>
      <c r="I99" s="1410">
        <f>SUM(H96:H99)</f>
        <v>582500</v>
      </c>
    </row>
    <row r="100" spans="2:9">
      <c r="B100" s="1249"/>
      <c r="C100" s="83"/>
      <c r="D100" s="84" t="s">
        <v>228</v>
      </c>
      <c r="E100" s="553"/>
      <c r="F100" s="554"/>
      <c r="G100" s="87"/>
      <c r="H100" s="88">
        <f>SUM(H94:H99)</f>
        <v>779398.00666666683</v>
      </c>
    </row>
    <row r="101" spans="2:9">
      <c r="B101" s="566"/>
      <c r="C101" s="442" t="s">
        <v>229</v>
      </c>
      <c r="D101" s="378"/>
      <c r="E101" s="378"/>
      <c r="F101" s="378"/>
      <c r="G101" s="518"/>
      <c r="H101" s="518">
        <f>ROUND(H100,0)</f>
        <v>779398</v>
      </c>
    </row>
  </sheetData>
  <pageMargins left="1.2992125984252001" right="0.59055118110236204" top="0.70866141732283505" bottom="0.56999999999999995" header="0.31496062992126" footer="0.31496062992126"/>
  <pageSetup paperSize="5" scale="80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1"/>
  <dimension ref="B2:M270"/>
  <sheetViews>
    <sheetView view="pageBreakPreview" topLeftCell="D235" zoomScale="115" zoomScaleSheetLayoutView="115" workbookViewId="0">
      <selection activeCell="L262" sqref="L262"/>
    </sheetView>
  </sheetViews>
  <sheetFormatPr defaultRowHeight="15"/>
  <cols>
    <col min="1" max="1" width="2" style="5" customWidth="1"/>
    <col min="2" max="2" width="5.28515625" style="5" customWidth="1"/>
    <col min="3" max="3" width="1" style="5" customWidth="1"/>
    <col min="4" max="4" width="32.85546875" style="5" customWidth="1"/>
    <col min="5" max="5" width="5.85546875" style="5" customWidth="1"/>
    <col min="6" max="6" width="10.5703125" style="5" customWidth="1"/>
    <col min="7" max="7" width="13.140625" style="5" customWidth="1"/>
    <col min="8" max="8" width="18.85546875" style="5" customWidth="1"/>
    <col min="9" max="9" width="15.85546875" style="5" customWidth="1"/>
    <col min="10" max="10" width="12.28515625" style="5" bestFit="1" customWidth="1"/>
    <col min="11" max="256" width="9.140625" style="5"/>
    <col min="257" max="257" width="2" style="5" customWidth="1"/>
    <col min="258" max="258" width="5.28515625" style="5" customWidth="1"/>
    <col min="259" max="259" width="1" style="5" customWidth="1"/>
    <col min="260" max="260" width="32.85546875" style="5" customWidth="1"/>
    <col min="261" max="261" width="5.85546875" style="5" customWidth="1"/>
    <col min="262" max="262" width="10.5703125" style="5" customWidth="1"/>
    <col min="263" max="263" width="13.140625" style="5" customWidth="1"/>
    <col min="264" max="264" width="15.28515625" style="5" customWidth="1"/>
    <col min="265" max="512" width="9.140625" style="5"/>
    <col min="513" max="513" width="2" style="5" customWidth="1"/>
    <col min="514" max="514" width="5.28515625" style="5" customWidth="1"/>
    <col min="515" max="515" width="1" style="5" customWidth="1"/>
    <col min="516" max="516" width="32.85546875" style="5" customWidth="1"/>
    <col min="517" max="517" width="5.85546875" style="5" customWidth="1"/>
    <col min="518" max="518" width="10.5703125" style="5" customWidth="1"/>
    <col min="519" max="519" width="13.140625" style="5" customWidth="1"/>
    <col min="520" max="520" width="15.28515625" style="5" customWidth="1"/>
    <col min="521" max="768" width="9.140625" style="5"/>
    <col min="769" max="769" width="2" style="5" customWidth="1"/>
    <col min="770" max="770" width="5.28515625" style="5" customWidth="1"/>
    <col min="771" max="771" width="1" style="5" customWidth="1"/>
    <col min="772" max="772" width="32.85546875" style="5" customWidth="1"/>
    <col min="773" max="773" width="5.85546875" style="5" customWidth="1"/>
    <col min="774" max="774" width="10.5703125" style="5" customWidth="1"/>
    <col min="775" max="775" width="13.140625" style="5" customWidth="1"/>
    <col min="776" max="776" width="15.28515625" style="5" customWidth="1"/>
    <col min="777" max="1024" width="9.140625" style="5"/>
    <col min="1025" max="1025" width="2" style="5" customWidth="1"/>
    <col min="1026" max="1026" width="5.28515625" style="5" customWidth="1"/>
    <col min="1027" max="1027" width="1" style="5" customWidth="1"/>
    <col min="1028" max="1028" width="32.85546875" style="5" customWidth="1"/>
    <col min="1029" max="1029" width="5.85546875" style="5" customWidth="1"/>
    <col min="1030" max="1030" width="10.5703125" style="5" customWidth="1"/>
    <col min="1031" max="1031" width="13.140625" style="5" customWidth="1"/>
    <col min="1032" max="1032" width="15.28515625" style="5" customWidth="1"/>
    <col min="1033" max="1280" width="9.140625" style="5"/>
    <col min="1281" max="1281" width="2" style="5" customWidth="1"/>
    <col min="1282" max="1282" width="5.28515625" style="5" customWidth="1"/>
    <col min="1283" max="1283" width="1" style="5" customWidth="1"/>
    <col min="1284" max="1284" width="32.85546875" style="5" customWidth="1"/>
    <col min="1285" max="1285" width="5.85546875" style="5" customWidth="1"/>
    <col min="1286" max="1286" width="10.5703125" style="5" customWidth="1"/>
    <col min="1287" max="1287" width="13.140625" style="5" customWidth="1"/>
    <col min="1288" max="1288" width="15.28515625" style="5" customWidth="1"/>
    <col min="1289" max="1536" width="9.140625" style="5"/>
    <col min="1537" max="1537" width="2" style="5" customWidth="1"/>
    <col min="1538" max="1538" width="5.28515625" style="5" customWidth="1"/>
    <col min="1539" max="1539" width="1" style="5" customWidth="1"/>
    <col min="1540" max="1540" width="32.85546875" style="5" customWidth="1"/>
    <col min="1541" max="1541" width="5.85546875" style="5" customWidth="1"/>
    <col min="1542" max="1542" width="10.5703125" style="5" customWidth="1"/>
    <col min="1543" max="1543" width="13.140625" style="5" customWidth="1"/>
    <col min="1544" max="1544" width="15.28515625" style="5" customWidth="1"/>
    <col min="1545" max="1792" width="9.140625" style="5"/>
    <col min="1793" max="1793" width="2" style="5" customWidth="1"/>
    <col min="1794" max="1794" width="5.28515625" style="5" customWidth="1"/>
    <col min="1795" max="1795" width="1" style="5" customWidth="1"/>
    <col min="1796" max="1796" width="32.85546875" style="5" customWidth="1"/>
    <col min="1797" max="1797" width="5.85546875" style="5" customWidth="1"/>
    <col min="1798" max="1798" width="10.5703125" style="5" customWidth="1"/>
    <col min="1799" max="1799" width="13.140625" style="5" customWidth="1"/>
    <col min="1800" max="1800" width="15.28515625" style="5" customWidth="1"/>
    <col min="1801" max="2048" width="9.140625" style="5"/>
    <col min="2049" max="2049" width="2" style="5" customWidth="1"/>
    <col min="2050" max="2050" width="5.28515625" style="5" customWidth="1"/>
    <col min="2051" max="2051" width="1" style="5" customWidth="1"/>
    <col min="2052" max="2052" width="32.85546875" style="5" customWidth="1"/>
    <col min="2053" max="2053" width="5.85546875" style="5" customWidth="1"/>
    <col min="2054" max="2054" width="10.5703125" style="5" customWidth="1"/>
    <col min="2055" max="2055" width="13.140625" style="5" customWidth="1"/>
    <col min="2056" max="2056" width="15.28515625" style="5" customWidth="1"/>
    <col min="2057" max="2304" width="9.140625" style="5"/>
    <col min="2305" max="2305" width="2" style="5" customWidth="1"/>
    <col min="2306" max="2306" width="5.28515625" style="5" customWidth="1"/>
    <col min="2307" max="2307" width="1" style="5" customWidth="1"/>
    <col min="2308" max="2308" width="32.85546875" style="5" customWidth="1"/>
    <col min="2309" max="2309" width="5.85546875" style="5" customWidth="1"/>
    <col min="2310" max="2310" width="10.5703125" style="5" customWidth="1"/>
    <col min="2311" max="2311" width="13.140625" style="5" customWidth="1"/>
    <col min="2312" max="2312" width="15.28515625" style="5" customWidth="1"/>
    <col min="2313" max="2560" width="9.140625" style="5"/>
    <col min="2561" max="2561" width="2" style="5" customWidth="1"/>
    <col min="2562" max="2562" width="5.28515625" style="5" customWidth="1"/>
    <col min="2563" max="2563" width="1" style="5" customWidth="1"/>
    <col min="2564" max="2564" width="32.85546875" style="5" customWidth="1"/>
    <col min="2565" max="2565" width="5.85546875" style="5" customWidth="1"/>
    <col min="2566" max="2566" width="10.5703125" style="5" customWidth="1"/>
    <col min="2567" max="2567" width="13.140625" style="5" customWidth="1"/>
    <col min="2568" max="2568" width="15.28515625" style="5" customWidth="1"/>
    <col min="2569" max="2816" width="9.140625" style="5"/>
    <col min="2817" max="2817" width="2" style="5" customWidth="1"/>
    <col min="2818" max="2818" width="5.28515625" style="5" customWidth="1"/>
    <col min="2819" max="2819" width="1" style="5" customWidth="1"/>
    <col min="2820" max="2820" width="32.85546875" style="5" customWidth="1"/>
    <col min="2821" max="2821" width="5.85546875" style="5" customWidth="1"/>
    <col min="2822" max="2822" width="10.5703125" style="5" customWidth="1"/>
    <col min="2823" max="2823" width="13.140625" style="5" customWidth="1"/>
    <col min="2824" max="2824" width="15.28515625" style="5" customWidth="1"/>
    <col min="2825" max="3072" width="9.140625" style="5"/>
    <col min="3073" max="3073" width="2" style="5" customWidth="1"/>
    <col min="3074" max="3074" width="5.28515625" style="5" customWidth="1"/>
    <col min="3075" max="3075" width="1" style="5" customWidth="1"/>
    <col min="3076" max="3076" width="32.85546875" style="5" customWidth="1"/>
    <col min="3077" max="3077" width="5.85546875" style="5" customWidth="1"/>
    <col min="3078" max="3078" width="10.5703125" style="5" customWidth="1"/>
    <col min="3079" max="3079" width="13.140625" style="5" customWidth="1"/>
    <col min="3080" max="3080" width="15.28515625" style="5" customWidth="1"/>
    <col min="3081" max="3328" width="9.140625" style="5"/>
    <col min="3329" max="3329" width="2" style="5" customWidth="1"/>
    <col min="3330" max="3330" width="5.28515625" style="5" customWidth="1"/>
    <col min="3331" max="3331" width="1" style="5" customWidth="1"/>
    <col min="3332" max="3332" width="32.85546875" style="5" customWidth="1"/>
    <col min="3333" max="3333" width="5.85546875" style="5" customWidth="1"/>
    <col min="3334" max="3334" width="10.5703125" style="5" customWidth="1"/>
    <col min="3335" max="3335" width="13.140625" style="5" customWidth="1"/>
    <col min="3336" max="3336" width="15.28515625" style="5" customWidth="1"/>
    <col min="3337" max="3584" width="9.140625" style="5"/>
    <col min="3585" max="3585" width="2" style="5" customWidth="1"/>
    <col min="3586" max="3586" width="5.28515625" style="5" customWidth="1"/>
    <col min="3587" max="3587" width="1" style="5" customWidth="1"/>
    <col min="3588" max="3588" width="32.85546875" style="5" customWidth="1"/>
    <col min="3589" max="3589" width="5.85546875" style="5" customWidth="1"/>
    <col min="3590" max="3590" width="10.5703125" style="5" customWidth="1"/>
    <col min="3591" max="3591" width="13.140625" style="5" customWidth="1"/>
    <col min="3592" max="3592" width="15.28515625" style="5" customWidth="1"/>
    <col min="3593" max="3840" width="9.140625" style="5"/>
    <col min="3841" max="3841" width="2" style="5" customWidth="1"/>
    <col min="3842" max="3842" width="5.28515625" style="5" customWidth="1"/>
    <col min="3843" max="3843" width="1" style="5" customWidth="1"/>
    <col min="3844" max="3844" width="32.85546875" style="5" customWidth="1"/>
    <col min="3845" max="3845" width="5.85546875" style="5" customWidth="1"/>
    <col min="3846" max="3846" width="10.5703125" style="5" customWidth="1"/>
    <col min="3847" max="3847" width="13.140625" style="5" customWidth="1"/>
    <col min="3848" max="3848" width="15.28515625" style="5" customWidth="1"/>
    <col min="3849" max="4096" width="9.140625" style="5"/>
    <col min="4097" max="4097" width="2" style="5" customWidth="1"/>
    <col min="4098" max="4098" width="5.28515625" style="5" customWidth="1"/>
    <col min="4099" max="4099" width="1" style="5" customWidth="1"/>
    <col min="4100" max="4100" width="32.85546875" style="5" customWidth="1"/>
    <col min="4101" max="4101" width="5.85546875" style="5" customWidth="1"/>
    <col min="4102" max="4102" width="10.5703125" style="5" customWidth="1"/>
    <col min="4103" max="4103" width="13.140625" style="5" customWidth="1"/>
    <col min="4104" max="4104" width="15.28515625" style="5" customWidth="1"/>
    <col min="4105" max="4352" width="9.140625" style="5"/>
    <col min="4353" max="4353" width="2" style="5" customWidth="1"/>
    <col min="4354" max="4354" width="5.28515625" style="5" customWidth="1"/>
    <col min="4355" max="4355" width="1" style="5" customWidth="1"/>
    <col min="4356" max="4356" width="32.85546875" style="5" customWidth="1"/>
    <col min="4357" max="4357" width="5.85546875" style="5" customWidth="1"/>
    <col min="4358" max="4358" width="10.5703125" style="5" customWidth="1"/>
    <col min="4359" max="4359" width="13.140625" style="5" customWidth="1"/>
    <col min="4360" max="4360" width="15.28515625" style="5" customWidth="1"/>
    <col min="4361" max="4608" width="9.140625" style="5"/>
    <col min="4609" max="4609" width="2" style="5" customWidth="1"/>
    <col min="4610" max="4610" width="5.28515625" style="5" customWidth="1"/>
    <col min="4611" max="4611" width="1" style="5" customWidth="1"/>
    <col min="4612" max="4612" width="32.85546875" style="5" customWidth="1"/>
    <col min="4613" max="4613" width="5.85546875" style="5" customWidth="1"/>
    <col min="4614" max="4614" width="10.5703125" style="5" customWidth="1"/>
    <col min="4615" max="4615" width="13.140625" style="5" customWidth="1"/>
    <col min="4616" max="4616" width="15.28515625" style="5" customWidth="1"/>
    <col min="4617" max="4864" width="9.140625" style="5"/>
    <col min="4865" max="4865" width="2" style="5" customWidth="1"/>
    <col min="4866" max="4866" width="5.28515625" style="5" customWidth="1"/>
    <col min="4867" max="4867" width="1" style="5" customWidth="1"/>
    <col min="4868" max="4868" width="32.85546875" style="5" customWidth="1"/>
    <col min="4869" max="4869" width="5.85546875" style="5" customWidth="1"/>
    <col min="4870" max="4870" width="10.5703125" style="5" customWidth="1"/>
    <col min="4871" max="4871" width="13.140625" style="5" customWidth="1"/>
    <col min="4872" max="4872" width="15.28515625" style="5" customWidth="1"/>
    <col min="4873" max="5120" width="9.140625" style="5"/>
    <col min="5121" max="5121" width="2" style="5" customWidth="1"/>
    <col min="5122" max="5122" width="5.28515625" style="5" customWidth="1"/>
    <col min="5123" max="5123" width="1" style="5" customWidth="1"/>
    <col min="5124" max="5124" width="32.85546875" style="5" customWidth="1"/>
    <col min="5125" max="5125" width="5.85546875" style="5" customWidth="1"/>
    <col min="5126" max="5126" width="10.5703125" style="5" customWidth="1"/>
    <col min="5127" max="5127" width="13.140625" style="5" customWidth="1"/>
    <col min="5128" max="5128" width="15.28515625" style="5" customWidth="1"/>
    <col min="5129" max="5376" width="9.140625" style="5"/>
    <col min="5377" max="5377" width="2" style="5" customWidth="1"/>
    <col min="5378" max="5378" width="5.28515625" style="5" customWidth="1"/>
    <col min="5379" max="5379" width="1" style="5" customWidth="1"/>
    <col min="5380" max="5380" width="32.85546875" style="5" customWidth="1"/>
    <col min="5381" max="5381" width="5.85546875" style="5" customWidth="1"/>
    <col min="5382" max="5382" width="10.5703125" style="5" customWidth="1"/>
    <col min="5383" max="5383" width="13.140625" style="5" customWidth="1"/>
    <col min="5384" max="5384" width="15.28515625" style="5" customWidth="1"/>
    <col min="5385" max="5632" width="9.140625" style="5"/>
    <col min="5633" max="5633" width="2" style="5" customWidth="1"/>
    <col min="5634" max="5634" width="5.28515625" style="5" customWidth="1"/>
    <col min="5635" max="5635" width="1" style="5" customWidth="1"/>
    <col min="5636" max="5636" width="32.85546875" style="5" customWidth="1"/>
    <col min="5637" max="5637" width="5.85546875" style="5" customWidth="1"/>
    <col min="5638" max="5638" width="10.5703125" style="5" customWidth="1"/>
    <col min="5639" max="5639" width="13.140625" style="5" customWidth="1"/>
    <col min="5640" max="5640" width="15.28515625" style="5" customWidth="1"/>
    <col min="5641" max="5888" width="9.140625" style="5"/>
    <col min="5889" max="5889" width="2" style="5" customWidth="1"/>
    <col min="5890" max="5890" width="5.28515625" style="5" customWidth="1"/>
    <col min="5891" max="5891" width="1" style="5" customWidth="1"/>
    <col min="5892" max="5892" width="32.85546875" style="5" customWidth="1"/>
    <col min="5893" max="5893" width="5.85546875" style="5" customWidth="1"/>
    <col min="5894" max="5894" width="10.5703125" style="5" customWidth="1"/>
    <col min="5895" max="5895" width="13.140625" style="5" customWidth="1"/>
    <col min="5896" max="5896" width="15.28515625" style="5" customWidth="1"/>
    <col min="5897" max="6144" width="9.140625" style="5"/>
    <col min="6145" max="6145" width="2" style="5" customWidth="1"/>
    <col min="6146" max="6146" width="5.28515625" style="5" customWidth="1"/>
    <col min="6147" max="6147" width="1" style="5" customWidth="1"/>
    <col min="6148" max="6148" width="32.85546875" style="5" customWidth="1"/>
    <col min="6149" max="6149" width="5.85546875" style="5" customWidth="1"/>
    <col min="6150" max="6150" width="10.5703125" style="5" customWidth="1"/>
    <col min="6151" max="6151" width="13.140625" style="5" customWidth="1"/>
    <col min="6152" max="6152" width="15.28515625" style="5" customWidth="1"/>
    <col min="6153" max="6400" width="9.140625" style="5"/>
    <col min="6401" max="6401" width="2" style="5" customWidth="1"/>
    <col min="6402" max="6402" width="5.28515625" style="5" customWidth="1"/>
    <col min="6403" max="6403" width="1" style="5" customWidth="1"/>
    <col min="6404" max="6404" width="32.85546875" style="5" customWidth="1"/>
    <col min="6405" max="6405" width="5.85546875" style="5" customWidth="1"/>
    <col min="6406" max="6406" width="10.5703125" style="5" customWidth="1"/>
    <col min="6407" max="6407" width="13.140625" style="5" customWidth="1"/>
    <col min="6408" max="6408" width="15.28515625" style="5" customWidth="1"/>
    <col min="6409" max="6656" width="9.140625" style="5"/>
    <col min="6657" max="6657" width="2" style="5" customWidth="1"/>
    <col min="6658" max="6658" width="5.28515625" style="5" customWidth="1"/>
    <col min="6659" max="6659" width="1" style="5" customWidth="1"/>
    <col min="6660" max="6660" width="32.85546875" style="5" customWidth="1"/>
    <col min="6661" max="6661" width="5.85546875" style="5" customWidth="1"/>
    <col min="6662" max="6662" width="10.5703125" style="5" customWidth="1"/>
    <col min="6663" max="6663" width="13.140625" style="5" customWidth="1"/>
    <col min="6664" max="6664" width="15.28515625" style="5" customWidth="1"/>
    <col min="6665" max="6912" width="9.140625" style="5"/>
    <col min="6913" max="6913" width="2" style="5" customWidth="1"/>
    <col min="6914" max="6914" width="5.28515625" style="5" customWidth="1"/>
    <col min="6915" max="6915" width="1" style="5" customWidth="1"/>
    <col min="6916" max="6916" width="32.85546875" style="5" customWidth="1"/>
    <col min="6917" max="6917" width="5.85546875" style="5" customWidth="1"/>
    <col min="6918" max="6918" width="10.5703125" style="5" customWidth="1"/>
    <col min="6919" max="6919" width="13.140625" style="5" customWidth="1"/>
    <col min="6920" max="6920" width="15.28515625" style="5" customWidth="1"/>
    <col min="6921" max="7168" width="9.140625" style="5"/>
    <col min="7169" max="7169" width="2" style="5" customWidth="1"/>
    <col min="7170" max="7170" width="5.28515625" style="5" customWidth="1"/>
    <col min="7171" max="7171" width="1" style="5" customWidth="1"/>
    <col min="7172" max="7172" width="32.85546875" style="5" customWidth="1"/>
    <col min="7173" max="7173" width="5.85546875" style="5" customWidth="1"/>
    <col min="7174" max="7174" width="10.5703125" style="5" customWidth="1"/>
    <col min="7175" max="7175" width="13.140625" style="5" customWidth="1"/>
    <col min="7176" max="7176" width="15.28515625" style="5" customWidth="1"/>
    <col min="7177" max="7424" width="9.140625" style="5"/>
    <col min="7425" max="7425" width="2" style="5" customWidth="1"/>
    <col min="7426" max="7426" width="5.28515625" style="5" customWidth="1"/>
    <col min="7427" max="7427" width="1" style="5" customWidth="1"/>
    <col min="7428" max="7428" width="32.85546875" style="5" customWidth="1"/>
    <col min="7429" max="7429" width="5.85546875" style="5" customWidth="1"/>
    <col min="7430" max="7430" width="10.5703125" style="5" customWidth="1"/>
    <col min="7431" max="7431" width="13.140625" style="5" customWidth="1"/>
    <col min="7432" max="7432" width="15.28515625" style="5" customWidth="1"/>
    <col min="7433" max="7680" width="9.140625" style="5"/>
    <col min="7681" max="7681" width="2" style="5" customWidth="1"/>
    <col min="7682" max="7682" width="5.28515625" style="5" customWidth="1"/>
    <col min="7683" max="7683" width="1" style="5" customWidth="1"/>
    <col min="7684" max="7684" width="32.85546875" style="5" customWidth="1"/>
    <col min="7685" max="7685" width="5.85546875" style="5" customWidth="1"/>
    <col min="7686" max="7686" width="10.5703125" style="5" customWidth="1"/>
    <col min="7687" max="7687" width="13.140625" style="5" customWidth="1"/>
    <col min="7688" max="7688" width="15.28515625" style="5" customWidth="1"/>
    <col min="7689" max="7936" width="9.140625" style="5"/>
    <col min="7937" max="7937" width="2" style="5" customWidth="1"/>
    <col min="7938" max="7938" width="5.28515625" style="5" customWidth="1"/>
    <col min="7939" max="7939" width="1" style="5" customWidth="1"/>
    <col min="7940" max="7940" width="32.85546875" style="5" customWidth="1"/>
    <col min="7941" max="7941" width="5.85546875" style="5" customWidth="1"/>
    <col min="7942" max="7942" width="10.5703125" style="5" customWidth="1"/>
    <col min="7943" max="7943" width="13.140625" style="5" customWidth="1"/>
    <col min="7944" max="7944" width="15.28515625" style="5" customWidth="1"/>
    <col min="7945" max="8192" width="9.140625" style="5"/>
    <col min="8193" max="8193" width="2" style="5" customWidth="1"/>
    <col min="8194" max="8194" width="5.28515625" style="5" customWidth="1"/>
    <col min="8195" max="8195" width="1" style="5" customWidth="1"/>
    <col min="8196" max="8196" width="32.85546875" style="5" customWidth="1"/>
    <col min="8197" max="8197" width="5.85546875" style="5" customWidth="1"/>
    <col min="8198" max="8198" width="10.5703125" style="5" customWidth="1"/>
    <col min="8199" max="8199" width="13.140625" style="5" customWidth="1"/>
    <col min="8200" max="8200" width="15.28515625" style="5" customWidth="1"/>
    <col min="8201" max="8448" width="9.140625" style="5"/>
    <col min="8449" max="8449" width="2" style="5" customWidth="1"/>
    <col min="8450" max="8450" width="5.28515625" style="5" customWidth="1"/>
    <col min="8451" max="8451" width="1" style="5" customWidth="1"/>
    <col min="8452" max="8452" width="32.85546875" style="5" customWidth="1"/>
    <col min="8453" max="8453" width="5.85546875" style="5" customWidth="1"/>
    <col min="8454" max="8454" width="10.5703125" style="5" customWidth="1"/>
    <col min="8455" max="8455" width="13.140625" style="5" customWidth="1"/>
    <col min="8456" max="8456" width="15.28515625" style="5" customWidth="1"/>
    <col min="8457" max="8704" width="9.140625" style="5"/>
    <col min="8705" max="8705" width="2" style="5" customWidth="1"/>
    <col min="8706" max="8706" width="5.28515625" style="5" customWidth="1"/>
    <col min="8707" max="8707" width="1" style="5" customWidth="1"/>
    <col min="8708" max="8708" width="32.85546875" style="5" customWidth="1"/>
    <col min="8709" max="8709" width="5.85546875" style="5" customWidth="1"/>
    <col min="8710" max="8710" width="10.5703125" style="5" customWidth="1"/>
    <col min="8711" max="8711" width="13.140625" style="5" customWidth="1"/>
    <col min="8712" max="8712" width="15.28515625" style="5" customWidth="1"/>
    <col min="8713" max="8960" width="9.140625" style="5"/>
    <col min="8961" max="8961" width="2" style="5" customWidth="1"/>
    <col min="8962" max="8962" width="5.28515625" style="5" customWidth="1"/>
    <col min="8963" max="8963" width="1" style="5" customWidth="1"/>
    <col min="8964" max="8964" width="32.85546875" style="5" customWidth="1"/>
    <col min="8965" max="8965" width="5.85546875" style="5" customWidth="1"/>
    <col min="8966" max="8966" width="10.5703125" style="5" customWidth="1"/>
    <col min="8967" max="8967" width="13.140625" style="5" customWidth="1"/>
    <col min="8968" max="8968" width="15.28515625" style="5" customWidth="1"/>
    <col min="8969" max="9216" width="9.140625" style="5"/>
    <col min="9217" max="9217" width="2" style="5" customWidth="1"/>
    <col min="9218" max="9218" width="5.28515625" style="5" customWidth="1"/>
    <col min="9219" max="9219" width="1" style="5" customWidth="1"/>
    <col min="9220" max="9220" width="32.85546875" style="5" customWidth="1"/>
    <col min="9221" max="9221" width="5.85546875" style="5" customWidth="1"/>
    <col min="9222" max="9222" width="10.5703125" style="5" customWidth="1"/>
    <col min="9223" max="9223" width="13.140625" style="5" customWidth="1"/>
    <col min="9224" max="9224" width="15.28515625" style="5" customWidth="1"/>
    <col min="9225" max="9472" width="9.140625" style="5"/>
    <col min="9473" max="9473" width="2" style="5" customWidth="1"/>
    <col min="9474" max="9474" width="5.28515625" style="5" customWidth="1"/>
    <col min="9475" max="9475" width="1" style="5" customWidth="1"/>
    <col min="9476" max="9476" width="32.85546875" style="5" customWidth="1"/>
    <col min="9477" max="9477" width="5.85546875" style="5" customWidth="1"/>
    <col min="9478" max="9478" width="10.5703125" style="5" customWidth="1"/>
    <col min="9479" max="9479" width="13.140625" style="5" customWidth="1"/>
    <col min="9480" max="9480" width="15.28515625" style="5" customWidth="1"/>
    <col min="9481" max="9728" width="9.140625" style="5"/>
    <col min="9729" max="9729" width="2" style="5" customWidth="1"/>
    <col min="9730" max="9730" width="5.28515625" style="5" customWidth="1"/>
    <col min="9731" max="9731" width="1" style="5" customWidth="1"/>
    <col min="9732" max="9732" width="32.85546875" style="5" customWidth="1"/>
    <col min="9733" max="9733" width="5.85546875" style="5" customWidth="1"/>
    <col min="9734" max="9734" width="10.5703125" style="5" customWidth="1"/>
    <col min="9735" max="9735" width="13.140625" style="5" customWidth="1"/>
    <col min="9736" max="9736" width="15.28515625" style="5" customWidth="1"/>
    <col min="9737" max="9984" width="9.140625" style="5"/>
    <col min="9985" max="9985" width="2" style="5" customWidth="1"/>
    <col min="9986" max="9986" width="5.28515625" style="5" customWidth="1"/>
    <col min="9987" max="9987" width="1" style="5" customWidth="1"/>
    <col min="9988" max="9988" width="32.85546875" style="5" customWidth="1"/>
    <col min="9989" max="9989" width="5.85546875" style="5" customWidth="1"/>
    <col min="9990" max="9990" width="10.5703125" style="5" customWidth="1"/>
    <col min="9991" max="9991" width="13.140625" style="5" customWidth="1"/>
    <col min="9992" max="9992" width="15.28515625" style="5" customWidth="1"/>
    <col min="9993" max="10240" width="9.140625" style="5"/>
    <col min="10241" max="10241" width="2" style="5" customWidth="1"/>
    <col min="10242" max="10242" width="5.28515625" style="5" customWidth="1"/>
    <col min="10243" max="10243" width="1" style="5" customWidth="1"/>
    <col min="10244" max="10244" width="32.85546875" style="5" customWidth="1"/>
    <col min="10245" max="10245" width="5.85546875" style="5" customWidth="1"/>
    <col min="10246" max="10246" width="10.5703125" style="5" customWidth="1"/>
    <col min="10247" max="10247" width="13.140625" style="5" customWidth="1"/>
    <col min="10248" max="10248" width="15.28515625" style="5" customWidth="1"/>
    <col min="10249" max="10496" width="9.140625" style="5"/>
    <col min="10497" max="10497" width="2" style="5" customWidth="1"/>
    <col min="10498" max="10498" width="5.28515625" style="5" customWidth="1"/>
    <col min="10499" max="10499" width="1" style="5" customWidth="1"/>
    <col min="10500" max="10500" width="32.85546875" style="5" customWidth="1"/>
    <col min="10501" max="10501" width="5.85546875" style="5" customWidth="1"/>
    <col min="10502" max="10502" width="10.5703125" style="5" customWidth="1"/>
    <col min="10503" max="10503" width="13.140625" style="5" customWidth="1"/>
    <col min="10504" max="10504" width="15.28515625" style="5" customWidth="1"/>
    <col min="10505" max="10752" width="9.140625" style="5"/>
    <col min="10753" max="10753" width="2" style="5" customWidth="1"/>
    <col min="10754" max="10754" width="5.28515625" style="5" customWidth="1"/>
    <col min="10755" max="10755" width="1" style="5" customWidth="1"/>
    <col min="10756" max="10756" width="32.85546875" style="5" customWidth="1"/>
    <col min="10757" max="10757" width="5.85546875" style="5" customWidth="1"/>
    <col min="10758" max="10758" width="10.5703125" style="5" customWidth="1"/>
    <col min="10759" max="10759" width="13.140625" style="5" customWidth="1"/>
    <col min="10760" max="10760" width="15.28515625" style="5" customWidth="1"/>
    <col min="10761" max="11008" width="9.140625" style="5"/>
    <col min="11009" max="11009" width="2" style="5" customWidth="1"/>
    <col min="11010" max="11010" width="5.28515625" style="5" customWidth="1"/>
    <col min="11011" max="11011" width="1" style="5" customWidth="1"/>
    <col min="11012" max="11012" width="32.85546875" style="5" customWidth="1"/>
    <col min="11013" max="11013" width="5.85546875" style="5" customWidth="1"/>
    <col min="11014" max="11014" width="10.5703125" style="5" customWidth="1"/>
    <col min="11015" max="11015" width="13.140625" style="5" customWidth="1"/>
    <col min="11016" max="11016" width="15.28515625" style="5" customWidth="1"/>
    <col min="11017" max="11264" width="9.140625" style="5"/>
    <col min="11265" max="11265" width="2" style="5" customWidth="1"/>
    <col min="11266" max="11266" width="5.28515625" style="5" customWidth="1"/>
    <col min="11267" max="11267" width="1" style="5" customWidth="1"/>
    <col min="11268" max="11268" width="32.85546875" style="5" customWidth="1"/>
    <col min="11269" max="11269" width="5.85546875" style="5" customWidth="1"/>
    <col min="11270" max="11270" width="10.5703125" style="5" customWidth="1"/>
    <col min="11271" max="11271" width="13.140625" style="5" customWidth="1"/>
    <col min="11272" max="11272" width="15.28515625" style="5" customWidth="1"/>
    <col min="11273" max="11520" width="9.140625" style="5"/>
    <col min="11521" max="11521" width="2" style="5" customWidth="1"/>
    <col min="11522" max="11522" width="5.28515625" style="5" customWidth="1"/>
    <col min="11523" max="11523" width="1" style="5" customWidth="1"/>
    <col min="11524" max="11524" width="32.85546875" style="5" customWidth="1"/>
    <col min="11525" max="11525" width="5.85546875" style="5" customWidth="1"/>
    <col min="11526" max="11526" width="10.5703125" style="5" customWidth="1"/>
    <col min="11527" max="11527" width="13.140625" style="5" customWidth="1"/>
    <col min="11528" max="11528" width="15.28515625" style="5" customWidth="1"/>
    <col min="11529" max="11776" width="9.140625" style="5"/>
    <col min="11777" max="11777" width="2" style="5" customWidth="1"/>
    <col min="11778" max="11778" width="5.28515625" style="5" customWidth="1"/>
    <col min="11779" max="11779" width="1" style="5" customWidth="1"/>
    <col min="11780" max="11780" width="32.85546875" style="5" customWidth="1"/>
    <col min="11781" max="11781" width="5.85546875" style="5" customWidth="1"/>
    <col min="11782" max="11782" width="10.5703125" style="5" customWidth="1"/>
    <col min="11783" max="11783" width="13.140625" style="5" customWidth="1"/>
    <col min="11784" max="11784" width="15.28515625" style="5" customWidth="1"/>
    <col min="11785" max="12032" width="9.140625" style="5"/>
    <col min="12033" max="12033" width="2" style="5" customWidth="1"/>
    <col min="12034" max="12034" width="5.28515625" style="5" customWidth="1"/>
    <col min="12035" max="12035" width="1" style="5" customWidth="1"/>
    <col min="12036" max="12036" width="32.85546875" style="5" customWidth="1"/>
    <col min="12037" max="12037" width="5.85546875" style="5" customWidth="1"/>
    <col min="12038" max="12038" width="10.5703125" style="5" customWidth="1"/>
    <col min="12039" max="12039" width="13.140625" style="5" customWidth="1"/>
    <col min="12040" max="12040" width="15.28515625" style="5" customWidth="1"/>
    <col min="12041" max="12288" width="9.140625" style="5"/>
    <col min="12289" max="12289" width="2" style="5" customWidth="1"/>
    <col min="12290" max="12290" width="5.28515625" style="5" customWidth="1"/>
    <col min="12291" max="12291" width="1" style="5" customWidth="1"/>
    <col min="12292" max="12292" width="32.85546875" style="5" customWidth="1"/>
    <col min="12293" max="12293" width="5.85546875" style="5" customWidth="1"/>
    <col min="12294" max="12294" width="10.5703125" style="5" customWidth="1"/>
    <col min="12295" max="12295" width="13.140625" style="5" customWidth="1"/>
    <col min="12296" max="12296" width="15.28515625" style="5" customWidth="1"/>
    <col min="12297" max="12544" width="9.140625" style="5"/>
    <col min="12545" max="12545" width="2" style="5" customWidth="1"/>
    <col min="12546" max="12546" width="5.28515625" style="5" customWidth="1"/>
    <col min="12547" max="12547" width="1" style="5" customWidth="1"/>
    <col min="12548" max="12548" width="32.85546875" style="5" customWidth="1"/>
    <col min="12549" max="12549" width="5.85546875" style="5" customWidth="1"/>
    <col min="12550" max="12550" width="10.5703125" style="5" customWidth="1"/>
    <col min="12551" max="12551" width="13.140625" style="5" customWidth="1"/>
    <col min="12552" max="12552" width="15.28515625" style="5" customWidth="1"/>
    <col min="12553" max="12800" width="9.140625" style="5"/>
    <col min="12801" max="12801" width="2" style="5" customWidth="1"/>
    <col min="12802" max="12802" width="5.28515625" style="5" customWidth="1"/>
    <col min="12803" max="12803" width="1" style="5" customWidth="1"/>
    <col min="12804" max="12804" width="32.85546875" style="5" customWidth="1"/>
    <col min="12805" max="12805" width="5.85546875" style="5" customWidth="1"/>
    <col min="12806" max="12806" width="10.5703125" style="5" customWidth="1"/>
    <col min="12807" max="12807" width="13.140625" style="5" customWidth="1"/>
    <col min="12808" max="12808" width="15.28515625" style="5" customWidth="1"/>
    <col min="12809" max="13056" width="9.140625" style="5"/>
    <col min="13057" max="13057" width="2" style="5" customWidth="1"/>
    <col min="13058" max="13058" width="5.28515625" style="5" customWidth="1"/>
    <col min="13059" max="13059" width="1" style="5" customWidth="1"/>
    <col min="13060" max="13060" width="32.85546875" style="5" customWidth="1"/>
    <col min="13061" max="13061" width="5.85546875" style="5" customWidth="1"/>
    <col min="13062" max="13062" width="10.5703125" style="5" customWidth="1"/>
    <col min="13063" max="13063" width="13.140625" style="5" customWidth="1"/>
    <col min="13064" max="13064" width="15.28515625" style="5" customWidth="1"/>
    <col min="13065" max="13312" width="9.140625" style="5"/>
    <col min="13313" max="13313" width="2" style="5" customWidth="1"/>
    <col min="13314" max="13314" width="5.28515625" style="5" customWidth="1"/>
    <col min="13315" max="13315" width="1" style="5" customWidth="1"/>
    <col min="13316" max="13316" width="32.85546875" style="5" customWidth="1"/>
    <col min="13317" max="13317" width="5.85546875" style="5" customWidth="1"/>
    <col min="13318" max="13318" width="10.5703125" style="5" customWidth="1"/>
    <col min="13319" max="13319" width="13.140625" style="5" customWidth="1"/>
    <col min="13320" max="13320" width="15.28515625" style="5" customWidth="1"/>
    <col min="13321" max="13568" width="9.140625" style="5"/>
    <col min="13569" max="13569" width="2" style="5" customWidth="1"/>
    <col min="13570" max="13570" width="5.28515625" style="5" customWidth="1"/>
    <col min="13571" max="13571" width="1" style="5" customWidth="1"/>
    <col min="13572" max="13572" width="32.85546875" style="5" customWidth="1"/>
    <col min="13573" max="13573" width="5.85546875" style="5" customWidth="1"/>
    <col min="13574" max="13574" width="10.5703125" style="5" customWidth="1"/>
    <col min="13575" max="13575" width="13.140625" style="5" customWidth="1"/>
    <col min="13576" max="13576" width="15.28515625" style="5" customWidth="1"/>
    <col min="13577" max="13824" width="9.140625" style="5"/>
    <col min="13825" max="13825" width="2" style="5" customWidth="1"/>
    <col min="13826" max="13826" width="5.28515625" style="5" customWidth="1"/>
    <col min="13827" max="13827" width="1" style="5" customWidth="1"/>
    <col min="13828" max="13828" width="32.85546875" style="5" customWidth="1"/>
    <col min="13829" max="13829" width="5.85546875" style="5" customWidth="1"/>
    <col min="13830" max="13830" width="10.5703125" style="5" customWidth="1"/>
    <col min="13831" max="13831" width="13.140625" style="5" customWidth="1"/>
    <col min="13832" max="13832" width="15.28515625" style="5" customWidth="1"/>
    <col min="13833" max="14080" width="9.140625" style="5"/>
    <col min="14081" max="14081" width="2" style="5" customWidth="1"/>
    <col min="14082" max="14082" width="5.28515625" style="5" customWidth="1"/>
    <col min="14083" max="14083" width="1" style="5" customWidth="1"/>
    <col min="14084" max="14084" width="32.85546875" style="5" customWidth="1"/>
    <col min="14085" max="14085" width="5.85546875" style="5" customWidth="1"/>
    <col min="14086" max="14086" width="10.5703125" style="5" customWidth="1"/>
    <col min="14087" max="14087" width="13.140625" style="5" customWidth="1"/>
    <col min="14088" max="14088" width="15.28515625" style="5" customWidth="1"/>
    <col min="14089" max="14336" width="9.140625" style="5"/>
    <col min="14337" max="14337" width="2" style="5" customWidth="1"/>
    <col min="14338" max="14338" width="5.28515625" style="5" customWidth="1"/>
    <col min="14339" max="14339" width="1" style="5" customWidth="1"/>
    <col min="14340" max="14340" width="32.85546875" style="5" customWidth="1"/>
    <col min="14341" max="14341" width="5.85546875" style="5" customWidth="1"/>
    <col min="14342" max="14342" width="10.5703125" style="5" customWidth="1"/>
    <col min="14343" max="14343" width="13.140625" style="5" customWidth="1"/>
    <col min="14344" max="14344" width="15.28515625" style="5" customWidth="1"/>
    <col min="14345" max="14592" width="9.140625" style="5"/>
    <col min="14593" max="14593" width="2" style="5" customWidth="1"/>
    <col min="14594" max="14594" width="5.28515625" style="5" customWidth="1"/>
    <col min="14595" max="14595" width="1" style="5" customWidth="1"/>
    <col min="14596" max="14596" width="32.85546875" style="5" customWidth="1"/>
    <col min="14597" max="14597" width="5.85546875" style="5" customWidth="1"/>
    <col min="14598" max="14598" width="10.5703125" style="5" customWidth="1"/>
    <col min="14599" max="14599" width="13.140625" style="5" customWidth="1"/>
    <col min="14600" max="14600" width="15.28515625" style="5" customWidth="1"/>
    <col min="14601" max="14848" width="9.140625" style="5"/>
    <col min="14849" max="14849" width="2" style="5" customWidth="1"/>
    <col min="14850" max="14850" width="5.28515625" style="5" customWidth="1"/>
    <col min="14851" max="14851" width="1" style="5" customWidth="1"/>
    <col min="14852" max="14852" width="32.85546875" style="5" customWidth="1"/>
    <col min="14853" max="14853" width="5.85546875" style="5" customWidth="1"/>
    <col min="14854" max="14854" width="10.5703125" style="5" customWidth="1"/>
    <col min="14855" max="14855" width="13.140625" style="5" customWidth="1"/>
    <col min="14856" max="14856" width="15.28515625" style="5" customWidth="1"/>
    <col min="14857" max="15104" width="9.140625" style="5"/>
    <col min="15105" max="15105" width="2" style="5" customWidth="1"/>
    <col min="15106" max="15106" width="5.28515625" style="5" customWidth="1"/>
    <col min="15107" max="15107" width="1" style="5" customWidth="1"/>
    <col min="15108" max="15108" width="32.85546875" style="5" customWidth="1"/>
    <col min="15109" max="15109" width="5.85546875" style="5" customWidth="1"/>
    <col min="15110" max="15110" width="10.5703125" style="5" customWidth="1"/>
    <col min="15111" max="15111" width="13.140625" style="5" customWidth="1"/>
    <col min="15112" max="15112" width="15.28515625" style="5" customWidth="1"/>
    <col min="15113" max="15360" width="9.140625" style="5"/>
    <col min="15361" max="15361" width="2" style="5" customWidth="1"/>
    <col min="15362" max="15362" width="5.28515625" style="5" customWidth="1"/>
    <col min="15363" max="15363" width="1" style="5" customWidth="1"/>
    <col min="15364" max="15364" width="32.85546875" style="5" customWidth="1"/>
    <col min="15365" max="15365" width="5.85546875" style="5" customWidth="1"/>
    <col min="15366" max="15366" width="10.5703125" style="5" customWidth="1"/>
    <col min="15367" max="15367" width="13.140625" style="5" customWidth="1"/>
    <col min="15368" max="15368" width="15.28515625" style="5" customWidth="1"/>
    <col min="15369" max="15616" width="9.140625" style="5"/>
    <col min="15617" max="15617" width="2" style="5" customWidth="1"/>
    <col min="15618" max="15618" width="5.28515625" style="5" customWidth="1"/>
    <col min="15619" max="15619" width="1" style="5" customWidth="1"/>
    <col min="15620" max="15620" width="32.85546875" style="5" customWidth="1"/>
    <col min="15621" max="15621" width="5.85546875" style="5" customWidth="1"/>
    <col min="15622" max="15622" width="10.5703125" style="5" customWidth="1"/>
    <col min="15623" max="15623" width="13.140625" style="5" customWidth="1"/>
    <col min="15624" max="15624" width="15.28515625" style="5" customWidth="1"/>
    <col min="15625" max="15872" width="9.140625" style="5"/>
    <col min="15873" max="15873" width="2" style="5" customWidth="1"/>
    <col min="15874" max="15874" width="5.28515625" style="5" customWidth="1"/>
    <col min="15875" max="15875" width="1" style="5" customWidth="1"/>
    <col min="15876" max="15876" width="32.85546875" style="5" customWidth="1"/>
    <col min="15877" max="15877" width="5.85546875" style="5" customWidth="1"/>
    <col min="15878" max="15878" width="10.5703125" style="5" customWidth="1"/>
    <col min="15879" max="15879" width="13.140625" style="5" customWidth="1"/>
    <col min="15880" max="15880" width="15.28515625" style="5" customWidth="1"/>
    <col min="15881" max="16128" width="9.140625" style="5"/>
    <col min="16129" max="16129" width="2" style="5" customWidth="1"/>
    <col min="16130" max="16130" width="5.28515625" style="5" customWidth="1"/>
    <col min="16131" max="16131" width="1" style="5" customWidth="1"/>
    <col min="16132" max="16132" width="32.85546875" style="5" customWidth="1"/>
    <col min="16133" max="16133" width="5.85546875" style="5" customWidth="1"/>
    <col min="16134" max="16134" width="10.5703125" style="5" customWidth="1"/>
    <col min="16135" max="16135" width="13.140625" style="5" customWidth="1"/>
    <col min="16136" max="16136" width="15.28515625" style="5" customWidth="1"/>
    <col min="16137" max="16384" width="9.140625" style="5"/>
  </cols>
  <sheetData>
    <row r="2" spans="2:9" ht="15.75">
      <c r="B2" s="2924" t="s">
        <v>555</v>
      </c>
      <c r="C2" s="2924"/>
      <c r="D2" s="2924"/>
      <c r="E2" s="2924"/>
      <c r="F2" s="2924"/>
      <c r="G2" s="2924"/>
      <c r="H2" s="2924"/>
    </row>
    <row r="3" spans="2:9">
      <c r="B3" s="526"/>
      <c r="C3" s="425"/>
      <c r="D3" s="425"/>
      <c r="E3" s="426"/>
      <c r="F3" s="527"/>
      <c r="G3" s="425"/>
      <c r="H3" s="425"/>
    </row>
    <row r="4" spans="2:9">
      <c r="B4" s="621" t="s">
        <v>157</v>
      </c>
      <c r="C4" s="622"/>
      <c r="D4" s="623" t="s">
        <v>211</v>
      </c>
      <c r="E4" s="624" t="s">
        <v>556</v>
      </c>
      <c r="F4" s="625" t="s">
        <v>213</v>
      </c>
      <c r="G4" s="624" t="s">
        <v>557</v>
      </c>
      <c r="H4" s="494" t="s">
        <v>215</v>
      </c>
    </row>
    <row r="5" spans="2:9">
      <c r="B5" s="626"/>
      <c r="C5" s="627"/>
      <c r="D5" s="628"/>
      <c r="E5" s="629"/>
      <c r="F5" s="630"/>
      <c r="G5" s="629" t="s">
        <v>216</v>
      </c>
      <c r="H5" s="575" t="s">
        <v>216</v>
      </c>
    </row>
    <row r="6" spans="2:9">
      <c r="B6" s="591" t="s">
        <v>558</v>
      </c>
      <c r="C6" s="468" t="s">
        <v>559</v>
      </c>
      <c r="D6" s="596"/>
      <c r="E6" s="597"/>
      <c r="F6" s="631"/>
      <c r="G6" s="632"/>
      <c r="H6" s="633"/>
    </row>
    <row r="7" spans="2:9">
      <c r="B7" s="582"/>
      <c r="C7" s="634" t="s">
        <v>28</v>
      </c>
      <c r="D7" s="635" t="s">
        <v>560</v>
      </c>
      <c r="E7" s="636" t="s">
        <v>47</v>
      </c>
      <c r="F7" s="637">
        <f>0.4/10</f>
        <v>0.04</v>
      </c>
      <c r="G7" s="594">
        <f>BAHAN!$E$393</f>
        <v>36000</v>
      </c>
      <c r="H7" s="486">
        <f t="shared" ref="H7:H12" si="0">G7*F7</f>
        <v>1440</v>
      </c>
    </row>
    <row r="8" spans="2:9">
      <c r="B8" s="481"/>
      <c r="C8" s="638" t="s">
        <v>28</v>
      </c>
      <c r="D8" s="603" t="s">
        <v>561</v>
      </c>
      <c r="E8" s="335" t="s">
        <v>309</v>
      </c>
      <c r="F8" s="639">
        <f>0.17/10</f>
        <v>1.7000000000000001E-2</v>
      </c>
      <c r="G8" s="485">
        <f>BAHAN!$E$394</f>
        <v>56250</v>
      </c>
      <c r="H8" s="486">
        <f t="shared" si="0"/>
        <v>956.25000000000011</v>
      </c>
      <c r="I8" s="910">
        <f>SUM(H7:H8)</f>
        <v>2396.25</v>
      </c>
    </row>
    <row r="9" spans="2:9">
      <c r="B9" s="481"/>
      <c r="C9" s="638" t="s">
        <v>28</v>
      </c>
      <c r="D9" s="603" t="s">
        <v>133</v>
      </c>
      <c r="E9" s="172" t="s">
        <v>263</v>
      </c>
      <c r="F9" s="640">
        <f>0.04/10</f>
        <v>4.0000000000000001E-3</v>
      </c>
      <c r="G9" s="485">
        <f>UPAH!$E$26</f>
        <v>136000</v>
      </c>
      <c r="H9" s="486">
        <f t="shared" si="0"/>
        <v>544</v>
      </c>
    </row>
    <row r="10" spans="2:9">
      <c r="B10" s="481"/>
      <c r="C10" s="638" t="s">
        <v>28</v>
      </c>
      <c r="D10" s="603" t="s">
        <v>358</v>
      </c>
      <c r="E10" s="172" t="s">
        <v>263</v>
      </c>
      <c r="F10" s="639">
        <f>0.02/10</f>
        <v>2E-3</v>
      </c>
      <c r="G10" s="485">
        <f>UPAH!$E$18</f>
        <v>160000</v>
      </c>
      <c r="H10" s="486">
        <f t="shared" si="0"/>
        <v>320</v>
      </c>
    </row>
    <row r="11" spans="2:9">
      <c r="B11" s="481"/>
      <c r="C11" s="638" t="s">
        <v>28</v>
      </c>
      <c r="D11" s="603" t="s">
        <v>562</v>
      </c>
      <c r="E11" s="172" t="s">
        <v>263</v>
      </c>
      <c r="F11" s="639">
        <f>0.002/10</f>
        <v>2.0000000000000001E-4</v>
      </c>
      <c r="G11" s="485">
        <f>UPAH!$E$12</f>
        <v>170000</v>
      </c>
      <c r="H11" s="486">
        <f t="shared" si="0"/>
        <v>34</v>
      </c>
    </row>
    <row r="12" spans="2:9">
      <c r="B12" s="488"/>
      <c r="C12" s="641" t="s">
        <v>28</v>
      </c>
      <c r="D12" s="642" t="s">
        <v>136</v>
      </c>
      <c r="E12" s="643" t="s">
        <v>263</v>
      </c>
      <c r="F12" s="644">
        <f>0.002/10</f>
        <v>2.0000000000000001E-4</v>
      </c>
      <c r="G12" s="485">
        <f>UPAH!$E$9</f>
        <v>180000</v>
      </c>
      <c r="H12" s="486">
        <f t="shared" si="0"/>
        <v>36</v>
      </c>
      <c r="I12" s="910">
        <f>SUM(H9:H12)</f>
        <v>934</v>
      </c>
    </row>
    <row r="13" spans="2:9">
      <c r="B13" s="494"/>
      <c r="C13" s="495"/>
      <c r="D13" s="496" t="s">
        <v>228</v>
      </c>
      <c r="E13" s="497"/>
      <c r="F13" s="498"/>
      <c r="G13" s="499"/>
      <c r="H13" s="500">
        <f>SUM(H8:H12)</f>
        <v>1890.25</v>
      </c>
    </row>
    <row r="14" spans="2:9">
      <c r="B14" s="396"/>
      <c r="C14" s="442" t="s">
        <v>229</v>
      </c>
      <c r="D14" s="378"/>
      <c r="E14" s="378"/>
      <c r="F14" s="378"/>
      <c r="G14" s="518"/>
      <c r="H14" s="518">
        <f>ROUND(H13,0)</f>
        <v>1890</v>
      </c>
    </row>
    <row r="15" spans="2:9">
      <c r="B15" s="591" t="s">
        <v>563</v>
      </c>
      <c r="C15" s="468" t="s">
        <v>564</v>
      </c>
      <c r="D15" s="596"/>
      <c r="E15" s="597"/>
      <c r="F15" s="598"/>
      <c r="G15" s="599"/>
      <c r="H15" s="473"/>
    </row>
    <row r="16" spans="2:9">
      <c r="B16" s="582"/>
      <c r="C16" s="592" t="s">
        <v>28</v>
      </c>
      <c r="D16" s="584" t="s">
        <v>565</v>
      </c>
      <c r="E16" s="593" t="s">
        <v>240</v>
      </c>
      <c r="F16" s="585">
        <v>1</v>
      </c>
      <c r="G16" s="594">
        <f>BAHAN!$E$188</f>
        <v>305700</v>
      </c>
      <c r="H16" s="595">
        <f>G16*F16</f>
        <v>305700</v>
      </c>
      <c r="I16" s="910">
        <f>SUM(H16)</f>
        <v>305700</v>
      </c>
    </row>
    <row r="17" spans="2:9">
      <c r="B17" s="481"/>
      <c r="C17" s="482" t="s">
        <v>28</v>
      </c>
      <c r="D17" s="487" t="s">
        <v>133</v>
      </c>
      <c r="E17" s="483" t="s">
        <v>132</v>
      </c>
      <c r="F17" s="484">
        <v>1.05</v>
      </c>
      <c r="G17" s="485">
        <f>G9</f>
        <v>136000</v>
      </c>
      <c r="H17" s="486">
        <f>G17*F17</f>
        <v>142800</v>
      </c>
    </row>
    <row r="18" spans="2:9">
      <c r="B18" s="481"/>
      <c r="C18" s="482" t="s">
        <v>28</v>
      </c>
      <c r="D18" s="487" t="s">
        <v>566</v>
      </c>
      <c r="E18" s="483" t="s">
        <v>132</v>
      </c>
      <c r="F18" s="484">
        <v>1.5</v>
      </c>
      <c r="G18" s="485">
        <f>G10</f>
        <v>160000</v>
      </c>
      <c r="H18" s="486">
        <f>G18*F18</f>
        <v>240000</v>
      </c>
    </row>
    <row r="19" spans="2:9">
      <c r="B19" s="481"/>
      <c r="C19" s="482" t="s">
        <v>28</v>
      </c>
      <c r="D19" s="487" t="s">
        <v>135</v>
      </c>
      <c r="E19" s="483" t="s">
        <v>132</v>
      </c>
      <c r="F19" s="484">
        <v>0.105</v>
      </c>
      <c r="G19" s="485">
        <f>G11</f>
        <v>170000</v>
      </c>
      <c r="H19" s="486">
        <f>G19*F19</f>
        <v>17850</v>
      </c>
    </row>
    <row r="20" spans="2:9">
      <c r="B20" s="488"/>
      <c r="C20" s="501" t="s">
        <v>28</v>
      </c>
      <c r="D20" s="515" t="s">
        <v>136</v>
      </c>
      <c r="E20" s="503" t="s">
        <v>132</v>
      </c>
      <c r="F20" s="516">
        <v>5.1999999999999998E-3</v>
      </c>
      <c r="G20" s="485">
        <f>G12</f>
        <v>180000</v>
      </c>
      <c r="H20" s="504">
        <f>G20*F20</f>
        <v>936</v>
      </c>
      <c r="I20" s="910">
        <f>SUM(H17:H20)</f>
        <v>401586</v>
      </c>
    </row>
    <row r="21" spans="2:9">
      <c r="B21" s="505"/>
      <c r="C21" s="495"/>
      <c r="D21" s="506" t="s">
        <v>228</v>
      </c>
      <c r="E21" s="507"/>
      <c r="F21" s="508"/>
      <c r="G21" s="509"/>
      <c r="H21" s="510">
        <f>SUM(H16:H20)</f>
        <v>707286</v>
      </c>
    </row>
    <row r="22" spans="2:9">
      <c r="B22" s="396"/>
      <c r="C22" s="442" t="s">
        <v>229</v>
      </c>
      <c r="D22" s="378"/>
      <c r="E22" s="378"/>
      <c r="F22" s="378"/>
      <c r="G22" s="518"/>
      <c r="H22" s="518">
        <f>ROUND(H21,0)</f>
        <v>707286</v>
      </c>
    </row>
    <row r="23" spans="2:9">
      <c r="B23" s="591" t="s">
        <v>567</v>
      </c>
      <c r="C23" s="468" t="s">
        <v>568</v>
      </c>
      <c r="D23" s="596"/>
      <c r="E23" s="588"/>
      <c r="F23" s="471"/>
      <c r="G23" s="589"/>
      <c r="H23" s="590"/>
    </row>
    <row r="24" spans="2:9">
      <c r="B24" s="582"/>
      <c r="C24" s="583" t="s">
        <v>28</v>
      </c>
      <c r="D24" s="584" t="s">
        <v>569</v>
      </c>
      <c r="E24" s="477" t="s">
        <v>147</v>
      </c>
      <c r="F24" s="585">
        <v>1</v>
      </c>
      <c r="G24" s="479">
        <f>BAHAN!$E$191</f>
        <v>759050</v>
      </c>
      <c r="H24" s="480">
        <f>G24*F24</f>
        <v>759050</v>
      </c>
      <c r="I24" s="910">
        <f>SUM(H24)</f>
        <v>759050</v>
      </c>
    </row>
    <row r="25" spans="2:9">
      <c r="B25" s="481"/>
      <c r="C25" s="482" t="s">
        <v>28</v>
      </c>
      <c r="D25" s="487" t="s">
        <v>133</v>
      </c>
      <c r="E25" s="483" t="s">
        <v>132</v>
      </c>
      <c r="F25" s="484">
        <v>1.05</v>
      </c>
      <c r="G25" s="485">
        <f>$G$17</f>
        <v>136000</v>
      </c>
      <c r="H25" s="486">
        <f>G25*F25</f>
        <v>142800</v>
      </c>
    </row>
    <row r="26" spans="2:9">
      <c r="B26" s="481"/>
      <c r="C26" s="482" t="s">
        <v>28</v>
      </c>
      <c r="D26" s="487" t="s">
        <v>566</v>
      </c>
      <c r="E26" s="483" t="s">
        <v>132</v>
      </c>
      <c r="F26" s="484">
        <v>1.05</v>
      </c>
      <c r="G26" s="485">
        <f>$G$18</f>
        <v>160000</v>
      </c>
      <c r="H26" s="486">
        <f>G26*F26</f>
        <v>168000</v>
      </c>
    </row>
    <row r="27" spans="2:9">
      <c r="B27" s="481"/>
      <c r="C27" s="482" t="s">
        <v>28</v>
      </c>
      <c r="D27" s="487" t="s">
        <v>135</v>
      </c>
      <c r="E27" s="483" t="s">
        <v>132</v>
      </c>
      <c r="F27" s="484">
        <v>0.105</v>
      </c>
      <c r="G27" s="485">
        <f>$G$19</f>
        <v>170000</v>
      </c>
      <c r="H27" s="486">
        <f>G27*F27</f>
        <v>17850</v>
      </c>
    </row>
    <row r="28" spans="2:9">
      <c r="B28" s="488"/>
      <c r="C28" s="501" t="s">
        <v>28</v>
      </c>
      <c r="D28" s="515" t="s">
        <v>136</v>
      </c>
      <c r="E28" s="503" t="s">
        <v>132</v>
      </c>
      <c r="F28" s="516">
        <v>5.1999999999999998E-3</v>
      </c>
      <c r="G28" s="1805">
        <f>$G$20</f>
        <v>180000</v>
      </c>
      <c r="H28" s="504">
        <f>G28*F28</f>
        <v>936</v>
      </c>
      <c r="I28" s="910">
        <f>SUM(H25:H28)</f>
        <v>329586</v>
      </c>
    </row>
    <row r="29" spans="2:9">
      <c r="B29" s="505"/>
      <c r="C29" s="495"/>
      <c r="D29" s="506" t="s">
        <v>228</v>
      </c>
      <c r="E29" s="507"/>
      <c r="F29" s="508"/>
      <c r="G29" s="509"/>
      <c r="H29" s="510">
        <f>SUM(H24:H28)</f>
        <v>1088636</v>
      </c>
    </row>
    <row r="30" spans="2:9">
      <c r="B30" s="396"/>
      <c r="C30" s="442" t="s">
        <v>229</v>
      </c>
      <c r="D30" s="378"/>
      <c r="E30" s="378"/>
      <c r="F30" s="378"/>
      <c r="G30" s="518"/>
      <c r="H30" s="518">
        <f>ROUND(H29,0)</f>
        <v>1088636</v>
      </c>
    </row>
    <row r="31" spans="2:9">
      <c r="B31" s="591" t="s">
        <v>570</v>
      </c>
      <c r="C31" s="468" t="s">
        <v>571</v>
      </c>
      <c r="D31" s="469"/>
      <c r="E31" s="588"/>
      <c r="F31" s="471"/>
      <c r="G31" s="589"/>
      <c r="H31" s="590"/>
    </row>
    <row r="32" spans="2:9">
      <c r="B32" s="582"/>
      <c r="C32" s="583" t="s">
        <v>28</v>
      </c>
      <c r="D32" s="584" t="s">
        <v>572</v>
      </c>
      <c r="E32" s="477" t="s">
        <v>129</v>
      </c>
      <c r="F32" s="585">
        <v>11.5</v>
      </c>
      <c r="G32" s="479">
        <f>BAHAN!$E$158</f>
        <v>33750</v>
      </c>
      <c r="H32" s="480">
        <f>G32*F32</f>
        <v>388125</v>
      </c>
      <c r="I32" s="910">
        <f>SUM(H32)</f>
        <v>388125</v>
      </c>
    </row>
    <row r="33" spans="2:9">
      <c r="B33" s="481"/>
      <c r="C33" s="482" t="s">
        <v>28</v>
      </c>
      <c r="D33" s="487" t="s">
        <v>133</v>
      </c>
      <c r="E33" s="483" t="s">
        <v>132</v>
      </c>
      <c r="F33" s="484">
        <v>1.2</v>
      </c>
      <c r="G33" s="485">
        <f>G25</f>
        <v>136000</v>
      </c>
      <c r="H33" s="486">
        <f>G33*F33</f>
        <v>163200</v>
      </c>
    </row>
    <row r="34" spans="2:9">
      <c r="B34" s="481"/>
      <c r="C34" s="482" t="s">
        <v>28</v>
      </c>
      <c r="D34" s="487" t="s">
        <v>319</v>
      </c>
      <c r="E34" s="483" t="s">
        <v>132</v>
      </c>
      <c r="F34" s="484">
        <v>1.2</v>
      </c>
      <c r="G34" s="485">
        <f>G26</f>
        <v>160000</v>
      </c>
      <c r="H34" s="486">
        <f>G34*F34</f>
        <v>192000</v>
      </c>
    </row>
    <row r="35" spans="2:9">
      <c r="B35" s="481"/>
      <c r="C35" s="482" t="s">
        <v>28</v>
      </c>
      <c r="D35" s="487" t="s">
        <v>135</v>
      </c>
      <c r="E35" s="483" t="s">
        <v>132</v>
      </c>
      <c r="F35" s="484">
        <v>1.2E-2</v>
      </c>
      <c r="G35" s="485">
        <f>G27</f>
        <v>170000</v>
      </c>
      <c r="H35" s="486">
        <f>G35*F35</f>
        <v>2040</v>
      </c>
    </row>
    <row r="36" spans="2:9">
      <c r="B36" s="488"/>
      <c r="C36" s="501" t="s">
        <v>28</v>
      </c>
      <c r="D36" s="515" t="s">
        <v>136</v>
      </c>
      <c r="E36" s="503" t="s">
        <v>132</v>
      </c>
      <c r="F36" s="516">
        <v>5.9999999999999995E-4</v>
      </c>
      <c r="G36" s="485">
        <f>G28</f>
        <v>180000</v>
      </c>
      <c r="H36" s="504">
        <f>G36*F36</f>
        <v>107.99999999999999</v>
      </c>
      <c r="I36" s="910">
        <f>SUM(H33:H36)</f>
        <v>357348</v>
      </c>
    </row>
    <row r="37" spans="2:9">
      <c r="B37" s="505"/>
      <c r="C37" s="495"/>
      <c r="D37" s="506" t="s">
        <v>228</v>
      </c>
      <c r="E37" s="507"/>
      <c r="F37" s="508"/>
      <c r="G37" s="509"/>
      <c r="H37" s="510">
        <f>SUM(H32:H36)</f>
        <v>745473</v>
      </c>
    </row>
    <row r="38" spans="2:9">
      <c r="B38" s="396"/>
      <c r="C38" s="442" t="s">
        <v>229</v>
      </c>
      <c r="D38" s="378"/>
      <c r="E38" s="378"/>
      <c r="F38" s="378"/>
      <c r="G38" s="518"/>
      <c r="H38" s="518">
        <f>ROUND(H37,0)</f>
        <v>745473</v>
      </c>
    </row>
    <row r="39" spans="2:9">
      <c r="B39" s="591" t="s">
        <v>573</v>
      </c>
      <c r="C39" s="468" t="s">
        <v>574</v>
      </c>
      <c r="D39" s="469"/>
      <c r="E39" s="588"/>
      <c r="F39" s="471"/>
      <c r="G39" s="589"/>
      <c r="H39" s="590"/>
    </row>
    <row r="40" spans="2:9">
      <c r="B40" s="582"/>
      <c r="C40" s="583" t="s">
        <v>28</v>
      </c>
      <c r="D40" s="584" t="s">
        <v>241</v>
      </c>
      <c r="E40" s="477" t="s">
        <v>240</v>
      </c>
      <c r="F40" s="585">
        <v>1.1000000000000001</v>
      </c>
      <c r="G40" s="479">
        <f>BAHAN!$E$154</f>
        <v>25000</v>
      </c>
      <c r="H40" s="480">
        <f t="shared" ref="H40:H46" si="1">G40*F40</f>
        <v>27500.000000000004</v>
      </c>
    </row>
    <row r="41" spans="2:9">
      <c r="B41" s="481"/>
      <c r="C41" s="482" t="s">
        <v>28</v>
      </c>
      <c r="D41" s="76" t="s">
        <v>575</v>
      </c>
      <c r="E41" s="483" t="s">
        <v>47</v>
      </c>
      <c r="F41" s="484">
        <v>0.02</v>
      </c>
      <c r="G41" s="485">
        <f>BAHAN!$E$208</f>
        <v>23750</v>
      </c>
      <c r="H41" s="486">
        <f t="shared" si="1"/>
        <v>475</v>
      </c>
    </row>
    <row r="42" spans="2:9">
      <c r="B42" s="481"/>
      <c r="C42" s="482" t="s">
        <v>28</v>
      </c>
      <c r="D42" s="487" t="s">
        <v>576</v>
      </c>
      <c r="E42" s="483" t="s">
        <v>240</v>
      </c>
      <c r="F42" s="484">
        <v>1.8E-3</v>
      </c>
      <c r="G42" s="485">
        <f>BAHAN!$E$76</f>
        <v>2141666.6666666651</v>
      </c>
      <c r="H42" s="486">
        <f t="shared" si="1"/>
        <v>3854.9999999999973</v>
      </c>
      <c r="I42" s="910">
        <f>SUM(H40:H42)</f>
        <v>31830</v>
      </c>
    </row>
    <row r="43" spans="2:9">
      <c r="B43" s="481"/>
      <c r="C43" s="482" t="s">
        <v>28</v>
      </c>
      <c r="D43" s="487" t="s">
        <v>133</v>
      </c>
      <c r="E43" s="483" t="s">
        <v>132</v>
      </c>
      <c r="F43" s="484">
        <v>0.1</v>
      </c>
      <c r="G43" s="485">
        <f>G25</f>
        <v>136000</v>
      </c>
      <c r="H43" s="486">
        <f t="shared" si="1"/>
        <v>13600</v>
      </c>
    </row>
    <row r="44" spans="2:9">
      <c r="B44" s="481"/>
      <c r="C44" s="482" t="s">
        <v>28</v>
      </c>
      <c r="D44" s="487" t="s">
        <v>134</v>
      </c>
      <c r="E44" s="483" t="s">
        <v>132</v>
      </c>
      <c r="F44" s="484">
        <v>0.1</v>
      </c>
      <c r="G44" s="485">
        <f>G26</f>
        <v>160000</v>
      </c>
      <c r="H44" s="486">
        <f t="shared" si="1"/>
        <v>16000</v>
      </c>
    </row>
    <row r="45" spans="2:9">
      <c r="B45" s="481"/>
      <c r="C45" s="482" t="s">
        <v>28</v>
      </c>
      <c r="D45" s="487" t="s">
        <v>135</v>
      </c>
      <c r="E45" s="483" t="s">
        <v>132</v>
      </c>
      <c r="F45" s="484">
        <v>0.01</v>
      </c>
      <c r="G45" s="485">
        <f>G27</f>
        <v>170000</v>
      </c>
      <c r="H45" s="486">
        <f t="shared" si="1"/>
        <v>1700</v>
      </c>
    </row>
    <row r="46" spans="2:9">
      <c r="B46" s="514"/>
      <c r="C46" s="501" t="s">
        <v>28</v>
      </c>
      <c r="D46" s="515" t="s">
        <v>136</v>
      </c>
      <c r="E46" s="503" t="s">
        <v>132</v>
      </c>
      <c r="F46" s="516">
        <v>5.0000000000000001E-3</v>
      </c>
      <c r="G46" s="586">
        <f>G28</f>
        <v>180000</v>
      </c>
      <c r="H46" s="504">
        <f t="shared" si="1"/>
        <v>900</v>
      </c>
      <c r="I46" s="910">
        <f>SUM(H43:H46)</f>
        <v>32200</v>
      </c>
    </row>
    <row r="47" spans="2:9">
      <c r="B47" s="494"/>
      <c r="C47" s="495"/>
      <c r="D47" s="496" t="s">
        <v>228</v>
      </c>
      <c r="E47" s="497"/>
      <c r="F47" s="498"/>
      <c r="G47" s="499"/>
      <c r="H47" s="500">
        <f>SUM(H40:H46)</f>
        <v>64030</v>
      </c>
    </row>
    <row r="48" spans="2:9">
      <c r="B48" s="396"/>
      <c r="C48" s="442" t="s">
        <v>229</v>
      </c>
      <c r="D48" s="378"/>
      <c r="E48" s="378"/>
      <c r="F48" s="378"/>
      <c r="G48" s="518"/>
      <c r="H48" s="518">
        <f>ROUND(H47,0)</f>
        <v>64030</v>
      </c>
    </row>
    <row r="49" spans="2:9">
      <c r="B49" s="591" t="s">
        <v>577</v>
      </c>
      <c r="C49" s="468" t="s">
        <v>578</v>
      </c>
      <c r="D49" s="469"/>
      <c r="E49" s="588"/>
      <c r="F49" s="471"/>
      <c r="G49" s="589"/>
      <c r="H49" s="590"/>
    </row>
    <row r="50" spans="2:9">
      <c r="B50" s="582"/>
      <c r="C50" s="583" t="s">
        <v>28</v>
      </c>
      <c r="D50" s="584" t="s">
        <v>579</v>
      </c>
      <c r="E50" s="477" t="s">
        <v>129</v>
      </c>
      <c r="F50" s="585">
        <v>1.05</v>
      </c>
      <c r="G50" s="479">
        <f>BAHAN!$E$167</f>
        <v>25000</v>
      </c>
      <c r="H50" s="480">
        <f t="shared" ref="H50:H57" si="2">G50*F50</f>
        <v>26250</v>
      </c>
    </row>
    <row r="51" spans="2:9">
      <c r="B51" s="481"/>
      <c r="C51" s="482" t="s">
        <v>28</v>
      </c>
      <c r="D51" s="487" t="s">
        <v>575</v>
      </c>
      <c r="E51" s="483" t="s">
        <v>145</v>
      </c>
      <c r="F51" s="484">
        <v>1.4999999999999999E-2</v>
      </c>
      <c r="G51" s="485">
        <f>G41</f>
        <v>23750</v>
      </c>
      <c r="H51" s="486">
        <f t="shared" si="2"/>
        <v>356.25</v>
      </c>
    </row>
    <row r="52" spans="2:9">
      <c r="B52" s="481"/>
      <c r="C52" s="482" t="s">
        <v>28</v>
      </c>
      <c r="D52" s="487" t="s">
        <v>576</v>
      </c>
      <c r="E52" s="483" t="s">
        <v>143</v>
      </c>
      <c r="F52" s="484">
        <v>9.5999999999999992E-3</v>
      </c>
      <c r="G52" s="485">
        <f>G42</f>
        <v>2141666.6666666651</v>
      </c>
      <c r="H52" s="486">
        <f t="shared" si="2"/>
        <v>20559.999999999982</v>
      </c>
    </row>
    <row r="53" spans="2:9">
      <c r="B53" s="481"/>
      <c r="C53" s="482" t="s">
        <v>28</v>
      </c>
      <c r="D53" s="487" t="s">
        <v>580</v>
      </c>
      <c r="E53" s="483" t="s">
        <v>145</v>
      </c>
      <c r="F53" s="484">
        <v>0.25</v>
      </c>
      <c r="G53" s="485">
        <f>BAHAN!$E$61</f>
        <v>44500</v>
      </c>
      <c r="H53" s="486">
        <f t="shared" si="2"/>
        <v>11125</v>
      </c>
      <c r="I53" s="910">
        <f>SUM(H50:H53)</f>
        <v>58291.249999999985</v>
      </c>
    </row>
    <row r="54" spans="2:9">
      <c r="B54" s="481"/>
      <c r="C54" s="482" t="s">
        <v>28</v>
      </c>
      <c r="D54" s="487" t="s">
        <v>133</v>
      </c>
      <c r="E54" s="483" t="s">
        <v>132</v>
      </c>
      <c r="F54" s="484">
        <v>0.15</v>
      </c>
      <c r="G54" s="485">
        <f>G43</f>
        <v>136000</v>
      </c>
      <c r="H54" s="486">
        <f t="shared" si="2"/>
        <v>20400</v>
      </c>
    </row>
    <row r="55" spans="2:9">
      <c r="B55" s="481"/>
      <c r="C55" s="482" t="s">
        <v>28</v>
      </c>
      <c r="D55" s="487" t="s">
        <v>134</v>
      </c>
      <c r="E55" s="483" t="s">
        <v>132</v>
      </c>
      <c r="F55" s="484">
        <v>0.4</v>
      </c>
      <c r="G55" s="485">
        <f>G44</f>
        <v>160000</v>
      </c>
      <c r="H55" s="486">
        <f t="shared" si="2"/>
        <v>64000</v>
      </c>
    </row>
    <row r="56" spans="2:9">
      <c r="B56" s="481"/>
      <c r="C56" s="482" t="s">
        <v>28</v>
      </c>
      <c r="D56" s="487" t="s">
        <v>135</v>
      </c>
      <c r="E56" s="483" t="s">
        <v>132</v>
      </c>
      <c r="F56" s="484">
        <v>2.5000000000000001E-2</v>
      </c>
      <c r="G56" s="485">
        <f>G45</f>
        <v>170000</v>
      </c>
      <c r="H56" s="486">
        <f t="shared" si="2"/>
        <v>4250</v>
      </c>
    </row>
    <row r="57" spans="2:9">
      <c r="B57" s="488"/>
      <c r="C57" s="501" t="s">
        <v>28</v>
      </c>
      <c r="D57" s="502" t="s">
        <v>136</v>
      </c>
      <c r="E57" s="503" t="s">
        <v>132</v>
      </c>
      <c r="F57" s="513">
        <v>1.2999999999999999E-3</v>
      </c>
      <c r="G57" s="485">
        <f>G46</f>
        <v>180000</v>
      </c>
      <c r="H57" s="504">
        <f t="shared" si="2"/>
        <v>234</v>
      </c>
      <c r="I57" s="910">
        <f>SUM(H54:H57)</f>
        <v>88884</v>
      </c>
    </row>
    <row r="58" spans="2:9">
      <c r="B58" s="505"/>
      <c r="C58" s="495"/>
      <c r="D58" s="506" t="s">
        <v>228</v>
      </c>
      <c r="E58" s="507"/>
      <c r="F58" s="508"/>
      <c r="G58" s="509"/>
      <c r="H58" s="510">
        <f>SUM(H50:H57)</f>
        <v>147175.25</v>
      </c>
    </row>
    <row r="59" spans="2:9">
      <c r="B59" s="396"/>
      <c r="C59" s="442" t="s">
        <v>229</v>
      </c>
      <c r="D59" s="378"/>
      <c r="E59" s="378"/>
      <c r="F59" s="378"/>
      <c r="G59" s="518"/>
      <c r="H59" s="518">
        <f>ROUND(H58,0)</f>
        <v>147175</v>
      </c>
    </row>
    <row r="60" spans="2:9">
      <c r="B60" s="591" t="s">
        <v>581</v>
      </c>
      <c r="C60" s="468" t="s">
        <v>582</v>
      </c>
      <c r="D60" s="469"/>
      <c r="E60" s="645"/>
      <c r="F60" s="471"/>
      <c r="G60" s="646"/>
      <c r="H60" s="647"/>
    </row>
    <row r="61" spans="2:9">
      <c r="B61" s="505"/>
      <c r="C61" s="648" t="s">
        <v>28</v>
      </c>
      <c r="D61" s="487" t="s">
        <v>579</v>
      </c>
      <c r="E61" s="649" t="s">
        <v>129</v>
      </c>
      <c r="F61" s="650">
        <v>1.05</v>
      </c>
      <c r="G61" s="651">
        <f>G50</f>
        <v>25000</v>
      </c>
      <c r="H61" s="524">
        <f t="shared" ref="H61:H68" si="3">G61*F61</f>
        <v>26250</v>
      </c>
    </row>
    <row r="62" spans="2:9">
      <c r="B62" s="505"/>
      <c r="C62" s="648" t="s">
        <v>28</v>
      </c>
      <c r="D62" s="487" t="s">
        <v>575</v>
      </c>
      <c r="E62" s="649" t="s">
        <v>145</v>
      </c>
      <c r="F62" s="652">
        <v>1.4999999999999999E-2</v>
      </c>
      <c r="G62" s="651">
        <f t="shared" ref="G62:G68" si="4">G51</f>
        <v>23750</v>
      </c>
      <c r="H62" s="524">
        <f t="shared" si="3"/>
        <v>356.25</v>
      </c>
    </row>
    <row r="63" spans="2:9">
      <c r="B63" s="505"/>
      <c r="C63" s="648" t="s">
        <v>28</v>
      </c>
      <c r="D63" s="487" t="s">
        <v>576</v>
      </c>
      <c r="E63" s="649" t="s">
        <v>143</v>
      </c>
      <c r="F63" s="652">
        <v>1.9E-2</v>
      </c>
      <c r="G63" s="651">
        <f t="shared" si="4"/>
        <v>2141666.6666666651</v>
      </c>
      <c r="H63" s="524">
        <f t="shared" si="3"/>
        <v>40691.666666666635</v>
      </c>
    </row>
    <row r="64" spans="2:9">
      <c r="B64" s="505"/>
      <c r="C64" s="648" t="s">
        <v>28</v>
      </c>
      <c r="D64" s="487" t="s">
        <v>580</v>
      </c>
      <c r="E64" s="649" t="s">
        <v>145</v>
      </c>
      <c r="F64" s="652">
        <v>0.3</v>
      </c>
      <c r="G64" s="651">
        <f t="shared" si="4"/>
        <v>44500</v>
      </c>
      <c r="H64" s="524">
        <f t="shared" si="3"/>
        <v>13350</v>
      </c>
      <c r="I64" s="910">
        <f>SUM(H61:H64)</f>
        <v>80647.916666666628</v>
      </c>
    </row>
    <row r="65" spans="2:9">
      <c r="B65" s="505"/>
      <c r="C65" s="648" t="s">
        <v>28</v>
      </c>
      <c r="D65" s="487" t="s">
        <v>133</v>
      </c>
      <c r="E65" s="649" t="s">
        <v>132</v>
      </c>
      <c r="F65" s="652">
        <v>0.2</v>
      </c>
      <c r="G65" s="651">
        <f t="shared" si="4"/>
        <v>136000</v>
      </c>
      <c r="H65" s="524">
        <f t="shared" si="3"/>
        <v>27200</v>
      </c>
    </row>
    <row r="66" spans="2:9">
      <c r="B66" s="505"/>
      <c r="C66" s="648" t="s">
        <v>28</v>
      </c>
      <c r="D66" s="487" t="s">
        <v>134</v>
      </c>
      <c r="E66" s="649" t="s">
        <v>132</v>
      </c>
      <c r="F66" s="652">
        <v>0.4</v>
      </c>
      <c r="G66" s="651">
        <f t="shared" si="4"/>
        <v>160000</v>
      </c>
      <c r="H66" s="524">
        <f t="shared" si="3"/>
        <v>64000</v>
      </c>
    </row>
    <row r="67" spans="2:9">
      <c r="B67" s="505"/>
      <c r="C67" s="648" t="s">
        <v>28</v>
      </c>
      <c r="D67" s="487" t="s">
        <v>135</v>
      </c>
      <c r="E67" s="649" t="s">
        <v>132</v>
      </c>
      <c r="F67" s="652">
        <v>2.5000000000000001E-2</v>
      </c>
      <c r="G67" s="651">
        <f t="shared" si="4"/>
        <v>170000</v>
      </c>
      <c r="H67" s="524">
        <f t="shared" si="3"/>
        <v>4250</v>
      </c>
    </row>
    <row r="68" spans="2:9">
      <c r="B68" s="505"/>
      <c r="C68" s="648" t="s">
        <v>28</v>
      </c>
      <c r="D68" s="487" t="s">
        <v>136</v>
      </c>
      <c r="E68" s="649" t="s">
        <v>132</v>
      </c>
      <c r="F68" s="653">
        <v>1.25E-3</v>
      </c>
      <c r="G68" s="651">
        <f t="shared" si="4"/>
        <v>180000</v>
      </c>
      <c r="H68" s="524">
        <f t="shared" si="3"/>
        <v>225</v>
      </c>
      <c r="I68" s="910">
        <f>SUM(H65:H68)</f>
        <v>95675</v>
      </c>
    </row>
    <row r="69" spans="2:9">
      <c r="B69" s="505"/>
      <c r="C69" s="495"/>
      <c r="D69" s="506" t="s">
        <v>228</v>
      </c>
      <c r="E69" s="507"/>
      <c r="F69" s="654"/>
      <c r="G69" s="509"/>
      <c r="H69" s="510">
        <f>SUM(H61:H68)</f>
        <v>176322.91666666663</v>
      </c>
    </row>
    <row r="70" spans="2:9">
      <c r="B70" s="396"/>
      <c r="C70" s="442" t="s">
        <v>229</v>
      </c>
      <c r="D70" s="378"/>
      <c r="E70" s="378"/>
      <c r="F70" s="378"/>
      <c r="G70" s="518"/>
      <c r="H70" s="518">
        <f>ROUND(H69,0)</f>
        <v>176323</v>
      </c>
    </row>
    <row r="71" spans="2:9">
      <c r="B71" s="591" t="s">
        <v>583</v>
      </c>
      <c r="C71" s="468" t="s">
        <v>584</v>
      </c>
      <c r="D71" s="469"/>
      <c r="E71" s="645"/>
      <c r="F71" s="471"/>
      <c r="G71" s="646"/>
      <c r="H71" s="647"/>
    </row>
    <row r="72" spans="2:9">
      <c r="B72" s="582"/>
      <c r="C72" s="583" t="s">
        <v>28</v>
      </c>
      <c r="D72" s="584" t="s">
        <v>579</v>
      </c>
      <c r="E72" s="477" t="s">
        <v>129</v>
      </c>
      <c r="F72" s="585">
        <v>1.05</v>
      </c>
      <c r="G72" s="479">
        <f>G61</f>
        <v>25000</v>
      </c>
      <c r="H72" s="480">
        <f t="shared" ref="H72:H79" si="5">G72*F72</f>
        <v>26250</v>
      </c>
    </row>
    <row r="73" spans="2:9">
      <c r="B73" s="481"/>
      <c r="C73" s="482" t="s">
        <v>28</v>
      </c>
      <c r="D73" s="487" t="s">
        <v>575</v>
      </c>
      <c r="E73" s="483" t="s">
        <v>145</v>
      </c>
      <c r="F73" s="484">
        <v>0.1</v>
      </c>
      <c r="G73" s="479">
        <f t="shared" ref="G73:G79" si="6">G62</f>
        <v>23750</v>
      </c>
      <c r="H73" s="486">
        <f t="shared" si="5"/>
        <v>2375</v>
      </c>
    </row>
    <row r="74" spans="2:9">
      <c r="B74" s="481"/>
      <c r="C74" s="482" t="s">
        <v>28</v>
      </c>
      <c r="D74" s="487" t="s">
        <v>576</v>
      </c>
      <c r="E74" s="483" t="s">
        <v>47</v>
      </c>
      <c r="F74" s="484">
        <v>1.9E-2</v>
      </c>
      <c r="G74" s="479">
        <f>G63</f>
        <v>2141666.6666666651</v>
      </c>
      <c r="H74" s="486">
        <f t="shared" si="5"/>
        <v>40691.666666666635</v>
      </c>
    </row>
    <row r="75" spans="2:9">
      <c r="B75" s="481"/>
      <c r="C75" s="482" t="s">
        <v>28</v>
      </c>
      <c r="D75" s="487" t="s">
        <v>585</v>
      </c>
      <c r="E75" s="483" t="s">
        <v>145</v>
      </c>
      <c r="F75" s="484">
        <v>0.5</v>
      </c>
      <c r="G75" s="479">
        <f>G32</f>
        <v>33750</v>
      </c>
      <c r="H75" s="486">
        <f t="shared" si="5"/>
        <v>16875</v>
      </c>
      <c r="I75" s="910">
        <f>SUM(H72:H75)</f>
        <v>86191.666666666628</v>
      </c>
    </row>
    <row r="76" spans="2:9">
      <c r="B76" s="481"/>
      <c r="C76" s="482" t="s">
        <v>28</v>
      </c>
      <c r="D76" s="487" t="s">
        <v>133</v>
      </c>
      <c r="E76" s="483" t="s">
        <v>132</v>
      </c>
      <c r="F76" s="484">
        <v>0.15</v>
      </c>
      <c r="G76" s="479">
        <f t="shared" si="6"/>
        <v>136000</v>
      </c>
      <c r="H76" s="486">
        <f t="shared" si="5"/>
        <v>20400</v>
      </c>
    </row>
    <row r="77" spans="2:9">
      <c r="B77" s="481"/>
      <c r="C77" s="482" t="s">
        <v>28</v>
      </c>
      <c r="D77" s="487" t="s">
        <v>134</v>
      </c>
      <c r="E77" s="483" t="s">
        <v>132</v>
      </c>
      <c r="F77" s="484">
        <v>0.3</v>
      </c>
      <c r="G77" s="479">
        <f t="shared" si="6"/>
        <v>160000</v>
      </c>
      <c r="H77" s="486">
        <f t="shared" si="5"/>
        <v>48000</v>
      </c>
    </row>
    <row r="78" spans="2:9">
      <c r="B78" s="481"/>
      <c r="C78" s="482" t="s">
        <v>28</v>
      </c>
      <c r="D78" s="487" t="s">
        <v>135</v>
      </c>
      <c r="E78" s="483" t="s">
        <v>132</v>
      </c>
      <c r="F78" s="484">
        <v>0.03</v>
      </c>
      <c r="G78" s="479">
        <f t="shared" si="6"/>
        <v>170000</v>
      </c>
      <c r="H78" s="486">
        <f t="shared" si="5"/>
        <v>5100</v>
      </c>
    </row>
    <row r="79" spans="2:9">
      <c r="B79" s="488"/>
      <c r="C79" s="501" t="s">
        <v>28</v>
      </c>
      <c r="D79" s="502" t="s">
        <v>136</v>
      </c>
      <c r="E79" s="503" t="s">
        <v>132</v>
      </c>
      <c r="F79" s="513">
        <v>8.0000000000000002E-3</v>
      </c>
      <c r="G79" s="479">
        <f t="shared" si="6"/>
        <v>180000</v>
      </c>
      <c r="H79" s="504">
        <f t="shared" si="5"/>
        <v>1440</v>
      </c>
      <c r="I79" s="910">
        <f>SUM(H76:H79)</f>
        <v>74940</v>
      </c>
    </row>
    <row r="80" spans="2:9">
      <c r="B80" s="505"/>
      <c r="C80" s="495"/>
      <c r="D80" s="506" t="s">
        <v>228</v>
      </c>
      <c r="E80" s="507"/>
      <c r="F80" s="654"/>
      <c r="G80" s="509"/>
      <c r="H80" s="510">
        <f>SUM(H72:H79)</f>
        <v>161131.66666666663</v>
      </c>
    </row>
    <row r="81" spans="2:9">
      <c r="B81" s="396"/>
      <c r="C81" s="442" t="s">
        <v>229</v>
      </c>
      <c r="D81" s="378"/>
      <c r="E81" s="378"/>
      <c r="F81" s="378"/>
      <c r="G81" s="518"/>
      <c r="H81" s="518">
        <f>ROUND(H80,0)</f>
        <v>161132</v>
      </c>
    </row>
    <row r="82" spans="2:9">
      <c r="B82" s="591" t="s">
        <v>586</v>
      </c>
      <c r="C82" s="468" t="s">
        <v>587</v>
      </c>
      <c r="D82" s="469"/>
      <c r="E82" s="645"/>
      <c r="F82" s="471"/>
      <c r="G82" s="646"/>
      <c r="H82" s="647"/>
    </row>
    <row r="83" spans="2:9">
      <c r="B83" s="582"/>
      <c r="C83" s="583" t="s">
        <v>28</v>
      </c>
      <c r="D83" s="165" t="s">
        <v>588</v>
      </c>
      <c r="E83" s="477" t="s">
        <v>129</v>
      </c>
      <c r="F83" s="585">
        <v>1.1000000000000001</v>
      </c>
      <c r="G83" s="479">
        <f>BAHAN!$E$160</f>
        <v>75000</v>
      </c>
      <c r="H83" s="480">
        <f t="shared" ref="H83:H89" si="7">G83*F83</f>
        <v>82500</v>
      </c>
    </row>
    <row r="84" spans="2:9">
      <c r="B84" s="481"/>
      <c r="C84" s="482" t="s">
        <v>28</v>
      </c>
      <c r="D84" s="171" t="s">
        <v>130</v>
      </c>
      <c r="E84" s="483" t="s">
        <v>88</v>
      </c>
      <c r="F84" s="484">
        <v>2</v>
      </c>
      <c r="G84" s="485">
        <v>250</v>
      </c>
      <c r="H84" s="486">
        <f t="shared" si="7"/>
        <v>500</v>
      </c>
    </row>
    <row r="85" spans="2:9">
      <c r="B85" s="481"/>
      <c r="C85" s="482" t="s">
        <v>28</v>
      </c>
      <c r="D85" s="487" t="s">
        <v>131</v>
      </c>
      <c r="E85" s="483" t="s">
        <v>129</v>
      </c>
      <c r="F85" s="484">
        <v>1</v>
      </c>
      <c r="G85" s="485">
        <v>8500</v>
      </c>
      <c r="H85" s="486">
        <f t="shared" si="7"/>
        <v>8500</v>
      </c>
      <c r="I85" s="910">
        <f>SUM(H83:H85)</f>
        <v>91500</v>
      </c>
    </row>
    <row r="86" spans="2:9">
      <c r="B86" s="481"/>
      <c r="C86" s="482" t="s">
        <v>28</v>
      </c>
      <c r="D86" s="487" t="s">
        <v>133</v>
      </c>
      <c r="E86" s="483" t="s">
        <v>132</v>
      </c>
      <c r="F86" s="484">
        <v>4.2999999999999997E-2</v>
      </c>
      <c r="G86" s="485">
        <f>G76</f>
        <v>136000</v>
      </c>
      <c r="H86" s="486">
        <f t="shared" si="7"/>
        <v>5847.9999999999991</v>
      </c>
    </row>
    <row r="87" spans="2:9">
      <c r="B87" s="481"/>
      <c r="C87" s="482" t="s">
        <v>28</v>
      </c>
      <c r="D87" s="487" t="s">
        <v>134</v>
      </c>
      <c r="E87" s="483" t="s">
        <v>132</v>
      </c>
      <c r="F87" s="484">
        <v>4.2999999999999997E-2</v>
      </c>
      <c r="G87" s="485">
        <f>G77</f>
        <v>160000</v>
      </c>
      <c r="H87" s="486">
        <f t="shared" si="7"/>
        <v>6879.9999999999991</v>
      </c>
    </row>
    <row r="88" spans="2:9">
      <c r="B88" s="481"/>
      <c r="C88" s="482" t="s">
        <v>28</v>
      </c>
      <c r="D88" s="487" t="s">
        <v>135</v>
      </c>
      <c r="E88" s="483" t="s">
        <v>132</v>
      </c>
      <c r="F88" s="484">
        <v>4.3E-3</v>
      </c>
      <c r="G88" s="485">
        <f>G78</f>
        <v>170000</v>
      </c>
      <c r="H88" s="486">
        <f t="shared" si="7"/>
        <v>731</v>
      </c>
    </row>
    <row r="89" spans="2:9">
      <c r="B89" s="514"/>
      <c r="C89" s="501" t="s">
        <v>28</v>
      </c>
      <c r="D89" s="515" t="s">
        <v>136</v>
      </c>
      <c r="E89" s="503" t="s">
        <v>132</v>
      </c>
      <c r="F89" s="516">
        <v>2.0999999999999999E-3</v>
      </c>
      <c r="G89" s="485">
        <f>G79</f>
        <v>180000</v>
      </c>
      <c r="H89" s="504">
        <f t="shared" si="7"/>
        <v>378</v>
      </c>
      <c r="I89" s="910">
        <f>SUM(H86:H89)</f>
        <v>13836.999999999998</v>
      </c>
    </row>
    <row r="90" spans="2:9">
      <c r="B90" s="494"/>
      <c r="C90" s="495"/>
      <c r="D90" s="496" t="s">
        <v>228</v>
      </c>
      <c r="E90" s="497"/>
      <c r="F90" s="517"/>
      <c r="G90" s="499"/>
      <c r="H90" s="500">
        <f>SUM(H83:H89)</f>
        <v>105337</v>
      </c>
    </row>
    <row r="91" spans="2:9">
      <c r="B91" s="396"/>
      <c r="C91" s="442" t="s">
        <v>229</v>
      </c>
      <c r="D91" s="378"/>
      <c r="E91" s="378"/>
      <c r="F91" s="378"/>
      <c r="G91" s="518"/>
      <c r="H91" s="518">
        <f>ROUND(H90,0)</f>
        <v>105337</v>
      </c>
    </row>
    <row r="92" spans="2:9">
      <c r="B92" s="591" t="s">
        <v>589</v>
      </c>
      <c r="C92" s="468" t="s">
        <v>128</v>
      </c>
      <c r="D92" s="469"/>
      <c r="E92" s="645"/>
      <c r="F92" s="471"/>
      <c r="G92" s="646"/>
      <c r="H92" s="647"/>
    </row>
    <row r="93" spans="2:9">
      <c r="B93" s="582"/>
      <c r="C93" s="583" t="s">
        <v>28</v>
      </c>
      <c r="D93" s="165" t="s">
        <v>590</v>
      </c>
      <c r="E93" s="477" t="s">
        <v>129</v>
      </c>
      <c r="F93" s="585">
        <v>1.1000000000000001</v>
      </c>
      <c r="G93" s="479">
        <f>BAHAN!$E$161</f>
        <v>55000</v>
      </c>
      <c r="H93" s="480">
        <f t="shared" ref="H93:H99" si="8">G93*F93</f>
        <v>60500.000000000007</v>
      </c>
    </row>
    <row r="94" spans="2:9">
      <c r="B94" s="481"/>
      <c r="C94" s="482" t="s">
        <v>28</v>
      </c>
      <c r="D94" s="171" t="s">
        <v>130</v>
      </c>
      <c r="E94" s="483" t="s">
        <v>88</v>
      </c>
      <c r="F94" s="484">
        <v>2</v>
      </c>
      <c r="G94" s="485">
        <f t="shared" ref="G94:G99" si="9">G84</f>
        <v>250</v>
      </c>
      <c r="H94" s="486">
        <f t="shared" si="8"/>
        <v>500</v>
      </c>
    </row>
    <row r="95" spans="2:9">
      <c r="B95" s="481"/>
      <c r="C95" s="482" t="s">
        <v>28</v>
      </c>
      <c r="D95" s="487" t="s">
        <v>131</v>
      </c>
      <c r="E95" s="483" t="s">
        <v>129</v>
      </c>
      <c r="F95" s="484">
        <v>1</v>
      </c>
      <c r="G95" s="485">
        <f t="shared" si="9"/>
        <v>8500</v>
      </c>
      <c r="H95" s="486">
        <f t="shared" si="8"/>
        <v>8500</v>
      </c>
      <c r="I95" s="910">
        <f>SUM(H93:H95)</f>
        <v>69500</v>
      </c>
    </row>
    <row r="96" spans="2:9">
      <c r="B96" s="481"/>
      <c r="C96" s="482" t="s">
        <v>28</v>
      </c>
      <c r="D96" s="487" t="s">
        <v>133</v>
      </c>
      <c r="E96" s="483" t="s">
        <v>132</v>
      </c>
      <c r="F96" s="484">
        <v>4.2999999999999997E-2</v>
      </c>
      <c r="G96" s="485">
        <f t="shared" si="9"/>
        <v>136000</v>
      </c>
      <c r="H96" s="486">
        <f t="shared" si="8"/>
        <v>5847.9999999999991</v>
      </c>
    </row>
    <row r="97" spans="2:9">
      <c r="B97" s="481"/>
      <c r="C97" s="482" t="s">
        <v>28</v>
      </c>
      <c r="D97" s="487" t="s">
        <v>134</v>
      </c>
      <c r="E97" s="483" t="s">
        <v>132</v>
      </c>
      <c r="F97" s="484">
        <v>4.2999999999999997E-2</v>
      </c>
      <c r="G97" s="485">
        <f t="shared" si="9"/>
        <v>160000</v>
      </c>
      <c r="H97" s="486">
        <f t="shared" si="8"/>
        <v>6879.9999999999991</v>
      </c>
    </row>
    <row r="98" spans="2:9">
      <c r="B98" s="481"/>
      <c r="C98" s="482" t="s">
        <v>28</v>
      </c>
      <c r="D98" s="487" t="s">
        <v>135</v>
      </c>
      <c r="E98" s="483" t="s">
        <v>132</v>
      </c>
      <c r="F98" s="484">
        <v>4.3E-3</v>
      </c>
      <c r="G98" s="485">
        <f t="shared" si="9"/>
        <v>170000</v>
      </c>
      <c r="H98" s="486">
        <f t="shared" si="8"/>
        <v>731</v>
      </c>
    </row>
    <row r="99" spans="2:9">
      <c r="B99" s="514"/>
      <c r="C99" s="501" t="s">
        <v>28</v>
      </c>
      <c r="D99" s="515" t="s">
        <v>136</v>
      </c>
      <c r="E99" s="503" t="s">
        <v>132</v>
      </c>
      <c r="F99" s="516">
        <v>2.0999999999999999E-3</v>
      </c>
      <c r="G99" s="485">
        <f t="shared" si="9"/>
        <v>180000</v>
      </c>
      <c r="H99" s="504">
        <f t="shared" si="8"/>
        <v>378</v>
      </c>
      <c r="I99" s="910">
        <f>SUM(H96:H99)</f>
        <v>13836.999999999998</v>
      </c>
    </row>
    <row r="100" spans="2:9">
      <c r="B100" s="494"/>
      <c r="C100" s="495"/>
      <c r="D100" s="496" t="s">
        <v>228</v>
      </c>
      <c r="E100" s="497"/>
      <c r="F100" s="517"/>
      <c r="G100" s="499"/>
      <c r="H100" s="500">
        <f>SUM(H93:H99)</f>
        <v>83337</v>
      </c>
    </row>
    <row r="101" spans="2:9">
      <c r="B101" s="396"/>
      <c r="C101" s="442" t="s">
        <v>229</v>
      </c>
      <c r="D101" s="378"/>
      <c r="E101" s="378"/>
      <c r="F101" s="378"/>
      <c r="G101" s="518"/>
      <c r="H101" s="518">
        <f>ROUND(H100,0)</f>
        <v>83337</v>
      </c>
    </row>
    <row r="102" spans="2:9">
      <c r="B102" s="591" t="s">
        <v>591</v>
      </c>
      <c r="C102" s="468" t="s">
        <v>2833</v>
      </c>
      <c r="D102" s="469"/>
      <c r="E102" s="645"/>
      <c r="F102" s="471"/>
      <c r="G102" s="646"/>
      <c r="H102" s="647"/>
    </row>
    <row r="103" spans="2:9">
      <c r="B103" s="582"/>
      <c r="C103" s="583" t="s">
        <v>28</v>
      </c>
      <c r="D103" s="165" t="s">
        <v>588</v>
      </c>
      <c r="E103" s="1062" t="s">
        <v>129</v>
      </c>
      <c r="F103" s="585">
        <v>1</v>
      </c>
      <c r="G103" s="1063">
        <f>G93</f>
        <v>55000</v>
      </c>
      <c r="H103" s="1064">
        <f t="shared" ref="H103:H109" si="10">G103*F103</f>
        <v>55000</v>
      </c>
    </row>
    <row r="104" spans="2:9">
      <c r="B104" s="1065"/>
      <c r="C104" s="1066" t="s">
        <v>28</v>
      </c>
      <c r="D104" s="1067" t="s">
        <v>141</v>
      </c>
      <c r="E104" s="1068" t="s">
        <v>129</v>
      </c>
      <c r="F104" s="1069">
        <v>4.5</v>
      </c>
      <c r="G104" s="1070">
        <v>12200</v>
      </c>
      <c r="H104" s="1071">
        <f t="shared" si="10"/>
        <v>54900</v>
      </c>
    </row>
    <row r="105" spans="2:9">
      <c r="B105" s="1065"/>
      <c r="C105" s="1066" t="s">
        <v>28</v>
      </c>
      <c r="D105" s="1072" t="s">
        <v>131</v>
      </c>
      <c r="E105" s="1068" t="s">
        <v>142</v>
      </c>
      <c r="F105" s="1069">
        <v>0.27</v>
      </c>
      <c r="G105" s="1070">
        <v>0</v>
      </c>
      <c r="H105" s="1071">
        <f t="shared" si="10"/>
        <v>0</v>
      </c>
      <c r="I105" s="910">
        <f>SUM(H103:H105)</f>
        <v>109900</v>
      </c>
    </row>
    <row r="106" spans="2:9">
      <c r="B106" s="1065"/>
      <c r="C106" s="1066" t="s">
        <v>28</v>
      </c>
      <c r="D106" s="1072" t="s">
        <v>133</v>
      </c>
      <c r="E106" s="1068" t="s">
        <v>132</v>
      </c>
      <c r="F106" s="1069">
        <v>8.5000000000000006E-2</v>
      </c>
      <c r="G106" s="1070">
        <f>G86</f>
        <v>136000</v>
      </c>
      <c r="H106" s="1071">
        <f t="shared" si="10"/>
        <v>11560</v>
      </c>
    </row>
    <row r="107" spans="2:9">
      <c r="B107" s="1065"/>
      <c r="C107" s="1066" t="s">
        <v>28</v>
      </c>
      <c r="D107" s="1072" t="s">
        <v>134</v>
      </c>
      <c r="E107" s="1068" t="s">
        <v>132</v>
      </c>
      <c r="F107" s="1069">
        <v>8.5000000000000006E-2</v>
      </c>
      <c r="G107" s="1070">
        <f>G87</f>
        <v>160000</v>
      </c>
      <c r="H107" s="1071">
        <f t="shared" si="10"/>
        <v>13600.000000000002</v>
      </c>
    </row>
    <row r="108" spans="2:9">
      <c r="B108" s="1065"/>
      <c r="C108" s="1066" t="s">
        <v>28</v>
      </c>
      <c r="D108" s="1072" t="s">
        <v>135</v>
      </c>
      <c r="E108" s="1068" t="s">
        <v>132</v>
      </c>
      <c r="F108" s="1069">
        <v>8.5000000000000006E-3</v>
      </c>
      <c r="G108" s="1070">
        <f>G88</f>
        <v>170000</v>
      </c>
      <c r="H108" s="1071">
        <f t="shared" si="10"/>
        <v>1445</v>
      </c>
    </row>
    <row r="109" spans="2:9">
      <c r="B109" s="1073"/>
      <c r="C109" s="1074" t="s">
        <v>28</v>
      </c>
      <c r="D109" s="1075" t="s">
        <v>136</v>
      </c>
      <c r="E109" s="1076" t="s">
        <v>132</v>
      </c>
      <c r="F109" s="1077">
        <v>5.0000000000000001E-3</v>
      </c>
      <c r="G109" s="1070">
        <f>G89</f>
        <v>180000</v>
      </c>
      <c r="H109" s="1078">
        <f t="shared" si="10"/>
        <v>900</v>
      </c>
      <c r="I109" s="910">
        <f>SUM(H106:H109)</f>
        <v>27505</v>
      </c>
    </row>
    <row r="110" spans="2:9">
      <c r="B110" s="505"/>
      <c r="C110" s="1079"/>
      <c r="D110" s="1080" t="s">
        <v>228</v>
      </c>
      <c r="E110" s="1081"/>
      <c r="F110" s="1082"/>
      <c r="G110" s="1083"/>
      <c r="H110" s="1084">
        <f>SUM(H103:H109)</f>
        <v>137405</v>
      </c>
    </row>
    <row r="111" spans="2:9">
      <c r="B111" s="396"/>
      <c r="C111" s="1044" t="s">
        <v>229</v>
      </c>
      <c r="D111" s="1045"/>
      <c r="E111" s="1045"/>
      <c r="F111" s="1045"/>
      <c r="G111" s="1046"/>
      <c r="H111" s="1046">
        <f>ROUND(H110,0)</f>
        <v>137405</v>
      </c>
    </row>
    <row r="112" spans="2:9">
      <c r="B112" s="591" t="s">
        <v>591</v>
      </c>
      <c r="C112" s="468" t="s">
        <v>2834</v>
      </c>
      <c r="D112" s="469"/>
      <c r="E112" s="645"/>
      <c r="F112" s="471"/>
      <c r="G112" s="646"/>
      <c r="H112" s="647"/>
    </row>
    <row r="113" spans="2:9">
      <c r="B113" s="582"/>
      <c r="C113" s="583" t="s">
        <v>28</v>
      </c>
      <c r="D113" s="165" t="s">
        <v>588</v>
      </c>
      <c r="E113" s="477" t="s">
        <v>129</v>
      </c>
      <c r="F113" s="585">
        <v>1</v>
      </c>
      <c r="G113" s="479">
        <f>G83</f>
        <v>75000</v>
      </c>
      <c r="H113" s="480">
        <f t="shared" ref="H113:H119" si="11">G113*F113</f>
        <v>75000</v>
      </c>
    </row>
    <row r="114" spans="2:9">
      <c r="B114" s="481"/>
      <c r="C114" s="482" t="s">
        <v>28</v>
      </c>
      <c r="D114" s="171" t="s">
        <v>141</v>
      </c>
      <c r="E114" s="483" t="s">
        <v>129</v>
      </c>
      <c r="F114" s="484">
        <v>4.5</v>
      </c>
      <c r="G114" s="485">
        <v>12200</v>
      </c>
      <c r="H114" s="486">
        <f t="shared" si="11"/>
        <v>54900</v>
      </c>
    </row>
    <row r="115" spans="2:9">
      <c r="B115" s="481"/>
      <c r="C115" s="482" t="s">
        <v>28</v>
      </c>
      <c r="D115" s="487" t="s">
        <v>131</v>
      </c>
      <c r="E115" s="483" t="s">
        <v>142</v>
      </c>
      <c r="F115" s="484">
        <v>0.27</v>
      </c>
      <c r="G115" s="485">
        <f>G85</f>
        <v>8500</v>
      </c>
      <c r="H115" s="486">
        <f t="shared" si="11"/>
        <v>2295</v>
      </c>
      <c r="I115" s="910">
        <f>SUM(H113:H115)</f>
        <v>132195</v>
      </c>
    </row>
    <row r="116" spans="2:9">
      <c r="B116" s="481"/>
      <c r="C116" s="482" t="s">
        <v>28</v>
      </c>
      <c r="D116" s="487" t="s">
        <v>133</v>
      </c>
      <c r="E116" s="483" t="s">
        <v>132</v>
      </c>
      <c r="F116" s="484">
        <v>8.5000000000000006E-2</v>
      </c>
      <c r="G116" s="485">
        <f>G96</f>
        <v>136000</v>
      </c>
      <c r="H116" s="486">
        <f t="shared" si="11"/>
        <v>11560</v>
      </c>
    </row>
    <row r="117" spans="2:9">
      <c r="B117" s="481"/>
      <c r="C117" s="482" t="s">
        <v>28</v>
      </c>
      <c r="D117" s="487" t="s">
        <v>134</v>
      </c>
      <c r="E117" s="483" t="s">
        <v>132</v>
      </c>
      <c r="F117" s="484">
        <v>8.5000000000000006E-2</v>
      </c>
      <c r="G117" s="485">
        <f>G97</f>
        <v>160000</v>
      </c>
      <c r="H117" s="486">
        <f t="shared" si="11"/>
        <v>13600.000000000002</v>
      </c>
    </row>
    <row r="118" spans="2:9">
      <c r="B118" s="481"/>
      <c r="C118" s="482" t="s">
        <v>28</v>
      </c>
      <c r="D118" s="487" t="s">
        <v>135</v>
      </c>
      <c r="E118" s="483" t="s">
        <v>132</v>
      </c>
      <c r="F118" s="484">
        <v>8.5000000000000006E-3</v>
      </c>
      <c r="G118" s="485">
        <f>G98</f>
        <v>170000</v>
      </c>
      <c r="H118" s="486">
        <f t="shared" si="11"/>
        <v>1445</v>
      </c>
    </row>
    <row r="119" spans="2:9">
      <c r="B119" s="488"/>
      <c r="C119" s="501" t="s">
        <v>28</v>
      </c>
      <c r="D119" s="502" t="s">
        <v>136</v>
      </c>
      <c r="E119" s="503" t="s">
        <v>132</v>
      </c>
      <c r="F119" s="513">
        <v>5.0000000000000001E-3</v>
      </c>
      <c r="G119" s="485">
        <f>G99</f>
        <v>180000</v>
      </c>
      <c r="H119" s="504">
        <f t="shared" si="11"/>
        <v>900</v>
      </c>
      <c r="I119" s="910">
        <f>SUM(H116:H119)</f>
        <v>27505</v>
      </c>
    </row>
    <row r="120" spans="2:9">
      <c r="B120" s="505"/>
      <c r="C120" s="495"/>
      <c r="D120" s="506" t="s">
        <v>228</v>
      </c>
      <c r="E120" s="507"/>
      <c r="F120" s="654"/>
      <c r="G120" s="509"/>
      <c r="H120" s="510">
        <f>SUM(H113:H119)</f>
        <v>159700</v>
      </c>
    </row>
    <row r="121" spans="2:9">
      <c r="B121" s="396"/>
      <c r="C121" s="442" t="s">
        <v>229</v>
      </c>
      <c r="D121" s="378"/>
      <c r="E121" s="378"/>
      <c r="F121" s="378"/>
      <c r="G121" s="518"/>
      <c r="H121" s="518">
        <f>ROUND(H120,0)</f>
        <v>159700</v>
      </c>
    </row>
    <row r="122" spans="2:9">
      <c r="B122" s="591" t="s">
        <v>592</v>
      </c>
      <c r="C122" s="468" t="s">
        <v>593</v>
      </c>
      <c r="D122" s="469"/>
      <c r="E122" s="470"/>
      <c r="F122" s="471"/>
      <c r="G122" s="472"/>
      <c r="H122" s="473"/>
    </row>
    <row r="123" spans="2:9">
      <c r="B123" s="474"/>
      <c r="C123" s="583" t="s">
        <v>28</v>
      </c>
      <c r="D123" s="655" t="s">
        <v>594</v>
      </c>
      <c r="E123" s="477" t="s">
        <v>129</v>
      </c>
      <c r="F123" s="478">
        <v>4.4000000000000004</v>
      </c>
      <c r="G123" s="479">
        <f>G113</f>
        <v>75000</v>
      </c>
      <c r="H123" s="480">
        <f t="shared" ref="H123:H128" si="12">G123*F123</f>
        <v>330000</v>
      </c>
    </row>
    <row r="124" spans="2:9">
      <c r="B124" s="481"/>
      <c r="C124" s="482" t="s">
        <v>28</v>
      </c>
      <c r="D124" s="171" t="s">
        <v>595</v>
      </c>
      <c r="E124" s="483" t="s">
        <v>147</v>
      </c>
      <c r="F124" s="484">
        <v>1.05</v>
      </c>
      <c r="G124" s="485">
        <v>250000</v>
      </c>
      <c r="H124" s="486">
        <f t="shared" si="12"/>
        <v>262500</v>
      </c>
      <c r="I124" s="910">
        <f>SUM(H123:H124)</f>
        <v>592500</v>
      </c>
    </row>
    <row r="125" spans="2:9">
      <c r="B125" s="481"/>
      <c r="C125" s="482" t="s">
        <v>28</v>
      </c>
      <c r="D125" s="487" t="s">
        <v>133</v>
      </c>
      <c r="E125" s="483" t="s">
        <v>132</v>
      </c>
      <c r="F125" s="484">
        <v>8.5000000000000006E-2</v>
      </c>
      <c r="G125" s="485">
        <f>G116</f>
        <v>136000</v>
      </c>
      <c r="H125" s="486">
        <f t="shared" si="12"/>
        <v>11560</v>
      </c>
    </row>
    <row r="126" spans="2:9">
      <c r="B126" s="481"/>
      <c r="C126" s="482" t="s">
        <v>28</v>
      </c>
      <c r="D126" s="487" t="s">
        <v>134</v>
      </c>
      <c r="E126" s="483" t="s">
        <v>132</v>
      </c>
      <c r="F126" s="484">
        <v>8.5000000000000006E-2</v>
      </c>
      <c r="G126" s="485">
        <f>G117</f>
        <v>160000</v>
      </c>
      <c r="H126" s="486">
        <f t="shared" si="12"/>
        <v>13600.000000000002</v>
      </c>
    </row>
    <row r="127" spans="2:9">
      <c r="B127" s="481"/>
      <c r="C127" s="482" t="s">
        <v>28</v>
      </c>
      <c r="D127" s="487" t="s">
        <v>135</v>
      </c>
      <c r="E127" s="483" t="s">
        <v>132</v>
      </c>
      <c r="F127" s="484">
        <v>8.5000000000000006E-3</v>
      </c>
      <c r="G127" s="485">
        <f>G118</f>
        <v>170000</v>
      </c>
      <c r="H127" s="486">
        <f t="shared" si="12"/>
        <v>1445</v>
      </c>
    </row>
    <row r="128" spans="2:9">
      <c r="B128" s="488"/>
      <c r="C128" s="501" t="s">
        <v>28</v>
      </c>
      <c r="D128" s="502" t="s">
        <v>136</v>
      </c>
      <c r="E128" s="503" t="s">
        <v>132</v>
      </c>
      <c r="F128" s="513">
        <v>4.1999999999999997E-3</v>
      </c>
      <c r="G128" s="485">
        <f>G119</f>
        <v>180000</v>
      </c>
      <c r="H128" s="504">
        <f t="shared" si="12"/>
        <v>756</v>
      </c>
      <c r="I128" s="910">
        <f>SUM(H125:H128)</f>
        <v>27361</v>
      </c>
    </row>
    <row r="129" spans="2:9">
      <c r="B129" s="505"/>
      <c r="C129" s="495"/>
      <c r="D129" s="506" t="s">
        <v>228</v>
      </c>
      <c r="E129" s="507"/>
      <c r="F129" s="654"/>
      <c r="G129" s="509"/>
      <c r="H129" s="510">
        <f>SUM(H123:H128)</f>
        <v>619861</v>
      </c>
    </row>
    <row r="130" spans="2:9">
      <c r="B130" s="396"/>
      <c r="C130" s="442" t="s">
        <v>229</v>
      </c>
      <c r="D130" s="378"/>
      <c r="E130" s="378"/>
      <c r="F130" s="378"/>
      <c r="G130" s="518"/>
      <c r="H130" s="518">
        <f>ROUND(H129,0)</f>
        <v>619861</v>
      </c>
    </row>
    <row r="131" spans="2:9">
      <c r="B131" s="591" t="s">
        <v>596</v>
      </c>
      <c r="C131" s="468" t="s">
        <v>597</v>
      </c>
      <c r="D131" s="469"/>
      <c r="E131" s="645"/>
      <c r="F131" s="471"/>
      <c r="G131" s="646"/>
      <c r="H131" s="647"/>
    </row>
    <row r="132" spans="2:9">
      <c r="B132" s="582"/>
      <c r="C132" s="583" t="s">
        <v>28</v>
      </c>
      <c r="D132" s="165" t="s">
        <v>598</v>
      </c>
      <c r="E132" s="477" t="s">
        <v>240</v>
      </c>
      <c r="F132" s="585">
        <v>1</v>
      </c>
      <c r="G132" s="479">
        <f>BAHAN!$E$189</f>
        <v>400000</v>
      </c>
      <c r="H132" s="480">
        <f>G132*F132</f>
        <v>400000</v>
      </c>
      <c r="I132" s="910">
        <f>SUM(H132)</f>
        <v>400000</v>
      </c>
    </row>
    <row r="133" spans="2:9">
      <c r="B133" s="481"/>
      <c r="C133" s="482" t="s">
        <v>28</v>
      </c>
      <c r="D133" s="487" t="s">
        <v>133</v>
      </c>
      <c r="E133" s="483" t="s">
        <v>132</v>
      </c>
      <c r="F133" s="484">
        <v>1.05</v>
      </c>
      <c r="G133" s="485">
        <f>G125</f>
        <v>136000</v>
      </c>
      <c r="H133" s="486">
        <f>G133*F133</f>
        <v>142800</v>
      </c>
    </row>
    <row r="134" spans="2:9">
      <c r="B134" s="481"/>
      <c r="C134" s="482" t="s">
        <v>28</v>
      </c>
      <c r="D134" s="487" t="s">
        <v>134</v>
      </c>
      <c r="E134" s="483" t="s">
        <v>132</v>
      </c>
      <c r="F134" s="484">
        <f>F133</f>
        <v>1.05</v>
      </c>
      <c r="G134" s="485">
        <f>G126</f>
        <v>160000</v>
      </c>
      <c r="H134" s="486">
        <f>G134*F134</f>
        <v>168000</v>
      </c>
    </row>
    <row r="135" spans="2:9">
      <c r="B135" s="481"/>
      <c r="C135" s="482" t="s">
        <v>28</v>
      </c>
      <c r="D135" s="487" t="s">
        <v>135</v>
      </c>
      <c r="E135" s="483" t="s">
        <v>132</v>
      </c>
      <c r="F135" s="484">
        <v>0.105</v>
      </c>
      <c r="G135" s="485">
        <f>G127</f>
        <v>170000</v>
      </c>
      <c r="H135" s="486">
        <f>G135*F135</f>
        <v>17850</v>
      </c>
    </row>
    <row r="136" spans="2:9">
      <c r="B136" s="488"/>
      <c r="C136" s="501" t="s">
        <v>28</v>
      </c>
      <c r="D136" s="502" t="s">
        <v>136</v>
      </c>
      <c r="E136" s="503" t="s">
        <v>132</v>
      </c>
      <c r="F136" s="513">
        <v>5.1999999999999998E-3</v>
      </c>
      <c r="G136" s="485">
        <f>G128</f>
        <v>180000</v>
      </c>
      <c r="H136" s="504">
        <f>G136*F136</f>
        <v>936</v>
      </c>
      <c r="I136" s="910">
        <f>SUM(H133:H136)</f>
        <v>329586</v>
      </c>
    </row>
    <row r="137" spans="2:9">
      <c r="B137" s="505"/>
      <c r="C137" s="495"/>
      <c r="D137" s="506" t="s">
        <v>228</v>
      </c>
      <c r="E137" s="507"/>
      <c r="F137" s="654"/>
      <c r="G137" s="509"/>
      <c r="H137" s="510">
        <f>SUM(H132:H136)</f>
        <v>729586</v>
      </c>
    </row>
    <row r="138" spans="2:9">
      <c r="B138" s="396"/>
      <c r="C138" s="442" t="s">
        <v>229</v>
      </c>
      <c r="D138" s="378"/>
      <c r="E138" s="378"/>
      <c r="F138" s="378"/>
      <c r="G138" s="518"/>
      <c r="H138" s="518">
        <f>ROUND(H137,0)</f>
        <v>729586</v>
      </c>
    </row>
    <row r="139" spans="2:9">
      <c r="B139" s="591" t="s">
        <v>599</v>
      </c>
      <c r="C139" s="468" t="s">
        <v>600</v>
      </c>
      <c r="D139" s="469"/>
      <c r="E139" s="645"/>
      <c r="F139" s="471"/>
      <c r="G139" s="646"/>
      <c r="H139" s="647"/>
    </row>
    <row r="140" spans="2:9">
      <c r="B140" s="582"/>
      <c r="C140" s="583" t="s">
        <v>28</v>
      </c>
      <c r="D140" s="165" t="s">
        <v>601</v>
      </c>
      <c r="E140" s="477" t="s">
        <v>240</v>
      </c>
      <c r="F140" s="585">
        <v>1</v>
      </c>
      <c r="G140" s="479">
        <f>BAHAN!$E$84</f>
        <v>330000</v>
      </c>
      <c r="H140" s="480">
        <f>G140*F140</f>
        <v>330000</v>
      </c>
      <c r="I140" s="910">
        <f>SUM(H140)</f>
        <v>330000</v>
      </c>
    </row>
    <row r="141" spans="2:9">
      <c r="B141" s="481"/>
      <c r="C141" s="482" t="s">
        <v>28</v>
      </c>
      <c r="D141" s="487" t="s">
        <v>133</v>
      </c>
      <c r="E141" s="483" t="s">
        <v>132</v>
      </c>
      <c r="F141" s="484">
        <v>0.35</v>
      </c>
      <c r="G141" s="485">
        <f>G133</f>
        <v>136000</v>
      </c>
      <c r="H141" s="486">
        <f>G141*F141</f>
        <v>47600</v>
      </c>
    </row>
    <row r="142" spans="2:9">
      <c r="B142" s="481"/>
      <c r="C142" s="482" t="s">
        <v>28</v>
      </c>
      <c r="D142" s="487" t="s">
        <v>134</v>
      </c>
      <c r="E142" s="483" t="s">
        <v>132</v>
      </c>
      <c r="F142" s="484">
        <f>F141</f>
        <v>0.35</v>
      </c>
      <c r="G142" s="485">
        <f>G134</f>
        <v>160000</v>
      </c>
      <c r="H142" s="486">
        <f>G142*F142</f>
        <v>56000</v>
      </c>
    </row>
    <row r="143" spans="2:9">
      <c r="B143" s="481"/>
      <c r="C143" s="482" t="s">
        <v>28</v>
      </c>
      <c r="D143" s="487" t="s">
        <v>135</v>
      </c>
      <c r="E143" s="483" t="s">
        <v>132</v>
      </c>
      <c r="F143" s="484">
        <v>3.5000000000000003E-2</v>
      </c>
      <c r="G143" s="485">
        <f>G135</f>
        <v>170000</v>
      </c>
      <c r="H143" s="486">
        <f>G143*F143</f>
        <v>5950.0000000000009</v>
      </c>
    </row>
    <row r="144" spans="2:9">
      <c r="B144" s="488"/>
      <c r="C144" s="501" t="s">
        <v>28</v>
      </c>
      <c r="D144" s="502" t="s">
        <v>136</v>
      </c>
      <c r="E144" s="503" t="s">
        <v>132</v>
      </c>
      <c r="F144" s="513">
        <v>1.8E-3</v>
      </c>
      <c r="G144" s="485">
        <f>G136</f>
        <v>180000</v>
      </c>
      <c r="H144" s="504">
        <f>G144*F144</f>
        <v>324</v>
      </c>
      <c r="I144" s="910">
        <f>SUM(H141:H144)</f>
        <v>109874</v>
      </c>
    </row>
    <row r="145" spans="2:11">
      <c r="B145" s="505"/>
      <c r="C145" s="495"/>
      <c r="D145" s="506" t="s">
        <v>228</v>
      </c>
      <c r="E145" s="507"/>
      <c r="F145" s="654"/>
      <c r="G145" s="509"/>
      <c r="H145" s="510">
        <f>SUM(H140:H144)</f>
        <v>439874</v>
      </c>
    </row>
    <row r="146" spans="2:11">
      <c r="B146" s="396"/>
      <c r="C146" s="442" t="s">
        <v>229</v>
      </c>
      <c r="D146" s="378"/>
      <c r="E146" s="378"/>
      <c r="F146" s="378"/>
      <c r="G146" s="518"/>
      <c r="H146" s="518">
        <f>ROUND(H145,0)</f>
        <v>439874</v>
      </c>
    </row>
    <row r="147" spans="2:11">
      <c r="B147" s="530" t="s">
        <v>1507</v>
      </c>
      <c r="C147" s="419" t="s">
        <v>1874</v>
      </c>
      <c r="D147" s="558"/>
      <c r="E147" s="559"/>
      <c r="F147" s="560"/>
      <c r="G147" s="561"/>
      <c r="H147" s="562"/>
    </row>
    <row r="148" spans="2:11">
      <c r="B148" s="1185"/>
      <c r="C148" s="1097" t="s">
        <v>28</v>
      </c>
      <c r="D148" s="1102" t="s">
        <v>1872</v>
      </c>
      <c r="E148" s="1121" t="s">
        <v>1074</v>
      </c>
      <c r="F148" s="1100">
        <f>3/6</f>
        <v>0.5</v>
      </c>
      <c r="G148" s="1186">
        <f>BAHAN!$E$183</f>
        <v>161000</v>
      </c>
      <c r="H148" s="1101">
        <f>F148*G148</f>
        <v>80500</v>
      </c>
      <c r="I148" s="5">
        <f>5*6</f>
        <v>30</v>
      </c>
      <c r="J148" s="1410">
        <f>SUM(BOQ!E1252:E1259)</f>
        <v>0</v>
      </c>
      <c r="K148" s="910">
        <f>J148*F148</f>
        <v>0</v>
      </c>
    </row>
    <row r="149" spans="2:11">
      <c r="B149" s="1185"/>
      <c r="C149" s="1097" t="s">
        <v>28</v>
      </c>
      <c r="D149" s="1102" t="s">
        <v>1873</v>
      </c>
      <c r="E149" s="1121" t="s">
        <v>1074</v>
      </c>
      <c r="F149" s="1100">
        <v>0</v>
      </c>
      <c r="G149" s="1186">
        <f>BAHAN!$E$176</f>
        <v>44620</v>
      </c>
      <c r="H149" s="1101">
        <f>F149*G149</f>
        <v>0</v>
      </c>
      <c r="I149" s="5">
        <f>2*2*9</f>
        <v>36</v>
      </c>
      <c r="J149" s="1410">
        <f>J148</f>
        <v>0</v>
      </c>
      <c r="K149" s="910">
        <f>J149*F149</f>
        <v>0</v>
      </c>
    </row>
    <row r="150" spans="2:11">
      <c r="B150" s="2240"/>
      <c r="C150" s="2064"/>
      <c r="D150" s="2241" t="s">
        <v>2508</v>
      </c>
      <c r="E150" s="2085" t="s">
        <v>147</v>
      </c>
      <c r="F150" s="2242">
        <v>0</v>
      </c>
      <c r="G150" s="2243">
        <f>L!$I$103</f>
        <v>410000</v>
      </c>
      <c r="H150" s="1101">
        <f>F150*G150</f>
        <v>0</v>
      </c>
      <c r="J150" s="1410"/>
      <c r="K150" s="1410"/>
    </row>
    <row r="151" spans="2:11">
      <c r="B151" s="1185"/>
      <c r="C151" s="1097" t="s">
        <v>28</v>
      </c>
      <c r="D151" s="1102" t="s">
        <v>1734</v>
      </c>
      <c r="E151" s="1121" t="s">
        <v>88</v>
      </c>
      <c r="F151" s="1100">
        <v>0</v>
      </c>
      <c r="G151" s="1186">
        <v>25000</v>
      </c>
      <c r="H151" s="1101">
        <f>F151*G151</f>
        <v>0</v>
      </c>
      <c r="J151" s="1410">
        <f>J149</f>
        <v>0</v>
      </c>
      <c r="K151" s="910">
        <f>J151*F151</f>
        <v>0</v>
      </c>
    </row>
    <row r="152" spans="2:11">
      <c r="B152" s="1185"/>
      <c r="C152" s="1097" t="s">
        <v>28</v>
      </c>
      <c r="D152" s="1102" t="s">
        <v>1373</v>
      </c>
      <c r="E152" s="1121" t="s">
        <v>124</v>
      </c>
      <c r="F152" s="1412">
        <v>1</v>
      </c>
      <c r="G152" s="1413">
        <f>5000</f>
        <v>5000</v>
      </c>
      <c r="H152" s="1101">
        <f>F152*G152</f>
        <v>5000</v>
      </c>
      <c r="J152" s="1410">
        <f>J151</f>
        <v>0</v>
      </c>
      <c r="K152" s="910">
        <f>J152*F152</f>
        <v>0</v>
      </c>
    </row>
    <row r="153" spans="2:11">
      <c r="B153" s="1189"/>
      <c r="C153" s="1190" t="s">
        <v>28</v>
      </c>
      <c r="D153" s="1191" t="s">
        <v>560</v>
      </c>
      <c r="E153" s="1192" t="s">
        <v>47</v>
      </c>
      <c r="F153" s="1411">
        <f>0.4/10*66</f>
        <v>2.64</v>
      </c>
      <c r="G153" s="1255">
        <f>BAHAN!$E$393</f>
        <v>36000</v>
      </c>
      <c r="H153" s="1193">
        <f t="shared" ref="H153:H158" si="13">G153*F153</f>
        <v>95040</v>
      </c>
      <c r="J153" s="1410">
        <f>J152</f>
        <v>0</v>
      </c>
      <c r="K153" s="910">
        <f>J153*F153</f>
        <v>0</v>
      </c>
    </row>
    <row r="154" spans="2:11">
      <c r="B154" s="1189"/>
      <c r="C154" s="1190" t="s">
        <v>28</v>
      </c>
      <c r="D154" s="1191" t="s">
        <v>561</v>
      </c>
      <c r="E154" s="1192" t="s">
        <v>309</v>
      </c>
      <c r="F154" s="639">
        <f>0.17/10*66</f>
        <v>1.1220000000000001</v>
      </c>
      <c r="G154" s="485">
        <f>BAHAN!$E$394</f>
        <v>56250</v>
      </c>
      <c r="H154" s="1193">
        <f t="shared" si="13"/>
        <v>63112.500000000007</v>
      </c>
      <c r="I154" s="910">
        <f>SUM(H148:H154)</f>
        <v>243652.5</v>
      </c>
      <c r="J154" s="1410">
        <f>J153</f>
        <v>0</v>
      </c>
      <c r="K154" s="910">
        <f>J154*F154</f>
        <v>0</v>
      </c>
    </row>
    <row r="155" spans="2:11">
      <c r="B155" s="1189"/>
      <c r="C155" s="1190" t="s">
        <v>28</v>
      </c>
      <c r="D155" s="1191" t="s">
        <v>133</v>
      </c>
      <c r="E155" s="1194" t="s">
        <v>263</v>
      </c>
      <c r="F155" s="640">
        <f>0.04/10*66</f>
        <v>0.26400000000000001</v>
      </c>
      <c r="G155" s="485">
        <f>UPAH!$E$26</f>
        <v>136000</v>
      </c>
      <c r="H155" s="1193">
        <f t="shared" si="13"/>
        <v>35904</v>
      </c>
    </row>
    <row r="156" spans="2:11">
      <c r="B156" s="1189"/>
      <c r="C156" s="1190" t="s">
        <v>28</v>
      </c>
      <c r="D156" s="1191" t="s">
        <v>358</v>
      </c>
      <c r="E156" s="1194" t="s">
        <v>263</v>
      </c>
      <c r="F156" s="639">
        <f>0.02/10*66</f>
        <v>0.13200000000000001</v>
      </c>
      <c r="G156" s="485">
        <f>UPAH!$E$18</f>
        <v>160000</v>
      </c>
      <c r="H156" s="1193">
        <f t="shared" si="13"/>
        <v>21120</v>
      </c>
    </row>
    <row r="157" spans="2:11">
      <c r="B157" s="1189"/>
      <c r="C157" s="1190" t="s">
        <v>28</v>
      </c>
      <c r="D157" s="1191" t="s">
        <v>562</v>
      </c>
      <c r="E157" s="1194" t="s">
        <v>263</v>
      </c>
      <c r="F157" s="639">
        <f>0.002/10*66</f>
        <v>1.32E-2</v>
      </c>
      <c r="G157" s="485">
        <f>UPAH!$E$12</f>
        <v>170000</v>
      </c>
      <c r="H157" s="1193">
        <f t="shared" si="13"/>
        <v>2244</v>
      </c>
    </row>
    <row r="158" spans="2:11">
      <c r="B158" s="1195"/>
      <c r="C158" s="1196" t="s">
        <v>28</v>
      </c>
      <c r="D158" s="1197" t="s">
        <v>136</v>
      </c>
      <c r="E158" s="1198" t="s">
        <v>263</v>
      </c>
      <c r="F158" s="644">
        <f>0.002/10*66</f>
        <v>1.32E-2</v>
      </c>
      <c r="G158" s="485">
        <f>UPAH!$E$9</f>
        <v>180000</v>
      </c>
      <c r="H158" s="1193">
        <f t="shared" si="13"/>
        <v>2376</v>
      </c>
      <c r="I158" s="910">
        <f>SUM(H155:H158)</f>
        <v>61644</v>
      </c>
    </row>
    <row r="159" spans="2:11">
      <c r="B159" s="216"/>
      <c r="C159" s="882"/>
      <c r="D159" s="866" t="s">
        <v>228</v>
      </c>
      <c r="E159" s="883"/>
      <c r="F159" s="979"/>
      <c r="G159" s="885"/>
      <c r="H159" s="886">
        <f>SUM(H148:H158)</f>
        <v>305296.5</v>
      </c>
    </row>
    <row r="160" spans="2:11">
      <c r="B160" s="1199"/>
      <c r="C160" s="1107" t="s">
        <v>229</v>
      </c>
      <c r="D160" s="1108"/>
      <c r="E160" s="1108"/>
      <c r="F160" s="1108"/>
      <c r="G160" s="1109"/>
      <c r="H160" s="1109">
        <f>ROUND(H159,0)</f>
        <v>305297</v>
      </c>
    </row>
    <row r="161" spans="2:12">
      <c r="B161" s="530" t="s">
        <v>1507</v>
      </c>
      <c r="C161" s="419" t="s">
        <v>1875</v>
      </c>
      <c r="D161" s="558"/>
      <c r="E161" s="559"/>
      <c r="F161" s="560"/>
      <c r="G161" s="561"/>
      <c r="H161" s="562"/>
    </row>
    <row r="162" spans="2:12">
      <c r="B162" s="1185"/>
      <c r="C162" s="1097" t="s">
        <v>28</v>
      </c>
      <c r="D162" s="1102" t="s">
        <v>1872</v>
      </c>
      <c r="E162" s="1121" t="s">
        <v>1074</v>
      </c>
      <c r="F162" s="1100">
        <f>3/6</f>
        <v>0.5</v>
      </c>
      <c r="G162" s="1186">
        <f>BAHAN!$E$183</f>
        <v>161000</v>
      </c>
      <c r="H162" s="1101">
        <f>F162*G162</f>
        <v>80500</v>
      </c>
      <c r="I162" s="5">
        <f>5*12</f>
        <v>60</v>
      </c>
      <c r="J162" s="1410"/>
      <c r="K162" s="910">
        <f>J162*F162</f>
        <v>0</v>
      </c>
    </row>
    <row r="163" spans="2:12">
      <c r="B163" s="1185"/>
      <c r="C163" s="1097" t="s">
        <v>28</v>
      </c>
      <c r="D163" s="1102" t="s">
        <v>1873</v>
      </c>
      <c r="E163" s="1121" t="s">
        <v>1074</v>
      </c>
      <c r="F163" s="1100">
        <f>5/6</f>
        <v>0.83333333333333337</v>
      </c>
      <c r="G163" s="1186">
        <f>BAHAN!$E$176</f>
        <v>44620</v>
      </c>
      <c r="H163" s="1101">
        <f>F163*G163</f>
        <v>37183.333333333336</v>
      </c>
      <c r="I163" s="5">
        <f>2*2*9*2</f>
        <v>72</v>
      </c>
      <c r="J163" s="1410">
        <f>J162</f>
        <v>0</v>
      </c>
      <c r="K163" s="910">
        <f>J163*F163</f>
        <v>0</v>
      </c>
    </row>
    <row r="164" spans="2:12">
      <c r="B164" s="2240"/>
      <c r="C164" s="2064"/>
      <c r="D164" s="2241" t="s">
        <v>2508</v>
      </c>
      <c r="E164" s="2085" t="s">
        <v>147</v>
      </c>
      <c r="F164" s="2242">
        <v>0</v>
      </c>
      <c r="G164" s="2243">
        <f>L!$I$103</f>
        <v>410000</v>
      </c>
      <c r="H164" s="1101">
        <f>F164*G164</f>
        <v>0</v>
      </c>
      <c r="J164" s="1410"/>
      <c r="K164" s="1410"/>
    </row>
    <row r="165" spans="2:12">
      <c r="B165" s="1185"/>
      <c r="C165" s="1097" t="s">
        <v>28</v>
      </c>
      <c r="D165" s="1102" t="s">
        <v>1734</v>
      </c>
      <c r="E165" s="1121" t="s">
        <v>88</v>
      </c>
      <c r="F165" s="1100">
        <v>0</v>
      </c>
      <c r="G165" s="1186">
        <v>25000</v>
      </c>
      <c r="H165" s="1101">
        <f>F165*G165</f>
        <v>0</v>
      </c>
      <c r="J165" s="1410">
        <f>J163</f>
        <v>0</v>
      </c>
      <c r="K165" s="910">
        <f>J165*F165</f>
        <v>0</v>
      </c>
    </row>
    <row r="166" spans="2:12">
      <c r="B166" s="1185"/>
      <c r="C166" s="1097" t="s">
        <v>28</v>
      </c>
      <c r="D166" s="1102" t="s">
        <v>1373</v>
      </c>
      <c r="E166" s="1121" t="s">
        <v>124</v>
      </c>
      <c r="F166" s="1412">
        <v>1</v>
      </c>
      <c r="G166" s="1186">
        <f>5000</f>
        <v>5000</v>
      </c>
      <c r="H166" s="1101">
        <f>F166*G166</f>
        <v>5000</v>
      </c>
      <c r="J166" s="1410">
        <f>J165</f>
        <v>0</v>
      </c>
      <c r="K166" s="910">
        <f>J166*F166</f>
        <v>0</v>
      </c>
    </row>
    <row r="167" spans="2:12">
      <c r="B167" s="1189"/>
      <c r="C167" s="1190" t="s">
        <v>28</v>
      </c>
      <c r="D167" s="1191" t="s">
        <v>560</v>
      </c>
      <c r="E167" s="1192" t="s">
        <v>47</v>
      </c>
      <c r="F167" s="1411">
        <f>0.4/10*66</f>
        <v>2.64</v>
      </c>
      <c r="G167" s="1255">
        <f>BAHAN!$E$393</f>
        <v>36000</v>
      </c>
      <c r="H167" s="1193">
        <f t="shared" ref="H167:H172" si="14">G167*F167</f>
        <v>95040</v>
      </c>
      <c r="J167" s="1410">
        <f>J166</f>
        <v>0</v>
      </c>
      <c r="K167" s="910">
        <f>J167*F167</f>
        <v>0</v>
      </c>
    </row>
    <row r="168" spans="2:12">
      <c r="B168" s="1189"/>
      <c r="C168" s="1190" t="s">
        <v>28</v>
      </c>
      <c r="D168" s="1191" t="s">
        <v>561</v>
      </c>
      <c r="E168" s="1192" t="s">
        <v>309</v>
      </c>
      <c r="F168" s="639">
        <f>0.17/10*66</f>
        <v>1.1220000000000001</v>
      </c>
      <c r="G168" s="485">
        <f>BAHAN!$E$394</f>
        <v>56250</v>
      </c>
      <c r="H168" s="1193">
        <f t="shared" si="14"/>
        <v>63112.500000000007</v>
      </c>
      <c r="I168" s="910">
        <f>SUM(H162:H168)</f>
        <v>280835.83333333337</v>
      </c>
      <c r="J168" s="1410">
        <f>J167</f>
        <v>0</v>
      </c>
      <c r="K168" s="910">
        <f>J168*F168</f>
        <v>0</v>
      </c>
    </row>
    <row r="169" spans="2:12">
      <c r="B169" s="1189"/>
      <c r="C169" s="1190" t="s">
        <v>28</v>
      </c>
      <c r="D169" s="1191" t="s">
        <v>133</v>
      </c>
      <c r="E169" s="1194" t="s">
        <v>263</v>
      </c>
      <c r="F169" s="640">
        <f>0.04/10*66</f>
        <v>0.26400000000000001</v>
      </c>
      <c r="G169" s="485">
        <f>UPAH!$E$26</f>
        <v>136000</v>
      </c>
      <c r="H169" s="1193">
        <f t="shared" si="14"/>
        <v>35904</v>
      </c>
    </row>
    <row r="170" spans="2:12">
      <c r="B170" s="1189"/>
      <c r="C170" s="1190" t="s">
        <v>28</v>
      </c>
      <c r="D170" s="1191" t="s">
        <v>358</v>
      </c>
      <c r="E170" s="1194" t="s">
        <v>263</v>
      </c>
      <c r="F170" s="639">
        <f>0.02/10*66</f>
        <v>0.13200000000000001</v>
      </c>
      <c r="G170" s="485">
        <f>UPAH!$E$18</f>
        <v>160000</v>
      </c>
      <c r="H170" s="1193">
        <f t="shared" si="14"/>
        <v>21120</v>
      </c>
    </row>
    <row r="171" spans="2:12">
      <c r="B171" s="1189"/>
      <c r="C171" s="1190" t="s">
        <v>28</v>
      </c>
      <c r="D171" s="1191" t="s">
        <v>562</v>
      </c>
      <c r="E171" s="1194" t="s">
        <v>263</v>
      </c>
      <c r="F171" s="639">
        <f>0.002/10*66</f>
        <v>1.32E-2</v>
      </c>
      <c r="G171" s="485">
        <f>UPAH!$E$12</f>
        <v>170000</v>
      </c>
      <c r="H171" s="1193">
        <f t="shared" si="14"/>
        <v>2244</v>
      </c>
    </row>
    <row r="172" spans="2:12">
      <c r="B172" s="1195"/>
      <c r="C172" s="1196" t="s">
        <v>28</v>
      </c>
      <c r="D172" s="1197" t="s">
        <v>136</v>
      </c>
      <c r="E172" s="1198" t="s">
        <v>263</v>
      </c>
      <c r="F172" s="644">
        <f>0.002/10*66</f>
        <v>1.32E-2</v>
      </c>
      <c r="G172" s="485">
        <f>UPAH!$E$9</f>
        <v>180000</v>
      </c>
      <c r="H172" s="1193">
        <f t="shared" si="14"/>
        <v>2376</v>
      </c>
      <c r="I172" s="910">
        <f>SUM(H169:H172)</f>
        <v>61644</v>
      </c>
    </row>
    <row r="173" spans="2:12">
      <c r="B173" s="216"/>
      <c r="C173" s="882"/>
      <c r="D173" s="866" t="s">
        <v>228</v>
      </c>
      <c r="E173" s="883"/>
      <c r="F173" s="979"/>
      <c r="G173" s="885"/>
      <c r="H173" s="886">
        <f>SUM(H162:H172)</f>
        <v>342479.83333333337</v>
      </c>
    </row>
    <row r="174" spans="2:12">
      <c r="B174" s="1199"/>
      <c r="C174" s="1107" t="s">
        <v>229</v>
      </c>
      <c r="D174" s="1108"/>
      <c r="E174" s="1108"/>
      <c r="F174" s="1108"/>
      <c r="G174" s="1109"/>
      <c r="H174" s="1109">
        <f>ROUND(H173,0)</f>
        <v>342480</v>
      </c>
    </row>
    <row r="175" spans="2:12">
      <c r="B175" s="530" t="s">
        <v>1507</v>
      </c>
      <c r="C175" s="419" t="s">
        <v>1846</v>
      </c>
      <c r="D175" s="558"/>
      <c r="E175" s="559"/>
      <c r="F175" s="560"/>
      <c r="G175" s="561"/>
      <c r="H175" s="562"/>
    </row>
    <row r="176" spans="2:12">
      <c r="B176" s="1185"/>
      <c r="C176" s="1097" t="s">
        <v>28</v>
      </c>
      <c r="D176" s="1102" t="s">
        <v>1889</v>
      </c>
      <c r="E176" s="1121" t="s">
        <v>1074</v>
      </c>
      <c r="F176" s="1100">
        <f>5.21/6</f>
        <v>0.86833333333333329</v>
      </c>
      <c r="G176" s="1186">
        <f>BAHAN!$E$180</f>
        <v>69000</v>
      </c>
      <c r="H176" s="1101">
        <f t="shared" ref="H176:H181" si="15">F176*G176</f>
        <v>59915</v>
      </c>
      <c r="I176" s="5">
        <f>5*3</f>
        <v>15</v>
      </c>
      <c r="J176" s="1410">
        <f>BOQ!$E$1260*0</f>
        <v>0</v>
      </c>
      <c r="K176" s="910">
        <f>J176*F176</f>
        <v>0</v>
      </c>
      <c r="L176" s="5" t="s">
        <v>2523</v>
      </c>
    </row>
    <row r="177" spans="2:11">
      <c r="B177" s="1185"/>
      <c r="C177" s="1097" t="s">
        <v>28</v>
      </c>
      <c r="D177" s="1102" t="s">
        <v>1887</v>
      </c>
      <c r="E177" s="1121" t="s">
        <v>1074</v>
      </c>
      <c r="F177" s="1100">
        <v>0</v>
      </c>
      <c r="G177" s="1186">
        <f>BAHAN!$E$176</f>
        <v>44620</v>
      </c>
      <c r="H177" s="1101">
        <f t="shared" si="15"/>
        <v>0</v>
      </c>
      <c r="I177" s="5">
        <f>4*25</f>
        <v>100</v>
      </c>
      <c r="J177" s="1410">
        <f>$J$176</f>
        <v>0</v>
      </c>
      <c r="K177" s="910">
        <f t="shared" ref="K177:K183" si="16">J177*F177</f>
        <v>0</v>
      </c>
    </row>
    <row r="178" spans="2:11">
      <c r="B178" s="1185"/>
      <c r="C178" s="1097" t="s">
        <v>28</v>
      </c>
      <c r="D178" s="1102" t="s">
        <v>1888</v>
      </c>
      <c r="E178" s="1121" t="s">
        <v>1074</v>
      </c>
      <c r="F178" s="1100">
        <v>0</v>
      </c>
      <c r="G178" s="1186">
        <f>BAHAN!$E$177</f>
        <v>45000</v>
      </c>
      <c r="H178" s="1101">
        <f t="shared" si="15"/>
        <v>0</v>
      </c>
      <c r="I178" s="5">
        <f>4*25</f>
        <v>100</v>
      </c>
      <c r="J178" s="1410">
        <f>J177</f>
        <v>0</v>
      </c>
      <c r="K178" s="910">
        <f>J178*F178</f>
        <v>0</v>
      </c>
    </row>
    <row r="179" spans="2:11">
      <c r="B179" s="1185"/>
      <c r="C179" s="1097" t="s">
        <v>28</v>
      </c>
      <c r="D179" s="1102" t="s">
        <v>2522</v>
      </c>
      <c r="E179" s="1121" t="s">
        <v>147</v>
      </c>
      <c r="F179" s="1100">
        <v>0</v>
      </c>
      <c r="G179" s="1186">
        <v>180000</v>
      </c>
      <c r="H179" s="1101">
        <f t="shared" si="15"/>
        <v>0</v>
      </c>
      <c r="I179" s="5">
        <f>4*25</f>
        <v>100</v>
      </c>
      <c r="J179" s="1410">
        <f>J178</f>
        <v>0</v>
      </c>
      <c r="K179" s="1410">
        <f>J179*F179</f>
        <v>0</v>
      </c>
    </row>
    <row r="180" spans="2:11">
      <c r="B180" s="2240"/>
      <c r="C180" s="2064"/>
      <c r="D180" s="1102" t="s">
        <v>2509</v>
      </c>
      <c r="E180" s="1121" t="s">
        <v>147</v>
      </c>
      <c r="F180" s="1100">
        <v>0.7</v>
      </c>
      <c r="G180" s="1186">
        <f>BAHAN!$E$127</f>
        <v>245000</v>
      </c>
      <c r="H180" s="1101">
        <f t="shared" si="15"/>
        <v>171500</v>
      </c>
      <c r="J180" s="1410"/>
      <c r="K180" s="1410"/>
    </row>
    <row r="181" spans="2:11">
      <c r="B181" s="1185"/>
      <c r="C181" s="1097" t="s">
        <v>28</v>
      </c>
      <c r="D181" s="1102" t="s">
        <v>1373</v>
      </c>
      <c r="E181" s="1121" t="s">
        <v>124</v>
      </c>
      <c r="F181" s="1412">
        <v>1</v>
      </c>
      <c r="G181" s="1186">
        <f>5000</f>
        <v>5000</v>
      </c>
      <c r="H181" s="1101">
        <f t="shared" si="15"/>
        <v>5000</v>
      </c>
      <c r="J181" s="1410">
        <f>J177</f>
        <v>0</v>
      </c>
      <c r="K181" s="910">
        <f t="shared" si="16"/>
        <v>0</v>
      </c>
    </row>
    <row r="182" spans="2:11">
      <c r="B182" s="1189"/>
      <c r="C182" s="1190" t="s">
        <v>28</v>
      </c>
      <c r="D182" s="1191" t="s">
        <v>560</v>
      </c>
      <c r="E182" s="1192" t="s">
        <v>47</v>
      </c>
      <c r="F182" s="1411">
        <f>0.4/10*115</f>
        <v>4.6000000000000005</v>
      </c>
      <c r="G182" s="1255">
        <f>BAHAN!$E$393</f>
        <v>36000</v>
      </c>
      <c r="H182" s="1193">
        <f t="shared" ref="H182:H187" si="17">G182*F182</f>
        <v>165600.00000000003</v>
      </c>
      <c r="J182" s="1410">
        <f>J181</f>
        <v>0</v>
      </c>
      <c r="K182" s="910">
        <f t="shared" si="16"/>
        <v>0</v>
      </c>
    </row>
    <row r="183" spans="2:11">
      <c r="B183" s="1189"/>
      <c r="C183" s="1190" t="s">
        <v>28</v>
      </c>
      <c r="D183" s="1191" t="s">
        <v>561</v>
      </c>
      <c r="E183" s="1192" t="s">
        <v>309</v>
      </c>
      <c r="F183" s="639">
        <f>0.17/10*115</f>
        <v>1.9550000000000001</v>
      </c>
      <c r="G183" s="485">
        <f>BAHAN!$E$394</f>
        <v>56250</v>
      </c>
      <c r="H183" s="1193">
        <f t="shared" si="17"/>
        <v>109968.75</v>
      </c>
      <c r="I183" s="910">
        <f>SUM(H176:H183)</f>
        <v>511983.75</v>
      </c>
      <c r="J183" s="1410">
        <f>J182</f>
        <v>0</v>
      </c>
      <c r="K183" s="910">
        <f t="shared" si="16"/>
        <v>0</v>
      </c>
    </row>
    <row r="184" spans="2:11">
      <c r="B184" s="1189"/>
      <c r="C184" s="1190" t="s">
        <v>28</v>
      </c>
      <c r="D184" s="1191" t="s">
        <v>133</v>
      </c>
      <c r="E184" s="1194" t="s">
        <v>263</v>
      </c>
      <c r="F184" s="640">
        <f>0.04/10*115</f>
        <v>0.46</v>
      </c>
      <c r="G184" s="485">
        <f>UPAH!$E$26</f>
        <v>136000</v>
      </c>
      <c r="H184" s="1193">
        <f t="shared" si="17"/>
        <v>62560</v>
      </c>
    </row>
    <row r="185" spans="2:11">
      <c r="B185" s="1189"/>
      <c r="C185" s="1190" t="s">
        <v>28</v>
      </c>
      <c r="D185" s="1191" t="s">
        <v>358</v>
      </c>
      <c r="E185" s="1194" t="s">
        <v>263</v>
      </c>
      <c r="F185" s="639">
        <f>0.02/10*115</f>
        <v>0.23</v>
      </c>
      <c r="G185" s="485">
        <f>UPAH!$E$18</f>
        <v>160000</v>
      </c>
      <c r="H185" s="1193">
        <f t="shared" si="17"/>
        <v>36800</v>
      </c>
    </row>
    <row r="186" spans="2:11">
      <c r="B186" s="1189"/>
      <c r="C186" s="1190" t="s">
        <v>28</v>
      </c>
      <c r="D186" s="1191" t="s">
        <v>562</v>
      </c>
      <c r="E186" s="1194" t="s">
        <v>263</v>
      </c>
      <c r="F186" s="639">
        <f>0.002/10*115</f>
        <v>2.3E-2</v>
      </c>
      <c r="G186" s="485">
        <f>UPAH!$E$12</f>
        <v>170000</v>
      </c>
      <c r="H186" s="1193">
        <f t="shared" si="17"/>
        <v>3910</v>
      </c>
    </row>
    <row r="187" spans="2:11">
      <c r="B187" s="1195"/>
      <c r="C187" s="1196" t="s">
        <v>28</v>
      </c>
      <c r="D187" s="1197" t="s">
        <v>136</v>
      </c>
      <c r="E187" s="1198" t="s">
        <v>263</v>
      </c>
      <c r="F187" s="644">
        <f>0.002/10*115</f>
        <v>2.3E-2</v>
      </c>
      <c r="G187" s="485">
        <f>UPAH!$E$9</f>
        <v>180000</v>
      </c>
      <c r="H187" s="1193">
        <f t="shared" si="17"/>
        <v>4140</v>
      </c>
      <c r="I187" s="910">
        <f>SUM(H184:H187)</f>
        <v>107410</v>
      </c>
    </row>
    <row r="188" spans="2:11">
      <c r="B188" s="1249"/>
      <c r="C188" s="882"/>
      <c r="D188" s="866" t="s">
        <v>228</v>
      </c>
      <c r="E188" s="883"/>
      <c r="F188" s="1532"/>
      <c r="G188" s="885"/>
      <c r="H188" s="886">
        <f>SUM(H176:H187)</f>
        <v>619393.75</v>
      </c>
    </row>
    <row r="189" spans="2:11">
      <c r="B189" s="1199"/>
      <c r="C189" s="1107" t="s">
        <v>229</v>
      </c>
      <c r="D189" s="1108"/>
      <c r="E189" s="1108"/>
      <c r="F189" s="1531"/>
      <c r="G189" s="1109"/>
      <c r="H189" s="1109">
        <f>ROUND(H188,0)</f>
        <v>619394</v>
      </c>
    </row>
    <row r="190" spans="2:11">
      <c r="B190" s="591" t="s">
        <v>2027</v>
      </c>
      <c r="C190" s="468" t="s">
        <v>2026</v>
      </c>
      <c r="D190" s="469"/>
      <c r="E190" s="645"/>
      <c r="F190" s="471"/>
      <c r="G190" s="646"/>
      <c r="H190" s="647"/>
    </row>
    <row r="191" spans="2:11">
      <c r="B191" s="582"/>
      <c r="C191" s="583" t="s">
        <v>28</v>
      </c>
      <c r="D191" s="165" t="s">
        <v>2029</v>
      </c>
      <c r="E191" s="477" t="s">
        <v>129</v>
      </c>
      <c r="F191" s="585">
        <v>1.1000000000000001</v>
      </c>
      <c r="G191" s="479">
        <f>BAHAN!E162</f>
        <v>215000</v>
      </c>
      <c r="H191" s="480">
        <f t="shared" ref="H191:H197" si="18">G191*F191</f>
        <v>236500.00000000003</v>
      </c>
    </row>
    <row r="192" spans="2:11">
      <c r="B192" s="481"/>
      <c r="C192" s="482" t="s">
        <v>28</v>
      </c>
      <c r="D192" s="171" t="s">
        <v>130</v>
      </c>
      <c r="E192" s="483" t="s">
        <v>88</v>
      </c>
      <c r="F192" s="484">
        <v>2</v>
      </c>
      <c r="G192" s="485">
        <v>250</v>
      </c>
      <c r="H192" s="486">
        <f t="shared" si="18"/>
        <v>500</v>
      </c>
    </row>
    <row r="193" spans="2:9">
      <c r="B193" s="481"/>
      <c r="C193" s="482" t="s">
        <v>28</v>
      </c>
      <c r="D193" s="487" t="s">
        <v>131</v>
      </c>
      <c r="E193" s="483" t="s">
        <v>129</v>
      </c>
      <c r="F193" s="484">
        <v>1</v>
      </c>
      <c r="G193" s="485">
        <v>8500</v>
      </c>
      <c r="H193" s="486">
        <f t="shared" si="18"/>
        <v>8500</v>
      </c>
      <c r="I193" s="910">
        <f>SUM(H191:H193)</f>
        <v>245500.00000000003</v>
      </c>
    </row>
    <row r="194" spans="2:9">
      <c r="B194" s="481"/>
      <c r="C194" s="482" t="s">
        <v>28</v>
      </c>
      <c r="D194" s="487" t="s">
        <v>133</v>
      </c>
      <c r="E194" s="483" t="s">
        <v>132</v>
      </c>
      <c r="F194" s="484">
        <v>4.2999999999999997E-2</v>
      </c>
      <c r="G194" s="485">
        <f>G184</f>
        <v>136000</v>
      </c>
      <c r="H194" s="486">
        <f t="shared" si="18"/>
        <v>5847.9999999999991</v>
      </c>
    </row>
    <row r="195" spans="2:9">
      <c r="B195" s="481"/>
      <c r="C195" s="482" t="s">
        <v>28</v>
      </c>
      <c r="D195" s="487" t="s">
        <v>134</v>
      </c>
      <c r="E195" s="483" t="s">
        <v>132</v>
      </c>
      <c r="F195" s="484">
        <v>4.2999999999999997E-2</v>
      </c>
      <c r="G195" s="485">
        <f>G185</f>
        <v>160000</v>
      </c>
      <c r="H195" s="486">
        <f t="shared" si="18"/>
        <v>6879.9999999999991</v>
      </c>
    </row>
    <row r="196" spans="2:9">
      <c r="B196" s="481"/>
      <c r="C196" s="482" t="s">
        <v>28</v>
      </c>
      <c r="D196" s="487" t="s">
        <v>135</v>
      </c>
      <c r="E196" s="483" t="s">
        <v>132</v>
      </c>
      <c r="F196" s="484">
        <v>4.3E-3</v>
      </c>
      <c r="G196" s="485">
        <f>G186</f>
        <v>170000</v>
      </c>
      <c r="H196" s="486">
        <f t="shared" si="18"/>
        <v>731</v>
      </c>
    </row>
    <row r="197" spans="2:9">
      <c r="B197" s="514"/>
      <c r="C197" s="501" t="s">
        <v>28</v>
      </c>
      <c r="D197" s="515" t="s">
        <v>136</v>
      </c>
      <c r="E197" s="503" t="s">
        <v>132</v>
      </c>
      <c r="F197" s="516">
        <v>2.0999999999999999E-3</v>
      </c>
      <c r="G197" s="485">
        <f>G187</f>
        <v>180000</v>
      </c>
      <c r="H197" s="504">
        <f t="shared" si="18"/>
        <v>378</v>
      </c>
      <c r="I197" s="910">
        <f>SUM(H194:H197)</f>
        <v>13836.999999999998</v>
      </c>
    </row>
    <row r="198" spans="2:9">
      <c r="B198" s="494"/>
      <c r="C198" s="495"/>
      <c r="D198" s="496" t="s">
        <v>228</v>
      </c>
      <c r="E198" s="497"/>
      <c r="F198" s="517"/>
      <c r="G198" s="499"/>
      <c r="H198" s="500">
        <f>SUM(H191:H197)</f>
        <v>259337.00000000003</v>
      </c>
    </row>
    <row r="199" spans="2:9">
      <c r="B199" s="396"/>
      <c r="C199" s="442" t="s">
        <v>229</v>
      </c>
      <c r="D199" s="378"/>
      <c r="E199" s="378"/>
      <c r="F199" s="378"/>
      <c r="G199" s="518"/>
      <c r="H199" s="518">
        <f>ROUND(H198,0)</f>
        <v>259337</v>
      </c>
    </row>
    <row r="200" spans="2:9">
      <c r="B200" s="591" t="s">
        <v>2028</v>
      </c>
      <c r="C200" s="468" t="s">
        <v>2816</v>
      </c>
      <c r="D200" s="469"/>
      <c r="E200" s="645"/>
      <c r="F200" s="471"/>
      <c r="G200" s="646"/>
      <c r="H200" s="647"/>
    </row>
    <row r="201" spans="2:9">
      <c r="B201" s="582"/>
      <c r="C201" s="583" t="s">
        <v>28</v>
      </c>
      <c r="D201" s="165" t="s">
        <v>2029</v>
      </c>
      <c r="E201" s="477" t="s">
        <v>129</v>
      </c>
      <c r="F201" s="585">
        <v>1</v>
      </c>
      <c r="G201" s="479">
        <f>BAHAN!E163</f>
        <v>400000</v>
      </c>
      <c r="H201" s="480">
        <f t="shared" ref="H201:H207" si="19">G201*F201</f>
        <v>400000</v>
      </c>
    </row>
    <row r="202" spans="2:9">
      <c r="B202" s="481"/>
      <c r="C202" s="482" t="s">
        <v>28</v>
      </c>
      <c r="D202" s="171" t="s">
        <v>141</v>
      </c>
      <c r="E202" s="483" t="s">
        <v>129</v>
      </c>
      <c r="F202" s="484">
        <v>4.5</v>
      </c>
      <c r="G202" s="485">
        <v>12200</v>
      </c>
      <c r="H202" s="486">
        <f t="shared" si="19"/>
        <v>54900</v>
      </c>
    </row>
    <row r="203" spans="2:9">
      <c r="B203" s="481"/>
      <c r="C203" s="482" t="s">
        <v>28</v>
      </c>
      <c r="D203" s="487" t="s">
        <v>131</v>
      </c>
      <c r="E203" s="483" t="s">
        <v>142</v>
      </c>
      <c r="F203" s="484">
        <v>0.27</v>
      </c>
      <c r="G203" s="485">
        <f>G171</f>
        <v>170000</v>
      </c>
      <c r="H203" s="486">
        <f t="shared" si="19"/>
        <v>45900</v>
      </c>
      <c r="I203" s="910">
        <f>SUM(H201:H203)</f>
        <v>500800</v>
      </c>
    </row>
    <row r="204" spans="2:9">
      <c r="B204" s="481"/>
      <c r="C204" s="482" t="s">
        <v>28</v>
      </c>
      <c r="D204" s="487" t="s">
        <v>133</v>
      </c>
      <c r="E204" s="483" t="s">
        <v>132</v>
      </c>
      <c r="F204" s="484">
        <v>8.5000000000000006E-2</v>
      </c>
      <c r="G204" s="485">
        <f>G184</f>
        <v>136000</v>
      </c>
      <c r="H204" s="486">
        <f t="shared" si="19"/>
        <v>11560</v>
      </c>
    </row>
    <row r="205" spans="2:9">
      <c r="B205" s="481"/>
      <c r="C205" s="482" t="s">
        <v>28</v>
      </c>
      <c r="D205" s="487" t="s">
        <v>134</v>
      </c>
      <c r="E205" s="483" t="s">
        <v>132</v>
      </c>
      <c r="F205" s="484">
        <v>8.5000000000000006E-2</v>
      </c>
      <c r="G205" s="485">
        <f>G185</f>
        <v>160000</v>
      </c>
      <c r="H205" s="486">
        <f t="shared" si="19"/>
        <v>13600.000000000002</v>
      </c>
    </row>
    <row r="206" spans="2:9">
      <c r="B206" s="481"/>
      <c r="C206" s="482" t="s">
        <v>28</v>
      </c>
      <c r="D206" s="487" t="s">
        <v>135</v>
      </c>
      <c r="E206" s="483" t="s">
        <v>132</v>
      </c>
      <c r="F206" s="484">
        <v>8.5000000000000006E-3</v>
      </c>
      <c r="G206" s="485">
        <f>G186</f>
        <v>170000</v>
      </c>
      <c r="H206" s="486">
        <f t="shared" si="19"/>
        <v>1445</v>
      </c>
    </row>
    <row r="207" spans="2:9">
      <c r="B207" s="488"/>
      <c r="C207" s="501" t="s">
        <v>28</v>
      </c>
      <c r="D207" s="502" t="s">
        <v>136</v>
      </c>
      <c r="E207" s="503" t="s">
        <v>132</v>
      </c>
      <c r="F207" s="513">
        <v>5.0000000000000001E-3</v>
      </c>
      <c r="G207" s="485">
        <f>G187</f>
        <v>180000</v>
      </c>
      <c r="H207" s="504">
        <f t="shared" si="19"/>
        <v>900</v>
      </c>
      <c r="I207" s="910">
        <f>SUM(H204:H207)</f>
        <v>27505</v>
      </c>
    </row>
    <row r="208" spans="2:9">
      <c r="B208" s="505"/>
      <c r="C208" s="495"/>
      <c r="D208" s="506" t="s">
        <v>228</v>
      </c>
      <c r="E208" s="507"/>
      <c r="F208" s="654"/>
      <c r="G208" s="509"/>
      <c r="H208" s="510">
        <f>SUM(H201:H207)</f>
        <v>528305</v>
      </c>
    </row>
    <row r="209" spans="2:11">
      <c r="B209" s="396"/>
      <c r="C209" s="442" t="s">
        <v>229</v>
      </c>
      <c r="D209" s="378"/>
      <c r="E209" s="378"/>
      <c r="F209" s="378"/>
      <c r="G209" s="518"/>
      <c r="H209" s="518">
        <f>ROUND(H208,0)</f>
        <v>528305</v>
      </c>
    </row>
    <row r="210" spans="2:11">
      <c r="B210" s="591" t="s">
        <v>2139</v>
      </c>
      <c r="C210" s="468" t="s">
        <v>2140</v>
      </c>
      <c r="D210" s="596"/>
      <c r="E210" s="588"/>
      <c r="F210" s="471"/>
      <c r="G210" s="589"/>
      <c r="H210" s="590"/>
    </row>
    <row r="211" spans="2:11">
      <c r="B211" s="582"/>
      <c r="C211" s="583" t="s">
        <v>28</v>
      </c>
      <c r="D211" s="584" t="s">
        <v>569</v>
      </c>
      <c r="E211" s="477" t="s">
        <v>147</v>
      </c>
      <c r="F211" s="585">
        <v>1</v>
      </c>
      <c r="G211" s="479">
        <f>BAHAN!$E$190</f>
        <v>900000</v>
      </c>
      <c r="H211" s="480">
        <f>G211*F211</f>
        <v>900000</v>
      </c>
      <c r="I211" s="1410">
        <f>SUM(H211)</f>
        <v>900000</v>
      </c>
    </row>
    <row r="212" spans="2:11">
      <c r="B212" s="481"/>
      <c r="C212" s="482" t="s">
        <v>28</v>
      </c>
      <c r="D212" s="487" t="s">
        <v>133</v>
      </c>
      <c r="E212" s="483" t="s">
        <v>132</v>
      </c>
      <c r="F212" s="484">
        <v>1.05</v>
      </c>
      <c r="G212" s="485">
        <f>$G$17</f>
        <v>136000</v>
      </c>
      <c r="H212" s="486">
        <f>G212*F212</f>
        <v>142800</v>
      </c>
    </row>
    <row r="213" spans="2:11">
      <c r="B213" s="481"/>
      <c r="C213" s="482" t="s">
        <v>28</v>
      </c>
      <c r="D213" s="487" t="s">
        <v>566</v>
      </c>
      <c r="E213" s="483" t="s">
        <v>132</v>
      </c>
      <c r="F213" s="484">
        <v>1.05</v>
      </c>
      <c r="G213" s="485">
        <f>$G$18</f>
        <v>160000</v>
      </c>
      <c r="H213" s="486">
        <f>G213*F213</f>
        <v>168000</v>
      </c>
    </row>
    <row r="214" spans="2:11">
      <c r="B214" s="481"/>
      <c r="C214" s="482" t="s">
        <v>28</v>
      </c>
      <c r="D214" s="487" t="s">
        <v>135</v>
      </c>
      <c r="E214" s="483" t="s">
        <v>132</v>
      </c>
      <c r="F214" s="484">
        <v>0.105</v>
      </c>
      <c r="G214" s="485">
        <f>$G$19</f>
        <v>170000</v>
      </c>
      <c r="H214" s="486">
        <f>G214*F214</f>
        <v>17850</v>
      </c>
    </row>
    <row r="215" spans="2:11">
      <c r="B215" s="488"/>
      <c r="C215" s="501" t="s">
        <v>28</v>
      </c>
      <c r="D215" s="515" t="s">
        <v>136</v>
      </c>
      <c r="E215" s="503" t="s">
        <v>132</v>
      </c>
      <c r="F215" s="516">
        <v>5.1999999999999998E-3</v>
      </c>
      <c r="G215" s="1805">
        <f>$G$20</f>
        <v>180000</v>
      </c>
      <c r="H215" s="504">
        <f>G215*F215</f>
        <v>936</v>
      </c>
      <c r="I215" s="1410">
        <f>SUM(H212:H215)</f>
        <v>329586</v>
      </c>
    </row>
    <row r="216" spans="2:11">
      <c r="B216" s="505"/>
      <c r="C216" s="495"/>
      <c r="D216" s="506" t="s">
        <v>228</v>
      </c>
      <c r="E216" s="507"/>
      <c r="F216" s="508"/>
      <c r="G216" s="509"/>
      <c r="H216" s="510">
        <f>SUM(H211:H215)</f>
        <v>1229586</v>
      </c>
    </row>
    <row r="217" spans="2:11">
      <c r="B217" s="396"/>
      <c r="C217" s="442" t="s">
        <v>229</v>
      </c>
      <c r="D217" s="378"/>
      <c r="E217" s="378"/>
      <c r="F217" s="378"/>
      <c r="G217" s="518"/>
      <c r="H217" s="518">
        <f>ROUND(H216,0)</f>
        <v>1229586</v>
      </c>
    </row>
    <row r="218" spans="2:11">
      <c r="B218" s="530" t="s">
        <v>1507</v>
      </c>
      <c r="C218" s="419" t="s">
        <v>2305</v>
      </c>
      <c r="D218" s="558"/>
      <c r="E218" s="559"/>
      <c r="F218" s="560"/>
      <c r="G218" s="561"/>
      <c r="H218" s="562"/>
    </row>
    <row r="219" spans="2:11">
      <c r="B219" s="1185"/>
      <c r="C219" s="1097" t="s">
        <v>28</v>
      </c>
      <c r="D219" s="1102" t="s">
        <v>1889</v>
      </c>
      <c r="E219" s="1121" t="s">
        <v>1074</v>
      </c>
      <c r="F219" s="1100">
        <v>1.875</v>
      </c>
      <c r="G219" s="1186">
        <f>BAHAN!$E$180</f>
        <v>69000</v>
      </c>
      <c r="H219" s="1101">
        <f>F219*G219</f>
        <v>129375</v>
      </c>
      <c r="I219" s="5">
        <f>5*3</f>
        <v>15</v>
      </c>
      <c r="J219" s="1410">
        <v>0</v>
      </c>
      <c r="K219" s="1410">
        <f>J219*F219</f>
        <v>0</v>
      </c>
    </row>
    <row r="220" spans="2:11">
      <c r="B220" s="1185"/>
      <c r="C220" s="1097" t="s">
        <v>28</v>
      </c>
      <c r="D220" s="1102" t="s">
        <v>1373</v>
      </c>
      <c r="E220" s="1121" t="s">
        <v>124</v>
      </c>
      <c r="F220" s="1412">
        <v>1</v>
      </c>
      <c r="G220" s="1186">
        <f>5000</f>
        <v>5000</v>
      </c>
      <c r="H220" s="1101">
        <f>F220*G220</f>
        <v>5000</v>
      </c>
      <c r="J220" s="1410">
        <f>J219</f>
        <v>0</v>
      </c>
      <c r="K220" s="1410">
        <f>J220*F220</f>
        <v>0</v>
      </c>
    </row>
    <row r="221" spans="2:11">
      <c r="B221" s="1189"/>
      <c r="C221" s="1190" t="s">
        <v>28</v>
      </c>
      <c r="D221" s="1191" t="s">
        <v>560</v>
      </c>
      <c r="E221" s="1192" t="s">
        <v>47</v>
      </c>
      <c r="F221" s="1411">
        <f>0.4/10*115</f>
        <v>4.6000000000000005</v>
      </c>
      <c r="G221" s="1255">
        <f>BAHAN!$E$393</f>
        <v>36000</v>
      </c>
      <c r="H221" s="1193">
        <f t="shared" ref="H221:H226" si="20">G221*F221</f>
        <v>165600.00000000003</v>
      </c>
      <c r="J221" s="1410">
        <f>J220</f>
        <v>0</v>
      </c>
      <c r="K221" s="1410">
        <f>J221*F221</f>
        <v>0</v>
      </c>
    </row>
    <row r="222" spans="2:11">
      <c r="B222" s="1189"/>
      <c r="C222" s="1190" t="s">
        <v>28</v>
      </c>
      <c r="D222" s="1191" t="s">
        <v>561</v>
      </c>
      <c r="E222" s="1192" t="s">
        <v>309</v>
      </c>
      <c r="F222" s="639">
        <f>0.17/10*115</f>
        <v>1.9550000000000001</v>
      </c>
      <c r="G222" s="485">
        <f>BAHAN!$E$394</f>
        <v>56250</v>
      </c>
      <c r="H222" s="1193">
        <f t="shared" si="20"/>
        <v>109968.75</v>
      </c>
      <c r="I222" s="1410">
        <f>SUM(H219:H222)</f>
        <v>409943.75</v>
      </c>
      <c r="J222" s="1410">
        <f>J221</f>
        <v>0</v>
      </c>
      <c r="K222" s="1410">
        <f>J222*F222</f>
        <v>0</v>
      </c>
    </row>
    <row r="223" spans="2:11">
      <c r="B223" s="1189"/>
      <c r="C223" s="1190" t="s">
        <v>28</v>
      </c>
      <c r="D223" s="1191" t="s">
        <v>133</v>
      </c>
      <c r="E223" s="1194" t="s">
        <v>263</v>
      </c>
      <c r="F223" s="640">
        <f>0.04/10*115</f>
        <v>0.46</v>
      </c>
      <c r="G223" s="485">
        <f>UPAH!$E$26</f>
        <v>136000</v>
      </c>
      <c r="H223" s="1193">
        <f t="shared" si="20"/>
        <v>62560</v>
      </c>
    </row>
    <row r="224" spans="2:11">
      <c r="B224" s="1189"/>
      <c r="C224" s="1190" t="s">
        <v>28</v>
      </c>
      <c r="D224" s="1191" t="s">
        <v>358</v>
      </c>
      <c r="E224" s="1194" t="s">
        <v>263</v>
      </c>
      <c r="F224" s="639">
        <f>0.02/10*115</f>
        <v>0.23</v>
      </c>
      <c r="G224" s="485">
        <f>UPAH!$E$18</f>
        <v>160000</v>
      </c>
      <c r="H224" s="1193">
        <f t="shared" si="20"/>
        <v>36800</v>
      </c>
    </row>
    <row r="225" spans="2:11">
      <c r="B225" s="1189"/>
      <c r="C225" s="1190" t="s">
        <v>28</v>
      </c>
      <c r="D225" s="1191" t="s">
        <v>562</v>
      </c>
      <c r="E225" s="1194" t="s">
        <v>263</v>
      </c>
      <c r="F225" s="639">
        <f>0.002/10*115</f>
        <v>2.3E-2</v>
      </c>
      <c r="G225" s="485">
        <f>UPAH!$E$12</f>
        <v>170000</v>
      </c>
      <c r="H225" s="1193">
        <f t="shared" si="20"/>
        <v>3910</v>
      </c>
    </row>
    <row r="226" spans="2:11">
      <c r="B226" s="1195"/>
      <c r="C226" s="1196" t="s">
        <v>28</v>
      </c>
      <c r="D226" s="1197" t="s">
        <v>136</v>
      </c>
      <c r="E226" s="1198" t="s">
        <v>263</v>
      </c>
      <c r="F226" s="644">
        <f>0.002/10*115</f>
        <v>2.3E-2</v>
      </c>
      <c r="G226" s="485">
        <f>UPAH!$E$9</f>
        <v>180000</v>
      </c>
      <c r="H226" s="1193">
        <f t="shared" si="20"/>
        <v>4140</v>
      </c>
      <c r="I226" s="1410">
        <f>SUM(H223:H226)</f>
        <v>107410</v>
      </c>
    </row>
    <row r="227" spans="2:11">
      <c r="B227" s="1249"/>
      <c r="C227" s="882"/>
      <c r="D227" s="866" t="s">
        <v>228</v>
      </c>
      <c r="E227" s="883"/>
      <c r="F227" s="1532"/>
      <c r="G227" s="885"/>
      <c r="H227" s="886">
        <f>SUM(H219:H226)</f>
        <v>517353.75</v>
      </c>
    </row>
    <row r="228" spans="2:11">
      <c r="B228" s="1199"/>
      <c r="C228" s="1107" t="s">
        <v>229</v>
      </c>
      <c r="D228" s="1108"/>
      <c r="E228" s="1108"/>
      <c r="F228" s="1531"/>
      <c r="G228" s="1109"/>
      <c r="H228" s="1109">
        <f>ROUND(H227,0)</f>
        <v>517354</v>
      </c>
    </row>
    <row r="229" spans="2:11">
      <c r="B229" s="530" t="s">
        <v>1507</v>
      </c>
      <c r="C229" s="419" t="s">
        <v>2511</v>
      </c>
      <c r="D229" s="558"/>
      <c r="E229" s="559"/>
      <c r="F229" s="560"/>
      <c r="G229" s="561"/>
      <c r="H229" s="562"/>
    </row>
    <row r="230" spans="2:11">
      <c r="B230" s="1185"/>
      <c r="C230" s="1097" t="s">
        <v>28</v>
      </c>
      <c r="D230" s="1102" t="s">
        <v>2512</v>
      </c>
      <c r="E230" s="1121" t="s">
        <v>1074</v>
      </c>
      <c r="F230" s="1100">
        <v>2.08</v>
      </c>
      <c r="G230" s="1186">
        <f>BAHAN!$E$182</f>
        <v>276000</v>
      </c>
      <c r="H230" s="1101">
        <f>F230*G230</f>
        <v>574080</v>
      </c>
      <c r="I230" s="5">
        <f>5*3</f>
        <v>15</v>
      </c>
      <c r="J230" s="1410">
        <f>BOQ!$E$1262*0</f>
        <v>0</v>
      </c>
      <c r="K230" s="1410">
        <f>J230*F230</f>
        <v>0</v>
      </c>
    </row>
    <row r="231" spans="2:11">
      <c r="B231" s="1185"/>
      <c r="C231" s="1097" t="s">
        <v>28</v>
      </c>
      <c r="D231" s="1102" t="s">
        <v>1373</v>
      </c>
      <c r="E231" s="1121" t="s">
        <v>124</v>
      </c>
      <c r="F231" s="1412">
        <v>1</v>
      </c>
      <c r="G231" s="1186">
        <f>5000</f>
        <v>5000</v>
      </c>
      <c r="H231" s="1101">
        <f>F231*G231</f>
        <v>5000</v>
      </c>
      <c r="J231" s="1410">
        <f>J230</f>
        <v>0</v>
      </c>
      <c r="K231" s="1410">
        <f>J231*F231</f>
        <v>0</v>
      </c>
    </row>
    <row r="232" spans="2:11">
      <c r="B232" s="1189"/>
      <c r="C232" s="1190" t="s">
        <v>28</v>
      </c>
      <c r="D232" s="1191" t="s">
        <v>560</v>
      </c>
      <c r="E232" s="1192" t="s">
        <v>47</v>
      </c>
      <c r="F232" s="1411">
        <f>0.4/10*115</f>
        <v>4.6000000000000005</v>
      </c>
      <c r="G232" s="1255">
        <f>BAHAN!$E$393</f>
        <v>36000</v>
      </c>
      <c r="H232" s="1193">
        <f t="shared" ref="H232:H237" si="21">G232*F232</f>
        <v>165600.00000000003</v>
      </c>
      <c r="J232" s="1410">
        <f>J231</f>
        <v>0</v>
      </c>
      <c r="K232" s="1410">
        <f>J232*F232</f>
        <v>0</v>
      </c>
    </row>
    <row r="233" spans="2:11">
      <c r="B233" s="1189"/>
      <c r="C233" s="1190" t="s">
        <v>28</v>
      </c>
      <c r="D233" s="1191" t="s">
        <v>561</v>
      </c>
      <c r="E233" s="1192" t="s">
        <v>309</v>
      </c>
      <c r="F233" s="639">
        <f>0.17/10*115</f>
        <v>1.9550000000000001</v>
      </c>
      <c r="G233" s="485">
        <f>BAHAN!$E$394</f>
        <v>56250</v>
      </c>
      <c r="H233" s="1193">
        <f t="shared" si="21"/>
        <v>109968.75</v>
      </c>
      <c r="I233" s="1410">
        <f>SUM(H230:H233)</f>
        <v>854648.75</v>
      </c>
      <c r="J233" s="1410">
        <f>J232</f>
        <v>0</v>
      </c>
      <c r="K233" s="1410">
        <f>J233*F233</f>
        <v>0</v>
      </c>
    </row>
    <row r="234" spans="2:11">
      <c r="B234" s="1189"/>
      <c r="C234" s="1190" t="s">
        <v>28</v>
      </c>
      <c r="D234" s="1191" t="s">
        <v>133</v>
      </c>
      <c r="E234" s="1194" t="s">
        <v>263</v>
      </c>
      <c r="F234" s="640">
        <f>0.04/10*115</f>
        <v>0.46</v>
      </c>
      <c r="G234" s="485">
        <f>UPAH!$E$26</f>
        <v>136000</v>
      </c>
      <c r="H234" s="1193">
        <f t="shared" si="21"/>
        <v>62560</v>
      </c>
    </row>
    <row r="235" spans="2:11">
      <c r="B235" s="1189"/>
      <c r="C235" s="1190" t="s">
        <v>28</v>
      </c>
      <c r="D235" s="1191" t="s">
        <v>358</v>
      </c>
      <c r="E235" s="1194" t="s">
        <v>263</v>
      </c>
      <c r="F235" s="639">
        <f>0.02/10*115</f>
        <v>0.23</v>
      </c>
      <c r="G235" s="485">
        <f>UPAH!$E$18</f>
        <v>160000</v>
      </c>
      <c r="H235" s="1193">
        <f t="shared" si="21"/>
        <v>36800</v>
      </c>
    </row>
    <row r="236" spans="2:11">
      <c r="B236" s="1189"/>
      <c r="C236" s="1190" t="s">
        <v>28</v>
      </c>
      <c r="D236" s="1191" t="s">
        <v>562</v>
      </c>
      <c r="E236" s="1194" t="s">
        <v>263</v>
      </c>
      <c r="F236" s="639">
        <f>0.002/10*115</f>
        <v>2.3E-2</v>
      </c>
      <c r="G236" s="485">
        <f>UPAH!$E$12</f>
        <v>170000</v>
      </c>
      <c r="H236" s="1193">
        <f t="shared" si="21"/>
        <v>3910</v>
      </c>
    </row>
    <row r="237" spans="2:11">
      <c r="B237" s="1195"/>
      <c r="C237" s="1196" t="s">
        <v>28</v>
      </c>
      <c r="D237" s="1197" t="s">
        <v>136</v>
      </c>
      <c r="E237" s="1198" t="s">
        <v>263</v>
      </c>
      <c r="F237" s="644">
        <f>0.002/10*115</f>
        <v>2.3E-2</v>
      </c>
      <c r="G237" s="485">
        <f>UPAH!$E$9</f>
        <v>180000</v>
      </c>
      <c r="H237" s="1193">
        <f t="shared" si="21"/>
        <v>4140</v>
      </c>
      <c r="I237" s="1410">
        <f>SUM(H234:H237)</f>
        <v>107410</v>
      </c>
    </row>
    <row r="238" spans="2:11">
      <c r="B238" s="1249"/>
      <c r="C238" s="882"/>
      <c r="D238" s="866" t="s">
        <v>228</v>
      </c>
      <c r="E238" s="883"/>
      <c r="F238" s="1532"/>
      <c r="G238" s="885"/>
      <c r="H238" s="886">
        <f>SUM(H230:H237)</f>
        <v>962058.75</v>
      </c>
    </row>
    <row r="239" spans="2:11">
      <c r="B239" s="1199"/>
      <c r="C239" s="1107" t="s">
        <v>229</v>
      </c>
      <c r="D239" s="1108"/>
      <c r="E239" s="1108"/>
      <c r="F239" s="1531"/>
      <c r="G239" s="1109"/>
      <c r="H239" s="1109">
        <f>ROUND(H238,0)</f>
        <v>962059</v>
      </c>
    </row>
    <row r="240" spans="2:11">
      <c r="B240" s="530" t="s">
        <v>1507</v>
      </c>
      <c r="C240" s="419" t="s">
        <v>2535</v>
      </c>
      <c r="D240" s="558"/>
      <c r="E240" s="559"/>
      <c r="F240" s="560"/>
      <c r="G240" s="561"/>
      <c r="H240" s="562"/>
    </row>
    <row r="241" spans="2:13">
      <c r="B241" s="1185"/>
      <c r="C241" s="1097" t="s">
        <v>28</v>
      </c>
      <c r="D241" s="1102" t="s">
        <v>1872</v>
      </c>
      <c r="E241" s="1121" t="s">
        <v>1074</v>
      </c>
      <c r="F241" s="1100">
        <f>(1)/6</f>
        <v>0.16666666666666666</v>
      </c>
      <c r="G241" s="1186">
        <f>BAHAN!$E$183</f>
        <v>161000</v>
      </c>
      <c r="H241" s="1101">
        <f>F241*G241</f>
        <v>26833.333333333332</v>
      </c>
      <c r="I241" s="5">
        <f>5*12</f>
        <v>60</v>
      </c>
      <c r="J241" s="1410">
        <v>0</v>
      </c>
      <c r="K241" s="1410">
        <f>J241*F241</f>
        <v>0</v>
      </c>
    </row>
    <row r="242" spans="2:13">
      <c r="B242" s="1185"/>
      <c r="C242" s="1097" t="s">
        <v>28</v>
      </c>
      <c r="D242" s="1102" t="s">
        <v>1873</v>
      </c>
      <c r="E242" s="1121" t="s">
        <v>1074</v>
      </c>
      <c r="F242" s="1100"/>
      <c r="G242" s="1186">
        <f>BAHAN!$E$176</f>
        <v>44620</v>
      </c>
      <c r="H242" s="1101">
        <f>F242*G242</f>
        <v>0</v>
      </c>
      <c r="I242" s="5">
        <f>2*2*9*2</f>
        <v>72</v>
      </c>
      <c r="J242" s="1410">
        <f>J241</f>
        <v>0</v>
      </c>
      <c r="K242" s="1410">
        <f>J242*F242</f>
        <v>0</v>
      </c>
    </row>
    <row r="243" spans="2:13">
      <c r="B243" s="2240"/>
      <c r="C243" s="2064"/>
      <c r="D243" s="2241" t="s">
        <v>2508</v>
      </c>
      <c r="E243" s="2085" t="s">
        <v>147</v>
      </c>
      <c r="F243" s="2242"/>
      <c r="G243" s="2243">
        <f>L!$I$103</f>
        <v>410000</v>
      </c>
      <c r="H243" s="1101">
        <f>F243*G243</f>
        <v>0</v>
      </c>
      <c r="J243" s="1410"/>
      <c r="K243" s="1410"/>
    </row>
    <row r="244" spans="2:13">
      <c r="B244" s="1185"/>
      <c r="C244" s="1097" t="s">
        <v>28</v>
      </c>
      <c r="D244" s="1102" t="s">
        <v>1734</v>
      </c>
      <c r="E244" s="1121" t="s">
        <v>88</v>
      </c>
      <c r="F244" s="1100"/>
      <c r="G244" s="1186">
        <v>25000</v>
      </c>
      <c r="H244" s="1101">
        <f>F244*G244</f>
        <v>0</v>
      </c>
      <c r="J244" s="1410">
        <f>J242</f>
        <v>0</v>
      </c>
      <c r="K244" s="1410">
        <f>J244*F244</f>
        <v>0</v>
      </c>
    </row>
    <row r="245" spans="2:13">
      <c r="B245" s="1185"/>
      <c r="C245" s="1097" t="s">
        <v>28</v>
      </c>
      <c r="D245" s="1102" t="s">
        <v>1373</v>
      </c>
      <c r="E245" s="1121" t="s">
        <v>124</v>
      </c>
      <c r="F245" s="1412">
        <v>1</v>
      </c>
      <c r="G245" s="1186">
        <f>5000</f>
        <v>5000</v>
      </c>
      <c r="H245" s="1101">
        <f>F245*G245</f>
        <v>5000</v>
      </c>
      <c r="J245" s="1410">
        <f>J244</f>
        <v>0</v>
      </c>
      <c r="K245" s="1410">
        <f>J245*F245</f>
        <v>0</v>
      </c>
    </row>
    <row r="246" spans="2:13">
      <c r="B246" s="1189"/>
      <c r="C246" s="1190" t="s">
        <v>28</v>
      </c>
      <c r="D246" s="1191" t="s">
        <v>560</v>
      </c>
      <c r="E246" s="1192" t="s">
        <v>47</v>
      </c>
      <c r="F246" s="1411">
        <v>1</v>
      </c>
      <c r="G246" s="1255">
        <f>BAHAN!$E$393</f>
        <v>36000</v>
      </c>
      <c r="H246" s="1193">
        <f t="shared" ref="H246:H251" si="22">G246*F246</f>
        <v>36000</v>
      </c>
      <c r="J246" s="1410">
        <f>J245</f>
        <v>0</v>
      </c>
      <c r="K246" s="1410">
        <f>J246*F246</f>
        <v>0</v>
      </c>
    </row>
    <row r="247" spans="2:13">
      <c r="B247" s="1189"/>
      <c r="C247" s="1190" t="s">
        <v>28</v>
      </c>
      <c r="D247" s="1191" t="s">
        <v>561</v>
      </c>
      <c r="E247" s="1192" t="s">
        <v>309</v>
      </c>
      <c r="F247" s="639">
        <v>1</v>
      </c>
      <c r="G247" s="485">
        <f>BAHAN!$E$394</f>
        <v>56250</v>
      </c>
      <c r="H247" s="1193">
        <f t="shared" si="22"/>
        <v>56250</v>
      </c>
      <c r="I247" s="1410">
        <f>SUM(H241:H247)</f>
        <v>124083.33333333333</v>
      </c>
      <c r="J247" s="1410">
        <f>J246</f>
        <v>0</v>
      </c>
      <c r="K247" s="1410">
        <f>J247*F247</f>
        <v>0</v>
      </c>
    </row>
    <row r="248" spans="2:13">
      <c r="B248" s="1189"/>
      <c r="C248" s="1190" t="s">
        <v>28</v>
      </c>
      <c r="D248" s="1191" t="s">
        <v>133</v>
      </c>
      <c r="E248" s="1194" t="s">
        <v>263</v>
      </c>
      <c r="F248" s="640">
        <f>0.04/10*132</f>
        <v>0.52800000000000002</v>
      </c>
      <c r="G248" s="485">
        <f>UPAH!$E$26</f>
        <v>136000</v>
      </c>
      <c r="H248" s="1193">
        <f t="shared" si="22"/>
        <v>71808</v>
      </c>
    </row>
    <row r="249" spans="2:13">
      <c r="B249" s="1189"/>
      <c r="C249" s="1190" t="s">
        <v>28</v>
      </c>
      <c r="D249" s="1191" t="s">
        <v>358</v>
      </c>
      <c r="E249" s="1194" t="s">
        <v>263</v>
      </c>
      <c r="F249" s="639">
        <f>0.02/10*132</f>
        <v>0.26400000000000001</v>
      </c>
      <c r="G249" s="485">
        <f>UPAH!$E$18</f>
        <v>160000</v>
      </c>
      <c r="H249" s="1193">
        <f t="shared" si="22"/>
        <v>42240</v>
      </c>
    </row>
    <row r="250" spans="2:13">
      <c r="B250" s="1189"/>
      <c r="C250" s="1190" t="s">
        <v>28</v>
      </c>
      <c r="D250" s="1191" t="s">
        <v>562</v>
      </c>
      <c r="E250" s="1194" t="s">
        <v>263</v>
      </c>
      <c r="F250" s="639">
        <f>0.002/10*132</f>
        <v>2.64E-2</v>
      </c>
      <c r="G250" s="485">
        <f>UPAH!$E$12</f>
        <v>170000</v>
      </c>
      <c r="H250" s="1193">
        <f t="shared" si="22"/>
        <v>4488</v>
      </c>
    </row>
    <row r="251" spans="2:13">
      <c r="B251" s="1195"/>
      <c r="C251" s="1196" t="s">
        <v>28</v>
      </c>
      <c r="D251" s="1197" t="s">
        <v>136</v>
      </c>
      <c r="E251" s="1198" t="s">
        <v>263</v>
      </c>
      <c r="F251" s="644">
        <f>0.002/10*132</f>
        <v>2.64E-2</v>
      </c>
      <c r="G251" s="485">
        <f>UPAH!$E$9</f>
        <v>180000</v>
      </c>
      <c r="H251" s="1193">
        <f t="shared" si="22"/>
        <v>4752</v>
      </c>
      <c r="I251" s="1410">
        <f>SUM(H248:H251)</f>
        <v>123288</v>
      </c>
    </row>
    <row r="252" spans="2:13">
      <c r="B252" s="1249"/>
      <c r="C252" s="882"/>
      <c r="D252" s="866" t="s">
        <v>228</v>
      </c>
      <c r="E252" s="883"/>
      <c r="F252" s="979"/>
      <c r="G252" s="885"/>
      <c r="H252" s="886">
        <f>SUM(H241:H251)</f>
        <v>247371.33333333331</v>
      </c>
    </row>
    <row r="253" spans="2:13">
      <c r="B253" s="1199"/>
      <c r="C253" s="1107" t="s">
        <v>229</v>
      </c>
      <c r="D253" s="1108"/>
      <c r="E253" s="1108"/>
      <c r="F253" s="1108"/>
      <c r="G253" s="1109"/>
      <c r="H253" s="1109">
        <f>ROUND(H252,0)</f>
        <v>247371</v>
      </c>
    </row>
    <row r="254" spans="2:13">
      <c r="B254" s="530" t="s">
        <v>1507</v>
      </c>
      <c r="C254" s="419" t="s">
        <v>2883</v>
      </c>
      <c r="D254" s="558"/>
      <c r="E254" s="559"/>
      <c r="F254" s="560"/>
      <c r="G254" s="561"/>
      <c r="H254" s="562"/>
    </row>
    <row r="255" spans="2:13">
      <c r="B255" s="1185"/>
      <c r="C255" s="1097" t="s">
        <v>28</v>
      </c>
      <c r="D255" s="1102" t="s">
        <v>2716</v>
      </c>
      <c r="E255" s="1121" t="s">
        <v>1074</v>
      </c>
      <c r="F255" s="1100">
        <f>M256/6</f>
        <v>1.6452107279693486</v>
      </c>
      <c r="G255" s="1186">
        <f>BAHAN!$E$184</f>
        <v>373750</v>
      </c>
      <c r="H255" s="1101">
        <f>F255*G255</f>
        <v>614897.50957854406</v>
      </c>
      <c r="I255" s="5">
        <f>5*3</f>
        <v>15</v>
      </c>
      <c r="J255" s="1410">
        <f>SUMIF(BOQ!$G$1:$G$2423,I259,BOQ!$E$1:$E$2423)</f>
        <v>0</v>
      </c>
      <c r="K255" s="1410">
        <f>J255*F255</f>
        <v>0</v>
      </c>
      <c r="L255" s="5">
        <v>21.75</v>
      </c>
      <c r="M255" s="5">
        <v>1</v>
      </c>
    </row>
    <row r="256" spans="2:13">
      <c r="B256" s="1185"/>
      <c r="C256" s="1097" t="s">
        <v>28</v>
      </c>
      <c r="D256" s="1102" t="s">
        <v>1889</v>
      </c>
      <c r="E256" s="1121" t="s">
        <v>1074</v>
      </c>
      <c r="F256" s="1100"/>
      <c r="G256" s="1186">
        <f>BAHAN!$E$181</f>
        <v>126500</v>
      </c>
      <c r="H256" s="1101">
        <f>F256*G256</f>
        <v>0</v>
      </c>
      <c r="I256" s="5">
        <f>4*25</f>
        <v>100</v>
      </c>
      <c r="J256" s="1410">
        <f>J255</f>
        <v>0</v>
      </c>
      <c r="K256" s="1410">
        <f>J256*F256</f>
        <v>0</v>
      </c>
      <c r="L256" s="5">
        <v>214.7</v>
      </c>
      <c r="M256" s="5">
        <f>L256/L255</f>
        <v>9.8712643678160923</v>
      </c>
    </row>
    <row r="257" spans="2:13">
      <c r="B257" s="1185"/>
      <c r="C257" s="1097" t="s">
        <v>28</v>
      </c>
      <c r="D257" s="1102" t="s">
        <v>1373</v>
      </c>
      <c r="E257" s="1121" t="s">
        <v>124</v>
      </c>
      <c r="F257" s="1412">
        <v>1</v>
      </c>
      <c r="G257" s="1186">
        <f>5000</f>
        <v>5000</v>
      </c>
      <c r="H257" s="1101">
        <f>F257*G257</f>
        <v>5000</v>
      </c>
      <c r="J257" s="1410">
        <f>J256</f>
        <v>0</v>
      </c>
      <c r="K257" s="1410">
        <f>J257*F257</f>
        <v>0</v>
      </c>
      <c r="M257" s="5">
        <f>L257/L255</f>
        <v>0</v>
      </c>
    </row>
    <row r="258" spans="2:13">
      <c r="B258" s="1189"/>
      <c r="C258" s="1190" t="s">
        <v>28</v>
      </c>
      <c r="D258" s="1191" t="s">
        <v>560</v>
      </c>
      <c r="E258" s="1192" t="s">
        <v>47</v>
      </c>
      <c r="F258" s="1411">
        <v>0.1</v>
      </c>
      <c r="G258" s="1255">
        <f>BAHAN!$E$393</f>
        <v>36000</v>
      </c>
      <c r="H258" s="1193">
        <f t="shared" ref="H258:H263" si="23">G258*F258</f>
        <v>3600</v>
      </c>
      <c r="J258" s="1410">
        <f>J257</f>
        <v>0</v>
      </c>
      <c r="K258" s="1410">
        <f>J258*F258</f>
        <v>0</v>
      </c>
    </row>
    <row r="259" spans="2:13">
      <c r="B259" s="1189"/>
      <c r="C259" s="1190" t="s">
        <v>28</v>
      </c>
      <c r="D259" s="1191" t="s">
        <v>561</v>
      </c>
      <c r="E259" s="1192" t="s">
        <v>309</v>
      </c>
      <c r="F259" s="639">
        <v>0.1</v>
      </c>
      <c r="G259" s="485">
        <f>BAHAN!$E$394</f>
        <v>56250</v>
      </c>
      <c r="H259" s="1193">
        <f t="shared" si="23"/>
        <v>5625</v>
      </c>
      <c r="I259" s="1410">
        <f>SUM(H255:H259)</f>
        <v>629122.50957854406</v>
      </c>
      <c r="J259" s="1410">
        <f>J258</f>
        <v>0</v>
      </c>
      <c r="K259" s="1410">
        <f>J259*F259</f>
        <v>0</v>
      </c>
    </row>
    <row r="260" spans="2:13">
      <c r="B260" s="1189"/>
      <c r="C260" s="1190" t="s">
        <v>28</v>
      </c>
      <c r="D260" s="1191" t="s">
        <v>133</v>
      </c>
      <c r="E260" s="1194" t="s">
        <v>263</v>
      </c>
      <c r="F260" s="640">
        <v>8.5000000000000006E-2</v>
      </c>
      <c r="G260" s="485">
        <f>UPAH!$E$26</f>
        <v>136000</v>
      </c>
      <c r="H260" s="1193">
        <f t="shared" si="23"/>
        <v>11560</v>
      </c>
    </row>
    <row r="261" spans="2:13">
      <c r="B261" s="1189"/>
      <c r="C261" s="1190" t="s">
        <v>28</v>
      </c>
      <c r="D261" s="1191" t="s">
        <v>358</v>
      </c>
      <c r="E261" s="1194" t="s">
        <v>263</v>
      </c>
      <c r="F261" s="639">
        <f>0.02/10*115</f>
        <v>0.23</v>
      </c>
      <c r="G261" s="485">
        <f>UPAH!$E$18</f>
        <v>160000</v>
      </c>
      <c r="H261" s="1193">
        <f t="shared" si="23"/>
        <v>36800</v>
      </c>
    </row>
    <row r="262" spans="2:13">
      <c r="B262" s="1189"/>
      <c r="C262" s="1190" t="s">
        <v>28</v>
      </c>
      <c r="D262" s="1191" t="s">
        <v>562</v>
      </c>
      <c r="E262" s="1194" t="s">
        <v>263</v>
      </c>
      <c r="F262" s="639">
        <f>0.002/10*115</f>
        <v>2.3E-2</v>
      </c>
      <c r="G262" s="485">
        <f>UPAH!$E$12</f>
        <v>170000</v>
      </c>
      <c r="H262" s="1193">
        <f t="shared" si="23"/>
        <v>3910</v>
      </c>
    </row>
    <row r="263" spans="2:13">
      <c r="B263" s="1195"/>
      <c r="C263" s="1196" t="s">
        <v>28</v>
      </c>
      <c r="D263" s="1197" t="s">
        <v>136</v>
      </c>
      <c r="E263" s="1198" t="s">
        <v>263</v>
      </c>
      <c r="F263" s="644">
        <f>0.002/10*115</f>
        <v>2.3E-2</v>
      </c>
      <c r="G263" s="485">
        <f>UPAH!$E$9</f>
        <v>180000</v>
      </c>
      <c r="H263" s="1193">
        <f t="shared" si="23"/>
        <v>4140</v>
      </c>
      <c r="I263" s="1410">
        <f>SUM(H260:H263)</f>
        <v>56410</v>
      </c>
    </row>
    <row r="264" spans="2:13">
      <c r="B264" s="1249"/>
      <c r="C264" s="882"/>
      <c r="D264" s="866" t="s">
        <v>228</v>
      </c>
      <c r="E264" s="883"/>
      <c r="F264" s="1532"/>
      <c r="G264" s="885"/>
      <c r="H264" s="886">
        <f>SUM(H255:H263)</f>
        <v>685532.50957854406</v>
      </c>
    </row>
    <row r="265" spans="2:13">
      <c r="B265" s="1199"/>
      <c r="C265" s="1107" t="s">
        <v>229</v>
      </c>
      <c r="D265" s="1108"/>
      <c r="E265" s="1108"/>
      <c r="F265" s="1531"/>
      <c r="G265" s="1109"/>
      <c r="H265" s="1109">
        <f>ROUND(H264,0)</f>
        <v>685533</v>
      </c>
    </row>
    <row r="266" spans="2:13">
      <c r="B266" s="530" t="s">
        <v>1507</v>
      </c>
      <c r="C266" s="419" t="s">
        <v>2567</v>
      </c>
      <c r="D266" s="558"/>
      <c r="E266" s="559"/>
      <c r="F266" s="560"/>
      <c r="G266" s="561"/>
      <c r="H266" s="562"/>
    </row>
    <row r="267" spans="2:13">
      <c r="B267" s="1189"/>
      <c r="C267" s="1190" t="s">
        <v>28</v>
      </c>
      <c r="D267" s="1102" t="s">
        <v>2568</v>
      </c>
      <c r="E267" s="1121" t="s">
        <v>47</v>
      </c>
      <c r="F267" s="1100">
        <v>16.32</v>
      </c>
      <c r="G267" s="1186">
        <f>BAHAN!$E$169</f>
        <v>7000</v>
      </c>
      <c r="H267" s="1101">
        <f>F267*G267</f>
        <v>114240</v>
      </c>
      <c r="I267" s="1410">
        <f>SUM(H267:H267)</f>
        <v>114240</v>
      </c>
      <c r="J267" s="1410"/>
      <c r="K267" s="1410">
        <v>16.318999999999999</v>
      </c>
    </row>
    <row r="268" spans="2:13">
      <c r="B268" s="1195"/>
      <c r="C268" s="1196" t="s">
        <v>28</v>
      </c>
      <c r="D268" s="1191" t="s">
        <v>2569</v>
      </c>
      <c r="E268" s="1194" t="s">
        <v>147</v>
      </c>
      <c r="F268" s="640">
        <v>1</v>
      </c>
      <c r="G268" s="485">
        <v>350000</v>
      </c>
      <c r="H268" s="1193">
        <f>G268*F268</f>
        <v>350000</v>
      </c>
      <c r="I268" s="1410">
        <f>SUM(H268:H268)</f>
        <v>350000</v>
      </c>
    </row>
    <row r="269" spans="2:13">
      <c r="B269" s="1249"/>
      <c r="C269" s="882"/>
      <c r="D269" s="866" t="s">
        <v>228</v>
      </c>
      <c r="E269" s="883"/>
      <c r="F269" s="1532"/>
      <c r="G269" s="885"/>
      <c r="H269" s="886">
        <f>SUM(H267:H268)</f>
        <v>464240</v>
      </c>
    </row>
    <row r="270" spans="2:13">
      <c r="B270" s="1199"/>
      <c r="C270" s="1107" t="s">
        <v>229</v>
      </c>
      <c r="D270" s="1108"/>
      <c r="E270" s="1108"/>
      <c r="F270" s="1531"/>
      <c r="G270" s="1109"/>
      <c r="H270" s="1109">
        <f>ROUND(H269,0)</f>
        <v>464240</v>
      </c>
    </row>
  </sheetData>
  <mergeCells count="1">
    <mergeCell ref="B2:H2"/>
  </mergeCells>
  <pageMargins left="1.06" right="0.43307086614173201" top="0.89" bottom="0.78740157480314998" header="0.31496062992126" footer="0.31496062992126"/>
  <pageSetup paperSize="5" scale="78" orientation="portrait" r:id="rId1"/>
  <headerFooter>
    <oddFooter>Page &amp;P&amp;R&amp;A</oddFooter>
  </headerFooter>
  <rowBreaks count="2" manualBreakCount="2">
    <brk id="30" min="1" max="7" man="1"/>
    <brk id="130" min="1" max="7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2"/>
  <dimension ref="B2:I157"/>
  <sheetViews>
    <sheetView view="pageBreakPreview" topLeftCell="B7" zoomScale="115" zoomScaleSheetLayoutView="115" workbookViewId="0">
      <selection activeCell="I7" sqref="I7"/>
    </sheetView>
  </sheetViews>
  <sheetFormatPr defaultRowHeight="15"/>
  <cols>
    <col min="1" max="1" width="1.140625" style="5" customWidth="1"/>
    <col min="2" max="2" width="5.28515625" style="5" customWidth="1"/>
    <col min="3" max="3" width="1" style="5" customWidth="1"/>
    <col min="4" max="4" width="31.5703125" style="5" customWidth="1"/>
    <col min="5" max="5" width="7" style="5" customWidth="1"/>
    <col min="6" max="6" width="10.28515625" style="5" customWidth="1"/>
    <col min="7" max="7" width="16.7109375" style="5" customWidth="1"/>
    <col min="8" max="9" width="19.85546875" style="5" customWidth="1"/>
    <col min="10" max="10" width="3" style="5" customWidth="1"/>
    <col min="11" max="257" width="9.140625" style="5"/>
    <col min="258" max="258" width="1.140625" style="5" customWidth="1"/>
    <col min="259" max="259" width="5.28515625" style="5" customWidth="1"/>
    <col min="260" max="260" width="1" style="5" customWidth="1"/>
    <col min="261" max="261" width="31.5703125" style="5" customWidth="1"/>
    <col min="262" max="262" width="7" style="5" customWidth="1"/>
    <col min="263" max="263" width="10.28515625" style="5" customWidth="1"/>
    <col min="264" max="264" width="16.7109375" style="5" customWidth="1"/>
    <col min="265" max="265" width="19.85546875" style="5" customWidth="1"/>
    <col min="266" max="266" width="3" style="5" customWidth="1"/>
    <col min="267" max="513" width="9.140625" style="5"/>
    <col min="514" max="514" width="1.140625" style="5" customWidth="1"/>
    <col min="515" max="515" width="5.28515625" style="5" customWidth="1"/>
    <col min="516" max="516" width="1" style="5" customWidth="1"/>
    <col min="517" max="517" width="31.5703125" style="5" customWidth="1"/>
    <col min="518" max="518" width="7" style="5" customWidth="1"/>
    <col min="519" max="519" width="10.28515625" style="5" customWidth="1"/>
    <col min="520" max="520" width="16.7109375" style="5" customWidth="1"/>
    <col min="521" max="521" width="19.85546875" style="5" customWidth="1"/>
    <col min="522" max="522" width="3" style="5" customWidth="1"/>
    <col min="523" max="769" width="9.140625" style="5"/>
    <col min="770" max="770" width="1.140625" style="5" customWidth="1"/>
    <col min="771" max="771" width="5.28515625" style="5" customWidth="1"/>
    <col min="772" max="772" width="1" style="5" customWidth="1"/>
    <col min="773" max="773" width="31.5703125" style="5" customWidth="1"/>
    <col min="774" max="774" width="7" style="5" customWidth="1"/>
    <col min="775" max="775" width="10.28515625" style="5" customWidth="1"/>
    <col min="776" max="776" width="16.7109375" style="5" customWidth="1"/>
    <col min="777" max="777" width="19.85546875" style="5" customWidth="1"/>
    <col min="778" max="778" width="3" style="5" customWidth="1"/>
    <col min="779" max="1025" width="9.140625" style="5"/>
    <col min="1026" max="1026" width="1.140625" style="5" customWidth="1"/>
    <col min="1027" max="1027" width="5.28515625" style="5" customWidth="1"/>
    <col min="1028" max="1028" width="1" style="5" customWidth="1"/>
    <col min="1029" max="1029" width="31.5703125" style="5" customWidth="1"/>
    <col min="1030" max="1030" width="7" style="5" customWidth="1"/>
    <col min="1031" max="1031" width="10.28515625" style="5" customWidth="1"/>
    <col min="1032" max="1032" width="16.7109375" style="5" customWidth="1"/>
    <col min="1033" max="1033" width="19.85546875" style="5" customWidth="1"/>
    <col min="1034" max="1034" width="3" style="5" customWidth="1"/>
    <col min="1035" max="1281" width="9.140625" style="5"/>
    <col min="1282" max="1282" width="1.140625" style="5" customWidth="1"/>
    <col min="1283" max="1283" width="5.28515625" style="5" customWidth="1"/>
    <col min="1284" max="1284" width="1" style="5" customWidth="1"/>
    <col min="1285" max="1285" width="31.5703125" style="5" customWidth="1"/>
    <col min="1286" max="1286" width="7" style="5" customWidth="1"/>
    <col min="1287" max="1287" width="10.28515625" style="5" customWidth="1"/>
    <col min="1288" max="1288" width="16.7109375" style="5" customWidth="1"/>
    <col min="1289" max="1289" width="19.85546875" style="5" customWidth="1"/>
    <col min="1290" max="1290" width="3" style="5" customWidth="1"/>
    <col min="1291" max="1537" width="9.140625" style="5"/>
    <col min="1538" max="1538" width="1.140625" style="5" customWidth="1"/>
    <col min="1539" max="1539" width="5.28515625" style="5" customWidth="1"/>
    <col min="1540" max="1540" width="1" style="5" customWidth="1"/>
    <col min="1541" max="1541" width="31.5703125" style="5" customWidth="1"/>
    <col min="1542" max="1542" width="7" style="5" customWidth="1"/>
    <col min="1543" max="1543" width="10.28515625" style="5" customWidth="1"/>
    <col min="1544" max="1544" width="16.7109375" style="5" customWidth="1"/>
    <col min="1545" max="1545" width="19.85546875" style="5" customWidth="1"/>
    <col min="1546" max="1546" width="3" style="5" customWidth="1"/>
    <col min="1547" max="1793" width="9.140625" style="5"/>
    <col min="1794" max="1794" width="1.140625" style="5" customWidth="1"/>
    <col min="1795" max="1795" width="5.28515625" style="5" customWidth="1"/>
    <col min="1796" max="1796" width="1" style="5" customWidth="1"/>
    <col min="1797" max="1797" width="31.5703125" style="5" customWidth="1"/>
    <col min="1798" max="1798" width="7" style="5" customWidth="1"/>
    <col min="1799" max="1799" width="10.28515625" style="5" customWidth="1"/>
    <col min="1800" max="1800" width="16.7109375" style="5" customWidth="1"/>
    <col min="1801" max="1801" width="19.85546875" style="5" customWidth="1"/>
    <col min="1802" max="1802" width="3" style="5" customWidth="1"/>
    <col min="1803" max="2049" width="9.140625" style="5"/>
    <col min="2050" max="2050" width="1.140625" style="5" customWidth="1"/>
    <col min="2051" max="2051" width="5.28515625" style="5" customWidth="1"/>
    <col min="2052" max="2052" width="1" style="5" customWidth="1"/>
    <col min="2053" max="2053" width="31.5703125" style="5" customWidth="1"/>
    <col min="2054" max="2054" width="7" style="5" customWidth="1"/>
    <col min="2055" max="2055" width="10.28515625" style="5" customWidth="1"/>
    <col min="2056" max="2056" width="16.7109375" style="5" customWidth="1"/>
    <col min="2057" max="2057" width="19.85546875" style="5" customWidth="1"/>
    <col min="2058" max="2058" width="3" style="5" customWidth="1"/>
    <col min="2059" max="2305" width="9.140625" style="5"/>
    <col min="2306" max="2306" width="1.140625" style="5" customWidth="1"/>
    <col min="2307" max="2307" width="5.28515625" style="5" customWidth="1"/>
    <col min="2308" max="2308" width="1" style="5" customWidth="1"/>
    <col min="2309" max="2309" width="31.5703125" style="5" customWidth="1"/>
    <col min="2310" max="2310" width="7" style="5" customWidth="1"/>
    <col min="2311" max="2311" width="10.28515625" style="5" customWidth="1"/>
    <col min="2312" max="2312" width="16.7109375" style="5" customWidth="1"/>
    <col min="2313" max="2313" width="19.85546875" style="5" customWidth="1"/>
    <col min="2314" max="2314" width="3" style="5" customWidth="1"/>
    <col min="2315" max="2561" width="9.140625" style="5"/>
    <col min="2562" max="2562" width="1.140625" style="5" customWidth="1"/>
    <col min="2563" max="2563" width="5.28515625" style="5" customWidth="1"/>
    <col min="2564" max="2564" width="1" style="5" customWidth="1"/>
    <col min="2565" max="2565" width="31.5703125" style="5" customWidth="1"/>
    <col min="2566" max="2566" width="7" style="5" customWidth="1"/>
    <col min="2567" max="2567" width="10.28515625" style="5" customWidth="1"/>
    <col min="2568" max="2568" width="16.7109375" style="5" customWidth="1"/>
    <col min="2569" max="2569" width="19.85546875" style="5" customWidth="1"/>
    <col min="2570" max="2570" width="3" style="5" customWidth="1"/>
    <col min="2571" max="2817" width="9.140625" style="5"/>
    <col min="2818" max="2818" width="1.140625" style="5" customWidth="1"/>
    <col min="2819" max="2819" width="5.28515625" style="5" customWidth="1"/>
    <col min="2820" max="2820" width="1" style="5" customWidth="1"/>
    <col min="2821" max="2821" width="31.5703125" style="5" customWidth="1"/>
    <col min="2822" max="2822" width="7" style="5" customWidth="1"/>
    <col min="2823" max="2823" width="10.28515625" style="5" customWidth="1"/>
    <col min="2824" max="2824" width="16.7109375" style="5" customWidth="1"/>
    <col min="2825" max="2825" width="19.85546875" style="5" customWidth="1"/>
    <col min="2826" max="2826" width="3" style="5" customWidth="1"/>
    <col min="2827" max="3073" width="9.140625" style="5"/>
    <col min="3074" max="3074" width="1.140625" style="5" customWidth="1"/>
    <col min="3075" max="3075" width="5.28515625" style="5" customWidth="1"/>
    <col min="3076" max="3076" width="1" style="5" customWidth="1"/>
    <col min="3077" max="3077" width="31.5703125" style="5" customWidth="1"/>
    <col min="3078" max="3078" width="7" style="5" customWidth="1"/>
    <col min="3079" max="3079" width="10.28515625" style="5" customWidth="1"/>
    <col min="3080" max="3080" width="16.7109375" style="5" customWidth="1"/>
    <col min="3081" max="3081" width="19.85546875" style="5" customWidth="1"/>
    <col min="3082" max="3082" width="3" style="5" customWidth="1"/>
    <col min="3083" max="3329" width="9.140625" style="5"/>
    <col min="3330" max="3330" width="1.140625" style="5" customWidth="1"/>
    <col min="3331" max="3331" width="5.28515625" style="5" customWidth="1"/>
    <col min="3332" max="3332" width="1" style="5" customWidth="1"/>
    <col min="3333" max="3333" width="31.5703125" style="5" customWidth="1"/>
    <col min="3334" max="3334" width="7" style="5" customWidth="1"/>
    <col min="3335" max="3335" width="10.28515625" style="5" customWidth="1"/>
    <col min="3336" max="3336" width="16.7109375" style="5" customWidth="1"/>
    <col min="3337" max="3337" width="19.85546875" style="5" customWidth="1"/>
    <col min="3338" max="3338" width="3" style="5" customWidth="1"/>
    <col min="3339" max="3585" width="9.140625" style="5"/>
    <col min="3586" max="3586" width="1.140625" style="5" customWidth="1"/>
    <col min="3587" max="3587" width="5.28515625" style="5" customWidth="1"/>
    <col min="3588" max="3588" width="1" style="5" customWidth="1"/>
    <col min="3589" max="3589" width="31.5703125" style="5" customWidth="1"/>
    <col min="3590" max="3590" width="7" style="5" customWidth="1"/>
    <col min="3591" max="3591" width="10.28515625" style="5" customWidth="1"/>
    <col min="3592" max="3592" width="16.7109375" style="5" customWidth="1"/>
    <col min="3593" max="3593" width="19.85546875" style="5" customWidth="1"/>
    <col min="3594" max="3594" width="3" style="5" customWidth="1"/>
    <col min="3595" max="3841" width="9.140625" style="5"/>
    <col min="3842" max="3842" width="1.140625" style="5" customWidth="1"/>
    <col min="3843" max="3843" width="5.28515625" style="5" customWidth="1"/>
    <col min="3844" max="3844" width="1" style="5" customWidth="1"/>
    <col min="3845" max="3845" width="31.5703125" style="5" customWidth="1"/>
    <col min="3846" max="3846" width="7" style="5" customWidth="1"/>
    <col min="3847" max="3847" width="10.28515625" style="5" customWidth="1"/>
    <col min="3848" max="3848" width="16.7109375" style="5" customWidth="1"/>
    <col min="3849" max="3849" width="19.85546875" style="5" customWidth="1"/>
    <col min="3850" max="3850" width="3" style="5" customWidth="1"/>
    <col min="3851" max="4097" width="9.140625" style="5"/>
    <col min="4098" max="4098" width="1.140625" style="5" customWidth="1"/>
    <col min="4099" max="4099" width="5.28515625" style="5" customWidth="1"/>
    <col min="4100" max="4100" width="1" style="5" customWidth="1"/>
    <col min="4101" max="4101" width="31.5703125" style="5" customWidth="1"/>
    <col min="4102" max="4102" width="7" style="5" customWidth="1"/>
    <col min="4103" max="4103" width="10.28515625" style="5" customWidth="1"/>
    <col min="4104" max="4104" width="16.7109375" style="5" customWidth="1"/>
    <col min="4105" max="4105" width="19.85546875" style="5" customWidth="1"/>
    <col min="4106" max="4106" width="3" style="5" customWidth="1"/>
    <col min="4107" max="4353" width="9.140625" style="5"/>
    <col min="4354" max="4354" width="1.140625" style="5" customWidth="1"/>
    <col min="4355" max="4355" width="5.28515625" style="5" customWidth="1"/>
    <col min="4356" max="4356" width="1" style="5" customWidth="1"/>
    <col min="4357" max="4357" width="31.5703125" style="5" customWidth="1"/>
    <col min="4358" max="4358" width="7" style="5" customWidth="1"/>
    <col min="4359" max="4359" width="10.28515625" style="5" customWidth="1"/>
    <col min="4360" max="4360" width="16.7109375" style="5" customWidth="1"/>
    <col min="4361" max="4361" width="19.85546875" style="5" customWidth="1"/>
    <col min="4362" max="4362" width="3" style="5" customWidth="1"/>
    <col min="4363" max="4609" width="9.140625" style="5"/>
    <col min="4610" max="4610" width="1.140625" style="5" customWidth="1"/>
    <col min="4611" max="4611" width="5.28515625" style="5" customWidth="1"/>
    <col min="4612" max="4612" width="1" style="5" customWidth="1"/>
    <col min="4613" max="4613" width="31.5703125" style="5" customWidth="1"/>
    <col min="4614" max="4614" width="7" style="5" customWidth="1"/>
    <col min="4615" max="4615" width="10.28515625" style="5" customWidth="1"/>
    <col min="4616" max="4616" width="16.7109375" style="5" customWidth="1"/>
    <col min="4617" max="4617" width="19.85546875" style="5" customWidth="1"/>
    <col min="4618" max="4618" width="3" style="5" customWidth="1"/>
    <col min="4619" max="4865" width="9.140625" style="5"/>
    <col min="4866" max="4866" width="1.140625" style="5" customWidth="1"/>
    <col min="4867" max="4867" width="5.28515625" style="5" customWidth="1"/>
    <col min="4868" max="4868" width="1" style="5" customWidth="1"/>
    <col min="4869" max="4869" width="31.5703125" style="5" customWidth="1"/>
    <col min="4870" max="4870" width="7" style="5" customWidth="1"/>
    <col min="4871" max="4871" width="10.28515625" style="5" customWidth="1"/>
    <col min="4872" max="4872" width="16.7109375" style="5" customWidth="1"/>
    <col min="4873" max="4873" width="19.85546875" style="5" customWidth="1"/>
    <col min="4874" max="4874" width="3" style="5" customWidth="1"/>
    <col min="4875" max="5121" width="9.140625" style="5"/>
    <col min="5122" max="5122" width="1.140625" style="5" customWidth="1"/>
    <col min="5123" max="5123" width="5.28515625" style="5" customWidth="1"/>
    <col min="5124" max="5124" width="1" style="5" customWidth="1"/>
    <col min="5125" max="5125" width="31.5703125" style="5" customWidth="1"/>
    <col min="5126" max="5126" width="7" style="5" customWidth="1"/>
    <col min="5127" max="5127" width="10.28515625" style="5" customWidth="1"/>
    <col min="5128" max="5128" width="16.7109375" style="5" customWidth="1"/>
    <col min="5129" max="5129" width="19.85546875" style="5" customWidth="1"/>
    <col min="5130" max="5130" width="3" style="5" customWidth="1"/>
    <col min="5131" max="5377" width="9.140625" style="5"/>
    <col min="5378" max="5378" width="1.140625" style="5" customWidth="1"/>
    <col min="5379" max="5379" width="5.28515625" style="5" customWidth="1"/>
    <col min="5380" max="5380" width="1" style="5" customWidth="1"/>
    <col min="5381" max="5381" width="31.5703125" style="5" customWidth="1"/>
    <col min="5382" max="5382" width="7" style="5" customWidth="1"/>
    <col min="5383" max="5383" width="10.28515625" style="5" customWidth="1"/>
    <col min="5384" max="5384" width="16.7109375" style="5" customWidth="1"/>
    <col min="5385" max="5385" width="19.85546875" style="5" customWidth="1"/>
    <col min="5386" max="5386" width="3" style="5" customWidth="1"/>
    <col min="5387" max="5633" width="9.140625" style="5"/>
    <col min="5634" max="5634" width="1.140625" style="5" customWidth="1"/>
    <col min="5635" max="5635" width="5.28515625" style="5" customWidth="1"/>
    <col min="5636" max="5636" width="1" style="5" customWidth="1"/>
    <col min="5637" max="5637" width="31.5703125" style="5" customWidth="1"/>
    <col min="5638" max="5638" width="7" style="5" customWidth="1"/>
    <col min="5639" max="5639" width="10.28515625" style="5" customWidth="1"/>
    <col min="5640" max="5640" width="16.7109375" style="5" customWidth="1"/>
    <col min="5641" max="5641" width="19.85546875" style="5" customWidth="1"/>
    <col min="5642" max="5642" width="3" style="5" customWidth="1"/>
    <col min="5643" max="5889" width="9.140625" style="5"/>
    <col min="5890" max="5890" width="1.140625" style="5" customWidth="1"/>
    <col min="5891" max="5891" width="5.28515625" style="5" customWidth="1"/>
    <col min="5892" max="5892" width="1" style="5" customWidth="1"/>
    <col min="5893" max="5893" width="31.5703125" style="5" customWidth="1"/>
    <col min="5894" max="5894" width="7" style="5" customWidth="1"/>
    <col min="5895" max="5895" width="10.28515625" style="5" customWidth="1"/>
    <col min="5896" max="5896" width="16.7109375" style="5" customWidth="1"/>
    <col min="5897" max="5897" width="19.85546875" style="5" customWidth="1"/>
    <col min="5898" max="5898" width="3" style="5" customWidth="1"/>
    <col min="5899" max="6145" width="9.140625" style="5"/>
    <col min="6146" max="6146" width="1.140625" style="5" customWidth="1"/>
    <col min="6147" max="6147" width="5.28515625" style="5" customWidth="1"/>
    <col min="6148" max="6148" width="1" style="5" customWidth="1"/>
    <col min="6149" max="6149" width="31.5703125" style="5" customWidth="1"/>
    <col min="6150" max="6150" width="7" style="5" customWidth="1"/>
    <col min="6151" max="6151" width="10.28515625" style="5" customWidth="1"/>
    <col min="6152" max="6152" width="16.7109375" style="5" customWidth="1"/>
    <col min="6153" max="6153" width="19.85546875" style="5" customWidth="1"/>
    <col min="6154" max="6154" width="3" style="5" customWidth="1"/>
    <col min="6155" max="6401" width="9.140625" style="5"/>
    <col min="6402" max="6402" width="1.140625" style="5" customWidth="1"/>
    <col min="6403" max="6403" width="5.28515625" style="5" customWidth="1"/>
    <col min="6404" max="6404" width="1" style="5" customWidth="1"/>
    <col min="6405" max="6405" width="31.5703125" style="5" customWidth="1"/>
    <col min="6406" max="6406" width="7" style="5" customWidth="1"/>
    <col min="6407" max="6407" width="10.28515625" style="5" customWidth="1"/>
    <col min="6408" max="6408" width="16.7109375" style="5" customWidth="1"/>
    <col min="6409" max="6409" width="19.85546875" style="5" customWidth="1"/>
    <col min="6410" max="6410" width="3" style="5" customWidth="1"/>
    <col min="6411" max="6657" width="9.140625" style="5"/>
    <col min="6658" max="6658" width="1.140625" style="5" customWidth="1"/>
    <col min="6659" max="6659" width="5.28515625" style="5" customWidth="1"/>
    <col min="6660" max="6660" width="1" style="5" customWidth="1"/>
    <col min="6661" max="6661" width="31.5703125" style="5" customWidth="1"/>
    <col min="6662" max="6662" width="7" style="5" customWidth="1"/>
    <col min="6663" max="6663" width="10.28515625" style="5" customWidth="1"/>
    <col min="6664" max="6664" width="16.7109375" style="5" customWidth="1"/>
    <col min="6665" max="6665" width="19.85546875" style="5" customWidth="1"/>
    <col min="6666" max="6666" width="3" style="5" customWidth="1"/>
    <col min="6667" max="6913" width="9.140625" style="5"/>
    <col min="6914" max="6914" width="1.140625" style="5" customWidth="1"/>
    <col min="6915" max="6915" width="5.28515625" style="5" customWidth="1"/>
    <col min="6916" max="6916" width="1" style="5" customWidth="1"/>
    <col min="6917" max="6917" width="31.5703125" style="5" customWidth="1"/>
    <col min="6918" max="6918" width="7" style="5" customWidth="1"/>
    <col min="6919" max="6919" width="10.28515625" style="5" customWidth="1"/>
    <col min="6920" max="6920" width="16.7109375" style="5" customWidth="1"/>
    <col min="6921" max="6921" width="19.85546875" style="5" customWidth="1"/>
    <col min="6922" max="6922" width="3" style="5" customWidth="1"/>
    <col min="6923" max="7169" width="9.140625" style="5"/>
    <col min="7170" max="7170" width="1.140625" style="5" customWidth="1"/>
    <col min="7171" max="7171" width="5.28515625" style="5" customWidth="1"/>
    <col min="7172" max="7172" width="1" style="5" customWidth="1"/>
    <col min="7173" max="7173" width="31.5703125" style="5" customWidth="1"/>
    <col min="7174" max="7174" width="7" style="5" customWidth="1"/>
    <col min="7175" max="7175" width="10.28515625" style="5" customWidth="1"/>
    <col min="7176" max="7176" width="16.7109375" style="5" customWidth="1"/>
    <col min="7177" max="7177" width="19.85546875" style="5" customWidth="1"/>
    <col min="7178" max="7178" width="3" style="5" customWidth="1"/>
    <col min="7179" max="7425" width="9.140625" style="5"/>
    <col min="7426" max="7426" width="1.140625" style="5" customWidth="1"/>
    <col min="7427" max="7427" width="5.28515625" style="5" customWidth="1"/>
    <col min="7428" max="7428" width="1" style="5" customWidth="1"/>
    <col min="7429" max="7429" width="31.5703125" style="5" customWidth="1"/>
    <col min="7430" max="7430" width="7" style="5" customWidth="1"/>
    <col min="7431" max="7431" width="10.28515625" style="5" customWidth="1"/>
    <col min="7432" max="7432" width="16.7109375" style="5" customWidth="1"/>
    <col min="7433" max="7433" width="19.85546875" style="5" customWidth="1"/>
    <col min="7434" max="7434" width="3" style="5" customWidth="1"/>
    <col min="7435" max="7681" width="9.140625" style="5"/>
    <col min="7682" max="7682" width="1.140625" style="5" customWidth="1"/>
    <col min="7683" max="7683" width="5.28515625" style="5" customWidth="1"/>
    <col min="7684" max="7684" width="1" style="5" customWidth="1"/>
    <col min="7685" max="7685" width="31.5703125" style="5" customWidth="1"/>
    <col min="7686" max="7686" width="7" style="5" customWidth="1"/>
    <col min="7687" max="7687" width="10.28515625" style="5" customWidth="1"/>
    <col min="7688" max="7688" width="16.7109375" style="5" customWidth="1"/>
    <col min="7689" max="7689" width="19.85546875" style="5" customWidth="1"/>
    <col min="7690" max="7690" width="3" style="5" customWidth="1"/>
    <col min="7691" max="7937" width="9.140625" style="5"/>
    <col min="7938" max="7938" width="1.140625" style="5" customWidth="1"/>
    <col min="7939" max="7939" width="5.28515625" style="5" customWidth="1"/>
    <col min="7940" max="7940" width="1" style="5" customWidth="1"/>
    <col min="7941" max="7941" width="31.5703125" style="5" customWidth="1"/>
    <col min="7942" max="7942" width="7" style="5" customWidth="1"/>
    <col min="7943" max="7943" width="10.28515625" style="5" customWidth="1"/>
    <col min="7944" max="7944" width="16.7109375" style="5" customWidth="1"/>
    <col min="7945" max="7945" width="19.85546875" style="5" customWidth="1"/>
    <col min="7946" max="7946" width="3" style="5" customWidth="1"/>
    <col min="7947" max="8193" width="9.140625" style="5"/>
    <col min="8194" max="8194" width="1.140625" style="5" customWidth="1"/>
    <col min="8195" max="8195" width="5.28515625" style="5" customWidth="1"/>
    <col min="8196" max="8196" width="1" style="5" customWidth="1"/>
    <col min="8197" max="8197" width="31.5703125" style="5" customWidth="1"/>
    <col min="8198" max="8198" width="7" style="5" customWidth="1"/>
    <col min="8199" max="8199" width="10.28515625" style="5" customWidth="1"/>
    <col min="8200" max="8200" width="16.7109375" style="5" customWidth="1"/>
    <col min="8201" max="8201" width="19.85546875" style="5" customWidth="1"/>
    <col min="8202" max="8202" width="3" style="5" customWidth="1"/>
    <col min="8203" max="8449" width="9.140625" style="5"/>
    <col min="8450" max="8450" width="1.140625" style="5" customWidth="1"/>
    <col min="8451" max="8451" width="5.28515625" style="5" customWidth="1"/>
    <col min="8452" max="8452" width="1" style="5" customWidth="1"/>
    <col min="8453" max="8453" width="31.5703125" style="5" customWidth="1"/>
    <col min="8454" max="8454" width="7" style="5" customWidth="1"/>
    <col min="8455" max="8455" width="10.28515625" style="5" customWidth="1"/>
    <col min="8456" max="8456" width="16.7109375" style="5" customWidth="1"/>
    <col min="8457" max="8457" width="19.85546875" style="5" customWidth="1"/>
    <col min="8458" max="8458" width="3" style="5" customWidth="1"/>
    <col min="8459" max="8705" width="9.140625" style="5"/>
    <col min="8706" max="8706" width="1.140625" style="5" customWidth="1"/>
    <col min="8707" max="8707" width="5.28515625" style="5" customWidth="1"/>
    <col min="8708" max="8708" width="1" style="5" customWidth="1"/>
    <col min="8709" max="8709" width="31.5703125" style="5" customWidth="1"/>
    <col min="8710" max="8710" width="7" style="5" customWidth="1"/>
    <col min="8711" max="8711" width="10.28515625" style="5" customWidth="1"/>
    <col min="8712" max="8712" width="16.7109375" style="5" customWidth="1"/>
    <col min="8713" max="8713" width="19.85546875" style="5" customWidth="1"/>
    <col min="8714" max="8714" width="3" style="5" customWidth="1"/>
    <col min="8715" max="8961" width="9.140625" style="5"/>
    <col min="8962" max="8962" width="1.140625" style="5" customWidth="1"/>
    <col min="8963" max="8963" width="5.28515625" style="5" customWidth="1"/>
    <col min="8964" max="8964" width="1" style="5" customWidth="1"/>
    <col min="8965" max="8965" width="31.5703125" style="5" customWidth="1"/>
    <col min="8966" max="8966" width="7" style="5" customWidth="1"/>
    <col min="8967" max="8967" width="10.28515625" style="5" customWidth="1"/>
    <col min="8968" max="8968" width="16.7109375" style="5" customWidth="1"/>
    <col min="8969" max="8969" width="19.85546875" style="5" customWidth="1"/>
    <col min="8970" max="8970" width="3" style="5" customWidth="1"/>
    <col min="8971" max="9217" width="9.140625" style="5"/>
    <col min="9218" max="9218" width="1.140625" style="5" customWidth="1"/>
    <col min="9219" max="9219" width="5.28515625" style="5" customWidth="1"/>
    <col min="9220" max="9220" width="1" style="5" customWidth="1"/>
    <col min="9221" max="9221" width="31.5703125" style="5" customWidth="1"/>
    <col min="9222" max="9222" width="7" style="5" customWidth="1"/>
    <col min="9223" max="9223" width="10.28515625" style="5" customWidth="1"/>
    <col min="9224" max="9224" width="16.7109375" style="5" customWidth="1"/>
    <col min="9225" max="9225" width="19.85546875" style="5" customWidth="1"/>
    <col min="9226" max="9226" width="3" style="5" customWidth="1"/>
    <col min="9227" max="9473" width="9.140625" style="5"/>
    <col min="9474" max="9474" width="1.140625" style="5" customWidth="1"/>
    <col min="9475" max="9475" width="5.28515625" style="5" customWidth="1"/>
    <col min="9476" max="9476" width="1" style="5" customWidth="1"/>
    <col min="9477" max="9477" width="31.5703125" style="5" customWidth="1"/>
    <col min="9478" max="9478" width="7" style="5" customWidth="1"/>
    <col min="9479" max="9479" width="10.28515625" style="5" customWidth="1"/>
    <col min="9480" max="9480" width="16.7109375" style="5" customWidth="1"/>
    <col min="9481" max="9481" width="19.85546875" style="5" customWidth="1"/>
    <col min="9482" max="9482" width="3" style="5" customWidth="1"/>
    <col min="9483" max="9729" width="9.140625" style="5"/>
    <col min="9730" max="9730" width="1.140625" style="5" customWidth="1"/>
    <col min="9731" max="9731" width="5.28515625" style="5" customWidth="1"/>
    <col min="9732" max="9732" width="1" style="5" customWidth="1"/>
    <col min="9733" max="9733" width="31.5703125" style="5" customWidth="1"/>
    <col min="9734" max="9734" width="7" style="5" customWidth="1"/>
    <col min="9735" max="9735" width="10.28515625" style="5" customWidth="1"/>
    <col min="9736" max="9736" width="16.7109375" style="5" customWidth="1"/>
    <col min="9737" max="9737" width="19.85546875" style="5" customWidth="1"/>
    <col min="9738" max="9738" width="3" style="5" customWidth="1"/>
    <col min="9739" max="9985" width="9.140625" style="5"/>
    <col min="9986" max="9986" width="1.140625" style="5" customWidth="1"/>
    <col min="9987" max="9987" width="5.28515625" style="5" customWidth="1"/>
    <col min="9988" max="9988" width="1" style="5" customWidth="1"/>
    <col min="9989" max="9989" width="31.5703125" style="5" customWidth="1"/>
    <col min="9990" max="9990" width="7" style="5" customWidth="1"/>
    <col min="9991" max="9991" width="10.28515625" style="5" customWidth="1"/>
    <col min="9992" max="9992" width="16.7109375" style="5" customWidth="1"/>
    <col min="9993" max="9993" width="19.85546875" style="5" customWidth="1"/>
    <col min="9994" max="9994" width="3" style="5" customWidth="1"/>
    <col min="9995" max="10241" width="9.140625" style="5"/>
    <col min="10242" max="10242" width="1.140625" style="5" customWidth="1"/>
    <col min="10243" max="10243" width="5.28515625" style="5" customWidth="1"/>
    <col min="10244" max="10244" width="1" style="5" customWidth="1"/>
    <col min="10245" max="10245" width="31.5703125" style="5" customWidth="1"/>
    <col min="10246" max="10246" width="7" style="5" customWidth="1"/>
    <col min="10247" max="10247" width="10.28515625" style="5" customWidth="1"/>
    <col min="10248" max="10248" width="16.7109375" style="5" customWidth="1"/>
    <col min="10249" max="10249" width="19.85546875" style="5" customWidth="1"/>
    <col min="10250" max="10250" width="3" style="5" customWidth="1"/>
    <col min="10251" max="10497" width="9.140625" style="5"/>
    <col min="10498" max="10498" width="1.140625" style="5" customWidth="1"/>
    <col min="10499" max="10499" width="5.28515625" style="5" customWidth="1"/>
    <col min="10500" max="10500" width="1" style="5" customWidth="1"/>
    <col min="10501" max="10501" width="31.5703125" style="5" customWidth="1"/>
    <col min="10502" max="10502" width="7" style="5" customWidth="1"/>
    <col min="10503" max="10503" width="10.28515625" style="5" customWidth="1"/>
    <col min="10504" max="10504" width="16.7109375" style="5" customWidth="1"/>
    <col min="10505" max="10505" width="19.85546875" style="5" customWidth="1"/>
    <col min="10506" max="10506" width="3" style="5" customWidth="1"/>
    <col min="10507" max="10753" width="9.140625" style="5"/>
    <col min="10754" max="10754" width="1.140625" style="5" customWidth="1"/>
    <col min="10755" max="10755" width="5.28515625" style="5" customWidth="1"/>
    <col min="10756" max="10756" width="1" style="5" customWidth="1"/>
    <col min="10757" max="10757" width="31.5703125" style="5" customWidth="1"/>
    <col min="10758" max="10758" width="7" style="5" customWidth="1"/>
    <col min="10759" max="10759" width="10.28515625" style="5" customWidth="1"/>
    <col min="10760" max="10760" width="16.7109375" style="5" customWidth="1"/>
    <col min="10761" max="10761" width="19.85546875" style="5" customWidth="1"/>
    <col min="10762" max="10762" width="3" style="5" customWidth="1"/>
    <col min="10763" max="11009" width="9.140625" style="5"/>
    <col min="11010" max="11010" width="1.140625" style="5" customWidth="1"/>
    <col min="11011" max="11011" width="5.28515625" style="5" customWidth="1"/>
    <col min="11012" max="11012" width="1" style="5" customWidth="1"/>
    <col min="11013" max="11013" width="31.5703125" style="5" customWidth="1"/>
    <col min="11014" max="11014" width="7" style="5" customWidth="1"/>
    <col min="11015" max="11015" width="10.28515625" style="5" customWidth="1"/>
    <col min="11016" max="11016" width="16.7109375" style="5" customWidth="1"/>
    <col min="11017" max="11017" width="19.85546875" style="5" customWidth="1"/>
    <col min="11018" max="11018" width="3" style="5" customWidth="1"/>
    <col min="11019" max="11265" width="9.140625" style="5"/>
    <col min="11266" max="11266" width="1.140625" style="5" customWidth="1"/>
    <col min="11267" max="11267" width="5.28515625" style="5" customWidth="1"/>
    <col min="11268" max="11268" width="1" style="5" customWidth="1"/>
    <col min="11269" max="11269" width="31.5703125" style="5" customWidth="1"/>
    <col min="11270" max="11270" width="7" style="5" customWidth="1"/>
    <col min="11271" max="11271" width="10.28515625" style="5" customWidth="1"/>
    <col min="11272" max="11272" width="16.7109375" style="5" customWidth="1"/>
    <col min="11273" max="11273" width="19.85546875" style="5" customWidth="1"/>
    <col min="11274" max="11274" width="3" style="5" customWidth="1"/>
    <col min="11275" max="11521" width="9.140625" style="5"/>
    <col min="11522" max="11522" width="1.140625" style="5" customWidth="1"/>
    <col min="11523" max="11523" width="5.28515625" style="5" customWidth="1"/>
    <col min="11524" max="11524" width="1" style="5" customWidth="1"/>
    <col min="11525" max="11525" width="31.5703125" style="5" customWidth="1"/>
    <col min="11526" max="11526" width="7" style="5" customWidth="1"/>
    <col min="11527" max="11527" width="10.28515625" style="5" customWidth="1"/>
    <col min="11528" max="11528" width="16.7109375" style="5" customWidth="1"/>
    <col min="11529" max="11529" width="19.85546875" style="5" customWidth="1"/>
    <col min="11530" max="11530" width="3" style="5" customWidth="1"/>
    <col min="11531" max="11777" width="9.140625" style="5"/>
    <col min="11778" max="11778" width="1.140625" style="5" customWidth="1"/>
    <col min="11779" max="11779" width="5.28515625" style="5" customWidth="1"/>
    <col min="11780" max="11780" width="1" style="5" customWidth="1"/>
    <col min="11781" max="11781" width="31.5703125" style="5" customWidth="1"/>
    <col min="11782" max="11782" width="7" style="5" customWidth="1"/>
    <col min="11783" max="11783" width="10.28515625" style="5" customWidth="1"/>
    <col min="11784" max="11784" width="16.7109375" style="5" customWidth="1"/>
    <col min="11785" max="11785" width="19.85546875" style="5" customWidth="1"/>
    <col min="11786" max="11786" width="3" style="5" customWidth="1"/>
    <col min="11787" max="12033" width="9.140625" style="5"/>
    <col min="12034" max="12034" width="1.140625" style="5" customWidth="1"/>
    <col min="12035" max="12035" width="5.28515625" style="5" customWidth="1"/>
    <col min="12036" max="12036" width="1" style="5" customWidth="1"/>
    <col min="12037" max="12037" width="31.5703125" style="5" customWidth="1"/>
    <col min="12038" max="12038" width="7" style="5" customWidth="1"/>
    <col min="12039" max="12039" width="10.28515625" style="5" customWidth="1"/>
    <col min="12040" max="12040" width="16.7109375" style="5" customWidth="1"/>
    <col min="12041" max="12041" width="19.85546875" style="5" customWidth="1"/>
    <col min="12042" max="12042" width="3" style="5" customWidth="1"/>
    <col min="12043" max="12289" width="9.140625" style="5"/>
    <col min="12290" max="12290" width="1.140625" style="5" customWidth="1"/>
    <col min="12291" max="12291" width="5.28515625" style="5" customWidth="1"/>
    <col min="12292" max="12292" width="1" style="5" customWidth="1"/>
    <col min="12293" max="12293" width="31.5703125" style="5" customWidth="1"/>
    <col min="12294" max="12294" width="7" style="5" customWidth="1"/>
    <col min="12295" max="12295" width="10.28515625" style="5" customWidth="1"/>
    <col min="12296" max="12296" width="16.7109375" style="5" customWidth="1"/>
    <col min="12297" max="12297" width="19.85546875" style="5" customWidth="1"/>
    <col min="12298" max="12298" width="3" style="5" customWidth="1"/>
    <col min="12299" max="12545" width="9.140625" style="5"/>
    <col min="12546" max="12546" width="1.140625" style="5" customWidth="1"/>
    <col min="12547" max="12547" width="5.28515625" style="5" customWidth="1"/>
    <col min="12548" max="12548" width="1" style="5" customWidth="1"/>
    <col min="12549" max="12549" width="31.5703125" style="5" customWidth="1"/>
    <col min="12550" max="12550" width="7" style="5" customWidth="1"/>
    <col min="12551" max="12551" width="10.28515625" style="5" customWidth="1"/>
    <col min="12552" max="12552" width="16.7109375" style="5" customWidth="1"/>
    <col min="12553" max="12553" width="19.85546875" style="5" customWidth="1"/>
    <col min="12554" max="12554" width="3" style="5" customWidth="1"/>
    <col min="12555" max="12801" width="9.140625" style="5"/>
    <col min="12802" max="12802" width="1.140625" style="5" customWidth="1"/>
    <col min="12803" max="12803" width="5.28515625" style="5" customWidth="1"/>
    <col min="12804" max="12804" width="1" style="5" customWidth="1"/>
    <col min="12805" max="12805" width="31.5703125" style="5" customWidth="1"/>
    <col min="12806" max="12806" width="7" style="5" customWidth="1"/>
    <col min="12807" max="12807" width="10.28515625" style="5" customWidth="1"/>
    <col min="12808" max="12808" width="16.7109375" style="5" customWidth="1"/>
    <col min="12809" max="12809" width="19.85546875" style="5" customWidth="1"/>
    <col min="12810" max="12810" width="3" style="5" customWidth="1"/>
    <col min="12811" max="13057" width="9.140625" style="5"/>
    <col min="13058" max="13058" width="1.140625" style="5" customWidth="1"/>
    <col min="13059" max="13059" width="5.28515625" style="5" customWidth="1"/>
    <col min="13060" max="13060" width="1" style="5" customWidth="1"/>
    <col min="13061" max="13061" width="31.5703125" style="5" customWidth="1"/>
    <col min="13062" max="13062" width="7" style="5" customWidth="1"/>
    <col min="13063" max="13063" width="10.28515625" style="5" customWidth="1"/>
    <col min="13064" max="13064" width="16.7109375" style="5" customWidth="1"/>
    <col min="13065" max="13065" width="19.85546875" style="5" customWidth="1"/>
    <col min="13066" max="13066" width="3" style="5" customWidth="1"/>
    <col min="13067" max="13313" width="9.140625" style="5"/>
    <col min="13314" max="13314" width="1.140625" style="5" customWidth="1"/>
    <col min="13315" max="13315" width="5.28515625" style="5" customWidth="1"/>
    <col min="13316" max="13316" width="1" style="5" customWidth="1"/>
    <col min="13317" max="13317" width="31.5703125" style="5" customWidth="1"/>
    <col min="13318" max="13318" width="7" style="5" customWidth="1"/>
    <col min="13319" max="13319" width="10.28515625" style="5" customWidth="1"/>
    <col min="13320" max="13320" width="16.7109375" style="5" customWidth="1"/>
    <col min="13321" max="13321" width="19.85546875" style="5" customWidth="1"/>
    <col min="13322" max="13322" width="3" style="5" customWidth="1"/>
    <col min="13323" max="13569" width="9.140625" style="5"/>
    <col min="13570" max="13570" width="1.140625" style="5" customWidth="1"/>
    <col min="13571" max="13571" width="5.28515625" style="5" customWidth="1"/>
    <col min="13572" max="13572" width="1" style="5" customWidth="1"/>
    <col min="13573" max="13573" width="31.5703125" style="5" customWidth="1"/>
    <col min="13574" max="13574" width="7" style="5" customWidth="1"/>
    <col min="13575" max="13575" width="10.28515625" style="5" customWidth="1"/>
    <col min="13576" max="13576" width="16.7109375" style="5" customWidth="1"/>
    <col min="13577" max="13577" width="19.85546875" style="5" customWidth="1"/>
    <col min="13578" max="13578" width="3" style="5" customWidth="1"/>
    <col min="13579" max="13825" width="9.140625" style="5"/>
    <col min="13826" max="13826" width="1.140625" style="5" customWidth="1"/>
    <col min="13827" max="13827" width="5.28515625" style="5" customWidth="1"/>
    <col min="13828" max="13828" width="1" style="5" customWidth="1"/>
    <col min="13829" max="13829" width="31.5703125" style="5" customWidth="1"/>
    <col min="13830" max="13830" width="7" style="5" customWidth="1"/>
    <col min="13831" max="13831" width="10.28515625" style="5" customWidth="1"/>
    <col min="13832" max="13832" width="16.7109375" style="5" customWidth="1"/>
    <col min="13833" max="13833" width="19.85546875" style="5" customWidth="1"/>
    <col min="13834" max="13834" width="3" style="5" customWidth="1"/>
    <col min="13835" max="14081" width="9.140625" style="5"/>
    <col min="14082" max="14082" width="1.140625" style="5" customWidth="1"/>
    <col min="14083" max="14083" width="5.28515625" style="5" customWidth="1"/>
    <col min="14084" max="14084" width="1" style="5" customWidth="1"/>
    <col min="14085" max="14085" width="31.5703125" style="5" customWidth="1"/>
    <col min="14086" max="14086" width="7" style="5" customWidth="1"/>
    <col min="14087" max="14087" width="10.28515625" style="5" customWidth="1"/>
    <col min="14088" max="14088" width="16.7109375" style="5" customWidth="1"/>
    <col min="14089" max="14089" width="19.85546875" style="5" customWidth="1"/>
    <col min="14090" max="14090" width="3" style="5" customWidth="1"/>
    <col min="14091" max="14337" width="9.140625" style="5"/>
    <col min="14338" max="14338" width="1.140625" style="5" customWidth="1"/>
    <col min="14339" max="14339" width="5.28515625" style="5" customWidth="1"/>
    <col min="14340" max="14340" width="1" style="5" customWidth="1"/>
    <col min="14341" max="14341" width="31.5703125" style="5" customWidth="1"/>
    <col min="14342" max="14342" width="7" style="5" customWidth="1"/>
    <col min="14343" max="14343" width="10.28515625" style="5" customWidth="1"/>
    <col min="14344" max="14344" width="16.7109375" style="5" customWidth="1"/>
    <col min="14345" max="14345" width="19.85546875" style="5" customWidth="1"/>
    <col min="14346" max="14346" width="3" style="5" customWidth="1"/>
    <col min="14347" max="14593" width="9.140625" style="5"/>
    <col min="14594" max="14594" width="1.140625" style="5" customWidth="1"/>
    <col min="14595" max="14595" width="5.28515625" style="5" customWidth="1"/>
    <col min="14596" max="14596" width="1" style="5" customWidth="1"/>
    <col min="14597" max="14597" width="31.5703125" style="5" customWidth="1"/>
    <col min="14598" max="14598" width="7" style="5" customWidth="1"/>
    <col min="14599" max="14599" width="10.28515625" style="5" customWidth="1"/>
    <col min="14600" max="14600" width="16.7109375" style="5" customWidth="1"/>
    <col min="14601" max="14601" width="19.85546875" style="5" customWidth="1"/>
    <col min="14602" max="14602" width="3" style="5" customWidth="1"/>
    <col min="14603" max="14849" width="9.140625" style="5"/>
    <col min="14850" max="14850" width="1.140625" style="5" customWidth="1"/>
    <col min="14851" max="14851" width="5.28515625" style="5" customWidth="1"/>
    <col min="14852" max="14852" width="1" style="5" customWidth="1"/>
    <col min="14853" max="14853" width="31.5703125" style="5" customWidth="1"/>
    <col min="14854" max="14854" width="7" style="5" customWidth="1"/>
    <col min="14855" max="14855" width="10.28515625" style="5" customWidth="1"/>
    <col min="14856" max="14856" width="16.7109375" style="5" customWidth="1"/>
    <col min="14857" max="14857" width="19.85546875" style="5" customWidth="1"/>
    <col min="14858" max="14858" width="3" style="5" customWidth="1"/>
    <col min="14859" max="15105" width="9.140625" style="5"/>
    <col min="15106" max="15106" width="1.140625" style="5" customWidth="1"/>
    <col min="15107" max="15107" width="5.28515625" style="5" customWidth="1"/>
    <col min="15108" max="15108" width="1" style="5" customWidth="1"/>
    <col min="15109" max="15109" width="31.5703125" style="5" customWidth="1"/>
    <col min="15110" max="15110" width="7" style="5" customWidth="1"/>
    <col min="15111" max="15111" width="10.28515625" style="5" customWidth="1"/>
    <col min="15112" max="15112" width="16.7109375" style="5" customWidth="1"/>
    <col min="15113" max="15113" width="19.85546875" style="5" customWidth="1"/>
    <col min="15114" max="15114" width="3" style="5" customWidth="1"/>
    <col min="15115" max="15361" width="9.140625" style="5"/>
    <col min="15362" max="15362" width="1.140625" style="5" customWidth="1"/>
    <col min="15363" max="15363" width="5.28515625" style="5" customWidth="1"/>
    <col min="15364" max="15364" width="1" style="5" customWidth="1"/>
    <col min="15365" max="15365" width="31.5703125" style="5" customWidth="1"/>
    <col min="15366" max="15366" width="7" style="5" customWidth="1"/>
    <col min="15367" max="15367" width="10.28515625" style="5" customWidth="1"/>
    <col min="15368" max="15368" width="16.7109375" style="5" customWidth="1"/>
    <col min="15369" max="15369" width="19.85546875" style="5" customWidth="1"/>
    <col min="15370" max="15370" width="3" style="5" customWidth="1"/>
    <col min="15371" max="15617" width="9.140625" style="5"/>
    <col min="15618" max="15618" width="1.140625" style="5" customWidth="1"/>
    <col min="15619" max="15619" width="5.28515625" style="5" customWidth="1"/>
    <col min="15620" max="15620" width="1" style="5" customWidth="1"/>
    <col min="15621" max="15621" width="31.5703125" style="5" customWidth="1"/>
    <col min="15622" max="15622" width="7" style="5" customWidth="1"/>
    <col min="15623" max="15623" width="10.28515625" style="5" customWidth="1"/>
    <col min="15624" max="15624" width="16.7109375" style="5" customWidth="1"/>
    <col min="15625" max="15625" width="19.85546875" style="5" customWidth="1"/>
    <col min="15626" max="15626" width="3" style="5" customWidth="1"/>
    <col min="15627" max="15873" width="9.140625" style="5"/>
    <col min="15874" max="15874" width="1.140625" style="5" customWidth="1"/>
    <col min="15875" max="15875" width="5.28515625" style="5" customWidth="1"/>
    <col min="15876" max="15876" width="1" style="5" customWidth="1"/>
    <col min="15877" max="15877" width="31.5703125" style="5" customWidth="1"/>
    <col min="15878" max="15878" width="7" style="5" customWidth="1"/>
    <col min="15879" max="15879" width="10.28515625" style="5" customWidth="1"/>
    <col min="15880" max="15880" width="16.7109375" style="5" customWidth="1"/>
    <col min="15881" max="15881" width="19.85546875" style="5" customWidth="1"/>
    <col min="15882" max="15882" width="3" style="5" customWidth="1"/>
    <col min="15883" max="16129" width="9.140625" style="5"/>
    <col min="16130" max="16130" width="1.140625" style="5" customWidth="1"/>
    <col min="16131" max="16131" width="5.28515625" style="5" customWidth="1"/>
    <col min="16132" max="16132" width="1" style="5" customWidth="1"/>
    <col min="16133" max="16133" width="31.5703125" style="5" customWidth="1"/>
    <col min="16134" max="16134" width="7" style="5" customWidth="1"/>
    <col min="16135" max="16135" width="10.28515625" style="5" customWidth="1"/>
    <col min="16136" max="16136" width="16.7109375" style="5" customWidth="1"/>
    <col min="16137" max="16137" width="19.85546875" style="5" customWidth="1"/>
    <col min="16138" max="16138" width="3" style="5" customWidth="1"/>
    <col min="16139" max="16384" width="9.140625" style="5"/>
  </cols>
  <sheetData>
    <row r="2" spans="2:9" ht="15.75">
      <c r="C2" s="183"/>
      <c r="D2" s="525" t="s">
        <v>602</v>
      </c>
      <c r="E2" s="183"/>
      <c r="F2" s="183"/>
      <c r="G2" s="183"/>
      <c r="H2" s="183"/>
      <c r="I2" s="183"/>
    </row>
    <row r="3" spans="2:9">
      <c r="B3" s="184"/>
      <c r="C3" s="185"/>
      <c r="D3" s="185"/>
      <c r="E3" s="186"/>
      <c r="F3" s="187"/>
      <c r="G3" s="185"/>
      <c r="H3" s="185"/>
      <c r="I3" s="185"/>
    </row>
    <row r="4" spans="2:9">
      <c r="B4" s="188" t="s">
        <v>157</v>
      </c>
      <c r="C4" s="189"/>
      <c r="D4" s="190" t="s">
        <v>211</v>
      </c>
      <c r="E4" s="191" t="s">
        <v>556</v>
      </c>
      <c r="F4" s="192" t="s">
        <v>213</v>
      </c>
      <c r="G4" s="193" t="s">
        <v>557</v>
      </c>
      <c r="H4" s="190" t="s">
        <v>215</v>
      </c>
      <c r="I4" s="1165"/>
    </row>
    <row r="5" spans="2:9">
      <c r="B5" s="418"/>
      <c r="C5" s="538"/>
      <c r="D5" s="531"/>
      <c r="E5" s="420"/>
      <c r="F5" s="539"/>
      <c r="G5" s="530" t="s">
        <v>216</v>
      </c>
      <c r="H5" s="531" t="s">
        <v>216</v>
      </c>
      <c r="I5" s="1165"/>
    </row>
    <row r="6" spans="2:9">
      <c r="B6" s="530" t="s">
        <v>603</v>
      </c>
      <c r="C6" s="419" t="s">
        <v>604</v>
      </c>
      <c r="D6" s="200"/>
      <c r="E6" s="540"/>
      <c r="F6" s="541"/>
      <c r="G6" s="542"/>
      <c r="H6" s="543"/>
      <c r="I6" s="1166"/>
    </row>
    <row r="7" spans="2:9">
      <c r="B7" s="205"/>
      <c r="C7" s="206" t="s">
        <v>28</v>
      </c>
      <c r="D7" s="207" t="s">
        <v>605</v>
      </c>
      <c r="E7" s="208" t="s">
        <v>239</v>
      </c>
      <c r="F7" s="68">
        <v>1</v>
      </c>
      <c r="G7" s="430">
        <f>BAHAN!$E$343</f>
        <v>180000</v>
      </c>
      <c r="H7" s="544">
        <f>G7*F7</f>
        <v>180000</v>
      </c>
      <c r="I7" s="440">
        <f>SUM(H7)</f>
        <v>180000</v>
      </c>
    </row>
    <row r="8" spans="2:9">
      <c r="B8" s="71"/>
      <c r="C8" s="368" t="s">
        <v>28</v>
      </c>
      <c r="D8" s="76" t="s">
        <v>133</v>
      </c>
      <c r="E8" s="73" t="s">
        <v>132</v>
      </c>
      <c r="F8" s="74">
        <v>0.06</v>
      </c>
      <c r="G8" s="75">
        <f>UPAH!$E$26</f>
        <v>136000</v>
      </c>
      <c r="H8" s="545">
        <f>G8*F8</f>
        <v>8160</v>
      </c>
      <c r="I8" s="440"/>
    </row>
    <row r="9" spans="2:9">
      <c r="B9" s="71"/>
      <c r="C9" s="368" t="s">
        <v>28</v>
      </c>
      <c r="D9" s="76" t="s">
        <v>134</v>
      </c>
      <c r="E9" s="73" t="s">
        <v>132</v>
      </c>
      <c r="F9" s="74">
        <v>0.6</v>
      </c>
      <c r="G9" s="75">
        <f>UPAH!$E$17</f>
        <v>160000</v>
      </c>
      <c r="H9" s="545">
        <f>G9*F9</f>
        <v>96000</v>
      </c>
      <c r="I9" s="440"/>
    </row>
    <row r="10" spans="2:9">
      <c r="B10" s="71"/>
      <c r="C10" s="368" t="s">
        <v>28</v>
      </c>
      <c r="D10" s="76" t="s">
        <v>135</v>
      </c>
      <c r="E10" s="73" t="s">
        <v>132</v>
      </c>
      <c r="F10" s="74">
        <v>0.06</v>
      </c>
      <c r="G10" s="75">
        <f>UPAH!$E$11</f>
        <v>150000</v>
      </c>
      <c r="H10" s="545">
        <f>G10*F10</f>
        <v>9000</v>
      </c>
      <c r="I10" s="440"/>
    </row>
    <row r="11" spans="2:9">
      <c r="B11" s="369"/>
      <c r="C11" s="382" t="s">
        <v>28</v>
      </c>
      <c r="D11" s="448" t="s">
        <v>136</v>
      </c>
      <c r="E11" s="449" t="s">
        <v>132</v>
      </c>
      <c r="F11" s="450">
        <v>3.0000000000000001E-3</v>
      </c>
      <c r="G11" s="546">
        <f>UPAH!$E$9</f>
        <v>180000</v>
      </c>
      <c r="H11" s="547">
        <f>G11*F11</f>
        <v>540</v>
      </c>
      <c r="I11" s="440">
        <f>SUM(H8:H11)</f>
        <v>113700</v>
      </c>
    </row>
    <row r="12" spans="2:9">
      <c r="B12" s="216"/>
      <c r="C12" s="83"/>
      <c r="D12" s="84" t="s">
        <v>228</v>
      </c>
      <c r="E12" s="85"/>
      <c r="F12" s="86"/>
      <c r="G12" s="87"/>
      <c r="H12" s="88">
        <f>SUM(H7:H11)</f>
        <v>293700</v>
      </c>
      <c r="I12" s="440"/>
    </row>
    <row r="13" spans="2:9">
      <c r="B13" s="396"/>
      <c r="C13" s="442" t="s">
        <v>229</v>
      </c>
      <c r="D13" s="378"/>
      <c r="E13" s="378"/>
      <c r="F13" s="378"/>
      <c r="G13" s="518"/>
      <c r="H13" s="518">
        <f>ROUND(H12,0)</f>
        <v>293700</v>
      </c>
      <c r="I13" s="1164"/>
    </row>
    <row r="14" spans="2:9">
      <c r="B14" s="226" t="s">
        <v>606</v>
      </c>
      <c r="C14" s="328" t="s">
        <v>607</v>
      </c>
      <c r="D14" s="555"/>
      <c r="E14" s="288"/>
      <c r="F14" s="445"/>
      <c r="G14" s="446"/>
      <c r="H14" s="447"/>
      <c r="I14" s="440"/>
    </row>
    <row r="15" spans="2:9">
      <c r="B15" s="205"/>
      <c r="C15" s="66" t="s">
        <v>28</v>
      </c>
      <c r="D15" s="207" t="s">
        <v>608</v>
      </c>
      <c r="E15" s="67" t="s">
        <v>239</v>
      </c>
      <c r="F15" s="68">
        <v>1</v>
      </c>
      <c r="G15" s="69">
        <f>BAHAN!$E$344</f>
        <v>93000</v>
      </c>
      <c r="H15" s="70">
        <f>G15*F15</f>
        <v>93000</v>
      </c>
      <c r="I15" s="440">
        <f>SUM(H15)</f>
        <v>93000</v>
      </c>
    </row>
    <row r="16" spans="2:9">
      <c r="B16" s="71"/>
      <c r="C16" s="368" t="s">
        <v>28</v>
      </c>
      <c r="D16" s="76" t="s">
        <v>133</v>
      </c>
      <c r="E16" s="73" t="s">
        <v>132</v>
      </c>
      <c r="F16" s="74">
        <v>0.01</v>
      </c>
      <c r="G16" s="75">
        <f>G8</f>
        <v>136000</v>
      </c>
      <c r="H16" s="545">
        <f>G16*F16</f>
        <v>1360</v>
      </c>
      <c r="I16" s="440"/>
    </row>
    <row r="17" spans="2:9">
      <c r="B17" s="71"/>
      <c r="C17" s="368" t="s">
        <v>28</v>
      </c>
      <c r="D17" s="76" t="s">
        <v>134</v>
      </c>
      <c r="E17" s="73" t="s">
        <v>132</v>
      </c>
      <c r="F17" s="74">
        <v>0.5</v>
      </c>
      <c r="G17" s="75">
        <f>G9</f>
        <v>160000</v>
      </c>
      <c r="H17" s="545">
        <f>G17*F17</f>
        <v>80000</v>
      </c>
      <c r="I17" s="440"/>
    </row>
    <row r="18" spans="2:9">
      <c r="B18" s="71"/>
      <c r="C18" s="368" t="s">
        <v>28</v>
      </c>
      <c r="D18" s="76" t="s">
        <v>135</v>
      </c>
      <c r="E18" s="73" t="s">
        <v>132</v>
      </c>
      <c r="F18" s="74">
        <v>0.01</v>
      </c>
      <c r="G18" s="75">
        <f>G10</f>
        <v>150000</v>
      </c>
      <c r="H18" s="545">
        <f>G18*F18</f>
        <v>1500</v>
      </c>
      <c r="I18" s="440"/>
    </row>
    <row r="19" spans="2:9">
      <c r="B19" s="369"/>
      <c r="C19" s="382" t="s">
        <v>28</v>
      </c>
      <c r="D19" s="448" t="s">
        <v>136</v>
      </c>
      <c r="E19" s="449" t="s">
        <v>132</v>
      </c>
      <c r="F19" s="450">
        <v>5.0000000000000001E-3</v>
      </c>
      <c r="G19" s="546">
        <f>G11</f>
        <v>180000</v>
      </c>
      <c r="H19" s="547">
        <f>G19*F19</f>
        <v>900</v>
      </c>
      <c r="I19" s="440">
        <f>SUM(H16:H19)</f>
        <v>83760</v>
      </c>
    </row>
    <row r="20" spans="2:9">
      <c r="B20" s="216"/>
      <c r="C20" s="83"/>
      <c r="D20" s="84" t="s">
        <v>228</v>
      </c>
      <c r="E20" s="85"/>
      <c r="F20" s="86"/>
      <c r="G20" s="87"/>
      <c r="H20" s="88">
        <f>SUM(H15:H19)</f>
        <v>176760</v>
      </c>
      <c r="I20" s="440"/>
    </row>
    <row r="21" spans="2:9">
      <c r="B21" s="396"/>
      <c r="C21" s="442" t="s">
        <v>229</v>
      </c>
      <c r="D21" s="378"/>
      <c r="E21" s="378"/>
      <c r="F21" s="378"/>
      <c r="G21" s="518"/>
      <c r="H21" s="518">
        <f>ROUND(H20,0)</f>
        <v>176760</v>
      </c>
      <c r="I21" s="1164"/>
    </row>
    <row r="22" spans="2:9">
      <c r="B22" s="226" t="s">
        <v>609</v>
      </c>
      <c r="C22" s="328" t="s">
        <v>610</v>
      </c>
      <c r="D22" s="555"/>
      <c r="E22" s="288"/>
      <c r="F22" s="445"/>
      <c r="G22" s="446"/>
      <c r="H22" s="447"/>
      <c r="I22" s="440"/>
    </row>
    <row r="23" spans="2:9">
      <c r="B23" s="205"/>
      <c r="C23" s="66" t="s">
        <v>28</v>
      </c>
      <c r="D23" s="207" t="s">
        <v>611</v>
      </c>
      <c r="E23" s="67" t="s">
        <v>239</v>
      </c>
      <c r="F23" s="68">
        <v>1</v>
      </c>
      <c r="G23" s="69">
        <f>BAHAN!$E$349</f>
        <v>55000</v>
      </c>
      <c r="H23" s="70">
        <f>G23*F23</f>
        <v>55000</v>
      </c>
      <c r="I23" s="440">
        <f>SUM(H23)</f>
        <v>55000</v>
      </c>
    </row>
    <row r="24" spans="2:9">
      <c r="B24" s="71"/>
      <c r="C24" s="368" t="s">
        <v>28</v>
      </c>
      <c r="D24" s="76" t="s">
        <v>133</v>
      </c>
      <c r="E24" s="73" t="s">
        <v>132</v>
      </c>
      <c r="F24" s="74">
        <v>0.01</v>
      </c>
      <c r="G24" s="75">
        <f>G16</f>
        <v>136000</v>
      </c>
      <c r="H24" s="545">
        <f>G24*F24</f>
        <v>1360</v>
      </c>
      <c r="I24" s="440"/>
    </row>
    <row r="25" spans="2:9">
      <c r="B25" s="71"/>
      <c r="C25" s="368" t="s">
        <v>28</v>
      </c>
      <c r="D25" s="76" t="s">
        <v>134</v>
      </c>
      <c r="E25" s="73" t="s">
        <v>132</v>
      </c>
      <c r="F25" s="74">
        <v>0.5</v>
      </c>
      <c r="G25" s="75">
        <f>G17</f>
        <v>160000</v>
      </c>
      <c r="H25" s="545">
        <f>G25*F25</f>
        <v>80000</v>
      </c>
      <c r="I25" s="440"/>
    </row>
    <row r="26" spans="2:9">
      <c r="B26" s="71"/>
      <c r="C26" s="368" t="s">
        <v>28</v>
      </c>
      <c r="D26" s="76" t="s">
        <v>135</v>
      </c>
      <c r="E26" s="73" t="s">
        <v>132</v>
      </c>
      <c r="F26" s="74">
        <v>0.01</v>
      </c>
      <c r="G26" s="75">
        <f>G18</f>
        <v>150000</v>
      </c>
      <c r="H26" s="545">
        <f>G26*F26</f>
        <v>1500</v>
      </c>
      <c r="I26" s="440"/>
    </row>
    <row r="27" spans="2:9">
      <c r="B27" s="369"/>
      <c r="C27" s="382" t="s">
        <v>28</v>
      </c>
      <c r="D27" s="448" t="s">
        <v>136</v>
      </c>
      <c r="E27" s="449" t="s">
        <v>132</v>
      </c>
      <c r="F27" s="450">
        <v>5.0000000000000001E-3</v>
      </c>
      <c r="G27" s="546">
        <f>G19</f>
        <v>180000</v>
      </c>
      <c r="H27" s="547">
        <f>G27*F27</f>
        <v>900</v>
      </c>
      <c r="I27" s="440">
        <f>SUM(H24:H27)</f>
        <v>83760</v>
      </c>
    </row>
    <row r="28" spans="2:9">
      <c r="B28" s="216"/>
      <c r="C28" s="83"/>
      <c r="D28" s="84" t="s">
        <v>228</v>
      </c>
      <c r="E28" s="85"/>
      <c r="F28" s="86"/>
      <c r="G28" s="87"/>
      <c r="H28" s="88">
        <f>SUM(H23:H27)</f>
        <v>138760</v>
      </c>
      <c r="I28" s="440"/>
    </row>
    <row r="29" spans="2:9">
      <c r="B29" s="396"/>
      <c r="C29" s="442" t="s">
        <v>229</v>
      </c>
      <c r="D29" s="378"/>
      <c r="E29" s="378"/>
      <c r="F29" s="378"/>
      <c r="G29" s="518"/>
      <c r="H29" s="518">
        <f>ROUND(H28,0)</f>
        <v>138760</v>
      </c>
      <c r="I29" s="1164"/>
    </row>
    <row r="30" spans="2:9">
      <c r="B30" s="226" t="s">
        <v>612</v>
      </c>
      <c r="C30" s="328" t="s">
        <v>613</v>
      </c>
      <c r="D30" s="287"/>
      <c r="E30" s="288"/>
      <c r="F30" s="445"/>
      <c r="G30" s="446"/>
      <c r="H30" s="447"/>
      <c r="I30" s="440"/>
    </row>
    <row r="31" spans="2:9">
      <c r="B31" s="205"/>
      <c r="C31" s="66" t="s">
        <v>28</v>
      </c>
      <c r="D31" s="207" t="s">
        <v>614</v>
      </c>
      <c r="E31" s="67" t="s">
        <v>239</v>
      </c>
      <c r="F31" s="68">
        <v>1</v>
      </c>
      <c r="G31" s="69">
        <f>BAHAN!$E$351</f>
        <v>39500</v>
      </c>
      <c r="H31" s="70">
        <f>G31*F31</f>
        <v>39500</v>
      </c>
      <c r="I31" s="440">
        <f>SUM(H31)</f>
        <v>39500</v>
      </c>
    </row>
    <row r="32" spans="2:9">
      <c r="B32" s="71"/>
      <c r="C32" s="368" t="s">
        <v>28</v>
      </c>
      <c r="D32" s="76" t="s">
        <v>133</v>
      </c>
      <c r="E32" s="73" t="s">
        <v>132</v>
      </c>
      <c r="F32" s="74">
        <v>0.01</v>
      </c>
      <c r="G32" s="75">
        <f>G24</f>
        <v>136000</v>
      </c>
      <c r="H32" s="545">
        <f>G32*F32</f>
        <v>1360</v>
      </c>
      <c r="I32" s="440"/>
    </row>
    <row r="33" spans="2:9">
      <c r="B33" s="71"/>
      <c r="C33" s="368" t="s">
        <v>28</v>
      </c>
      <c r="D33" s="76" t="s">
        <v>134</v>
      </c>
      <c r="E33" s="73" t="s">
        <v>132</v>
      </c>
      <c r="F33" s="74">
        <v>0.1</v>
      </c>
      <c r="G33" s="75">
        <f>G25</f>
        <v>160000</v>
      </c>
      <c r="H33" s="545">
        <f>G33*F33</f>
        <v>16000</v>
      </c>
      <c r="I33" s="440"/>
    </row>
    <row r="34" spans="2:9">
      <c r="B34" s="71"/>
      <c r="C34" s="368" t="s">
        <v>28</v>
      </c>
      <c r="D34" s="76" t="s">
        <v>135</v>
      </c>
      <c r="E34" s="73" t="s">
        <v>132</v>
      </c>
      <c r="F34" s="74">
        <v>0.01</v>
      </c>
      <c r="G34" s="75">
        <f>G26</f>
        <v>150000</v>
      </c>
      <c r="H34" s="545">
        <f>G34*F34</f>
        <v>1500</v>
      </c>
      <c r="I34" s="440"/>
    </row>
    <row r="35" spans="2:9">
      <c r="B35" s="369"/>
      <c r="C35" s="382" t="s">
        <v>28</v>
      </c>
      <c r="D35" s="448" t="s">
        <v>136</v>
      </c>
      <c r="E35" s="449" t="s">
        <v>132</v>
      </c>
      <c r="F35" s="450">
        <v>5.0000000000000001E-4</v>
      </c>
      <c r="G35" s="75">
        <f>G27</f>
        <v>180000</v>
      </c>
      <c r="H35" s="547">
        <f>G35*F35</f>
        <v>90</v>
      </c>
      <c r="I35" s="440">
        <f>SUM(H32:H35)</f>
        <v>18950</v>
      </c>
    </row>
    <row r="36" spans="2:9">
      <c r="B36" s="216"/>
      <c r="C36" s="83"/>
      <c r="D36" s="84" t="s">
        <v>228</v>
      </c>
      <c r="E36" s="85"/>
      <c r="F36" s="86"/>
      <c r="G36" s="87"/>
      <c r="H36" s="88">
        <f>SUM(H31:H35)</f>
        <v>58450</v>
      </c>
      <c r="I36" s="440"/>
    </row>
    <row r="37" spans="2:9">
      <c r="B37" s="396"/>
      <c r="C37" s="442" t="s">
        <v>229</v>
      </c>
      <c r="D37" s="378"/>
      <c r="E37" s="378"/>
      <c r="F37" s="378"/>
      <c r="G37" s="518"/>
      <c r="H37" s="518">
        <f>ROUND(H36,0)</f>
        <v>58450</v>
      </c>
      <c r="I37" s="1164"/>
    </row>
    <row r="38" spans="2:9">
      <c r="B38" s="226" t="s">
        <v>615</v>
      </c>
      <c r="C38" s="328" t="s">
        <v>616</v>
      </c>
      <c r="D38" s="287"/>
      <c r="E38" s="288"/>
      <c r="F38" s="445"/>
      <c r="G38" s="446"/>
      <c r="H38" s="447"/>
      <c r="I38" s="440"/>
    </row>
    <row r="39" spans="2:9">
      <c r="B39" s="205"/>
      <c r="C39" s="66" t="s">
        <v>28</v>
      </c>
      <c r="D39" s="207" t="s">
        <v>617</v>
      </c>
      <c r="E39" s="67" t="s">
        <v>239</v>
      </c>
      <c r="F39" s="68">
        <v>1</v>
      </c>
      <c r="G39" s="69">
        <f>BAHAN!$E$352</f>
        <v>46500</v>
      </c>
      <c r="H39" s="70">
        <f>G39*F39</f>
        <v>46500</v>
      </c>
      <c r="I39" s="440">
        <f>SUM(H39)</f>
        <v>46500</v>
      </c>
    </row>
    <row r="40" spans="2:9">
      <c r="B40" s="71"/>
      <c r="C40" s="368" t="s">
        <v>28</v>
      </c>
      <c r="D40" s="76" t="s">
        <v>133</v>
      </c>
      <c r="E40" s="73" t="s">
        <v>132</v>
      </c>
      <c r="F40" s="74">
        <v>0.01</v>
      </c>
      <c r="G40" s="75">
        <f>G32</f>
        <v>136000</v>
      </c>
      <c r="H40" s="545">
        <f>G40*F40</f>
        <v>1360</v>
      </c>
      <c r="I40" s="440"/>
    </row>
    <row r="41" spans="2:9">
      <c r="B41" s="71"/>
      <c r="C41" s="368" t="s">
        <v>28</v>
      </c>
      <c r="D41" s="76" t="s">
        <v>134</v>
      </c>
      <c r="E41" s="73" t="s">
        <v>132</v>
      </c>
      <c r="F41" s="74">
        <v>0.1</v>
      </c>
      <c r="G41" s="75">
        <f>G33</f>
        <v>160000</v>
      </c>
      <c r="H41" s="545">
        <f>G41*F41</f>
        <v>16000</v>
      </c>
      <c r="I41" s="440"/>
    </row>
    <row r="42" spans="2:9">
      <c r="B42" s="71"/>
      <c r="C42" s="368" t="s">
        <v>28</v>
      </c>
      <c r="D42" s="76" t="s">
        <v>135</v>
      </c>
      <c r="E42" s="73" t="s">
        <v>132</v>
      </c>
      <c r="F42" s="74">
        <v>0.01</v>
      </c>
      <c r="G42" s="75">
        <f>G34</f>
        <v>150000</v>
      </c>
      <c r="H42" s="545">
        <f>G42*F42</f>
        <v>1500</v>
      </c>
      <c r="I42" s="440"/>
    </row>
    <row r="43" spans="2:9">
      <c r="B43" s="369"/>
      <c r="C43" s="382" t="s">
        <v>28</v>
      </c>
      <c r="D43" s="448" t="s">
        <v>136</v>
      </c>
      <c r="E43" s="449" t="s">
        <v>132</v>
      </c>
      <c r="F43" s="450">
        <v>5.0000000000000001E-4</v>
      </c>
      <c r="G43" s="75">
        <f>G35</f>
        <v>180000</v>
      </c>
      <c r="H43" s="547">
        <f>G43*F43</f>
        <v>90</v>
      </c>
      <c r="I43" s="440">
        <f>SUM(H40:H43)</f>
        <v>18950</v>
      </c>
    </row>
    <row r="44" spans="2:9">
      <c r="B44" s="216"/>
      <c r="C44" s="83"/>
      <c r="D44" s="84" t="s">
        <v>228</v>
      </c>
      <c r="E44" s="85"/>
      <c r="F44" s="86"/>
      <c r="G44" s="87"/>
      <c r="H44" s="88">
        <f>SUM(H39:H43)</f>
        <v>65450</v>
      </c>
      <c r="I44" s="440"/>
    </row>
    <row r="45" spans="2:9">
      <c r="B45" s="396"/>
      <c r="C45" s="442" t="s">
        <v>229</v>
      </c>
      <c r="D45" s="378"/>
      <c r="E45" s="378"/>
      <c r="F45" s="378"/>
      <c r="G45" s="518"/>
      <c r="H45" s="518">
        <f>ROUND(H44,0)</f>
        <v>65450</v>
      </c>
      <c r="I45" s="1164"/>
    </row>
    <row r="46" spans="2:9">
      <c r="B46" s="226" t="s">
        <v>618</v>
      </c>
      <c r="C46" s="328" t="s">
        <v>619</v>
      </c>
      <c r="D46" s="287"/>
      <c r="E46" s="288"/>
      <c r="F46" s="445"/>
      <c r="G46" s="446"/>
      <c r="H46" s="447"/>
      <c r="I46" s="440"/>
    </row>
    <row r="47" spans="2:9">
      <c r="B47" s="205"/>
      <c r="C47" s="66" t="s">
        <v>28</v>
      </c>
      <c r="D47" s="207" t="s">
        <v>620</v>
      </c>
      <c r="E47" s="67" t="s">
        <v>239</v>
      </c>
      <c r="F47" s="68">
        <v>1</v>
      </c>
      <c r="G47" s="69">
        <f>BAHAN!$E$350</f>
        <v>133000</v>
      </c>
      <c r="H47" s="70">
        <f>G47*F47</f>
        <v>133000</v>
      </c>
      <c r="I47" s="440">
        <f>SUM(H47)</f>
        <v>133000</v>
      </c>
    </row>
    <row r="48" spans="2:9">
      <c r="B48" s="71"/>
      <c r="C48" s="368" t="s">
        <v>28</v>
      </c>
      <c r="D48" s="76" t="s">
        <v>133</v>
      </c>
      <c r="E48" s="73" t="s">
        <v>132</v>
      </c>
      <c r="F48" s="74">
        <v>0.01</v>
      </c>
      <c r="G48" s="75">
        <f>G32</f>
        <v>136000</v>
      </c>
      <c r="H48" s="545">
        <f>G48*F48</f>
        <v>1360</v>
      </c>
      <c r="I48" s="440"/>
    </row>
    <row r="49" spans="2:9">
      <c r="B49" s="71"/>
      <c r="C49" s="368" t="s">
        <v>28</v>
      </c>
      <c r="D49" s="76" t="s">
        <v>134</v>
      </c>
      <c r="E49" s="73" t="s">
        <v>132</v>
      </c>
      <c r="F49" s="74">
        <v>0.1</v>
      </c>
      <c r="G49" s="75">
        <f>G33</f>
        <v>160000</v>
      </c>
      <c r="H49" s="545">
        <f>G49*F49</f>
        <v>16000</v>
      </c>
      <c r="I49" s="440"/>
    </row>
    <row r="50" spans="2:9">
      <c r="B50" s="71"/>
      <c r="C50" s="368" t="s">
        <v>28</v>
      </c>
      <c r="D50" s="76" t="s">
        <v>135</v>
      </c>
      <c r="E50" s="73" t="s">
        <v>132</v>
      </c>
      <c r="F50" s="74">
        <v>0.01</v>
      </c>
      <c r="G50" s="75">
        <f>G34</f>
        <v>150000</v>
      </c>
      <c r="H50" s="545">
        <f>G50*F50</f>
        <v>1500</v>
      </c>
      <c r="I50" s="440"/>
    </row>
    <row r="51" spans="2:9">
      <c r="B51" s="369"/>
      <c r="C51" s="382" t="s">
        <v>28</v>
      </c>
      <c r="D51" s="448" t="s">
        <v>136</v>
      </c>
      <c r="E51" s="449" t="s">
        <v>132</v>
      </c>
      <c r="F51" s="450">
        <v>5.0000000000000001E-4</v>
      </c>
      <c r="G51" s="75">
        <f>G35</f>
        <v>180000</v>
      </c>
      <c r="H51" s="547">
        <f>G51*F51</f>
        <v>90</v>
      </c>
      <c r="I51" s="440">
        <f>SUM(H48:H51)</f>
        <v>18950</v>
      </c>
    </row>
    <row r="52" spans="2:9">
      <c r="B52" s="216"/>
      <c r="C52" s="83"/>
      <c r="D52" s="84" t="s">
        <v>228</v>
      </c>
      <c r="E52" s="85"/>
      <c r="F52" s="86"/>
      <c r="G52" s="87"/>
      <c r="H52" s="88">
        <f>SUM(H47:H51)</f>
        <v>151950</v>
      </c>
      <c r="I52" s="440"/>
    </row>
    <row r="53" spans="2:9">
      <c r="B53" s="396"/>
      <c r="C53" s="442" t="s">
        <v>229</v>
      </c>
      <c r="D53" s="378"/>
      <c r="E53" s="378"/>
      <c r="F53" s="378"/>
      <c r="G53" s="518"/>
      <c r="H53" s="518">
        <f>ROUND(H52,0)</f>
        <v>151950</v>
      </c>
      <c r="I53" s="1164"/>
    </row>
    <row r="54" spans="2:9">
      <c r="B54" s="226" t="s">
        <v>621</v>
      </c>
      <c r="C54" s="328" t="s">
        <v>622</v>
      </c>
      <c r="D54" s="555"/>
      <c r="E54" s="288"/>
      <c r="F54" s="445"/>
      <c r="G54" s="446"/>
      <c r="H54" s="447"/>
      <c r="I54" s="440"/>
    </row>
    <row r="55" spans="2:9">
      <c r="B55" s="205"/>
      <c r="C55" s="66" t="s">
        <v>28</v>
      </c>
      <c r="D55" s="207" t="s">
        <v>623</v>
      </c>
      <c r="E55" s="67" t="s">
        <v>239</v>
      </c>
      <c r="F55" s="68">
        <v>1</v>
      </c>
      <c r="G55" s="69">
        <f>BAHAN!$E$348</f>
        <v>20000</v>
      </c>
      <c r="H55" s="70">
        <f>G55*F55</f>
        <v>20000</v>
      </c>
      <c r="I55" s="440">
        <f>SUM(H55)</f>
        <v>20000</v>
      </c>
    </row>
    <row r="56" spans="2:9">
      <c r="B56" s="71"/>
      <c r="C56" s="368" t="s">
        <v>28</v>
      </c>
      <c r="D56" s="76" t="s">
        <v>133</v>
      </c>
      <c r="E56" s="73" t="s">
        <v>132</v>
      </c>
      <c r="F56" s="74">
        <v>1.4999999999999999E-2</v>
      </c>
      <c r="G56" s="75">
        <f>G32</f>
        <v>136000</v>
      </c>
      <c r="H56" s="545">
        <f>G56*F56</f>
        <v>2040</v>
      </c>
      <c r="I56" s="440"/>
    </row>
    <row r="57" spans="2:9">
      <c r="B57" s="71"/>
      <c r="C57" s="368" t="s">
        <v>28</v>
      </c>
      <c r="D57" s="76" t="s">
        <v>134</v>
      </c>
      <c r="E57" s="73" t="s">
        <v>132</v>
      </c>
      <c r="F57" s="74">
        <v>0.15</v>
      </c>
      <c r="G57" s="75">
        <f>G33</f>
        <v>160000</v>
      </c>
      <c r="H57" s="545">
        <f>G57*F57</f>
        <v>24000</v>
      </c>
      <c r="I57" s="440"/>
    </row>
    <row r="58" spans="2:9">
      <c r="B58" s="71"/>
      <c r="C58" s="368" t="s">
        <v>28</v>
      </c>
      <c r="D58" s="76" t="s">
        <v>135</v>
      </c>
      <c r="E58" s="73" t="s">
        <v>132</v>
      </c>
      <c r="F58" s="74">
        <v>1.4999999999999999E-2</v>
      </c>
      <c r="G58" s="75">
        <f>G34</f>
        <v>150000</v>
      </c>
      <c r="H58" s="545">
        <f>G58*F58</f>
        <v>2250</v>
      </c>
      <c r="I58" s="440"/>
    </row>
    <row r="59" spans="2:9">
      <c r="B59" s="386"/>
      <c r="C59" s="382" t="s">
        <v>28</v>
      </c>
      <c r="D59" s="448" t="s">
        <v>136</v>
      </c>
      <c r="E59" s="449" t="s">
        <v>132</v>
      </c>
      <c r="F59" s="450">
        <v>8.0000000000000004E-4</v>
      </c>
      <c r="G59" s="546">
        <f>G35</f>
        <v>180000</v>
      </c>
      <c r="H59" s="547">
        <f>G59*F59</f>
        <v>144</v>
      </c>
      <c r="I59" s="440">
        <f>SUM(H56:H59)</f>
        <v>28434</v>
      </c>
    </row>
    <row r="60" spans="2:9">
      <c r="B60" s="193"/>
      <c r="C60" s="83"/>
      <c r="D60" s="253" t="s">
        <v>228</v>
      </c>
      <c r="E60" s="522"/>
      <c r="F60" s="463"/>
      <c r="G60" s="464"/>
      <c r="H60" s="431">
        <f>SUM(H55:H59)</f>
        <v>48434</v>
      </c>
      <c r="I60" s="440"/>
    </row>
    <row r="61" spans="2:9">
      <c r="B61" s="396"/>
      <c r="C61" s="442" t="s">
        <v>229</v>
      </c>
      <c r="D61" s="378"/>
      <c r="E61" s="378"/>
      <c r="F61" s="378"/>
      <c r="G61" s="518"/>
      <c r="H61" s="518">
        <f>ROUND(H60,0)</f>
        <v>48434</v>
      </c>
      <c r="I61" s="1164"/>
    </row>
    <row r="62" spans="2:9">
      <c r="B62" s="226" t="s">
        <v>624</v>
      </c>
      <c r="C62" s="328" t="s">
        <v>625</v>
      </c>
      <c r="D62" s="287"/>
      <c r="E62" s="519"/>
      <c r="F62" s="445"/>
      <c r="G62" s="455"/>
      <c r="H62" s="456"/>
      <c r="I62" s="440"/>
    </row>
    <row r="63" spans="2:9">
      <c r="B63" s="292"/>
      <c r="C63" s="656" t="s">
        <v>28</v>
      </c>
      <c r="D63" s="294" t="s">
        <v>626</v>
      </c>
      <c r="E63" s="657" t="s">
        <v>239</v>
      </c>
      <c r="F63" s="658">
        <v>1</v>
      </c>
      <c r="G63" s="659">
        <f>BAHAN!$E$353</f>
        <v>274000</v>
      </c>
      <c r="H63" s="660">
        <f>G63*F63</f>
        <v>274000</v>
      </c>
      <c r="I63" s="1179">
        <f>SUM(H63)</f>
        <v>274000</v>
      </c>
    </row>
    <row r="64" spans="2:9">
      <c r="B64" s="299"/>
      <c r="C64" s="661" t="s">
        <v>28</v>
      </c>
      <c r="D64" s="303" t="s">
        <v>133</v>
      </c>
      <c r="E64" s="301" t="s">
        <v>132</v>
      </c>
      <c r="F64" s="662">
        <v>0.05</v>
      </c>
      <c r="G64" s="663">
        <f>G32</f>
        <v>136000</v>
      </c>
      <c r="H64" s="664">
        <f>G64*F64</f>
        <v>6800</v>
      </c>
      <c r="I64" s="1179"/>
    </row>
    <row r="65" spans="2:9">
      <c r="B65" s="299"/>
      <c r="C65" s="661" t="s">
        <v>28</v>
      </c>
      <c r="D65" s="303" t="s">
        <v>134</v>
      </c>
      <c r="E65" s="301" t="s">
        <v>132</v>
      </c>
      <c r="F65" s="662">
        <v>0.5</v>
      </c>
      <c r="G65" s="663">
        <f>G33</f>
        <v>160000</v>
      </c>
      <c r="H65" s="664">
        <f>G65*F65</f>
        <v>80000</v>
      </c>
      <c r="I65" s="1179"/>
    </row>
    <row r="66" spans="2:9">
      <c r="B66" s="299"/>
      <c r="C66" s="661" t="s">
        <v>28</v>
      </c>
      <c r="D66" s="303" t="s">
        <v>135</v>
      </c>
      <c r="E66" s="301" t="s">
        <v>132</v>
      </c>
      <c r="F66" s="662">
        <v>0.05</v>
      </c>
      <c r="G66" s="663">
        <f>G34</f>
        <v>150000</v>
      </c>
      <c r="H66" s="664">
        <f>G66*F66</f>
        <v>7500</v>
      </c>
      <c r="I66" s="1179"/>
    </row>
    <row r="67" spans="2:9">
      <c r="B67" s="665"/>
      <c r="C67" s="666" t="s">
        <v>28</v>
      </c>
      <c r="D67" s="667" t="s">
        <v>136</v>
      </c>
      <c r="E67" s="668" t="s">
        <v>132</v>
      </c>
      <c r="F67" s="669">
        <v>2.5000000000000001E-3</v>
      </c>
      <c r="G67" s="670">
        <f>G35</f>
        <v>180000</v>
      </c>
      <c r="H67" s="671">
        <f>G67*F67</f>
        <v>450</v>
      </c>
      <c r="I67" s="1179">
        <f>SUM(H64:H67)</f>
        <v>94750</v>
      </c>
    </row>
    <row r="68" spans="2:9">
      <c r="B68" s="193"/>
      <c r="C68" s="83"/>
      <c r="D68" s="253" t="s">
        <v>228</v>
      </c>
      <c r="E68" s="522"/>
      <c r="F68" s="463"/>
      <c r="G68" s="464"/>
      <c r="H68" s="431">
        <f>SUM(H63:H67)</f>
        <v>368750</v>
      </c>
      <c r="I68" s="440"/>
    </row>
    <row r="69" spans="2:9">
      <c r="B69" s="396"/>
      <c r="C69" s="442" t="s">
        <v>229</v>
      </c>
      <c r="D69" s="378"/>
      <c r="E69" s="378"/>
      <c r="F69" s="378"/>
      <c r="G69" s="518"/>
      <c r="H69" s="518">
        <f>ROUND(H68,0)</f>
        <v>368750</v>
      </c>
      <c r="I69" s="1164"/>
    </row>
    <row r="70" spans="2:9">
      <c r="B70" s="226" t="s">
        <v>627</v>
      </c>
      <c r="C70" s="328" t="s">
        <v>628</v>
      </c>
      <c r="D70" s="287"/>
      <c r="E70" s="519"/>
      <c r="F70" s="445"/>
      <c r="G70" s="455"/>
      <c r="H70" s="456"/>
      <c r="I70" s="440"/>
    </row>
    <row r="71" spans="2:9">
      <c r="B71" s="205"/>
      <c r="C71" s="206" t="s">
        <v>28</v>
      </c>
      <c r="D71" s="207" t="s">
        <v>629</v>
      </c>
      <c r="E71" s="208" t="s">
        <v>239</v>
      </c>
      <c r="F71" s="68">
        <v>1</v>
      </c>
      <c r="G71" s="430">
        <f>BAHAN!$E$354</f>
        <v>120000</v>
      </c>
      <c r="H71" s="544">
        <f>G71*F71</f>
        <v>120000</v>
      </c>
      <c r="I71" s="440">
        <f>SUM(H71)</f>
        <v>120000</v>
      </c>
    </row>
    <row r="72" spans="2:9">
      <c r="B72" s="71"/>
      <c r="C72" s="368" t="s">
        <v>28</v>
      </c>
      <c r="D72" s="76" t="s">
        <v>133</v>
      </c>
      <c r="E72" s="73" t="s">
        <v>132</v>
      </c>
      <c r="F72" s="74">
        <v>0.05</v>
      </c>
      <c r="G72" s="75">
        <f>G56</f>
        <v>136000</v>
      </c>
      <c r="H72" s="545">
        <f>G72*F72</f>
        <v>6800</v>
      </c>
      <c r="I72" s="440"/>
    </row>
    <row r="73" spans="2:9">
      <c r="B73" s="71"/>
      <c r="C73" s="368" t="s">
        <v>28</v>
      </c>
      <c r="D73" s="76" t="s">
        <v>134</v>
      </c>
      <c r="E73" s="73" t="s">
        <v>132</v>
      </c>
      <c r="F73" s="74">
        <v>0.5</v>
      </c>
      <c r="G73" s="75">
        <f>G57</f>
        <v>160000</v>
      </c>
      <c r="H73" s="545">
        <f>G73*F73</f>
        <v>80000</v>
      </c>
      <c r="I73" s="440"/>
    </row>
    <row r="74" spans="2:9">
      <c r="B74" s="71"/>
      <c r="C74" s="368" t="s">
        <v>28</v>
      </c>
      <c r="D74" s="76" t="s">
        <v>135</v>
      </c>
      <c r="E74" s="73" t="s">
        <v>132</v>
      </c>
      <c r="F74" s="74">
        <v>0.05</v>
      </c>
      <c r="G74" s="75">
        <f>G58</f>
        <v>150000</v>
      </c>
      <c r="H74" s="545">
        <f>G74*F74</f>
        <v>7500</v>
      </c>
      <c r="I74" s="440"/>
    </row>
    <row r="75" spans="2:9">
      <c r="B75" s="369"/>
      <c r="C75" s="382" t="s">
        <v>28</v>
      </c>
      <c r="D75" s="448" t="s">
        <v>136</v>
      </c>
      <c r="E75" s="449" t="s">
        <v>132</v>
      </c>
      <c r="F75" s="450">
        <v>2.5000000000000001E-3</v>
      </c>
      <c r="G75" s="75">
        <f>G59</f>
        <v>180000</v>
      </c>
      <c r="H75" s="547">
        <f>G75*F75</f>
        <v>450</v>
      </c>
      <c r="I75" s="440">
        <f>SUM(H72:H75)</f>
        <v>94750</v>
      </c>
    </row>
    <row r="76" spans="2:9">
      <c r="B76" s="216"/>
      <c r="C76" s="83"/>
      <c r="D76" s="84" t="s">
        <v>228</v>
      </c>
      <c r="E76" s="85"/>
      <c r="F76" s="86"/>
      <c r="G76" s="87"/>
      <c r="H76" s="88">
        <f>SUM(H71:H75)</f>
        <v>214750</v>
      </c>
      <c r="I76" s="440"/>
    </row>
    <row r="77" spans="2:9">
      <c r="B77" s="396"/>
      <c r="C77" s="442" t="s">
        <v>229</v>
      </c>
      <c r="D77" s="378"/>
      <c r="E77" s="378"/>
      <c r="F77" s="378"/>
      <c r="G77" s="518"/>
      <c r="H77" s="518">
        <f>ROUND(H76,0)</f>
        <v>214750</v>
      </c>
      <c r="I77" s="1164"/>
    </row>
    <row r="78" spans="2:9">
      <c r="B78" s="226" t="s">
        <v>630</v>
      </c>
      <c r="C78" s="328" t="s">
        <v>631</v>
      </c>
      <c r="D78" s="555"/>
      <c r="E78" s="288"/>
      <c r="F78" s="445"/>
      <c r="G78" s="446"/>
      <c r="H78" s="447"/>
      <c r="I78" s="440"/>
    </row>
    <row r="79" spans="2:9">
      <c r="B79" s="205"/>
      <c r="C79" s="66" t="s">
        <v>28</v>
      </c>
      <c r="D79" s="207" t="s">
        <v>632</v>
      </c>
      <c r="E79" s="67" t="s">
        <v>240</v>
      </c>
      <c r="F79" s="68">
        <v>1.1000000000000001</v>
      </c>
      <c r="G79" s="69">
        <f>BAHAN!$E$197</f>
        <v>110500</v>
      </c>
      <c r="H79" s="70">
        <f>G79*F79</f>
        <v>121550.00000000001</v>
      </c>
      <c r="I79" s="440">
        <f>SUM(H79)</f>
        <v>121550.00000000001</v>
      </c>
    </row>
    <row r="80" spans="2:9">
      <c r="B80" s="71"/>
      <c r="C80" s="368" t="s">
        <v>28</v>
      </c>
      <c r="D80" s="76" t="s">
        <v>133</v>
      </c>
      <c r="E80" s="73" t="s">
        <v>132</v>
      </c>
      <c r="F80" s="74">
        <v>1.4999999999999999E-2</v>
      </c>
      <c r="G80" s="75">
        <f>G64</f>
        <v>136000</v>
      </c>
      <c r="H80" s="545">
        <f>G80*F80</f>
        <v>2040</v>
      </c>
      <c r="I80" s="440"/>
    </row>
    <row r="81" spans="2:9">
      <c r="B81" s="71"/>
      <c r="C81" s="368" t="s">
        <v>28</v>
      </c>
      <c r="D81" s="76" t="s">
        <v>134</v>
      </c>
      <c r="E81" s="73" t="s">
        <v>132</v>
      </c>
      <c r="F81" s="74">
        <v>0.15</v>
      </c>
      <c r="G81" s="75">
        <f>G65</f>
        <v>160000</v>
      </c>
      <c r="H81" s="545">
        <f>G81*F81</f>
        <v>24000</v>
      </c>
      <c r="I81" s="440"/>
    </row>
    <row r="82" spans="2:9">
      <c r="B82" s="71"/>
      <c r="C82" s="368" t="s">
        <v>28</v>
      </c>
      <c r="D82" s="76" t="s">
        <v>135</v>
      </c>
      <c r="E82" s="73" t="s">
        <v>132</v>
      </c>
      <c r="F82" s="74">
        <v>1.4999999999999999E-2</v>
      </c>
      <c r="G82" s="75">
        <f>G66</f>
        <v>150000</v>
      </c>
      <c r="H82" s="545">
        <f>G82*F82</f>
        <v>2250</v>
      </c>
      <c r="I82" s="440"/>
    </row>
    <row r="83" spans="2:9">
      <c r="B83" s="369"/>
      <c r="C83" s="382" t="s">
        <v>28</v>
      </c>
      <c r="D83" s="448" t="s">
        <v>136</v>
      </c>
      <c r="E83" s="449" t="s">
        <v>132</v>
      </c>
      <c r="F83" s="450">
        <v>7.5000000000000002E-4</v>
      </c>
      <c r="G83" s="75">
        <f>G67</f>
        <v>180000</v>
      </c>
      <c r="H83" s="547">
        <f>G83*F83</f>
        <v>135</v>
      </c>
      <c r="I83" s="440">
        <f>SUM(H80:H83)</f>
        <v>28425</v>
      </c>
    </row>
    <row r="84" spans="2:9">
      <c r="B84" s="216"/>
      <c r="C84" s="83"/>
      <c r="D84" s="84" t="s">
        <v>228</v>
      </c>
      <c r="E84" s="85"/>
      <c r="F84" s="86"/>
      <c r="G84" s="87"/>
      <c r="H84" s="88">
        <f>SUM(H79:H83)</f>
        <v>149975</v>
      </c>
      <c r="I84" s="440"/>
    </row>
    <row r="85" spans="2:9">
      <c r="B85" s="396"/>
      <c r="C85" s="442" t="s">
        <v>229</v>
      </c>
      <c r="D85" s="378"/>
      <c r="E85" s="378"/>
      <c r="F85" s="378"/>
      <c r="G85" s="518"/>
      <c r="H85" s="518">
        <f>ROUND(H84,0)</f>
        <v>149975</v>
      </c>
      <c r="I85" s="1164"/>
    </row>
    <row r="86" spans="2:9">
      <c r="B86" s="530" t="s">
        <v>633</v>
      </c>
      <c r="C86" s="419" t="s">
        <v>1666</v>
      </c>
      <c r="D86" s="558"/>
      <c r="E86" s="559"/>
      <c r="F86" s="560"/>
      <c r="G86" s="561"/>
      <c r="H86" s="562"/>
      <c r="I86" s="440"/>
    </row>
    <row r="87" spans="2:9">
      <c r="B87" s="205"/>
      <c r="C87" s="66" t="s">
        <v>28</v>
      </c>
      <c r="D87" s="207" t="s">
        <v>1665</v>
      </c>
      <c r="E87" s="67" t="s">
        <v>240</v>
      </c>
      <c r="F87" s="68">
        <v>1.1000000000000001</v>
      </c>
      <c r="G87" s="69">
        <f>BAHAN!$E$199</f>
        <v>114850</v>
      </c>
      <c r="H87" s="70">
        <f>G87*F87</f>
        <v>126335.00000000001</v>
      </c>
      <c r="I87" s="440">
        <f>SUM(H87)</f>
        <v>126335.00000000001</v>
      </c>
    </row>
    <row r="88" spans="2:9">
      <c r="B88" s="71"/>
      <c r="C88" s="368" t="s">
        <v>28</v>
      </c>
      <c r="D88" s="76" t="s">
        <v>133</v>
      </c>
      <c r="E88" s="73" t="s">
        <v>132</v>
      </c>
      <c r="F88" s="74">
        <v>1.4999999999999999E-2</v>
      </c>
      <c r="G88" s="75">
        <f>G72</f>
        <v>136000</v>
      </c>
      <c r="H88" s="545">
        <f>G88*F88</f>
        <v>2040</v>
      </c>
      <c r="I88" s="440"/>
    </row>
    <row r="89" spans="2:9">
      <c r="B89" s="71"/>
      <c r="C89" s="368" t="s">
        <v>28</v>
      </c>
      <c r="D89" s="76" t="s">
        <v>134</v>
      </c>
      <c r="E89" s="73" t="s">
        <v>132</v>
      </c>
      <c r="F89" s="74">
        <v>0.15</v>
      </c>
      <c r="G89" s="75">
        <f>G73</f>
        <v>160000</v>
      </c>
      <c r="H89" s="545">
        <f>G89*F89</f>
        <v>24000</v>
      </c>
      <c r="I89" s="440"/>
    </row>
    <row r="90" spans="2:9">
      <c r="B90" s="71"/>
      <c r="C90" s="368" t="s">
        <v>28</v>
      </c>
      <c r="D90" s="76" t="s">
        <v>135</v>
      </c>
      <c r="E90" s="73" t="s">
        <v>132</v>
      </c>
      <c r="F90" s="74">
        <v>1.4999999999999999E-2</v>
      </c>
      <c r="G90" s="75">
        <f>G74</f>
        <v>150000</v>
      </c>
      <c r="H90" s="545">
        <f>G90*F90</f>
        <v>2250</v>
      </c>
      <c r="I90" s="440"/>
    </row>
    <row r="91" spans="2:9">
      <c r="B91" s="369"/>
      <c r="C91" s="382" t="s">
        <v>28</v>
      </c>
      <c r="D91" s="448" t="s">
        <v>136</v>
      </c>
      <c r="E91" s="449" t="s">
        <v>132</v>
      </c>
      <c r="F91" s="450">
        <v>8.0000000000000004E-4</v>
      </c>
      <c r="G91" s="75">
        <f>G75</f>
        <v>180000</v>
      </c>
      <c r="H91" s="547">
        <f>G91*F91</f>
        <v>144</v>
      </c>
      <c r="I91" s="440">
        <f>SUM(H88:H91)</f>
        <v>28434</v>
      </c>
    </row>
    <row r="92" spans="2:9">
      <c r="B92" s="216"/>
      <c r="C92" s="83"/>
      <c r="D92" s="84" t="s">
        <v>228</v>
      </c>
      <c r="E92" s="85"/>
      <c r="F92" s="553"/>
      <c r="G92" s="87"/>
      <c r="H92" s="88">
        <f>SUM(H87:H91)</f>
        <v>154769</v>
      </c>
      <c r="I92" s="440"/>
    </row>
    <row r="93" spans="2:9">
      <c r="B93" s="396"/>
      <c r="C93" s="442" t="s">
        <v>229</v>
      </c>
      <c r="D93" s="378"/>
      <c r="E93" s="378"/>
      <c r="F93" s="378"/>
      <c r="G93" s="518"/>
      <c r="H93" s="518">
        <f>ROUND(H92,0)</f>
        <v>154769</v>
      </c>
      <c r="I93" s="1164"/>
    </row>
    <row r="94" spans="2:9">
      <c r="B94" s="530" t="s">
        <v>633</v>
      </c>
      <c r="C94" s="419" t="s">
        <v>1837</v>
      </c>
      <c r="D94" s="558"/>
      <c r="E94" s="559"/>
      <c r="F94" s="560"/>
      <c r="G94" s="561"/>
      <c r="H94" s="562"/>
      <c r="I94" s="440"/>
    </row>
    <row r="95" spans="2:9">
      <c r="B95" s="205"/>
      <c r="C95" s="66" t="s">
        <v>28</v>
      </c>
      <c r="D95" s="207" t="s">
        <v>1466</v>
      </c>
      <c r="E95" s="67" t="s">
        <v>240</v>
      </c>
      <c r="F95" s="68">
        <v>1</v>
      </c>
      <c r="G95" s="69">
        <f>BAHAN!$E$204</f>
        <v>385000</v>
      </c>
      <c r="H95" s="70">
        <f>G95*F95</f>
        <v>385000</v>
      </c>
      <c r="I95" s="440">
        <f>SUM(H95)</f>
        <v>385000</v>
      </c>
    </row>
    <row r="96" spans="2:9">
      <c r="B96" s="872"/>
      <c r="C96" s="871" t="s">
        <v>28</v>
      </c>
      <c r="D96" s="877" t="s">
        <v>133</v>
      </c>
      <c r="E96" s="873" t="s">
        <v>132</v>
      </c>
      <c r="F96" s="874">
        <v>1.4999999999999999E-2</v>
      </c>
      <c r="G96" s="875">
        <f>G72</f>
        <v>136000</v>
      </c>
      <c r="H96" s="876">
        <f>G96*F96</f>
        <v>2040</v>
      </c>
      <c r="I96" s="440"/>
    </row>
    <row r="97" spans="2:9">
      <c r="B97" s="872"/>
      <c r="C97" s="871" t="s">
        <v>28</v>
      </c>
      <c r="D97" s="877" t="s">
        <v>134</v>
      </c>
      <c r="E97" s="873" t="s">
        <v>132</v>
      </c>
      <c r="F97" s="874">
        <v>0.15</v>
      </c>
      <c r="G97" s="875">
        <f>G73</f>
        <v>160000</v>
      </c>
      <c r="H97" s="876">
        <f>G97*F97</f>
        <v>24000</v>
      </c>
      <c r="I97" s="440"/>
    </row>
    <row r="98" spans="2:9">
      <c r="B98" s="872"/>
      <c r="C98" s="871" t="s">
        <v>28</v>
      </c>
      <c r="D98" s="877" t="s">
        <v>135</v>
      </c>
      <c r="E98" s="873" t="s">
        <v>132</v>
      </c>
      <c r="F98" s="874">
        <v>1.4999999999999999E-2</v>
      </c>
      <c r="G98" s="875">
        <f>G74</f>
        <v>150000</v>
      </c>
      <c r="H98" s="876">
        <f>G98*F98</f>
        <v>2250</v>
      </c>
      <c r="I98" s="440"/>
    </row>
    <row r="99" spans="2:9">
      <c r="B99" s="878"/>
      <c r="C99" s="78" t="s">
        <v>28</v>
      </c>
      <c r="D99" s="887" t="s">
        <v>136</v>
      </c>
      <c r="E99" s="879" t="s">
        <v>132</v>
      </c>
      <c r="F99" s="880">
        <v>8.0000000000000004E-4</v>
      </c>
      <c r="G99" s="875">
        <f>G75</f>
        <v>180000</v>
      </c>
      <c r="H99" s="881">
        <f>G99*F99</f>
        <v>144</v>
      </c>
      <c r="I99" s="440">
        <f>SUM(H96:H99)</f>
        <v>28434</v>
      </c>
    </row>
    <row r="100" spans="2:9">
      <c r="B100" s="216"/>
      <c r="C100" s="882"/>
      <c r="D100" s="866" t="s">
        <v>228</v>
      </c>
      <c r="E100" s="883"/>
      <c r="F100" s="884"/>
      <c r="G100" s="885"/>
      <c r="H100" s="886">
        <f>SUM(H95:H99)</f>
        <v>413434</v>
      </c>
      <c r="I100" s="440"/>
    </row>
    <row r="101" spans="2:9">
      <c r="B101" s="396"/>
      <c r="C101" s="868" t="s">
        <v>229</v>
      </c>
      <c r="D101" s="869"/>
      <c r="E101" s="869"/>
      <c r="F101" s="869"/>
      <c r="G101" s="870"/>
      <c r="H101" s="870">
        <f>ROUND(H100,0)</f>
        <v>413434</v>
      </c>
      <c r="I101" s="1164"/>
    </row>
    <row r="102" spans="2:9">
      <c r="B102" s="530" t="s">
        <v>633</v>
      </c>
      <c r="C102" s="419" t="s">
        <v>1465</v>
      </c>
      <c r="D102" s="558"/>
      <c r="E102" s="559"/>
      <c r="F102" s="560"/>
      <c r="G102" s="561"/>
      <c r="H102" s="562"/>
      <c r="I102" s="440"/>
    </row>
    <row r="103" spans="2:9">
      <c r="B103" s="205"/>
      <c r="C103" s="66" t="s">
        <v>28</v>
      </c>
      <c r="D103" s="207" t="s">
        <v>1466</v>
      </c>
      <c r="E103" s="67" t="s">
        <v>240</v>
      </c>
      <c r="F103" s="68">
        <v>1</v>
      </c>
      <c r="G103" s="69">
        <f>BAHAN!E205</f>
        <v>410000</v>
      </c>
      <c r="H103" s="70">
        <f>G103*F103</f>
        <v>410000</v>
      </c>
      <c r="I103" s="440">
        <f>SUM(H103)</f>
        <v>410000</v>
      </c>
    </row>
    <row r="104" spans="2:9">
      <c r="B104" s="872"/>
      <c r="C104" s="871" t="s">
        <v>28</v>
      </c>
      <c r="D104" s="877" t="s">
        <v>133</v>
      </c>
      <c r="E104" s="873" t="s">
        <v>132</v>
      </c>
      <c r="F104" s="874">
        <v>1.4999999999999999E-2</v>
      </c>
      <c r="G104" s="875">
        <f>G80</f>
        <v>136000</v>
      </c>
      <c r="H104" s="876">
        <f>G104*F104</f>
        <v>2040</v>
      </c>
      <c r="I104" s="440"/>
    </row>
    <row r="105" spans="2:9">
      <c r="B105" s="872"/>
      <c r="C105" s="871" t="s">
        <v>28</v>
      </c>
      <c r="D105" s="877" t="s">
        <v>134</v>
      </c>
      <c r="E105" s="873" t="s">
        <v>132</v>
      </c>
      <c r="F105" s="874">
        <v>0.15</v>
      </c>
      <c r="G105" s="875">
        <f>G81</f>
        <v>160000</v>
      </c>
      <c r="H105" s="876">
        <f>G105*F105</f>
        <v>24000</v>
      </c>
      <c r="I105" s="440"/>
    </row>
    <row r="106" spans="2:9">
      <c r="B106" s="872"/>
      <c r="C106" s="871" t="s">
        <v>28</v>
      </c>
      <c r="D106" s="877" t="s">
        <v>135</v>
      </c>
      <c r="E106" s="873" t="s">
        <v>132</v>
      </c>
      <c r="F106" s="874">
        <v>1.4999999999999999E-2</v>
      </c>
      <c r="G106" s="875">
        <f>G82</f>
        <v>150000</v>
      </c>
      <c r="H106" s="876">
        <f>G106*F106</f>
        <v>2250</v>
      </c>
      <c r="I106" s="440"/>
    </row>
    <row r="107" spans="2:9">
      <c r="B107" s="878"/>
      <c r="C107" s="78" t="s">
        <v>28</v>
      </c>
      <c r="D107" s="887" t="s">
        <v>136</v>
      </c>
      <c r="E107" s="879" t="s">
        <v>132</v>
      </c>
      <c r="F107" s="880">
        <v>8.0000000000000004E-4</v>
      </c>
      <c r="G107" s="875">
        <f>G83</f>
        <v>180000</v>
      </c>
      <c r="H107" s="881">
        <f>G107*F107</f>
        <v>144</v>
      </c>
      <c r="I107" s="440">
        <f>SUM(H104:H107)</f>
        <v>28434</v>
      </c>
    </row>
    <row r="108" spans="2:9">
      <c r="B108" s="216"/>
      <c r="C108" s="882"/>
      <c r="D108" s="866" t="s">
        <v>228</v>
      </c>
      <c r="E108" s="883"/>
      <c r="F108" s="884"/>
      <c r="G108" s="885"/>
      <c r="H108" s="886">
        <f>SUM(H103:H107)</f>
        <v>438434</v>
      </c>
      <c r="I108" s="440"/>
    </row>
    <row r="109" spans="2:9">
      <c r="B109" s="396"/>
      <c r="C109" s="868" t="s">
        <v>229</v>
      </c>
      <c r="D109" s="869"/>
      <c r="E109" s="869"/>
      <c r="F109" s="869"/>
      <c r="G109" s="870"/>
      <c r="H109" s="870">
        <f>ROUND(H108,0)</f>
        <v>438434</v>
      </c>
      <c r="I109" s="1164"/>
    </row>
    <row r="110" spans="2:9">
      <c r="B110" s="530" t="s">
        <v>633</v>
      </c>
      <c r="C110" s="419" t="s">
        <v>1500</v>
      </c>
      <c r="D110" s="558"/>
      <c r="E110" s="559"/>
      <c r="F110" s="560"/>
      <c r="G110" s="561"/>
      <c r="H110" s="562"/>
      <c r="I110" s="440"/>
    </row>
    <row r="111" spans="2:9">
      <c r="B111" s="205"/>
      <c r="C111" s="66" t="s">
        <v>28</v>
      </c>
      <c r="D111" s="207" t="s">
        <v>1499</v>
      </c>
      <c r="E111" s="67" t="s">
        <v>240</v>
      </c>
      <c r="F111" s="68">
        <v>1</v>
      </c>
      <c r="G111" s="69">
        <f>BAHAN!E202</f>
        <v>2500000</v>
      </c>
      <c r="H111" s="70">
        <f>G111*F111</f>
        <v>2500000</v>
      </c>
      <c r="I111" s="440">
        <f>SUM(H111)</f>
        <v>2500000</v>
      </c>
    </row>
    <row r="112" spans="2:9">
      <c r="B112" s="872"/>
      <c r="C112" s="871" t="s">
        <v>28</v>
      </c>
      <c r="D112" s="877" t="s">
        <v>133</v>
      </c>
      <c r="E112" s="873" t="s">
        <v>132</v>
      </c>
      <c r="F112" s="874">
        <v>1.4999999999999999E-2</v>
      </c>
      <c r="G112" s="875">
        <f>G88</f>
        <v>136000</v>
      </c>
      <c r="H112" s="876">
        <f>G112*F112</f>
        <v>2040</v>
      </c>
      <c r="I112" s="440"/>
    </row>
    <row r="113" spans="2:9">
      <c r="B113" s="872"/>
      <c r="C113" s="871" t="s">
        <v>28</v>
      </c>
      <c r="D113" s="877" t="s">
        <v>134</v>
      </c>
      <c r="E113" s="873" t="s">
        <v>132</v>
      </c>
      <c r="F113" s="874">
        <v>0.15</v>
      </c>
      <c r="G113" s="875">
        <f>G89</f>
        <v>160000</v>
      </c>
      <c r="H113" s="876">
        <f>G113*F113</f>
        <v>24000</v>
      </c>
      <c r="I113" s="440"/>
    </row>
    <row r="114" spans="2:9">
      <c r="B114" s="872"/>
      <c r="C114" s="871" t="s">
        <v>28</v>
      </c>
      <c r="D114" s="877" t="s">
        <v>135</v>
      </c>
      <c r="E114" s="873" t="s">
        <v>132</v>
      </c>
      <c r="F114" s="874">
        <v>1.4999999999999999E-2</v>
      </c>
      <c r="G114" s="875">
        <f>G90</f>
        <v>150000</v>
      </c>
      <c r="H114" s="876">
        <f>G114*F114</f>
        <v>2250</v>
      </c>
      <c r="I114" s="440"/>
    </row>
    <row r="115" spans="2:9">
      <c r="B115" s="878"/>
      <c r="C115" s="78" t="s">
        <v>28</v>
      </c>
      <c r="D115" s="887" t="s">
        <v>136</v>
      </c>
      <c r="E115" s="879" t="s">
        <v>132</v>
      </c>
      <c r="F115" s="880">
        <v>8.0000000000000004E-4</v>
      </c>
      <c r="G115" s="875">
        <f>G91</f>
        <v>180000</v>
      </c>
      <c r="H115" s="881">
        <f>G115*F115</f>
        <v>144</v>
      </c>
      <c r="I115" s="440">
        <f>SUM(H112:H115)</f>
        <v>28434</v>
      </c>
    </row>
    <row r="116" spans="2:9">
      <c r="B116" s="216"/>
      <c r="C116" s="882"/>
      <c r="D116" s="866" t="s">
        <v>228</v>
      </c>
      <c r="E116" s="883"/>
      <c r="F116" s="884"/>
      <c r="G116" s="885"/>
      <c r="H116" s="886">
        <f>SUM(H111:H115)</f>
        <v>2528434</v>
      </c>
      <c r="I116" s="440"/>
    </row>
    <row r="117" spans="2:9">
      <c r="B117" s="396"/>
      <c r="C117" s="868" t="s">
        <v>229</v>
      </c>
      <c r="D117" s="869"/>
      <c r="E117" s="869"/>
      <c r="F117" s="869"/>
      <c r="G117" s="870"/>
      <c r="H117" s="870">
        <f>ROUND(H116,0)</f>
        <v>2528434</v>
      </c>
      <c r="I117" s="1164"/>
    </row>
    <row r="118" spans="2:9">
      <c r="B118" s="530" t="s">
        <v>633</v>
      </c>
      <c r="C118" s="419" t="s">
        <v>1491</v>
      </c>
      <c r="D118" s="558"/>
      <c r="E118" s="559"/>
      <c r="F118" s="560"/>
      <c r="G118" s="561"/>
      <c r="H118" s="562"/>
      <c r="I118" s="440"/>
    </row>
    <row r="119" spans="2:9">
      <c r="B119" s="205"/>
      <c r="C119" s="66" t="s">
        <v>28</v>
      </c>
      <c r="D119" s="207" t="s">
        <v>1492</v>
      </c>
      <c r="E119" s="67" t="s">
        <v>88</v>
      </c>
      <c r="F119" s="68">
        <v>1</v>
      </c>
      <c r="G119" s="69">
        <f>BAHAN!E203</f>
        <v>23000</v>
      </c>
      <c r="H119" s="70">
        <f>G119*F119</f>
        <v>23000</v>
      </c>
      <c r="I119" s="440">
        <f>SUM(H119)</f>
        <v>23000</v>
      </c>
    </row>
    <row r="120" spans="2:9">
      <c r="B120" s="872"/>
      <c r="C120" s="871" t="s">
        <v>28</v>
      </c>
      <c r="D120" s="877" t="s">
        <v>133</v>
      </c>
      <c r="E120" s="873" t="s">
        <v>132</v>
      </c>
      <c r="F120" s="874">
        <v>1.4999999999999999E-2</v>
      </c>
      <c r="G120" s="875">
        <f>G88</f>
        <v>136000</v>
      </c>
      <c r="H120" s="876">
        <f>G120*F120</f>
        <v>2040</v>
      </c>
      <c r="I120" s="440"/>
    </row>
    <row r="121" spans="2:9">
      <c r="B121" s="872"/>
      <c r="C121" s="871" t="s">
        <v>28</v>
      </c>
      <c r="D121" s="877" t="s">
        <v>134</v>
      </c>
      <c r="E121" s="873" t="s">
        <v>132</v>
      </c>
      <c r="F121" s="874">
        <v>0.15</v>
      </c>
      <c r="G121" s="875">
        <f>G89</f>
        <v>160000</v>
      </c>
      <c r="H121" s="876">
        <f>G121*F121</f>
        <v>24000</v>
      </c>
      <c r="I121" s="440"/>
    </row>
    <row r="122" spans="2:9">
      <c r="B122" s="872"/>
      <c r="C122" s="871" t="s">
        <v>28</v>
      </c>
      <c r="D122" s="877" t="s">
        <v>135</v>
      </c>
      <c r="E122" s="873" t="s">
        <v>132</v>
      </c>
      <c r="F122" s="874">
        <v>1.4999999999999999E-2</v>
      </c>
      <c r="G122" s="875">
        <f>G90</f>
        <v>150000</v>
      </c>
      <c r="H122" s="876">
        <f>G122*F122</f>
        <v>2250</v>
      </c>
      <c r="I122" s="440"/>
    </row>
    <row r="123" spans="2:9">
      <c r="B123" s="878"/>
      <c r="C123" s="78" t="s">
        <v>28</v>
      </c>
      <c r="D123" s="887" t="s">
        <v>136</v>
      </c>
      <c r="E123" s="879" t="s">
        <v>132</v>
      </c>
      <c r="F123" s="880">
        <v>8.0000000000000004E-4</v>
      </c>
      <c r="G123" s="875">
        <f>G91</f>
        <v>180000</v>
      </c>
      <c r="H123" s="881">
        <f>G123*F123</f>
        <v>144</v>
      </c>
      <c r="I123" s="440">
        <f>SUM(H120:H123)</f>
        <v>28434</v>
      </c>
    </row>
    <row r="124" spans="2:9">
      <c r="B124" s="216"/>
      <c r="C124" s="882"/>
      <c r="D124" s="866" t="s">
        <v>228</v>
      </c>
      <c r="E124" s="883"/>
      <c r="F124" s="884"/>
      <c r="G124" s="885"/>
      <c r="H124" s="886">
        <f>SUM(H119:H123)</f>
        <v>51434</v>
      </c>
      <c r="I124" s="440"/>
    </row>
    <row r="125" spans="2:9">
      <c r="B125" s="396"/>
      <c r="C125" s="868" t="s">
        <v>229</v>
      </c>
      <c r="D125" s="869"/>
      <c r="E125" s="869"/>
      <c r="F125" s="869"/>
      <c r="G125" s="870"/>
      <c r="H125" s="870">
        <f>ROUND(H124,0)</f>
        <v>51434</v>
      </c>
      <c r="I125" s="1164"/>
    </row>
    <row r="126" spans="2:9">
      <c r="B126" s="226" t="s">
        <v>634</v>
      </c>
      <c r="C126" s="328" t="s">
        <v>635</v>
      </c>
      <c r="D126" s="555"/>
      <c r="E126" s="288"/>
      <c r="F126" s="445"/>
      <c r="G126" s="446"/>
      <c r="H126" s="447"/>
      <c r="I126" s="440"/>
    </row>
    <row r="127" spans="2:9">
      <c r="B127" s="205"/>
      <c r="C127" s="66" t="s">
        <v>28</v>
      </c>
      <c r="D127" s="207" t="s">
        <v>636</v>
      </c>
      <c r="E127" s="67" t="s">
        <v>239</v>
      </c>
      <c r="F127" s="68">
        <v>1</v>
      </c>
      <c r="G127" s="69">
        <f>BAHAN!$E$346</f>
        <v>210000</v>
      </c>
      <c r="H127" s="70">
        <f>G127*F127</f>
        <v>210000</v>
      </c>
      <c r="I127" s="440">
        <f>SUM(H127)</f>
        <v>210000</v>
      </c>
    </row>
    <row r="128" spans="2:9">
      <c r="B128" s="71"/>
      <c r="C128" s="368" t="s">
        <v>28</v>
      </c>
      <c r="D128" s="76" t="s">
        <v>133</v>
      </c>
      <c r="E128" s="73" t="s">
        <v>132</v>
      </c>
      <c r="F128" s="74">
        <v>0.01</v>
      </c>
      <c r="G128" s="75">
        <f>G88</f>
        <v>136000</v>
      </c>
      <c r="H128" s="545">
        <f>G128*F128</f>
        <v>1360</v>
      </c>
      <c r="I128" s="440"/>
    </row>
    <row r="129" spans="2:9">
      <c r="B129" s="71"/>
      <c r="C129" s="368" t="s">
        <v>28</v>
      </c>
      <c r="D129" s="76" t="s">
        <v>134</v>
      </c>
      <c r="E129" s="73" t="s">
        <v>132</v>
      </c>
      <c r="F129" s="74">
        <v>0.5</v>
      </c>
      <c r="G129" s="75">
        <f>G89</f>
        <v>160000</v>
      </c>
      <c r="H129" s="545">
        <f>G129*F129</f>
        <v>80000</v>
      </c>
      <c r="I129" s="440"/>
    </row>
    <row r="130" spans="2:9">
      <c r="B130" s="71"/>
      <c r="C130" s="368" t="s">
        <v>28</v>
      </c>
      <c r="D130" s="76" t="s">
        <v>135</v>
      </c>
      <c r="E130" s="73" t="s">
        <v>132</v>
      </c>
      <c r="F130" s="74">
        <v>0.01</v>
      </c>
      <c r="G130" s="75">
        <f>G90</f>
        <v>150000</v>
      </c>
      <c r="H130" s="545">
        <f>G130*F130</f>
        <v>1500</v>
      </c>
      <c r="I130" s="440"/>
    </row>
    <row r="131" spans="2:9">
      <c r="B131" s="369"/>
      <c r="C131" s="382" t="s">
        <v>28</v>
      </c>
      <c r="D131" s="448" t="s">
        <v>136</v>
      </c>
      <c r="E131" s="449" t="s">
        <v>132</v>
      </c>
      <c r="F131" s="450">
        <v>5.0000000000000001E-3</v>
      </c>
      <c r="G131" s="546">
        <f>G91</f>
        <v>180000</v>
      </c>
      <c r="H131" s="547">
        <f>G131*F131</f>
        <v>900</v>
      </c>
      <c r="I131" s="440">
        <f>SUM(H128:H131)</f>
        <v>83760</v>
      </c>
    </row>
    <row r="132" spans="2:9">
      <c r="B132" s="216"/>
      <c r="C132" s="83"/>
      <c r="D132" s="84" t="s">
        <v>228</v>
      </c>
      <c r="E132" s="85"/>
      <c r="F132" s="86"/>
      <c r="G132" s="87"/>
      <c r="H132" s="88">
        <f>SUM(H127:H131)</f>
        <v>293760</v>
      </c>
      <c r="I132" s="440"/>
    </row>
    <row r="133" spans="2:9">
      <c r="B133" s="396"/>
      <c r="C133" s="442" t="s">
        <v>229</v>
      </c>
      <c r="D133" s="378"/>
      <c r="E133" s="378"/>
      <c r="F133" s="378"/>
      <c r="G133" s="518"/>
      <c r="H133" s="518">
        <f>ROUND(H132,0)</f>
        <v>293760</v>
      </c>
      <c r="I133" s="1164"/>
    </row>
    <row r="134" spans="2:9">
      <c r="B134" s="226" t="s">
        <v>637</v>
      </c>
      <c r="C134" s="328" t="s">
        <v>638</v>
      </c>
      <c r="D134" s="555"/>
      <c r="E134" s="288"/>
      <c r="F134" s="445"/>
      <c r="G134" s="446"/>
      <c r="H134" s="447"/>
      <c r="I134" s="440"/>
    </row>
    <row r="135" spans="2:9">
      <c r="B135" s="205"/>
      <c r="C135" s="66" t="s">
        <v>28</v>
      </c>
      <c r="D135" s="207" t="s">
        <v>639</v>
      </c>
      <c r="E135" s="67" t="s">
        <v>239</v>
      </c>
      <c r="F135" s="68">
        <v>1</v>
      </c>
      <c r="G135" s="69">
        <f>BAHAN!$E$345</f>
        <v>465000</v>
      </c>
      <c r="H135" s="70">
        <f>G135*F135</f>
        <v>465000</v>
      </c>
      <c r="I135" s="440">
        <f>SUM(H135)</f>
        <v>465000</v>
      </c>
    </row>
    <row r="136" spans="2:9">
      <c r="B136" s="71"/>
      <c r="C136" s="368" t="s">
        <v>28</v>
      </c>
      <c r="D136" s="76" t="s">
        <v>133</v>
      </c>
      <c r="E136" s="73" t="s">
        <v>132</v>
      </c>
      <c r="F136" s="74">
        <v>0.01</v>
      </c>
      <c r="G136" s="75">
        <f>G128</f>
        <v>136000</v>
      </c>
      <c r="H136" s="545">
        <f>G136*F136</f>
        <v>1360</v>
      </c>
      <c r="I136" s="440"/>
    </row>
    <row r="137" spans="2:9">
      <c r="B137" s="71"/>
      <c r="C137" s="368" t="s">
        <v>28</v>
      </c>
      <c r="D137" s="76" t="s">
        <v>134</v>
      </c>
      <c r="E137" s="73" t="s">
        <v>132</v>
      </c>
      <c r="F137" s="74">
        <v>0.5</v>
      </c>
      <c r="G137" s="75">
        <f>G129</f>
        <v>160000</v>
      </c>
      <c r="H137" s="545">
        <f>G137*F137</f>
        <v>80000</v>
      </c>
      <c r="I137" s="440"/>
    </row>
    <row r="138" spans="2:9">
      <c r="B138" s="71"/>
      <c r="C138" s="368" t="s">
        <v>28</v>
      </c>
      <c r="D138" s="76" t="s">
        <v>135</v>
      </c>
      <c r="E138" s="73" t="s">
        <v>132</v>
      </c>
      <c r="F138" s="74">
        <v>0.01</v>
      </c>
      <c r="G138" s="75">
        <f>G130</f>
        <v>150000</v>
      </c>
      <c r="H138" s="545">
        <f>G138*F138</f>
        <v>1500</v>
      </c>
      <c r="I138" s="440"/>
    </row>
    <row r="139" spans="2:9">
      <c r="B139" s="369"/>
      <c r="C139" s="382" t="s">
        <v>28</v>
      </c>
      <c r="D139" s="448" t="s">
        <v>136</v>
      </c>
      <c r="E139" s="449" t="s">
        <v>132</v>
      </c>
      <c r="F139" s="450">
        <v>5.0000000000000001E-3</v>
      </c>
      <c r="G139" s="546">
        <f>G131</f>
        <v>180000</v>
      </c>
      <c r="H139" s="547">
        <f>G139*F139</f>
        <v>900</v>
      </c>
      <c r="I139" s="440">
        <f>SUM(H136:H139)</f>
        <v>83760</v>
      </c>
    </row>
    <row r="140" spans="2:9">
      <c r="B140" s="216"/>
      <c r="C140" s="83"/>
      <c r="D140" s="84" t="s">
        <v>228</v>
      </c>
      <c r="E140" s="85"/>
      <c r="F140" s="86"/>
      <c r="G140" s="87"/>
      <c r="H140" s="88">
        <f>SUM(H135:H139)</f>
        <v>548760</v>
      </c>
      <c r="I140" s="440"/>
    </row>
    <row r="141" spans="2:9">
      <c r="B141" s="396"/>
      <c r="C141" s="442" t="s">
        <v>229</v>
      </c>
      <c r="D141" s="378"/>
      <c r="E141" s="378"/>
      <c r="F141" s="378"/>
      <c r="G141" s="518"/>
      <c r="H141" s="518">
        <f>ROUND(H140,0)</f>
        <v>548760</v>
      </c>
      <c r="I141" s="1164"/>
    </row>
    <row r="142" spans="2:9">
      <c r="B142" s="226" t="s">
        <v>1458</v>
      </c>
      <c r="C142" s="328" t="s">
        <v>1459</v>
      </c>
      <c r="D142" s="555"/>
      <c r="E142" s="288"/>
      <c r="F142" s="445"/>
      <c r="G142" s="446"/>
      <c r="H142" s="447"/>
      <c r="I142" s="440"/>
    </row>
    <row r="143" spans="2:9">
      <c r="B143" s="205"/>
      <c r="C143" s="66" t="s">
        <v>28</v>
      </c>
      <c r="D143" s="207" t="s">
        <v>1460</v>
      </c>
      <c r="E143" s="67" t="s">
        <v>154</v>
      </c>
      <c r="F143" s="68">
        <v>1</v>
      </c>
      <c r="G143" s="69">
        <f>BAHAN!$E$355</f>
        <v>165000</v>
      </c>
      <c r="H143" s="70">
        <f>G143*F143</f>
        <v>165000</v>
      </c>
      <c r="I143" s="440">
        <f>SUM(H143)</f>
        <v>165000</v>
      </c>
    </row>
    <row r="144" spans="2:9">
      <c r="B144" s="71"/>
      <c r="C144" s="368" t="s">
        <v>28</v>
      </c>
      <c r="D144" s="76" t="s">
        <v>133</v>
      </c>
      <c r="E144" s="73" t="s">
        <v>132</v>
      </c>
      <c r="F144" s="74">
        <v>0.01</v>
      </c>
      <c r="G144" s="75">
        <f>G136</f>
        <v>136000</v>
      </c>
      <c r="H144" s="545">
        <f>G144*F144</f>
        <v>1360</v>
      </c>
      <c r="I144" s="440"/>
    </row>
    <row r="145" spans="2:9">
      <c r="B145" s="71"/>
      <c r="C145" s="368" t="s">
        <v>28</v>
      </c>
      <c r="D145" s="76" t="s">
        <v>134</v>
      </c>
      <c r="E145" s="73" t="s">
        <v>132</v>
      </c>
      <c r="F145" s="74">
        <v>0.5</v>
      </c>
      <c r="G145" s="75">
        <f>G137</f>
        <v>160000</v>
      </c>
      <c r="H145" s="545">
        <f>G145*F145</f>
        <v>80000</v>
      </c>
      <c r="I145" s="440"/>
    </row>
    <row r="146" spans="2:9">
      <c r="B146" s="71"/>
      <c r="C146" s="368" t="s">
        <v>28</v>
      </c>
      <c r="D146" s="76" t="s">
        <v>135</v>
      </c>
      <c r="E146" s="73" t="s">
        <v>132</v>
      </c>
      <c r="F146" s="74">
        <v>0.01</v>
      </c>
      <c r="G146" s="75">
        <f>G138</f>
        <v>150000</v>
      </c>
      <c r="H146" s="545">
        <f>G146*F146</f>
        <v>1500</v>
      </c>
      <c r="I146" s="440"/>
    </row>
    <row r="147" spans="2:9">
      <c r="B147" s="369"/>
      <c r="C147" s="382" t="s">
        <v>28</v>
      </c>
      <c r="D147" s="448" t="s">
        <v>136</v>
      </c>
      <c r="E147" s="449" t="s">
        <v>132</v>
      </c>
      <c r="F147" s="450">
        <v>5.0000000000000001E-3</v>
      </c>
      <c r="G147" s="546">
        <f>G139</f>
        <v>180000</v>
      </c>
      <c r="H147" s="547">
        <f>G147*F147</f>
        <v>900</v>
      </c>
      <c r="I147" s="440">
        <f>SUM(H144:H147)</f>
        <v>83760</v>
      </c>
    </row>
    <row r="148" spans="2:9">
      <c r="B148" s="216"/>
      <c r="C148" s="83"/>
      <c r="D148" s="84" t="s">
        <v>228</v>
      </c>
      <c r="E148" s="85"/>
      <c r="F148" s="86"/>
      <c r="G148" s="87"/>
      <c r="H148" s="88">
        <f>SUM(H143:H147)</f>
        <v>248760</v>
      </c>
      <c r="I148" s="440"/>
    </row>
    <row r="149" spans="2:9">
      <c r="B149" s="396"/>
      <c r="C149" s="442" t="s">
        <v>229</v>
      </c>
      <c r="D149" s="378"/>
      <c r="E149" s="378"/>
      <c r="F149" s="378"/>
      <c r="G149" s="518"/>
      <c r="H149" s="518">
        <f>ROUND(H148,0)</f>
        <v>248760</v>
      </c>
      <c r="I149" s="1164"/>
    </row>
    <row r="150" spans="2:9">
      <c r="B150" s="226" t="s">
        <v>1461</v>
      </c>
      <c r="C150" s="328" t="s">
        <v>1462</v>
      </c>
      <c r="D150" s="555"/>
      <c r="E150" s="288"/>
      <c r="F150" s="445"/>
      <c r="G150" s="446"/>
      <c r="H150" s="447"/>
      <c r="I150" s="440"/>
    </row>
    <row r="151" spans="2:9">
      <c r="B151" s="205"/>
      <c r="C151" s="66" t="s">
        <v>28</v>
      </c>
      <c r="D151" s="207" t="s">
        <v>1463</v>
      </c>
      <c r="E151" s="67" t="s">
        <v>88</v>
      </c>
      <c r="F151" s="68">
        <v>1</v>
      </c>
      <c r="G151" s="69">
        <f>BAHAN!$E$356</f>
        <v>13500</v>
      </c>
      <c r="H151" s="70">
        <f>G151*F151</f>
        <v>13500</v>
      </c>
      <c r="I151" s="440">
        <f>SUM(H151)</f>
        <v>13500</v>
      </c>
    </row>
    <row r="152" spans="2:9">
      <c r="B152" s="71"/>
      <c r="C152" s="368" t="s">
        <v>28</v>
      </c>
      <c r="D152" s="76" t="s">
        <v>133</v>
      </c>
      <c r="E152" s="73" t="s">
        <v>132</v>
      </c>
      <c r="F152" s="74">
        <v>0.01</v>
      </c>
      <c r="G152" s="75">
        <f>G144</f>
        <v>136000</v>
      </c>
      <c r="H152" s="545">
        <f>G152*F152</f>
        <v>1360</v>
      </c>
      <c r="I152" s="440"/>
    </row>
    <row r="153" spans="2:9">
      <c r="B153" s="71"/>
      <c r="C153" s="368" t="s">
        <v>28</v>
      </c>
      <c r="D153" s="76" t="s">
        <v>134</v>
      </c>
      <c r="E153" s="73" t="s">
        <v>132</v>
      </c>
      <c r="F153" s="74">
        <v>0.5</v>
      </c>
      <c r="G153" s="75">
        <f>G145</f>
        <v>160000</v>
      </c>
      <c r="H153" s="545">
        <f>G153*F153</f>
        <v>80000</v>
      </c>
      <c r="I153" s="440"/>
    </row>
    <row r="154" spans="2:9">
      <c r="B154" s="71"/>
      <c r="C154" s="368" t="s">
        <v>28</v>
      </c>
      <c r="D154" s="76" t="s">
        <v>135</v>
      </c>
      <c r="E154" s="73" t="s">
        <v>132</v>
      </c>
      <c r="F154" s="74">
        <v>0.01</v>
      </c>
      <c r="G154" s="75">
        <f>G146</f>
        <v>150000</v>
      </c>
      <c r="H154" s="545">
        <f>G154*F154</f>
        <v>1500</v>
      </c>
      <c r="I154" s="440"/>
    </row>
    <row r="155" spans="2:9">
      <c r="B155" s="369"/>
      <c r="C155" s="382" t="s">
        <v>28</v>
      </c>
      <c r="D155" s="448" t="s">
        <v>136</v>
      </c>
      <c r="E155" s="449" t="s">
        <v>132</v>
      </c>
      <c r="F155" s="450">
        <v>5.0000000000000001E-3</v>
      </c>
      <c r="G155" s="546">
        <f>G147</f>
        <v>180000</v>
      </c>
      <c r="H155" s="547">
        <f>G155*F155</f>
        <v>900</v>
      </c>
      <c r="I155" s="440">
        <f>SUM(H152:H155)</f>
        <v>83760</v>
      </c>
    </row>
    <row r="156" spans="2:9">
      <c r="B156" s="216"/>
      <c r="C156" s="83"/>
      <c r="D156" s="84" t="s">
        <v>228</v>
      </c>
      <c r="E156" s="85"/>
      <c r="F156" s="86"/>
      <c r="G156" s="87"/>
      <c r="H156" s="88">
        <f>SUM(H151:H155)</f>
        <v>97260</v>
      </c>
      <c r="I156" s="440"/>
    </row>
    <row r="157" spans="2:9">
      <c r="B157" s="396"/>
      <c r="C157" s="442" t="s">
        <v>229</v>
      </c>
      <c r="D157" s="378"/>
      <c r="E157" s="378"/>
      <c r="F157" s="378"/>
      <c r="G157" s="518"/>
      <c r="H157" s="518">
        <f>ROUND(H156,0)</f>
        <v>97260</v>
      </c>
      <c r="I157" s="1164"/>
    </row>
  </sheetData>
  <pageMargins left="1.1811023622047201" right="0.59055118110236204" top="0.78740157480314998" bottom="0.59055118110236204" header="0.31496062992126" footer="0.31496062992126"/>
  <pageSetup paperSize="5" scale="80" orientation="portrait" r:id="rId1"/>
  <rowBreaks count="1" manualBreakCount="1">
    <brk id="61" min="1" max="7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3"/>
  <dimension ref="B2:M466"/>
  <sheetViews>
    <sheetView topLeftCell="A251" zoomScale="115" zoomScaleNormal="115" zoomScaleSheetLayoutView="115" workbookViewId="0">
      <selection activeCell="N273" sqref="N273"/>
    </sheetView>
  </sheetViews>
  <sheetFormatPr defaultRowHeight="15"/>
  <cols>
    <col min="1" max="1" width="2.85546875" style="5" customWidth="1"/>
    <col min="2" max="2" width="4.7109375" style="5" customWidth="1"/>
    <col min="3" max="3" width="1.28515625" style="5" customWidth="1"/>
    <col min="4" max="4" width="32.42578125" style="5" customWidth="1"/>
    <col min="5" max="5" width="4.85546875" style="5" customWidth="1"/>
    <col min="6" max="6" width="8.7109375" style="5" customWidth="1"/>
    <col min="7" max="7" width="13.7109375" style="5" customWidth="1"/>
    <col min="8" max="9" width="14.85546875" style="5" customWidth="1"/>
    <col min="10" max="10" width="15.28515625" style="5" bestFit="1" customWidth="1"/>
    <col min="11" max="11" width="15.7109375" style="5" customWidth="1"/>
    <col min="12" max="257" width="9.140625" style="5"/>
    <col min="258" max="258" width="2.85546875" style="5" customWidth="1"/>
    <col min="259" max="259" width="4.7109375" style="5" customWidth="1"/>
    <col min="260" max="260" width="1.28515625" style="5" customWidth="1"/>
    <col min="261" max="261" width="32.42578125" style="5" customWidth="1"/>
    <col min="262" max="262" width="4.85546875" style="5" customWidth="1"/>
    <col min="263" max="263" width="8.7109375" style="5" customWidth="1"/>
    <col min="264" max="264" width="13.7109375" style="5" customWidth="1"/>
    <col min="265" max="265" width="14.85546875" style="5" customWidth="1"/>
    <col min="266" max="513" width="9.140625" style="5"/>
    <col min="514" max="514" width="2.85546875" style="5" customWidth="1"/>
    <col min="515" max="515" width="4.7109375" style="5" customWidth="1"/>
    <col min="516" max="516" width="1.28515625" style="5" customWidth="1"/>
    <col min="517" max="517" width="32.42578125" style="5" customWidth="1"/>
    <col min="518" max="518" width="4.85546875" style="5" customWidth="1"/>
    <col min="519" max="519" width="8.7109375" style="5" customWidth="1"/>
    <col min="520" max="520" width="13.7109375" style="5" customWidth="1"/>
    <col min="521" max="521" width="14.85546875" style="5" customWidth="1"/>
    <col min="522" max="769" width="9.140625" style="5"/>
    <col min="770" max="770" width="2.85546875" style="5" customWidth="1"/>
    <col min="771" max="771" width="4.7109375" style="5" customWidth="1"/>
    <col min="772" max="772" width="1.28515625" style="5" customWidth="1"/>
    <col min="773" max="773" width="32.42578125" style="5" customWidth="1"/>
    <col min="774" max="774" width="4.85546875" style="5" customWidth="1"/>
    <col min="775" max="775" width="8.7109375" style="5" customWidth="1"/>
    <col min="776" max="776" width="13.7109375" style="5" customWidth="1"/>
    <col min="777" max="777" width="14.85546875" style="5" customWidth="1"/>
    <col min="778" max="1025" width="9.140625" style="5"/>
    <col min="1026" max="1026" width="2.85546875" style="5" customWidth="1"/>
    <col min="1027" max="1027" width="4.7109375" style="5" customWidth="1"/>
    <col min="1028" max="1028" width="1.28515625" style="5" customWidth="1"/>
    <col min="1029" max="1029" width="32.42578125" style="5" customWidth="1"/>
    <col min="1030" max="1030" width="4.85546875" style="5" customWidth="1"/>
    <col min="1031" max="1031" width="8.7109375" style="5" customWidth="1"/>
    <col min="1032" max="1032" width="13.7109375" style="5" customWidth="1"/>
    <col min="1033" max="1033" width="14.85546875" style="5" customWidth="1"/>
    <col min="1034" max="1281" width="9.140625" style="5"/>
    <col min="1282" max="1282" width="2.85546875" style="5" customWidth="1"/>
    <col min="1283" max="1283" width="4.7109375" style="5" customWidth="1"/>
    <col min="1284" max="1284" width="1.28515625" style="5" customWidth="1"/>
    <col min="1285" max="1285" width="32.42578125" style="5" customWidth="1"/>
    <col min="1286" max="1286" width="4.85546875" style="5" customWidth="1"/>
    <col min="1287" max="1287" width="8.7109375" style="5" customWidth="1"/>
    <col min="1288" max="1288" width="13.7109375" style="5" customWidth="1"/>
    <col min="1289" max="1289" width="14.85546875" style="5" customWidth="1"/>
    <col min="1290" max="1537" width="9.140625" style="5"/>
    <col min="1538" max="1538" width="2.85546875" style="5" customWidth="1"/>
    <col min="1539" max="1539" width="4.7109375" style="5" customWidth="1"/>
    <col min="1540" max="1540" width="1.28515625" style="5" customWidth="1"/>
    <col min="1541" max="1541" width="32.42578125" style="5" customWidth="1"/>
    <col min="1542" max="1542" width="4.85546875" style="5" customWidth="1"/>
    <col min="1543" max="1543" width="8.7109375" style="5" customWidth="1"/>
    <col min="1544" max="1544" width="13.7109375" style="5" customWidth="1"/>
    <col min="1545" max="1545" width="14.85546875" style="5" customWidth="1"/>
    <col min="1546" max="1793" width="9.140625" style="5"/>
    <col min="1794" max="1794" width="2.85546875" style="5" customWidth="1"/>
    <col min="1795" max="1795" width="4.7109375" style="5" customWidth="1"/>
    <col min="1796" max="1796" width="1.28515625" style="5" customWidth="1"/>
    <col min="1797" max="1797" width="32.42578125" style="5" customWidth="1"/>
    <col min="1798" max="1798" width="4.85546875" style="5" customWidth="1"/>
    <col min="1799" max="1799" width="8.7109375" style="5" customWidth="1"/>
    <col min="1800" max="1800" width="13.7109375" style="5" customWidth="1"/>
    <col min="1801" max="1801" width="14.85546875" style="5" customWidth="1"/>
    <col min="1802" max="2049" width="9.140625" style="5"/>
    <col min="2050" max="2050" width="2.85546875" style="5" customWidth="1"/>
    <col min="2051" max="2051" width="4.7109375" style="5" customWidth="1"/>
    <col min="2052" max="2052" width="1.28515625" style="5" customWidth="1"/>
    <col min="2053" max="2053" width="32.42578125" style="5" customWidth="1"/>
    <col min="2054" max="2054" width="4.85546875" style="5" customWidth="1"/>
    <col min="2055" max="2055" width="8.7109375" style="5" customWidth="1"/>
    <col min="2056" max="2056" width="13.7109375" style="5" customWidth="1"/>
    <col min="2057" max="2057" width="14.85546875" style="5" customWidth="1"/>
    <col min="2058" max="2305" width="9.140625" style="5"/>
    <col min="2306" max="2306" width="2.85546875" style="5" customWidth="1"/>
    <col min="2307" max="2307" width="4.7109375" style="5" customWidth="1"/>
    <col min="2308" max="2308" width="1.28515625" style="5" customWidth="1"/>
    <col min="2309" max="2309" width="32.42578125" style="5" customWidth="1"/>
    <col min="2310" max="2310" width="4.85546875" style="5" customWidth="1"/>
    <col min="2311" max="2311" width="8.7109375" style="5" customWidth="1"/>
    <col min="2312" max="2312" width="13.7109375" style="5" customWidth="1"/>
    <col min="2313" max="2313" width="14.85546875" style="5" customWidth="1"/>
    <col min="2314" max="2561" width="9.140625" style="5"/>
    <col min="2562" max="2562" width="2.85546875" style="5" customWidth="1"/>
    <col min="2563" max="2563" width="4.7109375" style="5" customWidth="1"/>
    <col min="2564" max="2564" width="1.28515625" style="5" customWidth="1"/>
    <col min="2565" max="2565" width="32.42578125" style="5" customWidth="1"/>
    <col min="2566" max="2566" width="4.85546875" style="5" customWidth="1"/>
    <col min="2567" max="2567" width="8.7109375" style="5" customWidth="1"/>
    <col min="2568" max="2568" width="13.7109375" style="5" customWidth="1"/>
    <col min="2569" max="2569" width="14.85546875" style="5" customWidth="1"/>
    <col min="2570" max="2817" width="9.140625" style="5"/>
    <col min="2818" max="2818" width="2.85546875" style="5" customWidth="1"/>
    <col min="2819" max="2819" width="4.7109375" style="5" customWidth="1"/>
    <col min="2820" max="2820" width="1.28515625" style="5" customWidth="1"/>
    <col min="2821" max="2821" width="32.42578125" style="5" customWidth="1"/>
    <col min="2822" max="2822" width="4.85546875" style="5" customWidth="1"/>
    <col min="2823" max="2823" width="8.7109375" style="5" customWidth="1"/>
    <col min="2824" max="2824" width="13.7109375" style="5" customWidth="1"/>
    <col min="2825" max="2825" width="14.85546875" style="5" customWidth="1"/>
    <col min="2826" max="3073" width="9.140625" style="5"/>
    <col min="3074" max="3074" width="2.85546875" style="5" customWidth="1"/>
    <col min="3075" max="3075" width="4.7109375" style="5" customWidth="1"/>
    <col min="3076" max="3076" width="1.28515625" style="5" customWidth="1"/>
    <col min="3077" max="3077" width="32.42578125" style="5" customWidth="1"/>
    <col min="3078" max="3078" width="4.85546875" style="5" customWidth="1"/>
    <col min="3079" max="3079" width="8.7109375" style="5" customWidth="1"/>
    <col min="3080" max="3080" width="13.7109375" style="5" customWidth="1"/>
    <col min="3081" max="3081" width="14.85546875" style="5" customWidth="1"/>
    <col min="3082" max="3329" width="9.140625" style="5"/>
    <col min="3330" max="3330" width="2.85546875" style="5" customWidth="1"/>
    <col min="3331" max="3331" width="4.7109375" style="5" customWidth="1"/>
    <col min="3332" max="3332" width="1.28515625" style="5" customWidth="1"/>
    <col min="3333" max="3333" width="32.42578125" style="5" customWidth="1"/>
    <col min="3334" max="3334" width="4.85546875" style="5" customWidth="1"/>
    <col min="3335" max="3335" width="8.7109375" style="5" customWidth="1"/>
    <col min="3336" max="3336" width="13.7109375" style="5" customWidth="1"/>
    <col min="3337" max="3337" width="14.85546875" style="5" customWidth="1"/>
    <col min="3338" max="3585" width="9.140625" style="5"/>
    <col min="3586" max="3586" width="2.85546875" style="5" customWidth="1"/>
    <col min="3587" max="3587" width="4.7109375" style="5" customWidth="1"/>
    <col min="3588" max="3588" width="1.28515625" style="5" customWidth="1"/>
    <col min="3589" max="3589" width="32.42578125" style="5" customWidth="1"/>
    <col min="3590" max="3590" width="4.85546875" style="5" customWidth="1"/>
    <col min="3591" max="3591" width="8.7109375" style="5" customWidth="1"/>
    <col min="3592" max="3592" width="13.7109375" style="5" customWidth="1"/>
    <col min="3593" max="3593" width="14.85546875" style="5" customWidth="1"/>
    <col min="3594" max="3841" width="9.140625" style="5"/>
    <col min="3842" max="3842" width="2.85546875" style="5" customWidth="1"/>
    <col min="3843" max="3843" width="4.7109375" style="5" customWidth="1"/>
    <col min="3844" max="3844" width="1.28515625" style="5" customWidth="1"/>
    <col min="3845" max="3845" width="32.42578125" style="5" customWidth="1"/>
    <col min="3846" max="3846" width="4.85546875" style="5" customWidth="1"/>
    <col min="3847" max="3847" width="8.7109375" style="5" customWidth="1"/>
    <col min="3848" max="3848" width="13.7109375" style="5" customWidth="1"/>
    <col min="3849" max="3849" width="14.85546875" style="5" customWidth="1"/>
    <col min="3850" max="4097" width="9.140625" style="5"/>
    <col min="4098" max="4098" width="2.85546875" style="5" customWidth="1"/>
    <col min="4099" max="4099" width="4.7109375" style="5" customWidth="1"/>
    <col min="4100" max="4100" width="1.28515625" style="5" customWidth="1"/>
    <col min="4101" max="4101" width="32.42578125" style="5" customWidth="1"/>
    <col min="4102" max="4102" width="4.85546875" style="5" customWidth="1"/>
    <col min="4103" max="4103" width="8.7109375" style="5" customWidth="1"/>
    <col min="4104" max="4104" width="13.7109375" style="5" customWidth="1"/>
    <col min="4105" max="4105" width="14.85546875" style="5" customWidth="1"/>
    <col min="4106" max="4353" width="9.140625" style="5"/>
    <col min="4354" max="4354" width="2.85546875" style="5" customWidth="1"/>
    <col min="4355" max="4355" width="4.7109375" style="5" customWidth="1"/>
    <col min="4356" max="4356" width="1.28515625" style="5" customWidth="1"/>
    <col min="4357" max="4357" width="32.42578125" style="5" customWidth="1"/>
    <col min="4358" max="4358" width="4.85546875" style="5" customWidth="1"/>
    <col min="4359" max="4359" width="8.7109375" style="5" customWidth="1"/>
    <col min="4360" max="4360" width="13.7109375" style="5" customWidth="1"/>
    <col min="4361" max="4361" width="14.85546875" style="5" customWidth="1"/>
    <col min="4362" max="4609" width="9.140625" style="5"/>
    <col min="4610" max="4610" width="2.85546875" style="5" customWidth="1"/>
    <col min="4611" max="4611" width="4.7109375" style="5" customWidth="1"/>
    <col min="4612" max="4612" width="1.28515625" style="5" customWidth="1"/>
    <col min="4613" max="4613" width="32.42578125" style="5" customWidth="1"/>
    <col min="4614" max="4614" width="4.85546875" style="5" customWidth="1"/>
    <col min="4615" max="4615" width="8.7109375" style="5" customWidth="1"/>
    <col min="4616" max="4616" width="13.7109375" style="5" customWidth="1"/>
    <col min="4617" max="4617" width="14.85546875" style="5" customWidth="1"/>
    <col min="4618" max="4865" width="9.140625" style="5"/>
    <col min="4866" max="4866" width="2.85546875" style="5" customWidth="1"/>
    <col min="4867" max="4867" width="4.7109375" style="5" customWidth="1"/>
    <col min="4868" max="4868" width="1.28515625" style="5" customWidth="1"/>
    <col min="4869" max="4869" width="32.42578125" style="5" customWidth="1"/>
    <col min="4870" max="4870" width="4.85546875" style="5" customWidth="1"/>
    <col min="4871" max="4871" width="8.7109375" style="5" customWidth="1"/>
    <col min="4872" max="4872" width="13.7109375" style="5" customWidth="1"/>
    <col min="4873" max="4873" width="14.85546875" style="5" customWidth="1"/>
    <col min="4874" max="5121" width="9.140625" style="5"/>
    <col min="5122" max="5122" width="2.85546875" style="5" customWidth="1"/>
    <col min="5123" max="5123" width="4.7109375" style="5" customWidth="1"/>
    <col min="5124" max="5124" width="1.28515625" style="5" customWidth="1"/>
    <col min="5125" max="5125" width="32.42578125" style="5" customWidth="1"/>
    <col min="5126" max="5126" width="4.85546875" style="5" customWidth="1"/>
    <col min="5127" max="5127" width="8.7109375" style="5" customWidth="1"/>
    <col min="5128" max="5128" width="13.7109375" style="5" customWidth="1"/>
    <col min="5129" max="5129" width="14.85546875" style="5" customWidth="1"/>
    <col min="5130" max="5377" width="9.140625" style="5"/>
    <col min="5378" max="5378" width="2.85546875" style="5" customWidth="1"/>
    <col min="5379" max="5379" width="4.7109375" style="5" customWidth="1"/>
    <col min="5380" max="5380" width="1.28515625" style="5" customWidth="1"/>
    <col min="5381" max="5381" width="32.42578125" style="5" customWidth="1"/>
    <col min="5382" max="5382" width="4.85546875" style="5" customWidth="1"/>
    <col min="5383" max="5383" width="8.7109375" style="5" customWidth="1"/>
    <col min="5384" max="5384" width="13.7109375" style="5" customWidth="1"/>
    <col min="5385" max="5385" width="14.85546875" style="5" customWidth="1"/>
    <col min="5386" max="5633" width="9.140625" style="5"/>
    <col min="5634" max="5634" width="2.85546875" style="5" customWidth="1"/>
    <col min="5635" max="5635" width="4.7109375" style="5" customWidth="1"/>
    <col min="5636" max="5636" width="1.28515625" style="5" customWidth="1"/>
    <col min="5637" max="5637" width="32.42578125" style="5" customWidth="1"/>
    <col min="5638" max="5638" width="4.85546875" style="5" customWidth="1"/>
    <col min="5639" max="5639" width="8.7109375" style="5" customWidth="1"/>
    <col min="5640" max="5640" width="13.7109375" style="5" customWidth="1"/>
    <col min="5641" max="5641" width="14.85546875" style="5" customWidth="1"/>
    <col min="5642" max="5889" width="9.140625" style="5"/>
    <col min="5890" max="5890" width="2.85546875" style="5" customWidth="1"/>
    <col min="5891" max="5891" width="4.7109375" style="5" customWidth="1"/>
    <col min="5892" max="5892" width="1.28515625" style="5" customWidth="1"/>
    <col min="5893" max="5893" width="32.42578125" style="5" customWidth="1"/>
    <col min="5894" max="5894" width="4.85546875" style="5" customWidth="1"/>
    <col min="5895" max="5895" width="8.7109375" style="5" customWidth="1"/>
    <col min="5896" max="5896" width="13.7109375" style="5" customWidth="1"/>
    <col min="5897" max="5897" width="14.85546875" style="5" customWidth="1"/>
    <col min="5898" max="6145" width="9.140625" style="5"/>
    <col min="6146" max="6146" width="2.85546875" style="5" customWidth="1"/>
    <col min="6147" max="6147" width="4.7109375" style="5" customWidth="1"/>
    <col min="6148" max="6148" width="1.28515625" style="5" customWidth="1"/>
    <col min="6149" max="6149" width="32.42578125" style="5" customWidth="1"/>
    <col min="6150" max="6150" width="4.85546875" style="5" customWidth="1"/>
    <col min="6151" max="6151" width="8.7109375" style="5" customWidth="1"/>
    <col min="6152" max="6152" width="13.7109375" style="5" customWidth="1"/>
    <col min="6153" max="6153" width="14.85546875" style="5" customWidth="1"/>
    <col min="6154" max="6401" width="9.140625" style="5"/>
    <col min="6402" max="6402" width="2.85546875" style="5" customWidth="1"/>
    <col min="6403" max="6403" width="4.7109375" style="5" customWidth="1"/>
    <col min="6404" max="6404" width="1.28515625" style="5" customWidth="1"/>
    <col min="6405" max="6405" width="32.42578125" style="5" customWidth="1"/>
    <col min="6406" max="6406" width="4.85546875" style="5" customWidth="1"/>
    <col min="6407" max="6407" width="8.7109375" style="5" customWidth="1"/>
    <col min="6408" max="6408" width="13.7109375" style="5" customWidth="1"/>
    <col min="6409" max="6409" width="14.85546875" style="5" customWidth="1"/>
    <col min="6410" max="6657" width="9.140625" style="5"/>
    <col min="6658" max="6658" width="2.85546875" style="5" customWidth="1"/>
    <col min="6659" max="6659" width="4.7109375" style="5" customWidth="1"/>
    <col min="6660" max="6660" width="1.28515625" style="5" customWidth="1"/>
    <col min="6661" max="6661" width="32.42578125" style="5" customWidth="1"/>
    <col min="6662" max="6662" width="4.85546875" style="5" customWidth="1"/>
    <col min="6663" max="6663" width="8.7109375" style="5" customWidth="1"/>
    <col min="6664" max="6664" width="13.7109375" style="5" customWidth="1"/>
    <col min="6665" max="6665" width="14.85546875" style="5" customWidth="1"/>
    <col min="6666" max="6913" width="9.140625" style="5"/>
    <col min="6914" max="6914" width="2.85546875" style="5" customWidth="1"/>
    <col min="6915" max="6915" width="4.7109375" style="5" customWidth="1"/>
    <col min="6916" max="6916" width="1.28515625" style="5" customWidth="1"/>
    <col min="6917" max="6917" width="32.42578125" style="5" customWidth="1"/>
    <col min="6918" max="6918" width="4.85546875" style="5" customWidth="1"/>
    <col min="6919" max="6919" width="8.7109375" style="5" customWidth="1"/>
    <col min="6920" max="6920" width="13.7109375" style="5" customWidth="1"/>
    <col min="6921" max="6921" width="14.85546875" style="5" customWidth="1"/>
    <col min="6922" max="7169" width="9.140625" style="5"/>
    <col min="7170" max="7170" width="2.85546875" style="5" customWidth="1"/>
    <col min="7171" max="7171" width="4.7109375" style="5" customWidth="1"/>
    <col min="7172" max="7172" width="1.28515625" style="5" customWidth="1"/>
    <col min="7173" max="7173" width="32.42578125" style="5" customWidth="1"/>
    <col min="7174" max="7174" width="4.85546875" style="5" customWidth="1"/>
    <col min="7175" max="7175" width="8.7109375" style="5" customWidth="1"/>
    <col min="7176" max="7176" width="13.7109375" style="5" customWidth="1"/>
    <col min="7177" max="7177" width="14.85546875" style="5" customWidth="1"/>
    <col min="7178" max="7425" width="9.140625" style="5"/>
    <col min="7426" max="7426" width="2.85546875" style="5" customWidth="1"/>
    <col min="7427" max="7427" width="4.7109375" style="5" customWidth="1"/>
    <col min="7428" max="7428" width="1.28515625" style="5" customWidth="1"/>
    <col min="7429" max="7429" width="32.42578125" style="5" customWidth="1"/>
    <col min="7430" max="7430" width="4.85546875" style="5" customWidth="1"/>
    <col min="7431" max="7431" width="8.7109375" style="5" customWidth="1"/>
    <col min="7432" max="7432" width="13.7109375" style="5" customWidth="1"/>
    <col min="7433" max="7433" width="14.85546875" style="5" customWidth="1"/>
    <col min="7434" max="7681" width="9.140625" style="5"/>
    <col min="7682" max="7682" width="2.85546875" style="5" customWidth="1"/>
    <col min="7683" max="7683" width="4.7109375" style="5" customWidth="1"/>
    <col min="7684" max="7684" width="1.28515625" style="5" customWidth="1"/>
    <col min="7685" max="7685" width="32.42578125" style="5" customWidth="1"/>
    <col min="7686" max="7686" width="4.85546875" style="5" customWidth="1"/>
    <col min="7687" max="7687" width="8.7109375" style="5" customWidth="1"/>
    <col min="7688" max="7688" width="13.7109375" style="5" customWidth="1"/>
    <col min="7689" max="7689" width="14.85546875" style="5" customWidth="1"/>
    <col min="7690" max="7937" width="9.140625" style="5"/>
    <col min="7938" max="7938" width="2.85546875" style="5" customWidth="1"/>
    <col min="7939" max="7939" width="4.7109375" style="5" customWidth="1"/>
    <col min="7940" max="7940" width="1.28515625" style="5" customWidth="1"/>
    <col min="7941" max="7941" width="32.42578125" style="5" customWidth="1"/>
    <col min="7942" max="7942" width="4.85546875" style="5" customWidth="1"/>
    <col min="7943" max="7943" width="8.7109375" style="5" customWidth="1"/>
    <col min="7944" max="7944" width="13.7109375" style="5" customWidth="1"/>
    <col min="7945" max="7945" width="14.85546875" style="5" customWidth="1"/>
    <col min="7946" max="8193" width="9.140625" style="5"/>
    <col min="8194" max="8194" width="2.85546875" style="5" customWidth="1"/>
    <col min="8195" max="8195" width="4.7109375" style="5" customWidth="1"/>
    <col min="8196" max="8196" width="1.28515625" style="5" customWidth="1"/>
    <col min="8197" max="8197" width="32.42578125" style="5" customWidth="1"/>
    <col min="8198" max="8198" width="4.85546875" style="5" customWidth="1"/>
    <col min="8199" max="8199" width="8.7109375" style="5" customWidth="1"/>
    <col min="8200" max="8200" width="13.7109375" style="5" customWidth="1"/>
    <col min="8201" max="8201" width="14.85546875" style="5" customWidth="1"/>
    <col min="8202" max="8449" width="9.140625" style="5"/>
    <col min="8450" max="8450" width="2.85546875" style="5" customWidth="1"/>
    <col min="8451" max="8451" width="4.7109375" style="5" customWidth="1"/>
    <col min="8452" max="8452" width="1.28515625" style="5" customWidth="1"/>
    <col min="8453" max="8453" width="32.42578125" style="5" customWidth="1"/>
    <col min="8454" max="8454" width="4.85546875" style="5" customWidth="1"/>
    <col min="8455" max="8455" width="8.7109375" style="5" customWidth="1"/>
    <col min="8456" max="8456" width="13.7109375" style="5" customWidth="1"/>
    <col min="8457" max="8457" width="14.85546875" style="5" customWidth="1"/>
    <col min="8458" max="8705" width="9.140625" style="5"/>
    <col min="8706" max="8706" width="2.85546875" style="5" customWidth="1"/>
    <col min="8707" max="8707" width="4.7109375" style="5" customWidth="1"/>
    <col min="8708" max="8708" width="1.28515625" style="5" customWidth="1"/>
    <col min="8709" max="8709" width="32.42578125" style="5" customWidth="1"/>
    <col min="8710" max="8710" width="4.85546875" style="5" customWidth="1"/>
    <col min="8711" max="8711" width="8.7109375" style="5" customWidth="1"/>
    <col min="8712" max="8712" width="13.7109375" style="5" customWidth="1"/>
    <col min="8713" max="8713" width="14.85546875" style="5" customWidth="1"/>
    <col min="8714" max="8961" width="9.140625" style="5"/>
    <col min="8962" max="8962" width="2.85546875" style="5" customWidth="1"/>
    <col min="8963" max="8963" width="4.7109375" style="5" customWidth="1"/>
    <col min="8964" max="8964" width="1.28515625" style="5" customWidth="1"/>
    <col min="8965" max="8965" width="32.42578125" style="5" customWidth="1"/>
    <col min="8966" max="8966" width="4.85546875" style="5" customWidth="1"/>
    <col min="8967" max="8967" width="8.7109375" style="5" customWidth="1"/>
    <col min="8968" max="8968" width="13.7109375" style="5" customWidth="1"/>
    <col min="8969" max="8969" width="14.85546875" style="5" customWidth="1"/>
    <col min="8970" max="9217" width="9.140625" style="5"/>
    <col min="9218" max="9218" width="2.85546875" style="5" customWidth="1"/>
    <col min="9219" max="9219" width="4.7109375" style="5" customWidth="1"/>
    <col min="9220" max="9220" width="1.28515625" style="5" customWidth="1"/>
    <col min="9221" max="9221" width="32.42578125" style="5" customWidth="1"/>
    <col min="9222" max="9222" width="4.85546875" style="5" customWidth="1"/>
    <col min="9223" max="9223" width="8.7109375" style="5" customWidth="1"/>
    <col min="9224" max="9224" width="13.7109375" style="5" customWidth="1"/>
    <col min="9225" max="9225" width="14.85546875" style="5" customWidth="1"/>
    <col min="9226" max="9473" width="9.140625" style="5"/>
    <col min="9474" max="9474" width="2.85546875" style="5" customWidth="1"/>
    <col min="9475" max="9475" width="4.7109375" style="5" customWidth="1"/>
    <col min="9476" max="9476" width="1.28515625" style="5" customWidth="1"/>
    <col min="9477" max="9477" width="32.42578125" style="5" customWidth="1"/>
    <col min="9478" max="9478" width="4.85546875" style="5" customWidth="1"/>
    <col min="9479" max="9479" width="8.7109375" style="5" customWidth="1"/>
    <col min="9480" max="9480" width="13.7109375" style="5" customWidth="1"/>
    <col min="9481" max="9481" width="14.85546875" style="5" customWidth="1"/>
    <col min="9482" max="9729" width="9.140625" style="5"/>
    <col min="9730" max="9730" width="2.85546875" style="5" customWidth="1"/>
    <col min="9731" max="9731" width="4.7109375" style="5" customWidth="1"/>
    <col min="9732" max="9732" width="1.28515625" style="5" customWidth="1"/>
    <col min="9733" max="9733" width="32.42578125" style="5" customWidth="1"/>
    <col min="9734" max="9734" width="4.85546875" style="5" customWidth="1"/>
    <col min="9735" max="9735" width="8.7109375" style="5" customWidth="1"/>
    <col min="9736" max="9736" width="13.7109375" style="5" customWidth="1"/>
    <col min="9737" max="9737" width="14.85546875" style="5" customWidth="1"/>
    <col min="9738" max="9985" width="9.140625" style="5"/>
    <col min="9986" max="9986" width="2.85546875" style="5" customWidth="1"/>
    <col min="9987" max="9987" width="4.7109375" style="5" customWidth="1"/>
    <col min="9988" max="9988" width="1.28515625" style="5" customWidth="1"/>
    <col min="9989" max="9989" width="32.42578125" style="5" customWidth="1"/>
    <col min="9990" max="9990" width="4.85546875" style="5" customWidth="1"/>
    <col min="9991" max="9991" width="8.7109375" style="5" customWidth="1"/>
    <col min="9992" max="9992" width="13.7109375" style="5" customWidth="1"/>
    <col min="9993" max="9993" width="14.85546875" style="5" customWidth="1"/>
    <col min="9994" max="10241" width="9.140625" style="5"/>
    <col min="10242" max="10242" width="2.85546875" style="5" customWidth="1"/>
    <col min="10243" max="10243" width="4.7109375" style="5" customWidth="1"/>
    <col min="10244" max="10244" width="1.28515625" style="5" customWidth="1"/>
    <col min="10245" max="10245" width="32.42578125" style="5" customWidth="1"/>
    <col min="10246" max="10246" width="4.85546875" style="5" customWidth="1"/>
    <col min="10247" max="10247" width="8.7109375" style="5" customWidth="1"/>
    <col min="10248" max="10248" width="13.7109375" style="5" customWidth="1"/>
    <col min="10249" max="10249" width="14.85546875" style="5" customWidth="1"/>
    <col min="10250" max="10497" width="9.140625" style="5"/>
    <col min="10498" max="10498" width="2.85546875" style="5" customWidth="1"/>
    <col min="10499" max="10499" width="4.7109375" style="5" customWidth="1"/>
    <col min="10500" max="10500" width="1.28515625" style="5" customWidth="1"/>
    <col min="10501" max="10501" width="32.42578125" style="5" customWidth="1"/>
    <col min="10502" max="10502" width="4.85546875" style="5" customWidth="1"/>
    <col min="10503" max="10503" width="8.7109375" style="5" customWidth="1"/>
    <col min="10504" max="10504" width="13.7109375" style="5" customWidth="1"/>
    <col min="10505" max="10505" width="14.85546875" style="5" customWidth="1"/>
    <col min="10506" max="10753" width="9.140625" style="5"/>
    <col min="10754" max="10754" width="2.85546875" style="5" customWidth="1"/>
    <col min="10755" max="10755" width="4.7109375" style="5" customWidth="1"/>
    <col min="10756" max="10756" width="1.28515625" style="5" customWidth="1"/>
    <col min="10757" max="10757" width="32.42578125" style="5" customWidth="1"/>
    <col min="10758" max="10758" width="4.85546875" style="5" customWidth="1"/>
    <col min="10759" max="10759" width="8.7109375" style="5" customWidth="1"/>
    <col min="10760" max="10760" width="13.7109375" style="5" customWidth="1"/>
    <col min="10761" max="10761" width="14.85546875" style="5" customWidth="1"/>
    <col min="10762" max="11009" width="9.140625" style="5"/>
    <col min="11010" max="11010" width="2.85546875" style="5" customWidth="1"/>
    <col min="11011" max="11011" width="4.7109375" style="5" customWidth="1"/>
    <col min="11012" max="11012" width="1.28515625" style="5" customWidth="1"/>
    <col min="11013" max="11013" width="32.42578125" style="5" customWidth="1"/>
    <col min="11014" max="11014" width="4.85546875" style="5" customWidth="1"/>
    <col min="11015" max="11015" width="8.7109375" style="5" customWidth="1"/>
    <col min="11016" max="11016" width="13.7109375" style="5" customWidth="1"/>
    <col min="11017" max="11017" width="14.85546875" style="5" customWidth="1"/>
    <col min="11018" max="11265" width="9.140625" style="5"/>
    <col min="11266" max="11266" width="2.85546875" style="5" customWidth="1"/>
    <col min="11267" max="11267" width="4.7109375" style="5" customWidth="1"/>
    <col min="11268" max="11268" width="1.28515625" style="5" customWidth="1"/>
    <col min="11269" max="11269" width="32.42578125" style="5" customWidth="1"/>
    <col min="11270" max="11270" width="4.85546875" style="5" customWidth="1"/>
    <col min="11271" max="11271" width="8.7109375" style="5" customWidth="1"/>
    <col min="11272" max="11272" width="13.7109375" style="5" customWidth="1"/>
    <col min="11273" max="11273" width="14.85546875" style="5" customWidth="1"/>
    <col min="11274" max="11521" width="9.140625" style="5"/>
    <col min="11522" max="11522" width="2.85546875" style="5" customWidth="1"/>
    <col min="11523" max="11523" width="4.7109375" style="5" customWidth="1"/>
    <col min="11524" max="11524" width="1.28515625" style="5" customWidth="1"/>
    <col min="11525" max="11525" width="32.42578125" style="5" customWidth="1"/>
    <col min="11526" max="11526" width="4.85546875" style="5" customWidth="1"/>
    <col min="11527" max="11527" width="8.7109375" style="5" customWidth="1"/>
    <col min="11528" max="11528" width="13.7109375" style="5" customWidth="1"/>
    <col min="11529" max="11529" width="14.85546875" style="5" customWidth="1"/>
    <col min="11530" max="11777" width="9.140625" style="5"/>
    <col min="11778" max="11778" width="2.85546875" style="5" customWidth="1"/>
    <col min="11779" max="11779" width="4.7109375" style="5" customWidth="1"/>
    <col min="11780" max="11780" width="1.28515625" style="5" customWidth="1"/>
    <col min="11781" max="11781" width="32.42578125" style="5" customWidth="1"/>
    <col min="11782" max="11782" width="4.85546875" style="5" customWidth="1"/>
    <col min="11783" max="11783" width="8.7109375" style="5" customWidth="1"/>
    <col min="11784" max="11784" width="13.7109375" style="5" customWidth="1"/>
    <col min="11785" max="11785" width="14.85546875" style="5" customWidth="1"/>
    <col min="11786" max="12033" width="9.140625" style="5"/>
    <col min="12034" max="12034" width="2.85546875" style="5" customWidth="1"/>
    <col min="12035" max="12035" width="4.7109375" style="5" customWidth="1"/>
    <col min="12036" max="12036" width="1.28515625" style="5" customWidth="1"/>
    <col min="12037" max="12037" width="32.42578125" style="5" customWidth="1"/>
    <col min="12038" max="12038" width="4.85546875" style="5" customWidth="1"/>
    <col min="12039" max="12039" width="8.7109375" style="5" customWidth="1"/>
    <col min="12040" max="12040" width="13.7109375" style="5" customWidth="1"/>
    <col min="12041" max="12041" width="14.85546875" style="5" customWidth="1"/>
    <col min="12042" max="12289" width="9.140625" style="5"/>
    <col min="12290" max="12290" width="2.85546875" style="5" customWidth="1"/>
    <col min="12291" max="12291" width="4.7109375" style="5" customWidth="1"/>
    <col min="12292" max="12292" width="1.28515625" style="5" customWidth="1"/>
    <col min="12293" max="12293" width="32.42578125" style="5" customWidth="1"/>
    <col min="12294" max="12294" width="4.85546875" style="5" customWidth="1"/>
    <col min="12295" max="12295" width="8.7109375" style="5" customWidth="1"/>
    <col min="12296" max="12296" width="13.7109375" style="5" customWidth="1"/>
    <col min="12297" max="12297" width="14.85546875" style="5" customWidth="1"/>
    <col min="12298" max="12545" width="9.140625" style="5"/>
    <col min="12546" max="12546" width="2.85546875" style="5" customWidth="1"/>
    <col min="12547" max="12547" width="4.7109375" style="5" customWidth="1"/>
    <col min="12548" max="12548" width="1.28515625" style="5" customWidth="1"/>
    <col min="12549" max="12549" width="32.42578125" style="5" customWidth="1"/>
    <col min="12550" max="12550" width="4.85546875" style="5" customWidth="1"/>
    <col min="12551" max="12551" width="8.7109375" style="5" customWidth="1"/>
    <col min="12552" max="12552" width="13.7109375" style="5" customWidth="1"/>
    <col min="12553" max="12553" width="14.85546875" style="5" customWidth="1"/>
    <col min="12554" max="12801" width="9.140625" style="5"/>
    <col min="12802" max="12802" width="2.85546875" style="5" customWidth="1"/>
    <col min="12803" max="12803" width="4.7109375" style="5" customWidth="1"/>
    <col min="12804" max="12804" width="1.28515625" style="5" customWidth="1"/>
    <col min="12805" max="12805" width="32.42578125" style="5" customWidth="1"/>
    <col min="12806" max="12806" width="4.85546875" style="5" customWidth="1"/>
    <col min="12807" max="12807" width="8.7109375" style="5" customWidth="1"/>
    <col min="12808" max="12808" width="13.7109375" style="5" customWidth="1"/>
    <col min="12809" max="12809" width="14.85546875" style="5" customWidth="1"/>
    <col min="12810" max="13057" width="9.140625" style="5"/>
    <col min="13058" max="13058" width="2.85546875" style="5" customWidth="1"/>
    <col min="13059" max="13059" width="4.7109375" style="5" customWidth="1"/>
    <col min="13060" max="13060" width="1.28515625" style="5" customWidth="1"/>
    <col min="13061" max="13061" width="32.42578125" style="5" customWidth="1"/>
    <col min="13062" max="13062" width="4.85546875" style="5" customWidth="1"/>
    <col min="13063" max="13063" width="8.7109375" style="5" customWidth="1"/>
    <col min="13064" max="13064" width="13.7109375" style="5" customWidth="1"/>
    <col min="13065" max="13065" width="14.85546875" style="5" customWidth="1"/>
    <col min="13066" max="13313" width="9.140625" style="5"/>
    <col min="13314" max="13314" width="2.85546875" style="5" customWidth="1"/>
    <col min="13315" max="13315" width="4.7109375" style="5" customWidth="1"/>
    <col min="13316" max="13316" width="1.28515625" style="5" customWidth="1"/>
    <col min="13317" max="13317" width="32.42578125" style="5" customWidth="1"/>
    <col min="13318" max="13318" width="4.85546875" style="5" customWidth="1"/>
    <col min="13319" max="13319" width="8.7109375" style="5" customWidth="1"/>
    <col min="13320" max="13320" width="13.7109375" style="5" customWidth="1"/>
    <col min="13321" max="13321" width="14.85546875" style="5" customWidth="1"/>
    <col min="13322" max="13569" width="9.140625" style="5"/>
    <col min="13570" max="13570" width="2.85546875" style="5" customWidth="1"/>
    <col min="13571" max="13571" width="4.7109375" style="5" customWidth="1"/>
    <col min="13572" max="13572" width="1.28515625" style="5" customWidth="1"/>
    <col min="13573" max="13573" width="32.42578125" style="5" customWidth="1"/>
    <col min="13574" max="13574" width="4.85546875" style="5" customWidth="1"/>
    <col min="13575" max="13575" width="8.7109375" style="5" customWidth="1"/>
    <col min="13576" max="13576" width="13.7109375" style="5" customWidth="1"/>
    <col min="13577" max="13577" width="14.85546875" style="5" customWidth="1"/>
    <col min="13578" max="13825" width="9.140625" style="5"/>
    <col min="13826" max="13826" width="2.85546875" style="5" customWidth="1"/>
    <col min="13827" max="13827" width="4.7109375" style="5" customWidth="1"/>
    <col min="13828" max="13828" width="1.28515625" style="5" customWidth="1"/>
    <col min="13829" max="13829" width="32.42578125" style="5" customWidth="1"/>
    <col min="13830" max="13830" width="4.85546875" style="5" customWidth="1"/>
    <col min="13831" max="13831" width="8.7109375" style="5" customWidth="1"/>
    <col min="13832" max="13832" width="13.7109375" style="5" customWidth="1"/>
    <col min="13833" max="13833" width="14.85546875" style="5" customWidth="1"/>
    <col min="13834" max="14081" width="9.140625" style="5"/>
    <col min="14082" max="14082" width="2.85546875" style="5" customWidth="1"/>
    <col min="14083" max="14083" width="4.7109375" style="5" customWidth="1"/>
    <col min="14084" max="14084" width="1.28515625" style="5" customWidth="1"/>
    <col min="14085" max="14085" width="32.42578125" style="5" customWidth="1"/>
    <col min="14086" max="14086" width="4.85546875" style="5" customWidth="1"/>
    <col min="14087" max="14087" width="8.7109375" style="5" customWidth="1"/>
    <col min="14088" max="14088" width="13.7109375" style="5" customWidth="1"/>
    <col min="14089" max="14089" width="14.85546875" style="5" customWidth="1"/>
    <col min="14090" max="14337" width="9.140625" style="5"/>
    <col min="14338" max="14338" width="2.85546875" style="5" customWidth="1"/>
    <col min="14339" max="14339" width="4.7109375" style="5" customWidth="1"/>
    <col min="14340" max="14340" width="1.28515625" style="5" customWidth="1"/>
    <col min="14341" max="14341" width="32.42578125" style="5" customWidth="1"/>
    <col min="14342" max="14342" width="4.85546875" style="5" customWidth="1"/>
    <col min="14343" max="14343" width="8.7109375" style="5" customWidth="1"/>
    <col min="14344" max="14344" width="13.7109375" style="5" customWidth="1"/>
    <col min="14345" max="14345" width="14.85546875" style="5" customWidth="1"/>
    <col min="14346" max="14593" width="9.140625" style="5"/>
    <col min="14594" max="14594" width="2.85546875" style="5" customWidth="1"/>
    <col min="14595" max="14595" width="4.7109375" style="5" customWidth="1"/>
    <col min="14596" max="14596" width="1.28515625" style="5" customWidth="1"/>
    <col min="14597" max="14597" width="32.42578125" style="5" customWidth="1"/>
    <col min="14598" max="14598" width="4.85546875" style="5" customWidth="1"/>
    <col min="14599" max="14599" width="8.7109375" style="5" customWidth="1"/>
    <col min="14600" max="14600" width="13.7109375" style="5" customWidth="1"/>
    <col min="14601" max="14601" width="14.85546875" style="5" customWidth="1"/>
    <col min="14602" max="14849" width="9.140625" style="5"/>
    <col min="14850" max="14850" width="2.85546875" style="5" customWidth="1"/>
    <col min="14851" max="14851" width="4.7109375" style="5" customWidth="1"/>
    <col min="14852" max="14852" width="1.28515625" style="5" customWidth="1"/>
    <col min="14853" max="14853" width="32.42578125" style="5" customWidth="1"/>
    <col min="14854" max="14854" width="4.85546875" style="5" customWidth="1"/>
    <col min="14855" max="14855" width="8.7109375" style="5" customWidth="1"/>
    <col min="14856" max="14856" width="13.7109375" style="5" customWidth="1"/>
    <col min="14857" max="14857" width="14.85546875" style="5" customWidth="1"/>
    <col min="14858" max="15105" width="9.140625" style="5"/>
    <col min="15106" max="15106" width="2.85546875" style="5" customWidth="1"/>
    <col min="15107" max="15107" width="4.7109375" style="5" customWidth="1"/>
    <col min="15108" max="15108" width="1.28515625" style="5" customWidth="1"/>
    <col min="15109" max="15109" width="32.42578125" style="5" customWidth="1"/>
    <col min="15110" max="15110" width="4.85546875" style="5" customWidth="1"/>
    <col min="15111" max="15111" width="8.7109375" style="5" customWidth="1"/>
    <col min="15112" max="15112" width="13.7109375" style="5" customWidth="1"/>
    <col min="15113" max="15113" width="14.85546875" style="5" customWidth="1"/>
    <col min="15114" max="15361" width="9.140625" style="5"/>
    <col min="15362" max="15362" width="2.85546875" style="5" customWidth="1"/>
    <col min="15363" max="15363" width="4.7109375" style="5" customWidth="1"/>
    <col min="15364" max="15364" width="1.28515625" style="5" customWidth="1"/>
    <col min="15365" max="15365" width="32.42578125" style="5" customWidth="1"/>
    <col min="15366" max="15366" width="4.85546875" style="5" customWidth="1"/>
    <col min="15367" max="15367" width="8.7109375" style="5" customWidth="1"/>
    <col min="15368" max="15368" width="13.7109375" style="5" customWidth="1"/>
    <col min="15369" max="15369" width="14.85546875" style="5" customWidth="1"/>
    <col min="15370" max="15617" width="9.140625" style="5"/>
    <col min="15618" max="15618" width="2.85546875" style="5" customWidth="1"/>
    <col min="15619" max="15619" width="4.7109375" style="5" customWidth="1"/>
    <col min="15620" max="15620" width="1.28515625" style="5" customWidth="1"/>
    <col min="15621" max="15621" width="32.42578125" style="5" customWidth="1"/>
    <col min="15622" max="15622" width="4.85546875" style="5" customWidth="1"/>
    <col min="15623" max="15623" width="8.7109375" style="5" customWidth="1"/>
    <col min="15624" max="15624" width="13.7109375" style="5" customWidth="1"/>
    <col min="15625" max="15625" width="14.85546875" style="5" customWidth="1"/>
    <col min="15626" max="15873" width="9.140625" style="5"/>
    <col min="15874" max="15874" width="2.85546875" style="5" customWidth="1"/>
    <col min="15875" max="15875" width="4.7109375" style="5" customWidth="1"/>
    <col min="15876" max="15876" width="1.28515625" style="5" customWidth="1"/>
    <col min="15877" max="15877" width="32.42578125" style="5" customWidth="1"/>
    <col min="15878" max="15878" width="4.85546875" style="5" customWidth="1"/>
    <col min="15879" max="15879" width="8.7109375" style="5" customWidth="1"/>
    <col min="15880" max="15880" width="13.7109375" style="5" customWidth="1"/>
    <col min="15881" max="15881" width="14.85546875" style="5" customWidth="1"/>
    <col min="15882" max="16129" width="9.140625" style="5"/>
    <col min="16130" max="16130" width="2.85546875" style="5" customWidth="1"/>
    <col min="16131" max="16131" width="4.7109375" style="5" customWidth="1"/>
    <col min="16132" max="16132" width="1.28515625" style="5" customWidth="1"/>
    <col min="16133" max="16133" width="32.42578125" style="5" customWidth="1"/>
    <col min="16134" max="16134" width="4.85546875" style="5" customWidth="1"/>
    <col min="16135" max="16135" width="8.7109375" style="5" customWidth="1"/>
    <col min="16136" max="16136" width="13.7109375" style="5" customWidth="1"/>
    <col min="16137" max="16137" width="14.85546875" style="5" customWidth="1"/>
    <col min="16138" max="16384" width="9.140625" style="5"/>
  </cols>
  <sheetData>
    <row r="2" spans="2:12" ht="15.75">
      <c r="B2" s="2925" t="s">
        <v>640</v>
      </c>
      <c r="C2" s="2925"/>
      <c r="D2" s="2925"/>
      <c r="E2" s="2925"/>
      <c r="F2" s="2925"/>
      <c r="G2" s="2925"/>
      <c r="H2" s="2925"/>
      <c r="I2" s="1133"/>
    </row>
    <row r="3" spans="2:12">
      <c r="B3" s="672"/>
      <c r="C3" s="672"/>
      <c r="D3" s="672"/>
      <c r="E3" s="672"/>
      <c r="F3" s="672"/>
      <c r="G3" s="672"/>
      <c r="H3" s="672"/>
      <c r="I3" s="672"/>
    </row>
    <row r="4" spans="2:12">
      <c r="B4" s="188" t="s">
        <v>157</v>
      </c>
      <c r="C4" s="188"/>
      <c r="D4" s="191" t="s">
        <v>211</v>
      </c>
      <c r="E4" s="193" t="s">
        <v>556</v>
      </c>
      <c r="F4" s="192" t="s">
        <v>213</v>
      </c>
      <c r="G4" s="193" t="s">
        <v>557</v>
      </c>
      <c r="H4" s="190" t="s">
        <v>215</v>
      </c>
      <c r="I4" s="1165"/>
    </row>
    <row r="5" spans="2:12">
      <c r="B5" s="418"/>
      <c r="C5" s="418"/>
      <c r="D5" s="419"/>
      <c r="E5" s="530"/>
      <c r="F5" s="420"/>
      <c r="G5" s="530" t="s">
        <v>216</v>
      </c>
      <c r="H5" s="531" t="s">
        <v>216</v>
      </c>
      <c r="I5" s="1165"/>
    </row>
    <row r="6" spans="2:12">
      <c r="B6" s="673" t="s">
        <v>641</v>
      </c>
      <c r="C6" s="674"/>
      <c r="D6" s="675" t="s">
        <v>642</v>
      </c>
      <c r="E6" s="675"/>
      <c r="F6" s="675"/>
      <c r="G6" s="675"/>
      <c r="H6" s="676"/>
      <c r="I6" s="775"/>
    </row>
    <row r="7" spans="2:12">
      <c r="B7" s="677"/>
      <c r="C7" s="678"/>
      <c r="D7" s="635" t="s">
        <v>643</v>
      </c>
      <c r="E7" s="636" t="s">
        <v>88</v>
      </c>
      <c r="F7" s="679">
        <v>1</v>
      </c>
      <c r="G7" s="680">
        <f>BAHAN!$E$240</f>
        <v>384000</v>
      </c>
      <c r="H7" s="681">
        <f t="shared" ref="H7:H13" si="0">F7*G7</f>
        <v>384000</v>
      </c>
      <c r="I7" s="1174"/>
      <c r="J7" s="1410">
        <f>BOQ!$P$657</f>
        <v>0</v>
      </c>
      <c r="K7" s="5">
        <f>J7*F7</f>
        <v>0</v>
      </c>
      <c r="L7" s="1410"/>
    </row>
    <row r="8" spans="2:12">
      <c r="B8" s="682"/>
      <c r="C8" s="683"/>
      <c r="D8" s="603" t="s">
        <v>221</v>
      </c>
      <c r="E8" s="335" t="s">
        <v>145</v>
      </c>
      <c r="F8" s="684">
        <v>6</v>
      </c>
      <c r="G8" s="685">
        <f>BAHAN!$E$30/50</f>
        <v>1500</v>
      </c>
      <c r="H8" s="686">
        <f t="shared" si="0"/>
        <v>9000</v>
      </c>
      <c r="I8" s="1174"/>
      <c r="J8" s="1410">
        <f>J7</f>
        <v>0</v>
      </c>
      <c r="K8" s="5">
        <f>J8*F8</f>
        <v>0</v>
      </c>
    </row>
    <row r="9" spans="2:12">
      <c r="B9" s="172"/>
      <c r="C9" s="687"/>
      <c r="D9" s="603" t="s">
        <v>644</v>
      </c>
      <c r="E9" s="172" t="s">
        <v>100</v>
      </c>
      <c r="F9" s="684">
        <v>0.01</v>
      </c>
      <c r="G9" s="688">
        <f>BAHAN!$E$9</f>
        <v>246000</v>
      </c>
      <c r="H9" s="686">
        <f t="shared" si="0"/>
        <v>2460</v>
      </c>
      <c r="I9" s="1174">
        <f>SUM(H7:H9)</f>
        <v>395460</v>
      </c>
      <c r="J9" s="1410">
        <f>J7</f>
        <v>0</v>
      </c>
      <c r="K9" s="5">
        <f>J9*F9</f>
        <v>0</v>
      </c>
    </row>
    <row r="10" spans="2:12">
      <c r="B10" s="172"/>
      <c r="C10" s="689"/>
      <c r="D10" s="603" t="s">
        <v>133</v>
      </c>
      <c r="E10" s="172" t="s">
        <v>263</v>
      </c>
      <c r="F10" s="336">
        <v>1</v>
      </c>
      <c r="G10" s="688">
        <f>UPAH!$E$26</f>
        <v>136000</v>
      </c>
      <c r="H10" s="686">
        <f t="shared" si="0"/>
        <v>136000</v>
      </c>
      <c r="I10" s="1174"/>
    </row>
    <row r="11" spans="2:12">
      <c r="B11" s="172"/>
      <c r="C11" s="689"/>
      <c r="D11" s="603" t="s">
        <v>402</v>
      </c>
      <c r="E11" s="172" t="s">
        <v>263</v>
      </c>
      <c r="F11" s="336">
        <v>1.5</v>
      </c>
      <c r="G11" s="688">
        <f>UPAH!$E$16</f>
        <v>160000</v>
      </c>
      <c r="H11" s="686">
        <f t="shared" si="0"/>
        <v>240000</v>
      </c>
      <c r="I11" s="1174"/>
    </row>
    <row r="12" spans="2:12">
      <c r="B12" s="172"/>
      <c r="C12" s="689"/>
      <c r="D12" s="603" t="s">
        <v>562</v>
      </c>
      <c r="E12" s="172" t="s">
        <v>263</v>
      </c>
      <c r="F12" s="336">
        <v>1.5</v>
      </c>
      <c r="G12" s="688">
        <f>UPAH!$E$10</f>
        <v>170000</v>
      </c>
      <c r="H12" s="686">
        <f t="shared" si="0"/>
        <v>255000</v>
      </c>
      <c r="I12" s="1174"/>
    </row>
    <row r="13" spans="2:12">
      <c r="B13" s="690"/>
      <c r="C13" s="690"/>
      <c r="D13" s="642" t="s">
        <v>136</v>
      </c>
      <c r="E13" s="643" t="s">
        <v>263</v>
      </c>
      <c r="F13" s="691">
        <v>0.16</v>
      </c>
      <c r="G13" s="688">
        <f>UPAH!$E$9</f>
        <v>180000</v>
      </c>
      <c r="H13" s="686">
        <f t="shared" si="0"/>
        <v>28800</v>
      </c>
      <c r="I13" s="1174">
        <f>SUM(H10:H13)</f>
        <v>659800</v>
      </c>
    </row>
    <row r="14" spans="2:12">
      <c r="B14" s="451"/>
      <c r="C14" s="692"/>
      <c r="D14" s="693" t="s">
        <v>645</v>
      </c>
      <c r="E14" s="693"/>
      <c r="F14" s="693"/>
      <c r="G14" s="635"/>
      <c r="H14" s="694">
        <f>SUM(H7:H13)</f>
        <v>1055260</v>
      </c>
      <c r="I14" s="1174"/>
    </row>
    <row r="15" spans="2:12">
      <c r="B15" s="396"/>
      <c r="C15" s="690"/>
      <c r="D15" s="695" t="s">
        <v>229</v>
      </c>
      <c r="E15" s="695"/>
      <c r="F15" s="695"/>
      <c r="G15" s="642"/>
      <c r="H15" s="696">
        <f>ROUND(H14,0)</f>
        <v>1055260</v>
      </c>
      <c r="I15" s="775"/>
    </row>
    <row r="16" spans="2:12">
      <c r="B16" s="697" t="s">
        <v>646</v>
      </c>
      <c r="C16" s="698"/>
      <c r="D16" s="699" t="s">
        <v>647</v>
      </c>
      <c r="E16" s="699"/>
      <c r="F16" s="699"/>
      <c r="G16" s="699"/>
      <c r="H16" s="700"/>
      <c r="I16" s="775"/>
    </row>
    <row r="17" spans="2:12">
      <c r="B17" s="677"/>
      <c r="C17" s="678"/>
      <c r="D17" s="635" t="s">
        <v>648</v>
      </c>
      <c r="E17" s="701" t="s">
        <v>88</v>
      </c>
      <c r="F17" s="679">
        <v>1</v>
      </c>
      <c r="G17" s="702">
        <f>BAHAN!$E$241</f>
        <v>1550000</v>
      </c>
      <c r="H17" s="703">
        <f t="shared" ref="H17:H22" si="1">F17*G17</f>
        <v>1550000</v>
      </c>
      <c r="I17" s="1174">
        <f>H17+H22</f>
        <v>1643000</v>
      </c>
      <c r="J17" s="1410">
        <f>SUMIF(BOQ!$G$1:$G$3199,I17,BOQ!$E$1:$E$3199)</f>
        <v>0</v>
      </c>
      <c r="K17" s="5">
        <f>J17*F17</f>
        <v>0</v>
      </c>
      <c r="L17" s="1136" t="s">
        <v>88</v>
      </c>
    </row>
    <row r="18" spans="2:12">
      <c r="B18" s="172"/>
      <c r="C18" s="689"/>
      <c r="D18" s="603" t="s">
        <v>133</v>
      </c>
      <c r="E18" s="347" t="s">
        <v>263</v>
      </c>
      <c r="F18" s="336">
        <v>3.3</v>
      </c>
      <c r="G18" s="704">
        <f>G10</f>
        <v>136000</v>
      </c>
      <c r="H18" s="703">
        <f t="shared" si="1"/>
        <v>448800</v>
      </c>
      <c r="I18" s="1174"/>
      <c r="J18" s="1410"/>
      <c r="L18" s="774"/>
    </row>
    <row r="19" spans="2:12">
      <c r="B19" s="172"/>
      <c r="C19" s="689"/>
      <c r="D19" s="603" t="s">
        <v>402</v>
      </c>
      <c r="E19" s="347" t="s">
        <v>263</v>
      </c>
      <c r="F19" s="336">
        <v>1.1000000000000001</v>
      </c>
      <c r="G19" s="704">
        <f>G11</f>
        <v>160000</v>
      </c>
      <c r="H19" s="703">
        <f t="shared" si="1"/>
        <v>176000</v>
      </c>
      <c r="I19" s="1174"/>
      <c r="J19" s="1410"/>
      <c r="L19" s="774"/>
    </row>
    <row r="20" spans="2:12">
      <c r="B20" s="172"/>
      <c r="C20" s="689"/>
      <c r="D20" s="603" t="s">
        <v>562</v>
      </c>
      <c r="E20" s="347" t="s">
        <v>263</v>
      </c>
      <c r="F20" s="336">
        <v>1E-3</v>
      </c>
      <c r="G20" s="704">
        <f>G12</f>
        <v>170000</v>
      </c>
      <c r="H20" s="703">
        <f t="shared" si="1"/>
        <v>170</v>
      </c>
      <c r="I20" s="1174"/>
      <c r="J20" s="1410"/>
      <c r="L20" s="774"/>
    </row>
    <row r="21" spans="2:12">
      <c r="B21" s="689"/>
      <c r="C21" s="689"/>
      <c r="D21" s="603" t="s">
        <v>136</v>
      </c>
      <c r="E21" s="347" t="s">
        <v>263</v>
      </c>
      <c r="F21" s="336">
        <v>0.16</v>
      </c>
      <c r="G21" s="704">
        <f>G13</f>
        <v>180000</v>
      </c>
      <c r="H21" s="703">
        <f t="shared" si="1"/>
        <v>28800</v>
      </c>
      <c r="I21" s="1174"/>
      <c r="J21" s="1410"/>
      <c r="L21" s="774"/>
    </row>
    <row r="22" spans="2:12">
      <c r="B22" s="690"/>
      <c r="C22" s="690"/>
      <c r="D22" s="642" t="s">
        <v>649</v>
      </c>
      <c r="E22" s="705" t="s">
        <v>313</v>
      </c>
      <c r="F22" s="691">
        <v>0.06</v>
      </c>
      <c r="G22" s="706">
        <f>H17</f>
        <v>1550000</v>
      </c>
      <c r="H22" s="703">
        <f t="shared" si="1"/>
        <v>93000</v>
      </c>
      <c r="I22" s="1174">
        <f>SUM(H18:H21)</f>
        <v>653770</v>
      </c>
      <c r="J22" s="1410"/>
      <c r="L22" s="774"/>
    </row>
    <row r="23" spans="2:12">
      <c r="B23" s="707"/>
      <c r="C23" s="692"/>
      <c r="D23" s="693" t="s">
        <v>645</v>
      </c>
      <c r="E23" s="693"/>
      <c r="F23" s="693"/>
      <c r="G23" s="635"/>
      <c r="H23" s="694">
        <f>SUM(H17:H22)</f>
        <v>2296770</v>
      </c>
      <c r="I23" s="1174"/>
    </row>
    <row r="24" spans="2:12">
      <c r="B24" s="396"/>
      <c r="C24" s="690"/>
      <c r="D24" s="695" t="s">
        <v>229</v>
      </c>
      <c r="E24" s="695"/>
      <c r="F24" s="695"/>
      <c r="G24" s="642"/>
      <c r="H24" s="696">
        <f>ROUND(H23,0)</f>
        <v>2296770</v>
      </c>
      <c r="I24" s="775"/>
    </row>
    <row r="25" spans="2:12">
      <c r="B25" s="673" t="s">
        <v>650</v>
      </c>
      <c r="C25" s="698"/>
      <c r="D25" s="699" t="s">
        <v>651</v>
      </c>
      <c r="E25" s="699"/>
      <c r="F25" s="699"/>
      <c r="G25" s="699"/>
      <c r="H25" s="700"/>
      <c r="I25" s="775"/>
    </row>
    <row r="26" spans="2:12">
      <c r="B26" s="677"/>
      <c r="C26" s="678"/>
      <c r="D26" s="635" t="s">
        <v>652</v>
      </c>
      <c r="E26" s="636" t="s">
        <v>88</v>
      </c>
      <c r="F26" s="679">
        <v>1</v>
      </c>
      <c r="G26" s="680">
        <f>BAHAN!$E$242</f>
        <v>3110000</v>
      </c>
      <c r="H26" s="686">
        <f t="shared" ref="H26:H33" si="2">F26*G26</f>
        <v>3110000</v>
      </c>
      <c r="I26" s="1174"/>
      <c r="J26" s="1410">
        <f>BOQ!$E$668+BOQ!$E$710</f>
        <v>0</v>
      </c>
      <c r="K26" s="5">
        <f>J26*F26</f>
        <v>0</v>
      </c>
    </row>
    <row r="27" spans="2:12">
      <c r="B27" s="682"/>
      <c r="C27" s="683"/>
      <c r="D27" s="603" t="s">
        <v>221</v>
      </c>
      <c r="E27" s="335" t="s">
        <v>145</v>
      </c>
      <c r="F27" s="684">
        <v>6</v>
      </c>
      <c r="G27" s="685">
        <f t="shared" ref="G27:G32" si="3">G8</f>
        <v>1500</v>
      </c>
      <c r="H27" s="686">
        <f t="shared" si="2"/>
        <v>9000</v>
      </c>
      <c r="I27" s="1174"/>
      <c r="J27" s="1410">
        <f>BOQ!$E$668+BOQ!$E$710</f>
        <v>0</v>
      </c>
      <c r="K27" s="5">
        <f>J27*F27</f>
        <v>0</v>
      </c>
    </row>
    <row r="28" spans="2:12">
      <c r="B28" s="172"/>
      <c r="C28" s="687"/>
      <c r="D28" s="603" t="s">
        <v>644</v>
      </c>
      <c r="E28" s="172" t="s">
        <v>100</v>
      </c>
      <c r="F28" s="684">
        <v>0.01</v>
      </c>
      <c r="G28" s="688">
        <f t="shared" si="3"/>
        <v>246000</v>
      </c>
      <c r="H28" s="686">
        <f t="shared" si="2"/>
        <v>2460</v>
      </c>
      <c r="I28" s="1174">
        <f>SUM(H26:H28)+H33</f>
        <v>4054460</v>
      </c>
      <c r="J28" s="1410">
        <f>BOQ!$E$668+BOQ!$E$710</f>
        <v>0</v>
      </c>
      <c r="K28" s="5">
        <f>J28*F28</f>
        <v>0</v>
      </c>
    </row>
    <row r="29" spans="2:12">
      <c r="B29" s="172"/>
      <c r="C29" s="689"/>
      <c r="D29" s="603" t="s">
        <v>133</v>
      </c>
      <c r="E29" s="172" t="s">
        <v>263</v>
      </c>
      <c r="F29" s="336">
        <v>1</v>
      </c>
      <c r="G29" s="688">
        <f t="shared" si="3"/>
        <v>136000</v>
      </c>
      <c r="H29" s="686">
        <f t="shared" si="2"/>
        <v>136000</v>
      </c>
      <c r="I29" s="1174"/>
    </row>
    <row r="30" spans="2:12">
      <c r="B30" s="172"/>
      <c r="C30" s="689"/>
      <c r="D30" s="603" t="s">
        <v>402</v>
      </c>
      <c r="E30" s="172" t="s">
        <v>263</v>
      </c>
      <c r="F30" s="336">
        <v>1</v>
      </c>
      <c r="G30" s="688">
        <f t="shared" si="3"/>
        <v>160000</v>
      </c>
      <c r="H30" s="686">
        <f t="shared" si="2"/>
        <v>160000</v>
      </c>
      <c r="I30" s="1174"/>
    </row>
    <row r="31" spans="2:12">
      <c r="B31" s="172"/>
      <c r="C31" s="689"/>
      <c r="D31" s="603" t="s">
        <v>562</v>
      </c>
      <c r="E31" s="172" t="s">
        <v>263</v>
      </c>
      <c r="F31" s="336">
        <v>0.1</v>
      </c>
      <c r="G31" s="688">
        <f t="shared" si="3"/>
        <v>170000</v>
      </c>
      <c r="H31" s="686">
        <f t="shared" si="2"/>
        <v>17000</v>
      </c>
      <c r="I31" s="1174"/>
    </row>
    <row r="32" spans="2:12">
      <c r="B32" s="689"/>
      <c r="C32" s="689"/>
      <c r="D32" s="603" t="s">
        <v>136</v>
      </c>
      <c r="E32" s="172" t="s">
        <v>263</v>
      </c>
      <c r="F32" s="336">
        <v>1E-3</v>
      </c>
      <c r="G32" s="688">
        <f t="shared" si="3"/>
        <v>180000</v>
      </c>
      <c r="H32" s="686">
        <f t="shared" si="2"/>
        <v>180</v>
      </c>
      <c r="I32" s="1174"/>
    </row>
    <row r="33" spans="2:12">
      <c r="B33" s="690"/>
      <c r="C33" s="690"/>
      <c r="D33" s="642" t="s">
        <v>653</v>
      </c>
      <c r="E33" s="643" t="s">
        <v>313</v>
      </c>
      <c r="F33" s="691">
        <v>0.3</v>
      </c>
      <c r="G33" s="688">
        <f>SUM(H26)</f>
        <v>3110000</v>
      </c>
      <c r="H33" s="708">
        <f t="shared" si="2"/>
        <v>933000</v>
      </c>
      <c r="I33" s="1174">
        <f>SUM(H29:H32)</f>
        <v>313180</v>
      </c>
    </row>
    <row r="34" spans="2:12">
      <c r="B34" s="451"/>
      <c r="C34" s="692"/>
      <c r="D34" s="693" t="s">
        <v>645</v>
      </c>
      <c r="E34" s="693"/>
      <c r="F34" s="693"/>
      <c r="G34" s="635"/>
      <c r="H34" s="694">
        <f>SUM(H26:H33)</f>
        <v>4367640</v>
      </c>
      <c r="I34" s="1174"/>
    </row>
    <row r="35" spans="2:12">
      <c r="B35" s="396"/>
      <c r="C35" s="690"/>
      <c r="D35" s="695" t="s">
        <v>229</v>
      </c>
      <c r="E35" s="695"/>
      <c r="F35" s="695"/>
      <c r="G35" s="642"/>
      <c r="H35" s="696">
        <f>ROUND(H34,0)</f>
        <v>4367640</v>
      </c>
      <c r="I35" s="775"/>
    </row>
    <row r="36" spans="2:12">
      <c r="B36" s="673" t="s">
        <v>654</v>
      </c>
      <c r="C36" s="674"/>
      <c r="D36" s="675" t="s">
        <v>655</v>
      </c>
      <c r="E36" s="675"/>
      <c r="F36" s="675"/>
      <c r="G36" s="675"/>
      <c r="H36" s="676"/>
      <c r="I36" s="775"/>
    </row>
    <row r="37" spans="2:12">
      <c r="B37" s="677"/>
      <c r="C37" s="678"/>
      <c r="D37" s="635" t="s">
        <v>656</v>
      </c>
      <c r="E37" s="701" t="s">
        <v>80</v>
      </c>
      <c r="F37" s="679">
        <v>1</v>
      </c>
      <c r="G37" s="702">
        <f>BAHAN!$E$238</f>
        <v>199900</v>
      </c>
      <c r="H37" s="694">
        <f t="shared" ref="H37:H44" si="4">F37*G37</f>
        <v>199900</v>
      </c>
      <c r="I37" s="1174"/>
      <c r="J37" s="1410">
        <f>SUMIF(BOQ!$G$1:$G$3199,I39,BOQ!$E$1:$E$3199)</f>
        <v>0</v>
      </c>
      <c r="K37" s="5">
        <f>J37*F37</f>
        <v>0</v>
      </c>
      <c r="L37" s="5" t="str">
        <f>E37</f>
        <v>unit</v>
      </c>
    </row>
    <row r="38" spans="2:12">
      <c r="B38" s="682"/>
      <c r="C38" s="683"/>
      <c r="D38" s="603" t="s">
        <v>221</v>
      </c>
      <c r="E38" s="339" t="s">
        <v>145</v>
      </c>
      <c r="F38" s="684">
        <v>6</v>
      </c>
      <c r="G38" s="709">
        <f t="shared" ref="G38:G43" si="5">G27</f>
        <v>1500</v>
      </c>
      <c r="H38" s="703">
        <f t="shared" si="4"/>
        <v>9000</v>
      </c>
      <c r="I38" s="1174"/>
      <c r="J38" s="1410">
        <f>J37</f>
        <v>0</v>
      </c>
      <c r="K38" s="5">
        <f>J38*F38</f>
        <v>0</v>
      </c>
      <c r="L38" s="5" t="str">
        <f>E38</f>
        <v>Kg</v>
      </c>
    </row>
    <row r="39" spans="2:12">
      <c r="B39" s="172"/>
      <c r="C39" s="687"/>
      <c r="D39" s="603" t="s">
        <v>644</v>
      </c>
      <c r="E39" s="347" t="s">
        <v>100</v>
      </c>
      <c r="F39" s="684">
        <v>0.01</v>
      </c>
      <c r="G39" s="710">
        <f t="shared" si="5"/>
        <v>246000</v>
      </c>
      <c r="H39" s="703">
        <f t="shared" si="4"/>
        <v>2460</v>
      </c>
      <c r="I39" s="1174">
        <f>SUM(H37:H39)+H44</f>
        <v>235348</v>
      </c>
      <c r="J39" s="1410">
        <f>J38</f>
        <v>0</v>
      </c>
      <c r="K39" s="5">
        <f>J39*F39</f>
        <v>0</v>
      </c>
      <c r="L39" s="5" t="str">
        <f>E39</f>
        <v>m3</v>
      </c>
    </row>
    <row r="40" spans="2:12">
      <c r="B40" s="172"/>
      <c r="C40" s="689"/>
      <c r="D40" s="603" t="s">
        <v>133</v>
      </c>
      <c r="E40" s="347" t="s">
        <v>263</v>
      </c>
      <c r="F40" s="336">
        <v>1.2</v>
      </c>
      <c r="G40" s="710">
        <f t="shared" si="5"/>
        <v>136000</v>
      </c>
      <c r="H40" s="703">
        <f t="shared" si="4"/>
        <v>163200</v>
      </c>
      <c r="I40" s="1174"/>
    </row>
    <row r="41" spans="2:12">
      <c r="B41" s="172"/>
      <c r="C41" s="689"/>
      <c r="D41" s="603" t="s">
        <v>402</v>
      </c>
      <c r="E41" s="347" t="s">
        <v>263</v>
      </c>
      <c r="F41" s="336">
        <v>1.45</v>
      </c>
      <c r="G41" s="710">
        <f t="shared" si="5"/>
        <v>160000</v>
      </c>
      <c r="H41" s="703">
        <f t="shared" si="4"/>
        <v>232000</v>
      </c>
      <c r="I41" s="1174"/>
    </row>
    <row r="42" spans="2:12">
      <c r="B42" s="172"/>
      <c r="C42" s="689"/>
      <c r="D42" s="603" t="s">
        <v>562</v>
      </c>
      <c r="E42" s="347" t="s">
        <v>263</v>
      </c>
      <c r="F42" s="336">
        <v>0.15</v>
      </c>
      <c r="G42" s="710">
        <f t="shared" si="5"/>
        <v>170000</v>
      </c>
      <c r="H42" s="703">
        <f t="shared" si="4"/>
        <v>25500</v>
      </c>
      <c r="I42" s="1174"/>
    </row>
    <row r="43" spans="2:12">
      <c r="B43" s="689"/>
      <c r="C43" s="689"/>
      <c r="D43" s="603" t="s">
        <v>136</v>
      </c>
      <c r="E43" s="347" t="s">
        <v>263</v>
      </c>
      <c r="F43" s="336">
        <v>0.1</v>
      </c>
      <c r="G43" s="710">
        <f t="shared" si="5"/>
        <v>180000</v>
      </c>
      <c r="H43" s="703">
        <f t="shared" si="4"/>
        <v>18000</v>
      </c>
      <c r="I43" s="1174"/>
    </row>
    <row r="44" spans="2:12">
      <c r="B44" s="690"/>
      <c r="C44" s="690"/>
      <c r="D44" s="642" t="s">
        <v>657</v>
      </c>
      <c r="E44" s="705" t="s">
        <v>313</v>
      </c>
      <c r="F44" s="691">
        <v>0.12</v>
      </c>
      <c r="G44" s="710">
        <f>H37</f>
        <v>199900</v>
      </c>
      <c r="H44" s="703">
        <f t="shared" si="4"/>
        <v>23988</v>
      </c>
      <c r="I44" s="1174">
        <f>SUM(H40:H43)</f>
        <v>438700</v>
      </c>
    </row>
    <row r="45" spans="2:12">
      <c r="B45" s="451"/>
      <c r="C45" s="692"/>
      <c r="D45" s="693" t="s">
        <v>645</v>
      </c>
      <c r="E45" s="693"/>
      <c r="F45" s="693"/>
      <c r="G45" s="635"/>
      <c r="H45" s="694">
        <f>SUM(H37:H44)</f>
        <v>674048</v>
      </c>
      <c r="I45" s="1174"/>
    </row>
    <row r="46" spans="2:12">
      <c r="B46" s="396"/>
      <c r="C46" s="690"/>
      <c r="D46" s="695" t="s">
        <v>229</v>
      </c>
      <c r="E46" s="695"/>
      <c r="F46" s="695"/>
      <c r="G46" s="642"/>
      <c r="H46" s="696">
        <f>ROUND(H45,0)</f>
        <v>674048</v>
      </c>
      <c r="I46" s="775"/>
    </row>
    <row r="47" spans="2:12">
      <c r="B47" s="673" t="s">
        <v>658</v>
      </c>
      <c r="C47" s="674"/>
      <c r="D47" s="675" t="s">
        <v>659</v>
      </c>
      <c r="E47" s="675"/>
      <c r="F47" s="675"/>
      <c r="G47" s="675"/>
      <c r="H47" s="676"/>
      <c r="I47" s="775"/>
    </row>
    <row r="48" spans="2:12">
      <c r="B48" s="677"/>
      <c r="C48" s="678"/>
      <c r="D48" s="635" t="s">
        <v>660</v>
      </c>
      <c r="E48" s="701" t="s">
        <v>80</v>
      </c>
      <c r="F48" s="679">
        <v>1</v>
      </c>
      <c r="G48" s="702">
        <f>BAHAN!$E$239</f>
        <v>1050000</v>
      </c>
      <c r="H48" s="694">
        <f t="shared" ref="H48:H55" si="6">F48*G48</f>
        <v>1050000</v>
      </c>
      <c r="I48" s="1174"/>
      <c r="J48" s="1410">
        <f>BOQ!$E$655+BOQ!$E$697+BOQ!$E$735</f>
        <v>0</v>
      </c>
      <c r="K48" s="5">
        <f>J48*F48</f>
        <v>0</v>
      </c>
      <c r="L48" s="1136" t="s">
        <v>80</v>
      </c>
    </row>
    <row r="49" spans="2:12">
      <c r="B49" s="682"/>
      <c r="C49" s="683"/>
      <c r="D49" s="603" t="s">
        <v>221</v>
      </c>
      <c r="E49" s="339" t="s">
        <v>145</v>
      </c>
      <c r="F49" s="684">
        <v>6</v>
      </c>
      <c r="G49" s="709">
        <f t="shared" ref="G49:G54" si="7">G38</f>
        <v>1500</v>
      </c>
      <c r="H49" s="703">
        <f t="shared" si="6"/>
        <v>9000</v>
      </c>
      <c r="I49" s="1174"/>
      <c r="J49" s="1410">
        <f>BOQ!$E$655+BOQ!$E$697</f>
        <v>0</v>
      </c>
      <c r="K49" s="5">
        <f>J49*F49</f>
        <v>0</v>
      </c>
      <c r="L49" s="1136" t="s">
        <v>145</v>
      </c>
    </row>
    <row r="50" spans="2:12">
      <c r="B50" s="172"/>
      <c r="C50" s="687"/>
      <c r="D50" s="603" t="s">
        <v>644</v>
      </c>
      <c r="E50" s="347" t="s">
        <v>100</v>
      </c>
      <c r="F50" s="684">
        <v>0.01</v>
      </c>
      <c r="G50" s="710">
        <f t="shared" si="7"/>
        <v>246000</v>
      </c>
      <c r="H50" s="703">
        <f t="shared" si="6"/>
        <v>2460</v>
      </c>
      <c r="I50" s="1174">
        <f>SUM(H48:H50)+H55</f>
        <v>1187460</v>
      </c>
      <c r="J50" s="1410">
        <f>BOQ!$E$655+BOQ!$E$697</f>
        <v>0</v>
      </c>
      <c r="K50" s="5">
        <f>J50*F50</f>
        <v>0</v>
      </c>
      <c r="L50" s="774" t="s">
        <v>100</v>
      </c>
    </row>
    <row r="51" spans="2:12">
      <c r="B51" s="172"/>
      <c r="C51" s="689"/>
      <c r="D51" s="603" t="s">
        <v>133</v>
      </c>
      <c r="E51" s="347" t="s">
        <v>263</v>
      </c>
      <c r="F51" s="336">
        <v>1.2</v>
      </c>
      <c r="G51" s="710">
        <f t="shared" si="7"/>
        <v>136000</v>
      </c>
      <c r="H51" s="703">
        <f t="shared" si="6"/>
        <v>163200</v>
      </c>
      <c r="I51" s="1174"/>
      <c r="J51" s="1410"/>
      <c r="L51" s="774"/>
    </row>
    <row r="52" spans="2:12">
      <c r="B52" s="172"/>
      <c r="C52" s="689"/>
      <c r="D52" s="603" t="s">
        <v>402</v>
      </c>
      <c r="E52" s="347" t="s">
        <v>263</v>
      </c>
      <c r="F52" s="336">
        <v>1.45</v>
      </c>
      <c r="G52" s="710">
        <f t="shared" si="7"/>
        <v>160000</v>
      </c>
      <c r="H52" s="703">
        <f t="shared" si="6"/>
        <v>232000</v>
      </c>
      <c r="I52" s="1174"/>
      <c r="J52" s="1410"/>
      <c r="L52" s="774"/>
    </row>
    <row r="53" spans="2:12">
      <c r="B53" s="172"/>
      <c r="C53" s="689"/>
      <c r="D53" s="603" t="s">
        <v>562</v>
      </c>
      <c r="E53" s="347" t="s">
        <v>263</v>
      </c>
      <c r="F53" s="336">
        <v>0.15</v>
      </c>
      <c r="G53" s="710">
        <f t="shared" si="7"/>
        <v>170000</v>
      </c>
      <c r="H53" s="703">
        <f t="shared" si="6"/>
        <v>25500</v>
      </c>
      <c r="I53" s="1174"/>
      <c r="J53" s="1410"/>
      <c r="L53" s="774"/>
    </row>
    <row r="54" spans="2:12">
      <c r="B54" s="689"/>
      <c r="C54" s="689"/>
      <c r="D54" s="603" t="s">
        <v>136</v>
      </c>
      <c r="E54" s="347" t="s">
        <v>263</v>
      </c>
      <c r="F54" s="336">
        <v>0.1</v>
      </c>
      <c r="G54" s="710">
        <f t="shared" si="7"/>
        <v>180000</v>
      </c>
      <c r="H54" s="703">
        <f t="shared" si="6"/>
        <v>18000</v>
      </c>
      <c r="I54" s="1174"/>
      <c r="J54" s="1410"/>
      <c r="L54" s="774"/>
    </row>
    <row r="55" spans="2:12">
      <c r="B55" s="690"/>
      <c r="C55" s="690"/>
      <c r="D55" s="642" t="s">
        <v>657</v>
      </c>
      <c r="E55" s="705" t="s">
        <v>313</v>
      </c>
      <c r="F55" s="691">
        <v>0.12</v>
      </c>
      <c r="G55" s="710">
        <f>H48</f>
        <v>1050000</v>
      </c>
      <c r="H55" s="703">
        <f t="shared" si="6"/>
        <v>126000</v>
      </c>
      <c r="I55" s="1174">
        <f>SUM(H51:H54)</f>
        <v>438700</v>
      </c>
      <c r="J55" s="1410"/>
      <c r="L55" s="774"/>
    </row>
    <row r="56" spans="2:12">
      <c r="B56" s="451"/>
      <c r="C56" s="692"/>
      <c r="D56" s="693" t="s">
        <v>645</v>
      </c>
      <c r="E56" s="693"/>
      <c r="F56" s="693"/>
      <c r="G56" s="635"/>
      <c r="H56" s="694">
        <f>SUM(H48:H55)</f>
        <v>1626160</v>
      </c>
      <c r="I56" s="1174"/>
    </row>
    <row r="57" spans="2:12">
      <c r="B57" s="396"/>
      <c r="C57" s="690"/>
      <c r="D57" s="695" t="s">
        <v>229</v>
      </c>
      <c r="E57" s="695"/>
      <c r="F57" s="695"/>
      <c r="G57" s="642"/>
      <c r="H57" s="696">
        <f>ROUND(H56,0)</f>
        <v>1626160</v>
      </c>
      <c r="I57" s="775"/>
    </row>
    <row r="58" spans="2:12">
      <c r="B58" s="673" t="s">
        <v>661</v>
      </c>
      <c r="C58" s="674"/>
      <c r="D58" s="675" t="s">
        <v>662</v>
      </c>
      <c r="E58" s="675"/>
      <c r="F58" s="675"/>
      <c r="G58" s="675"/>
      <c r="H58" s="676"/>
      <c r="I58" s="775"/>
    </row>
    <row r="59" spans="2:12">
      <c r="B59" s="677"/>
      <c r="C59" s="678"/>
      <c r="D59" s="635" t="s">
        <v>663</v>
      </c>
      <c r="E59" s="701" t="s">
        <v>88</v>
      </c>
      <c r="F59" s="679">
        <v>1</v>
      </c>
      <c r="G59" s="702">
        <f>BAHAN!$E$374</f>
        <v>685000</v>
      </c>
      <c r="H59" s="703">
        <f t="shared" ref="H59:H64" si="8">F59*G59</f>
        <v>685000</v>
      </c>
      <c r="I59" s="1174">
        <f>SUM(H59)+H64</f>
        <v>808300</v>
      </c>
    </row>
    <row r="60" spans="2:12">
      <c r="B60" s="172"/>
      <c r="C60" s="689"/>
      <c r="D60" s="603" t="s">
        <v>133</v>
      </c>
      <c r="E60" s="347" t="s">
        <v>263</v>
      </c>
      <c r="F60" s="336">
        <v>1.8</v>
      </c>
      <c r="G60" s="710">
        <f>G40</f>
        <v>136000</v>
      </c>
      <c r="H60" s="703">
        <f t="shared" si="8"/>
        <v>244800</v>
      </c>
      <c r="I60" s="1174"/>
    </row>
    <row r="61" spans="2:12">
      <c r="B61" s="172"/>
      <c r="C61" s="689"/>
      <c r="D61" s="603" t="s">
        <v>402</v>
      </c>
      <c r="E61" s="347" t="s">
        <v>263</v>
      </c>
      <c r="F61" s="336">
        <v>2.7</v>
      </c>
      <c r="G61" s="710">
        <f>G41</f>
        <v>160000</v>
      </c>
      <c r="H61" s="703">
        <f t="shared" si="8"/>
        <v>432000</v>
      </c>
      <c r="I61" s="1174"/>
    </row>
    <row r="62" spans="2:12">
      <c r="B62" s="172"/>
      <c r="C62" s="689"/>
      <c r="D62" s="603" t="s">
        <v>562</v>
      </c>
      <c r="E62" s="347" t="s">
        <v>263</v>
      </c>
      <c r="F62" s="336">
        <v>0.54</v>
      </c>
      <c r="G62" s="710">
        <f>G42</f>
        <v>170000</v>
      </c>
      <c r="H62" s="703">
        <f t="shared" si="8"/>
        <v>91800</v>
      </c>
      <c r="I62" s="1174"/>
    </row>
    <row r="63" spans="2:12">
      <c r="B63" s="689"/>
      <c r="C63" s="689"/>
      <c r="D63" s="603" t="s">
        <v>136</v>
      </c>
      <c r="E63" s="347" t="s">
        <v>263</v>
      </c>
      <c r="F63" s="336">
        <v>0.11</v>
      </c>
      <c r="G63" s="710">
        <f>G43</f>
        <v>180000</v>
      </c>
      <c r="H63" s="703">
        <f t="shared" si="8"/>
        <v>19800</v>
      </c>
      <c r="I63" s="1174"/>
    </row>
    <row r="64" spans="2:12">
      <c r="B64" s="690"/>
      <c r="C64" s="690"/>
      <c r="D64" s="642" t="s">
        <v>664</v>
      </c>
      <c r="E64" s="705" t="s">
        <v>313</v>
      </c>
      <c r="F64" s="691">
        <v>0.18</v>
      </c>
      <c r="G64" s="710">
        <f>H59</f>
        <v>685000</v>
      </c>
      <c r="H64" s="703">
        <f t="shared" si="8"/>
        <v>123300</v>
      </c>
      <c r="I64" s="1174">
        <f>SUM(H60:H63)</f>
        <v>788400</v>
      </c>
    </row>
    <row r="65" spans="2:12">
      <c r="B65" s="451"/>
      <c r="C65" s="692"/>
      <c r="D65" s="693" t="s">
        <v>645</v>
      </c>
      <c r="E65" s="693"/>
      <c r="F65" s="693"/>
      <c r="G65" s="635"/>
      <c r="H65" s="694">
        <f>SUM(H59:H64)</f>
        <v>1596700</v>
      </c>
      <c r="I65" s="1174"/>
    </row>
    <row r="66" spans="2:12">
      <c r="B66" s="396"/>
      <c r="C66" s="690"/>
      <c r="D66" s="695" t="s">
        <v>229</v>
      </c>
      <c r="E66" s="695"/>
      <c r="F66" s="695"/>
      <c r="G66" s="642"/>
      <c r="H66" s="696">
        <f>ROUND(H65,0)</f>
        <v>1596700</v>
      </c>
      <c r="I66" s="775"/>
    </row>
    <row r="67" spans="2:12">
      <c r="B67" s="673" t="s">
        <v>665</v>
      </c>
      <c r="C67" s="674"/>
      <c r="D67" s="675" t="s">
        <v>666</v>
      </c>
      <c r="E67" s="675"/>
      <c r="F67" s="675"/>
      <c r="G67" s="675"/>
      <c r="H67" s="676"/>
      <c r="I67" s="775"/>
    </row>
    <row r="68" spans="2:12">
      <c r="B68" s="677"/>
      <c r="C68" s="678"/>
      <c r="D68" s="635" t="s">
        <v>667</v>
      </c>
      <c r="E68" s="701" t="s">
        <v>88</v>
      </c>
      <c r="F68" s="679">
        <v>1.1000000000000001</v>
      </c>
      <c r="G68" s="702">
        <f>BAHAN!$E$134</f>
        <v>150550</v>
      </c>
      <c r="H68" s="703">
        <f t="shared" ref="H68:H76" si="9">F68*G68</f>
        <v>165605</v>
      </c>
      <c r="I68" s="1174"/>
    </row>
    <row r="69" spans="2:12">
      <c r="B69" s="682"/>
      <c r="C69" s="683"/>
      <c r="D69" s="603" t="s">
        <v>668</v>
      </c>
      <c r="E69" s="339" t="s">
        <v>88</v>
      </c>
      <c r="F69" s="684">
        <v>25</v>
      </c>
      <c r="G69" s="711">
        <f>E!$G$7</f>
        <v>1100</v>
      </c>
      <c r="H69" s="703">
        <f t="shared" si="9"/>
        <v>27500</v>
      </c>
      <c r="I69" s="1174"/>
    </row>
    <row r="70" spans="2:12">
      <c r="B70" s="682"/>
      <c r="C70" s="683"/>
      <c r="D70" s="603" t="s">
        <v>221</v>
      </c>
      <c r="E70" s="339" t="s">
        <v>145</v>
      </c>
      <c r="F70" s="605">
        <v>10.3</v>
      </c>
      <c r="G70" s="709">
        <f>G38</f>
        <v>1500</v>
      </c>
      <c r="H70" s="703">
        <f t="shared" si="9"/>
        <v>15450.000000000002</v>
      </c>
      <c r="I70" s="1174"/>
    </row>
    <row r="71" spans="2:12">
      <c r="B71" s="682"/>
      <c r="C71" s="683"/>
      <c r="D71" s="603" t="s">
        <v>644</v>
      </c>
      <c r="E71" s="339" t="s">
        <v>100</v>
      </c>
      <c r="F71" s="605">
        <v>6.0999999999999999E-2</v>
      </c>
      <c r="G71" s="711">
        <f>G39</f>
        <v>246000</v>
      </c>
      <c r="H71" s="703">
        <f t="shared" si="9"/>
        <v>15006</v>
      </c>
      <c r="I71" s="1174"/>
    </row>
    <row r="72" spans="2:12">
      <c r="B72" s="682"/>
      <c r="C72" s="683"/>
      <c r="D72" s="603" t="s">
        <v>669</v>
      </c>
      <c r="E72" s="339" t="s">
        <v>100</v>
      </c>
      <c r="F72" s="605">
        <v>6.9000000000000006E-2</v>
      </c>
      <c r="G72" s="711">
        <f>B!G40</f>
        <v>170000</v>
      </c>
      <c r="H72" s="703">
        <f t="shared" si="9"/>
        <v>11730.000000000002</v>
      </c>
      <c r="I72" s="1174">
        <f>SUM(H68:H72)</f>
        <v>235291</v>
      </c>
    </row>
    <row r="73" spans="2:12">
      <c r="B73" s="172"/>
      <c r="C73" s="689"/>
      <c r="D73" s="603" t="s">
        <v>133</v>
      </c>
      <c r="E73" s="347" t="s">
        <v>263</v>
      </c>
      <c r="F73" s="336">
        <v>0.38</v>
      </c>
      <c r="G73" s="710">
        <f>G60</f>
        <v>136000</v>
      </c>
      <c r="H73" s="703">
        <f t="shared" si="9"/>
        <v>51680</v>
      </c>
      <c r="I73" s="1174"/>
    </row>
    <row r="74" spans="2:12">
      <c r="B74" s="172"/>
      <c r="C74" s="689"/>
      <c r="D74" s="603" t="s">
        <v>402</v>
      </c>
      <c r="E74" s="347" t="s">
        <v>263</v>
      </c>
      <c r="F74" s="336">
        <v>0.19</v>
      </c>
      <c r="G74" s="710">
        <f>G61</f>
        <v>160000</v>
      </c>
      <c r="H74" s="703">
        <f t="shared" si="9"/>
        <v>30400</v>
      </c>
      <c r="I74" s="1174"/>
    </row>
    <row r="75" spans="2:12">
      <c r="B75" s="172"/>
      <c r="C75" s="689"/>
      <c r="D75" s="603" t="s">
        <v>562</v>
      </c>
      <c r="E75" s="347" t="s">
        <v>263</v>
      </c>
      <c r="F75" s="336">
        <v>1.9E-2</v>
      </c>
      <c r="G75" s="710">
        <f>G62</f>
        <v>170000</v>
      </c>
      <c r="H75" s="703">
        <f t="shared" si="9"/>
        <v>3230</v>
      </c>
      <c r="I75" s="1174"/>
    </row>
    <row r="76" spans="2:12">
      <c r="B76" s="690"/>
      <c r="C76" s="690"/>
      <c r="D76" s="642" t="s">
        <v>136</v>
      </c>
      <c r="E76" s="705" t="s">
        <v>263</v>
      </c>
      <c r="F76" s="691">
        <v>1.9E-2</v>
      </c>
      <c r="G76" s="710">
        <f>G63</f>
        <v>180000</v>
      </c>
      <c r="H76" s="703">
        <f t="shared" si="9"/>
        <v>3420</v>
      </c>
      <c r="I76" s="1174">
        <f>SUM(H73:H76)</f>
        <v>88730</v>
      </c>
    </row>
    <row r="77" spans="2:12">
      <c r="B77" s="451"/>
      <c r="C77" s="692"/>
      <c r="D77" s="693" t="s">
        <v>645</v>
      </c>
      <c r="E77" s="693"/>
      <c r="F77" s="693"/>
      <c r="G77" s="635"/>
      <c r="H77" s="694">
        <f>SUM(H68:H76)</f>
        <v>324021</v>
      </c>
      <c r="I77" s="1174"/>
    </row>
    <row r="78" spans="2:12">
      <c r="B78" s="396"/>
      <c r="C78" s="690"/>
      <c r="D78" s="695" t="s">
        <v>229</v>
      </c>
      <c r="E78" s="695"/>
      <c r="F78" s="695"/>
      <c r="G78" s="642"/>
      <c r="H78" s="696">
        <f>ROUND(H77,0)</f>
        <v>324021</v>
      </c>
      <c r="I78" s="775"/>
    </row>
    <row r="79" spans="2:12">
      <c r="B79" s="673" t="s">
        <v>670</v>
      </c>
      <c r="C79" s="674"/>
      <c r="D79" s="675" t="s">
        <v>671</v>
      </c>
      <c r="E79" s="675"/>
      <c r="F79" s="675"/>
      <c r="G79" s="675"/>
      <c r="H79" s="676"/>
      <c r="I79" s="775"/>
    </row>
    <row r="80" spans="2:12">
      <c r="B80" s="677"/>
      <c r="C80" s="678"/>
      <c r="D80" s="635" t="s">
        <v>668</v>
      </c>
      <c r="E80" s="701" t="s">
        <v>88</v>
      </c>
      <c r="F80" s="679">
        <v>186</v>
      </c>
      <c r="G80" s="712">
        <f>G69</f>
        <v>1100</v>
      </c>
      <c r="H80" s="703">
        <f t="shared" ref="H80:H90" si="10">F80*G80</f>
        <v>204600</v>
      </c>
      <c r="I80" s="1174"/>
      <c r="J80" s="1410">
        <f>SUMIF(BOQ!$G$1:$G$2430,I85,BOQ!$E$1:$E$2430)</f>
        <v>0</v>
      </c>
      <c r="K80" s="1410">
        <f t="shared" ref="K80:K85" si="11">J80*F80</f>
        <v>0</v>
      </c>
      <c r="L80" s="1136"/>
    </row>
    <row r="81" spans="2:12">
      <c r="B81" s="682"/>
      <c r="C81" s="683"/>
      <c r="D81" s="603" t="s">
        <v>221</v>
      </c>
      <c r="E81" s="339" t="s">
        <v>145</v>
      </c>
      <c r="F81" s="605">
        <v>114</v>
      </c>
      <c r="G81" s="709">
        <f>G70</f>
        <v>1500</v>
      </c>
      <c r="H81" s="703">
        <f t="shared" si="10"/>
        <v>171000</v>
      </c>
      <c r="I81" s="1174"/>
      <c r="J81" s="1410">
        <f>$J$80</f>
        <v>0</v>
      </c>
      <c r="K81" s="1410">
        <f t="shared" si="11"/>
        <v>0</v>
      </c>
      <c r="L81" s="1136"/>
    </row>
    <row r="82" spans="2:12">
      <c r="B82" s="682"/>
      <c r="C82" s="683"/>
      <c r="D82" s="603" t="s">
        <v>644</v>
      </c>
      <c r="E82" s="339" t="s">
        <v>100</v>
      </c>
      <c r="F82" s="605">
        <v>0.184</v>
      </c>
      <c r="G82" s="711">
        <f>G71</f>
        <v>246000</v>
      </c>
      <c r="H82" s="703">
        <f t="shared" si="10"/>
        <v>45264</v>
      </c>
      <c r="I82" s="1174"/>
      <c r="J82" s="1410">
        <f>$J$80</f>
        <v>0</v>
      </c>
      <c r="K82" s="1410">
        <f t="shared" si="11"/>
        <v>0</v>
      </c>
      <c r="L82" s="1136"/>
    </row>
    <row r="83" spans="2:12">
      <c r="B83" s="682"/>
      <c r="C83" s="683"/>
      <c r="D83" s="41" t="s">
        <v>224</v>
      </c>
      <c r="E83" s="339" t="s">
        <v>100</v>
      </c>
      <c r="F83" s="605">
        <v>3.3000000000000002E-2</v>
      </c>
      <c r="G83" s="711">
        <f>BAHAN!$E$13</f>
        <v>297000</v>
      </c>
      <c r="H83" s="703">
        <f t="shared" si="10"/>
        <v>9801</v>
      </c>
      <c r="I83" s="1174"/>
      <c r="J83" s="1410">
        <f>$J$80</f>
        <v>0</v>
      </c>
      <c r="K83" s="1410">
        <f t="shared" si="11"/>
        <v>0</v>
      </c>
      <c r="L83" s="1136"/>
    </row>
    <row r="84" spans="2:12">
      <c r="B84" s="682"/>
      <c r="C84" s="683"/>
      <c r="D84" s="603" t="s">
        <v>672</v>
      </c>
      <c r="E84" s="339" t="s">
        <v>100</v>
      </c>
      <c r="F84" s="605">
        <v>4.8499999999999996</v>
      </c>
      <c r="G84" s="711">
        <f>BAHAN!$E$142</f>
        <v>8225.2800000000007</v>
      </c>
      <c r="H84" s="703">
        <f t="shared" si="10"/>
        <v>39892.608</v>
      </c>
      <c r="I84" s="1174"/>
      <c r="J84" s="1410">
        <f>$J$80</f>
        <v>0</v>
      </c>
      <c r="K84" s="1410">
        <f t="shared" si="11"/>
        <v>0</v>
      </c>
      <c r="L84" s="1136"/>
    </row>
    <row r="85" spans="2:12">
      <c r="B85" s="682"/>
      <c r="C85" s="683"/>
      <c r="D85" s="603" t="s">
        <v>673</v>
      </c>
      <c r="E85" s="339" t="s">
        <v>100</v>
      </c>
      <c r="F85" s="605">
        <v>0.12</v>
      </c>
      <c r="G85" s="711">
        <f>BAHAN!$E$10</f>
        <v>345000</v>
      </c>
      <c r="H85" s="703">
        <f t="shared" si="10"/>
        <v>41400</v>
      </c>
      <c r="I85" s="1174">
        <f>SUM(H80:H85)</f>
        <v>511957.60800000001</v>
      </c>
      <c r="J85" s="1410">
        <f>$J$80</f>
        <v>0</v>
      </c>
      <c r="K85" s="1410">
        <f t="shared" si="11"/>
        <v>0</v>
      </c>
      <c r="L85" s="1136"/>
    </row>
    <row r="86" spans="2:12">
      <c r="B86" s="172"/>
      <c r="C86" s="689"/>
      <c r="D86" s="603" t="s">
        <v>133</v>
      </c>
      <c r="E86" s="347" t="s">
        <v>263</v>
      </c>
      <c r="F86" s="336">
        <v>2.16</v>
      </c>
      <c r="G86" s="710">
        <f>G73</f>
        <v>136000</v>
      </c>
      <c r="H86" s="703">
        <f t="shared" si="10"/>
        <v>293760</v>
      </c>
      <c r="I86" s="1174"/>
    </row>
    <row r="87" spans="2:12">
      <c r="B87" s="172"/>
      <c r="C87" s="689"/>
      <c r="D87" s="603" t="s">
        <v>402</v>
      </c>
      <c r="E87" s="347" t="s">
        <v>263</v>
      </c>
      <c r="F87" s="336">
        <v>0.72</v>
      </c>
      <c r="G87" s="710">
        <f>G74</f>
        <v>160000</v>
      </c>
      <c r="H87" s="703">
        <f t="shared" si="10"/>
        <v>115200</v>
      </c>
      <c r="I87" s="1174"/>
    </row>
    <row r="88" spans="2:12">
      <c r="B88" s="172"/>
      <c r="C88" s="689"/>
      <c r="D88" s="603" t="s">
        <v>562</v>
      </c>
      <c r="E88" s="347" t="s">
        <v>263</v>
      </c>
      <c r="F88" s="336">
        <v>7.1999999999999995E-2</v>
      </c>
      <c r="G88" s="710">
        <f>G75</f>
        <v>170000</v>
      </c>
      <c r="H88" s="703">
        <f t="shared" si="10"/>
        <v>12239.999999999998</v>
      </c>
      <c r="I88" s="1174"/>
    </row>
    <row r="89" spans="2:12">
      <c r="B89" s="689"/>
      <c r="C89" s="689"/>
      <c r="D89" s="603" t="s">
        <v>136</v>
      </c>
      <c r="E89" s="347" t="s">
        <v>263</v>
      </c>
      <c r="F89" s="336">
        <v>0.108</v>
      </c>
      <c r="G89" s="710">
        <f>G76</f>
        <v>180000</v>
      </c>
      <c r="H89" s="703">
        <f t="shared" si="10"/>
        <v>19440</v>
      </c>
      <c r="I89" s="1174"/>
    </row>
    <row r="90" spans="2:12">
      <c r="B90" s="690"/>
      <c r="C90" s="690"/>
      <c r="D90" s="642" t="s">
        <v>674</v>
      </c>
      <c r="E90" s="705" t="s">
        <v>263</v>
      </c>
      <c r="F90" s="691">
        <v>0.1</v>
      </c>
      <c r="G90" s="710">
        <f>G86</f>
        <v>136000</v>
      </c>
      <c r="H90" s="703">
        <f t="shared" si="10"/>
        <v>13600</v>
      </c>
      <c r="I90" s="1174">
        <f>SUM(H86:H90)</f>
        <v>454240</v>
      </c>
    </row>
    <row r="91" spans="2:12">
      <c r="B91" s="451"/>
      <c r="C91" s="692"/>
      <c r="D91" s="693" t="s">
        <v>645</v>
      </c>
      <c r="E91" s="693"/>
      <c r="F91" s="693"/>
      <c r="G91" s="635"/>
      <c r="H91" s="694">
        <f>SUM(H80:H90)</f>
        <v>966197.60800000001</v>
      </c>
      <c r="I91" s="1174"/>
    </row>
    <row r="92" spans="2:12">
      <c r="B92" s="396"/>
      <c r="C92" s="690"/>
      <c r="D92" s="695" t="s">
        <v>229</v>
      </c>
      <c r="E92" s="695"/>
      <c r="F92" s="695"/>
      <c r="G92" s="642"/>
      <c r="H92" s="696">
        <f>ROUND(H91,0)</f>
        <v>966198</v>
      </c>
      <c r="I92" s="775"/>
    </row>
    <row r="93" spans="2:12">
      <c r="B93" s="673" t="s">
        <v>675</v>
      </c>
      <c r="C93" s="674"/>
      <c r="D93" s="675" t="s">
        <v>676</v>
      </c>
      <c r="E93" s="675"/>
      <c r="F93" s="675"/>
      <c r="G93" s="675"/>
      <c r="H93" s="676"/>
      <c r="I93" s="775"/>
    </row>
    <row r="94" spans="2:12">
      <c r="B94" s="677"/>
      <c r="C94" s="678"/>
      <c r="D94" s="635" t="s">
        <v>668</v>
      </c>
      <c r="E94" s="701" t="s">
        <v>88</v>
      </c>
      <c r="F94" s="679">
        <v>53</v>
      </c>
      <c r="G94" s="712">
        <f t="shared" ref="G94:G103" si="12">G80</f>
        <v>1100</v>
      </c>
      <c r="H94" s="703">
        <f t="shared" ref="H94:H103" si="13">F94*G94</f>
        <v>58300</v>
      </c>
      <c r="I94" s="1174"/>
      <c r="J94" s="1410">
        <f>SUMIF(BOQ!$G$1:$G$2430,I99,BOQ!$E$1:$E$2430)</f>
        <v>0</v>
      </c>
      <c r="K94" s="5">
        <f t="shared" ref="K94:K99" si="14">J94*F94</f>
        <v>0</v>
      </c>
      <c r="L94" s="1136" t="s">
        <v>88</v>
      </c>
    </row>
    <row r="95" spans="2:12">
      <c r="B95" s="682"/>
      <c r="C95" s="683"/>
      <c r="D95" s="603" t="s">
        <v>221</v>
      </c>
      <c r="E95" s="339" t="s">
        <v>145</v>
      </c>
      <c r="F95" s="605">
        <v>44</v>
      </c>
      <c r="G95" s="709">
        <f t="shared" si="12"/>
        <v>1500</v>
      </c>
      <c r="H95" s="703">
        <f t="shared" si="13"/>
        <v>66000</v>
      </c>
      <c r="I95" s="1174"/>
      <c r="J95" s="1410">
        <f>J94</f>
        <v>0</v>
      </c>
      <c r="K95" s="5">
        <f t="shared" si="14"/>
        <v>0</v>
      </c>
      <c r="L95" s="1136" t="s">
        <v>145</v>
      </c>
    </row>
    <row r="96" spans="2:12">
      <c r="B96" s="682"/>
      <c r="C96" s="683"/>
      <c r="D96" s="603" t="s">
        <v>644</v>
      </c>
      <c r="E96" s="339" t="s">
        <v>100</v>
      </c>
      <c r="F96" s="605">
        <v>7.0000000000000007E-2</v>
      </c>
      <c r="G96" s="711">
        <f t="shared" si="12"/>
        <v>246000</v>
      </c>
      <c r="H96" s="703">
        <f t="shared" si="13"/>
        <v>17220</v>
      </c>
      <c r="I96" s="1174"/>
      <c r="J96" s="1410">
        <f>J95</f>
        <v>0</v>
      </c>
      <c r="K96" s="5">
        <f t="shared" si="14"/>
        <v>0</v>
      </c>
      <c r="L96" s="1136" t="s">
        <v>100</v>
      </c>
    </row>
    <row r="97" spans="2:12">
      <c r="B97" s="682"/>
      <c r="C97" s="683"/>
      <c r="D97" s="41" t="s">
        <v>224</v>
      </c>
      <c r="E97" s="339" t="s">
        <v>100</v>
      </c>
      <c r="F97" s="605">
        <v>7.0000000000000007E-2</v>
      </c>
      <c r="G97" s="711">
        <f t="shared" si="12"/>
        <v>297000</v>
      </c>
      <c r="H97" s="703">
        <f t="shared" si="13"/>
        <v>20790.000000000004</v>
      </c>
      <c r="I97" s="1174"/>
      <c r="J97" s="1410">
        <f>J96</f>
        <v>0</v>
      </c>
      <c r="K97" s="5">
        <f t="shared" si="14"/>
        <v>0</v>
      </c>
      <c r="L97" s="1136" t="s">
        <v>100</v>
      </c>
    </row>
    <row r="98" spans="2:12">
      <c r="B98" s="682"/>
      <c r="C98" s="683"/>
      <c r="D98" s="603" t="s">
        <v>672</v>
      </c>
      <c r="E98" s="339" t="s">
        <v>100</v>
      </c>
      <c r="F98" s="605">
        <v>1.6</v>
      </c>
      <c r="G98" s="711">
        <f t="shared" si="12"/>
        <v>8225.2800000000007</v>
      </c>
      <c r="H98" s="703">
        <f t="shared" si="13"/>
        <v>13160.448000000002</v>
      </c>
      <c r="I98" s="1174"/>
      <c r="J98" s="1410">
        <f>J97</f>
        <v>0</v>
      </c>
      <c r="K98" s="5">
        <f t="shared" si="14"/>
        <v>0</v>
      </c>
      <c r="L98" s="1136" t="s">
        <v>100</v>
      </c>
    </row>
    <row r="99" spans="2:12">
      <c r="B99" s="682"/>
      <c r="C99" s="683"/>
      <c r="D99" s="603" t="s">
        <v>673</v>
      </c>
      <c r="E99" s="339" t="s">
        <v>100</v>
      </c>
      <c r="F99" s="605">
        <v>0.06</v>
      </c>
      <c r="G99" s="711">
        <f t="shared" si="12"/>
        <v>345000</v>
      </c>
      <c r="H99" s="703">
        <f t="shared" si="13"/>
        <v>20700</v>
      </c>
      <c r="I99" s="1174">
        <f>SUM(H94:H99)</f>
        <v>196170.448</v>
      </c>
      <c r="J99" s="1410">
        <f>J98</f>
        <v>0</v>
      </c>
      <c r="K99" s="5">
        <f t="shared" si="14"/>
        <v>0</v>
      </c>
      <c r="L99" s="1136" t="s">
        <v>100</v>
      </c>
    </row>
    <row r="100" spans="2:12">
      <c r="B100" s="172"/>
      <c r="C100" s="689"/>
      <c r="D100" s="603" t="s">
        <v>133</v>
      </c>
      <c r="E100" s="347" t="s">
        <v>263</v>
      </c>
      <c r="F100" s="336">
        <v>2.16</v>
      </c>
      <c r="G100" s="710">
        <f t="shared" si="12"/>
        <v>136000</v>
      </c>
      <c r="H100" s="703">
        <f t="shared" si="13"/>
        <v>293760</v>
      </c>
      <c r="I100" s="1174"/>
    </row>
    <row r="101" spans="2:12">
      <c r="B101" s="172"/>
      <c r="C101" s="689"/>
      <c r="D101" s="603" t="s">
        <v>402</v>
      </c>
      <c r="E101" s="347" t="s">
        <v>263</v>
      </c>
      <c r="F101" s="336">
        <v>0.72</v>
      </c>
      <c r="G101" s="710">
        <f t="shared" si="12"/>
        <v>160000</v>
      </c>
      <c r="H101" s="703">
        <f t="shared" si="13"/>
        <v>115200</v>
      </c>
      <c r="I101" s="1174"/>
    </row>
    <row r="102" spans="2:12">
      <c r="B102" s="172"/>
      <c r="C102" s="689"/>
      <c r="D102" s="603" t="s">
        <v>562</v>
      </c>
      <c r="E102" s="347" t="s">
        <v>263</v>
      </c>
      <c r="F102" s="336">
        <v>7.1999999999999995E-2</v>
      </c>
      <c r="G102" s="710">
        <f t="shared" si="12"/>
        <v>170000</v>
      </c>
      <c r="H102" s="703">
        <f t="shared" si="13"/>
        <v>12239.999999999998</v>
      </c>
      <c r="I102" s="1174"/>
    </row>
    <row r="103" spans="2:12">
      <c r="B103" s="690"/>
      <c r="C103" s="690"/>
      <c r="D103" s="642" t="s">
        <v>136</v>
      </c>
      <c r="E103" s="705" t="s">
        <v>263</v>
      </c>
      <c r="F103" s="336">
        <v>0.108</v>
      </c>
      <c r="G103" s="710">
        <f t="shared" si="12"/>
        <v>180000</v>
      </c>
      <c r="H103" s="703">
        <f t="shared" si="13"/>
        <v>19440</v>
      </c>
      <c r="I103" s="1174">
        <f>SUM(H100:H103)</f>
        <v>440640</v>
      </c>
    </row>
    <row r="104" spans="2:12">
      <c r="B104" s="451"/>
      <c r="C104" s="692"/>
      <c r="D104" s="693" t="s">
        <v>645</v>
      </c>
      <c r="E104" s="693"/>
      <c r="F104" s="693"/>
      <c r="G104" s="635"/>
      <c r="H104" s="694">
        <f>SUM(H94:H103)</f>
        <v>636810.44799999997</v>
      </c>
      <c r="I104" s="1174"/>
    </row>
    <row r="105" spans="2:12">
      <c r="B105" s="396"/>
      <c r="C105" s="690"/>
      <c r="D105" s="695" t="s">
        <v>229</v>
      </c>
      <c r="E105" s="695"/>
      <c r="F105" s="695"/>
      <c r="G105" s="642"/>
      <c r="H105" s="696">
        <f>ROUND(H104,0)</f>
        <v>636810</v>
      </c>
      <c r="I105" s="775"/>
    </row>
    <row r="106" spans="2:12">
      <c r="B106" s="697" t="s">
        <v>677</v>
      </c>
      <c r="C106" s="698"/>
      <c r="D106" s="699" t="s">
        <v>678</v>
      </c>
      <c r="E106" s="699"/>
      <c r="F106" s="699"/>
      <c r="G106" s="699"/>
      <c r="H106" s="700"/>
      <c r="I106" s="775"/>
    </row>
    <row r="107" spans="2:12">
      <c r="B107" s="677"/>
      <c r="C107" s="678"/>
      <c r="D107" s="635" t="s">
        <v>679</v>
      </c>
      <c r="E107" s="701" t="s">
        <v>129</v>
      </c>
      <c r="F107" s="713">
        <v>1.2</v>
      </c>
      <c r="G107" s="702">
        <f>BAHAN!$E$217</f>
        <v>5837.5</v>
      </c>
      <c r="H107" s="703">
        <f t="shared" ref="H107:H112" si="15">F107*G107</f>
        <v>7005</v>
      </c>
      <c r="I107" s="1174">
        <f>SUM(H107)+H112</f>
        <v>9456.75</v>
      </c>
      <c r="J107" s="2082">
        <f>SUMIF(BOQ!$G$638:$G$2199,M!I107,BOQ!$E$638:$E$2199)</f>
        <v>0</v>
      </c>
      <c r="K107" s="5">
        <f>J107*F107</f>
        <v>0</v>
      </c>
      <c r="L107" s="1136" t="s">
        <v>129</v>
      </c>
    </row>
    <row r="108" spans="2:12">
      <c r="B108" s="172"/>
      <c r="C108" s="689"/>
      <c r="D108" s="603" t="s">
        <v>133</v>
      </c>
      <c r="E108" s="347" t="s">
        <v>263</v>
      </c>
      <c r="F108" s="336">
        <v>3.5999999999999997E-2</v>
      </c>
      <c r="G108" s="710">
        <f>G100</f>
        <v>136000</v>
      </c>
      <c r="H108" s="703">
        <f t="shared" si="15"/>
        <v>4896</v>
      </c>
      <c r="I108" s="1174"/>
    </row>
    <row r="109" spans="2:12">
      <c r="B109" s="172"/>
      <c r="C109" s="689"/>
      <c r="D109" s="603" t="s">
        <v>402</v>
      </c>
      <c r="E109" s="347" t="s">
        <v>263</v>
      </c>
      <c r="F109" s="336">
        <v>0.06</v>
      </c>
      <c r="G109" s="710">
        <f>G101</f>
        <v>160000</v>
      </c>
      <c r="H109" s="703">
        <f t="shared" si="15"/>
        <v>9600</v>
      </c>
      <c r="I109" s="1174"/>
    </row>
    <row r="110" spans="2:12">
      <c r="B110" s="172"/>
      <c r="C110" s="689"/>
      <c r="D110" s="603" t="s">
        <v>562</v>
      </c>
      <c r="E110" s="347" t="s">
        <v>263</v>
      </c>
      <c r="F110" s="336">
        <v>6.0000000000000001E-3</v>
      </c>
      <c r="G110" s="710">
        <f>G102</f>
        <v>170000</v>
      </c>
      <c r="H110" s="703">
        <f t="shared" si="15"/>
        <v>1020</v>
      </c>
      <c r="I110" s="1174"/>
    </row>
    <row r="111" spans="2:12">
      <c r="B111" s="689"/>
      <c r="C111" s="689"/>
      <c r="D111" s="603" t="s">
        <v>136</v>
      </c>
      <c r="E111" s="347" t="s">
        <v>263</v>
      </c>
      <c r="F111" s="336">
        <v>1.8E-3</v>
      </c>
      <c r="G111" s="710">
        <f>G103</f>
        <v>180000</v>
      </c>
      <c r="H111" s="703">
        <f t="shared" si="15"/>
        <v>324</v>
      </c>
      <c r="I111" s="1174"/>
    </row>
    <row r="112" spans="2:12">
      <c r="B112" s="690"/>
      <c r="C112" s="690"/>
      <c r="D112" s="642" t="s">
        <v>680</v>
      </c>
      <c r="E112" s="705" t="s">
        <v>313</v>
      </c>
      <c r="F112" s="691">
        <v>0.35</v>
      </c>
      <c r="G112" s="710">
        <f>H107</f>
        <v>7005</v>
      </c>
      <c r="H112" s="703">
        <f t="shared" si="15"/>
        <v>2451.75</v>
      </c>
      <c r="I112" s="1174">
        <f>SUM(H108:H111)</f>
        <v>15840</v>
      </c>
    </row>
    <row r="113" spans="2:12">
      <c r="B113" s="707"/>
      <c r="C113" s="692"/>
      <c r="D113" s="693" t="s">
        <v>645</v>
      </c>
      <c r="E113" s="693"/>
      <c r="F113" s="693"/>
      <c r="G113" s="635"/>
      <c r="H113" s="694">
        <f>SUM(H107:H112)</f>
        <v>25296.75</v>
      </c>
      <c r="I113" s="1174"/>
    </row>
    <row r="114" spans="2:12">
      <c r="B114" s="396"/>
      <c r="C114" s="690"/>
      <c r="D114" s="695" t="s">
        <v>229</v>
      </c>
      <c r="E114" s="695"/>
      <c r="F114" s="695"/>
      <c r="G114" s="642"/>
      <c r="H114" s="696">
        <f>ROUND(H113,0)</f>
        <v>25297</v>
      </c>
      <c r="I114" s="775"/>
    </row>
    <row r="115" spans="2:12">
      <c r="B115" s="697" t="s">
        <v>681</v>
      </c>
      <c r="C115" s="698"/>
      <c r="D115" s="699" t="s">
        <v>682</v>
      </c>
      <c r="E115" s="699"/>
      <c r="F115" s="699"/>
      <c r="G115" s="699"/>
      <c r="H115" s="700"/>
      <c r="I115" s="775"/>
    </row>
    <row r="116" spans="2:12">
      <c r="B116" s="677"/>
      <c r="C116" s="678"/>
      <c r="D116" s="635" t="s">
        <v>683</v>
      </c>
      <c r="E116" s="701" t="s">
        <v>129</v>
      </c>
      <c r="F116" s="713">
        <f>F107</f>
        <v>1.2</v>
      </c>
      <c r="G116" s="702">
        <f>BAHAN!$E$219</f>
        <v>10362.5</v>
      </c>
      <c r="H116" s="703">
        <f t="shared" ref="H116:H121" si="16">F116*G116</f>
        <v>12435</v>
      </c>
      <c r="I116" s="1174">
        <f>SUM(H116)+H121</f>
        <v>16787.25</v>
      </c>
      <c r="J116" s="2082">
        <f>SUMIF(BOQ!$G$638:$G$2199,M!I116,BOQ!$E$638:$E$2199)</f>
        <v>0</v>
      </c>
      <c r="K116" s="5">
        <f>J116*F116</f>
        <v>0</v>
      </c>
      <c r="L116" s="1136" t="s">
        <v>129</v>
      </c>
    </row>
    <row r="117" spans="2:12">
      <c r="B117" s="172"/>
      <c r="C117" s="689"/>
      <c r="D117" s="603" t="s">
        <v>133</v>
      </c>
      <c r="E117" s="347" t="s">
        <v>263</v>
      </c>
      <c r="F117" s="336">
        <v>3.5999999999999997E-2</v>
      </c>
      <c r="G117" s="710">
        <f>G108</f>
        <v>136000</v>
      </c>
      <c r="H117" s="703">
        <f t="shared" si="16"/>
        <v>4896</v>
      </c>
      <c r="I117" s="1174"/>
    </row>
    <row r="118" spans="2:12">
      <c r="B118" s="172"/>
      <c r="C118" s="689"/>
      <c r="D118" s="603" t="s">
        <v>402</v>
      </c>
      <c r="E118" s="347" t="s">
        <v>263</v>
      </c>
      <c r="F118" s="336">
        <v>0.06</v>
      </c>
      <c r="G118" s="710">
        <f>G109</f>
        <v>160000</v>
      </c>
      <c r="H118" s="703">
        <f t="shared" si="16"/>
        <v>9600</v>
      </c>
      <c r="I118" s="1174"/>
    </row>
    <row r="119" spans="2:12">
      <c r="B119" s="172"/>
      <c r="C119" s="689"/>
      <c r="D119" s="603" t="s">
        <v>562</v>
      </c>
      <c r="E119" s="347" t="s">
        <v>263</v>
      </c>
      <c r="F119" s="336">
        <v>6.0000000000000001E-3</v>
      </c>
      <c r="G119" s="710">
        <f>G110</f>
        <v>170000</v>
      </c>
      <c r="H119" s="703">
        <f t="shared" si="16"/>
        <v>1020</v>
      </c>
      <c r="I119" s="1174"/>
    </row>
    <row r="120" spans="2:12">
      <c r="B120" s="689"/>
      <c r="C120" s="689"/>
      <c r="D120" s="603" t="s">
        <v>136</v>
      </c>
      <c r="E120" s="347" t="s">
        <v>263</v>
      </c>
      <c r="F120" s="336">
        <v>1.8E-3</v>
      </c>
      <c r="G120" s="710">
        <f>G111</f>
        <v>180000</v>
      </c>
      <c r="H120" s="703">
        <f t="shared" si="16"/>
        <v>324</v>
      </c>
      <c r="I120" s="1174"/>
    </row>
    <row r="121" spans="2:12">
      <c r="B121" s="690"/>
      <c r="C121" s="690"/>
      <c r="D121" s="642" t="s">
        <v>680</v>
      </c>
      <c r="E121" s="705" t="s">
        <v>313</v>
      </c>
      <c r="F121" s="691">
        <v>0.35</v>
      </c>
      <c r="G121" s="710">
        <f>H116</f>
        <v>12435</v>
      </c>
      <c r="H121" s="703">
        <f t="shared" si="16"/>
        <v>4352.25</v>
      </c>
      <c r="I121" s="1174">
        <f>SUM(H117:H120)</f>
        <v>15840</v>
      </c>
    </row>
    <row r="122" spans="2:12">
      <c r="B122" s="707"/>
      <c r="C122" s="692"/>
      <c r="D122" s="693" t="s">
        <v>645</v>
      </c>
      <c r="E122" s="693"/>
      <c r="F122" s="693"/>
      <c r="G122" s="635"/>
      <c r="H122" s="694">
        <f>SUM(H116:H121)</f>
        <v>32627.25</v>
      </c>
      <c r="I122" s="1174"/>
    </row>
    <row r="123" spans="2:12">
      <c r="B123" s="396"/>
      <c r="C123" s="690"/>
      <c r="D123" s="695" t="s">
        <v>229</v>
      </c>
      <c r="E123" s="695"/>
      <c r="F123" s="695"/>
      <c r="G123" s="642"/>
      <c r="H123" s="696">
        <f>ROUND(H122,0)</f>
        <v>32627</v>
      </c>
      <c r="I123" s="775"/>
    </row>
    <row r="124" spans="2:12">
      <c r="B124" s="697" t="s">
        <v>681</v>
      </c>
      <c r="C124" s="698"/>
      <c r="D124" s="699" t="s">
        <v>1712</v>
      </c>
      <c r="E124" s="699"/>
      <c r="F124" s="699"/>
      <c r="G124" s="699"/>
      <c r="H124" s="700"/>
      <c r="I124" s="775"/>
    </row>
    <row r="125" spans="2:12">
      <c r="B125" s="677"/>
      <c r="C125" s="678"/>
      <c r="D125" s="635" t="s">
        <v>1713</v>
      </c>
      <c r="E125" s="701" t="s">
        <v>129</v>
      </c>
      <c r="F125" s="713">
        <f>F116</f>
        <v>1.2</v>
      </c>
      <c r="G125" s="702">
        <f>BAHAN!$E$220</f>
        <v>39700</v>
      </c>
      <c r="H125" s="703">
        <f t="shared" ref="H125:H130" si="17">F125*G125</f>
        <v>47640</v>
      </c>
      <c r="I125" s="1174">
        <f>SUM(H125)+H130</f>
        <v>64314</v>
      </c>
    </row>
    <row r="126" spans="2:12">
      <c r="B126" s="172"/>
      <c r="C126" s="689"/>
      <c r="D126" s="603" t="s">
        <v>133</v>
      </c>
      <c r="E126" s="347" t="s">
        <v>263</v>
      </c>
      <c r="F126" s="336">
        <v>3.5999999999999997E-2</v>
      </c>
      <c r="G126" s="710">
        <f>G117</f>
        <v>136000</v>
      </c>
      <c r="H126" s="703">
        <f t="shared" si="17"/>
        <v>4896</v>
      </c>
      <c r="I126" s="1174"/>
    </row>
    <row r="127" spans="2:12">
      <c r="B127" s="172"/>
      <c r="C127" s="689"/>
      <c r="D127" s="603" t="s">
        <v>402</v>
      </c>
      <c r="E127" s="347" t="s">
        <v>263</v>
      </c>
      <c r="F127" s="336">
        <v>0.06</v>
      </c>
      <c r="G127" s="710">
        <f>G118</f>
        <v>160000</v>
      </c>
      <c r="H127" s="703">
        <f t="shared" si="17"/>
        <v>9600</v>
      </c>
      <c r="I127" s="1174"/>
    </row>
    <row r="128" spans="2:12">
      <c r="B128" s="172"/>
      <c r="C128" s="689"/>
      <c r="D128" s="603" t="s">
        <v>562</v>
      </c>
      <c r="E128" s="347" t="s">
        <v>263</v>
      </c>
      <c r="F128" s="336">
        <v>6.0000000000000001E-3</v>
      </c>
      <c r="G128" s="710">
        <f>G119</f>
        <v>170000</v>
      </c>
      <c r="H128" s="703">
        <f t="shared" si="17"/>
        <v>1020</v>
      </c>
      <c r="I128" s="1174"/>
    </row>
    <row r="129" spans="2:13">
      <c r="B129" s="689"/>
      <c r="C129" s="689"/>
      <c r="D129" s="603" t="s">
        <v>136</v>
      </c>
      <c r="E129" s="347" t="s">
        <v>263</v>
      </c>
      <c r="F129" s="336">
        <v>1.8E-3</v>
      </c>
      <c r="G129" s="710">
        <f>G120</f>
        <v>180000</v>
      </c>
      <c r="H129" s="703">
        <f t="shared" si="17"/>
        <v>324</v>
      </c>
      <c r="I129" s="1174"/>
    </row>
    <row r="130" spans="2:13">
      <c r="B130" s="690"/>
      <c r="C130" s="690"/>
      <c r="D130" s="642" t="s">
        <v>680</v>
      </c>
      <c r="E130" s="705" t="s">
        <v>313</v>
      </c>
      <c r="F130" s="691">
        <v>0.35</v>
      </c>
      <c r="G130" s="710">
        <f>H125</f>
        <v>47640</v>
      </c>
      <c r="H130" s="703">
        <f t="shared" si="17"/>
        <v>16674</v>
      </c>
      <c r="I130" s="1174">
        <f>SUM(H126:H129)</f>
        <v>15840</v>
      </c>
    </row>
    <row r="131" spans="2:13">
      <c r="B131" s="707"/>
      <c r="C131" s="692"/>
      <c r="D131" s="693" t="s">
        <v>645</v>
      </c>
      <c r="E131" s="693"/>
      <c r="F131" s="693"/>
      <c r="G131" s="635"/>
      <c r="H131" s="694">
        <f>SUM(H125:H130)</f>
        <v>80154</v>
      </c>
      <c r="I131" s="1174"/>
    </row>
    <row r="132" spans="2:13">
      <c r="B132" s="396"/>
      <c r="C132" s="690"/>
      <c r="D132" s="695" t="s">
        <v>229</v>
      </c>
      <c r="E132" s="695"/>
      <c r="F132" s="695"/>
      <c r="G132" s="642"/>
      <c r="H132" s="696">
        <f>ROUND(H131,0)</f>
        <v>80154</v>
      </c>
      <c r="I132" s="775"/>
    </row>
    <row r="133" spans="2:13">
      <c r="B133" s="697" t="s">
        <v>684</v>
      </c>
      <c r="C133" s="698"/>
      <c r="D133" s="699" t="s">
        <v>1375</v>
      </c>
      <c r="E133" s="699"/>
      <c r="F133" s="699"/>
      <c r="G133" s="699"/>
      <c r="H133" s="700"/>
      <c r="I133" s="775"/>
      <c r="J133" s="2082">
        <f>SUMIF(BOQ!$G$638:$G$755,M!I133,BOQ!$E$638:$E$755)</f>
        <v>769.476</v>
      </c>
    </row>
    <row r="134" spans="2:13">
      <c r="B134" s="677"/>
      <c r="C134" s="678"/>
      <c r="D134" s="635" t="s">
        <v>1376</v>
      </c>
      <c r="E134" s="701" t="s">
        <v>129</v>
      </c>
      <c r="F134" s="713">
        <f>F107</f>
        <v>1.2</v>
      </c>
      <c r="G134" s="702">
        <f>BAHAN!$E$221</f>
        <v>36387.5</v>
      </c>
      <c r="H134" s="703">
        <f t="shared" ref="H134:H139" si="18">F134*G134</f>
        <v>43665</v>
      </c>
      <c r="I134" s="1174">
        <f>SUM(H134)+H139</f>
        <v>58947.75</v>
      </c>
      <c r="J134" s="2082">
        <f>SUMIF(BOQ!$G$638:$G$2199,M!I134,BOQ!$E$638:$E$2199)</f>
        <v>0</v>
      </c>
      <c r="K134" s="1614">
        <f>J134*F134</f>
        <v>0</v>
      </c>
      <c r="L134" s="1136" t="s">
        <v>129</v>
      </c>
      <c r="M134" s="1410">
        <f>BOQ!E644+BOQ!E687</f>
        <v>64</v>
      </c>
    </row>
    <row r="135" spans="2:13">
      <c r="B135" s="172"/>
      <c r="C135" s="689"/>
      <c r="D135" s="603" t="s">
        <v>133</v>
      </c>
      <c r="E135" s="347" t="s">
        <v>263</v>
      </c>
      <c r="F135" s="336">
        <v>3.5999999999999997E-2</v>
      </c>
      <c r="G135" s="710">
        <f>G117</f>
        <v>136000</v>
      </c>
      <c r="H135" s="703">
        <f t="shared" si="18"/>
        <v>4896</v>
      </c>
      <c r="I135" s="1174"/>
    </row>
    <row r="136" spans="2:13">
      <c r="B136" s="172"/>
      <c r="C136" s="689"/>
      <c r="D136" s="603" t="s">
        <v>402</v>
      </c>
      <c r="E136" s="347" t="s">
        <v>263</v>
      </c>
      <c r="F136" s="336">
        <v>0.06</v>
      </c>
      <c r="G136" s="710">
        <f>G118</f>
        <v>160000</v>
      </c>
      <c r="H136" s="703">
        <f t="shared" si="18"/>
        <v>9600</v>
      </c>
      <c r="I136" s="1174"/>
    </row>
    <row r="137" spans="2:13">
      <c r="B137" s="172"/>
      <c r="C137" s="689"/>
      <c r="D137" s="603" t="s">
        <v>562</v>
      </c>
      <c r="E137" s="347" t="s">
        <v>263</v>
      </c>
      <c r="F137" s="336">
        <v>6.0000000000000001E-3</v>
      </c>
      <c r="G137" s="710">
        <f>G119</f>
        <v>170000</v>
      </c>
      <c r="H137" s="703">
        <f t="shared" si="18"/>
        <v>1020</v>
      </c>
      <c r="I137" s="1174"/>
    </row>
    <row r="138" spans="2:13">
      <c r="B138" s="689"/>
      <c r="C138" s="689"/>
      <c r="D138" s="603" t="s">
        <v>136</v>
      </c>
      <c r="E138" s="347" t="s">
        <v>263</v>
      </c>
      <c r="F138" s="336">
        <v>1.8E-3</v>
      </c>
      <c r="G138" s="710">
        <f>G120</f>
        <v>180000</v>
      </c>
      <c r="H138" s="703">
        <f t="shared" si="18"/>
        <v>324</v>
      </c>
      <c r="I138" s="1174"/>
    </row>
    <row r="139" spans="2:13">
      <c r="B139" s="690"/>
      <c r="C139" s="690"/>
      <c r="D139" s="642" t="s">
        <v>680</v>
      </c>
      <c r="E139" s="705" t="s">
        <v>313</v>
      </c>
      <c r="F139" s="691">
        <v>0.35</v>
      </c>
      <c r="G139" s="706">
        <f>H134</f>
        <v>43665</v>
      </c>
      <c r="H139" s="703">
        <f t="shared" si="18"/>
        <v>15282.749999999998</v>
      </c>
      <c r="I139" s="1174">
        <f>SUM(H135:H138)</f>
        <v>15840</v>
      </c>
    </row>
    <row r="140" spans="2:13">
      <c r="B140" s="707"/>
      <c r="C140" s="692"/>
      <c r="D140" s="693" t="s">
        <v>645</v>
      </c>
      <c r="E140" s="693"/>
      <c r="F140" s="693"/>
      <c r="G140" s="635"/>
      <c r="H140" s="694">
        <f>SUM(H134:H139)</f>
        <v>74787.75</v>
      </c>
      <c r="I140" s="1174"/>
    </row>
    <row r="141" spans="2:13">
      <c r="B141" s="396"/>
      <c r="C141" s="690"/>
      <c r="D141" s="695" t="s">
        <v>229</v>
      </c>
      <c r="E141" s="695"/>
      <c r="F141" s="695"/>
      <c r="G141" s="642"/>
      <c r="H141" s="696">
        <f>ROUND(H140,0)</f>
        <v>74788</v>
      </c>
      <c r="I141" s="775"/>
    </row>
    <row r="142" spans="2:13">
      <c r="B142" s="697" t="s">
        <v>685</v>
      </c>
      <c r="C142" s="698"/>
      <c r="D142" s="699" t="s">
        <v>686</v>
      </c>
      <c r="E142" s="699"/>
      <c r="F142" s="699"/>
      <c r="G142" s="699"/>
      <c r="H142" s="700"/>
      <c r="I142" s="775"/>
    </row>
    <row r="143" spans="2:13">
      <c r="B143" s="677"/>
      <c r="C143" s="678"/>
      <c r="D143" s="635" t="s">
        <v>687</v>
      </c>
      <c r="E143" s="701" t="s">
        <v>129</v>
      </c>
      <c r="F143" s="714">
        <v>1.21</v>
      </c>
      <c r="G143" s="702">
        <f>BAHAN!$E$222</f>
        <v>23800.25</v>
      </c>
      <c r="H143" s="703">
        <f t="shared" ref="H143:H148" si="19">F143*G143</f>
        <v>28798.302499999998</v>
      </c>
      <c r="I143" s="1174">
        <f>SUM(H143)+H148</f>
        <v>44081.052499999998</v>
      </c>
      <c r="J143" s="2082">
        <f>SUMIF(BOQ!$G$638:$G$2199,M!I143,BOQ!$E$638:$E$2199)</f>
        <v>0</v>
      </c>
      <c r="K143" s="5">
        <f>J143*F143</f>
        <v>0</v>
      </c>
      <c r="L143" s="1136" t="s">
        <v>129</v>
      </c>
      <c r="M143" s="1410">
        <f>BOQ!E637+BOQ!E678</f>
        <v>5</v>
      </c>
    </row>
    <row r="144" spans="2:13">
      <c r="B144" s="172"/>
      <c r="C144" s="689"/>
      <c r="D144" s="603" t="s">
        <v>133</v>
      </c>
      <c r="E144" s="347" t="s">
        <v>263</v>
      </c>
      <c r="F144" s="715">
        <v>3.5999999999999997E-2</v>
      </c>
      <c r="G144" s="710">
        <f>G135</f>
        <v>136000</v>
      </c>
      <c r="H144" s="703">
        <f t="shared" si="19"/>
        <v>4896</v>
      </c>
      <c r="I144" s="1174"/>
    </row>
    <row r="145" spans="2:13">
      <c r="B145" s="172"/>
      <c r="C145" s="689"/>
      <c r="D145" s="603" t="s">
        <v>402</v>
      </c>
      <c r="E145" s="347" t="s">
        <v>263</v>
      </c>
      <c r="F145" s="715">
        <v>0.06</v>
      </c>
      <c r="G145" s="710">
        <f>G136</f>
        <v>160000</v>
      </c>
      <c r="H145" s="703">
        <f t="shared" si="19"/>
        <v>9600</v>
      </c>
      <c r="I145" s="1174"/>
    </row>
    <row r="146" spans="2:13">
      <c r="B146" s="172"/>
      <c r="C146" s="689"/>
      <c r="D146" s="603" t="s">
        <v>562</v>
      </c>
      <c r="E146" s="347" t="s">
        <v>263</v>
      </c>
      <c r="F146" s="715">
        <v>6.0000000000000001E-3</v>
      </c>
      <c r="G146" s="710">
        <f>G137</f>
        <v>170000</v>
      </c>
      <c r="H146" s="703">
        <f t="shared" si="19"/>
        <v>1020</v>
      </c>
      <c r="I146" s="1174"/>
    </row>
    <row r="147" spans="2:13">
      <c r="B147" s="689"/>
      <c r="C147" s="689"/>
      <c r="D147" s="603" t="s">
        <v>136</v>
      </c>
      <c r="E147" s="347" t="s">
        <v>263</v>
      </c>
      <c r="F147" s="715">
        <v>1.8E-3</v>
      </c>
      <c r="G147" s="710">
        <f>G138</f>
        <v>180000</v>
      </c>
      <c r="H147" s="703">
        <f t="shared" si="19"/>
        <v>324</v>
      </c>
      <c r="I147" s="1174"/>
    </row>
    <row r="148" spans="2:13">
      <c r="B148" s="690"/>
      <c r="C148" s="690"/>
      <c r="D148" s="642" t="s">
        <v>680</v>
      </c>
      <c r="E148" s="705" t="s">
        <v>313</v>
      </c>
      <c r="F148" s="716">
        <v>0.35</v>
      </c>
      <c r="G148" s="710">
        <f>G139</f>
        <v>43665</v>
      </c>
      <c r="H148" s="703">
        <f t="shared" si="19"/>
        <v>15282.749999999998</v>
      </c>
      <c r="I148" s="1174">
        <f>SUM(H144:H147)</f>
        <v>15840</v>
      </c>
    </row>
    <row r="149" spans="2:13">
      <c r="B149" s="707"/>
      <c r="C149" s="692"/>
      <c r="D149" s="693" t="s">
        <v>645</v>
      </c>
      <c r="E149" s="693"/>
      <c r="F149" s="693"/>
      <c r="G149" s="635"/>
      <c r="H149" s="694">
        <f>SUM(H143:H148)</f>
        <v>59921.052499999998</v>
      </c>
      <c r="I149" s="1174"/>
    </row>
    <row r="150" spans="2:13">
      <c r="B150" s="396"/>
      <c r="C150" s="690"/>
      <c r="D150" s="695" t="s">
        <v>229</v>
      </c>
      <c r="E150" s="695"/>
      <c r="F150" s="695"/>
      <c r="G150" s="642"/>
      <c r="H150" s="696">
        <f>ROUND(H149,0)</f>
        <v>59921</v>
      </c>
      <c r="I150" s="775"/>
    </row>
    <row r="151" spans="2:13">
      <c r="B151" s="697" t="s">
        <v>688</v>
      </c>
      <c r="C151" s="698"/>
      <c r="D151" s="699" t="s">
        <v>689</v>
      </c>
      <c r="E151" s="699"/>
      <c r="F151" s="717"/>
      <c r="G151" s="699"/>
      <c r="H151" s="700"/>
      <c r="I151" s="775"/>
    </row>
    <row r="152" spans="2:13">
      <c r="B152" s="677"/>
      <c r="C152" s="678"/>
      <c r="D152" s="635" t="s">
        <v>690</v>
      </c>
      <c r="E152" s="701" t="s">
        <v>129</v>
      </c>
      <c r="F152" s="714">
        <f>F143</f>
        <v>1.21</v>
      </c>
      <c r="G152" s="702">
        <f>BAHAN!$E$223</f>
        <v>32050</v>
      </c>
      <c r="H152" s="703">
        <f t="shared" ref="H152:H157" si="20">F152*G152</f>
        <v>38780.5</v>
      </c>
      <c r="I152" s="1174">
        <f>SUM(H152)+H157</f>
        <v>52353.675000000003</v>
      </c>
      <c r="J152" s="2082">
        <f>SUMIF(BOQ!$G$638:$G$2199,M!I152,BOQ!$E$638:$E$2199)</f>
        <v>0</v>
      </c>
      <c r="K152" s="5">
        <f>J152*F152</f>
        <v>0</v>
      </c>
      <c r="L152" s="1136" t="s">
        <v>129</v>
      </c>
      <c r="M152" s="1410">
        <f>BOQ!E645+BOQ!E688</f>
        <v>307</v>
      </c>
    </row>
    <row r="153" spans="2:13">
      <c r="B153" s="172"/>
      <c r="C153" s="689"/>
      <c r="D153" s="603" t="s">
        <v>133</v>
      </c>
      <c r="E153" s="347" t="s">
        <v>263</v>
      </c>
      <c r="F153" s="715">
        <v>8.1000000000000003E-2</v>
      </c>
      <c r="G153" s="710">
        <f>G144</f>
        <v>136000</v>
      </c>
      <c r="H153" s="703">
        <f t="shared" si="20"/>
        <v>11016</v>
      </c>
      <c r="I153" s="1174"/>
    </row>
    <row r="154" spans="2:13">
      <c r="B154" s="172"/>
      <c r="C154" s="689"/>
      <c r="D154" s="603" t="s">
        <v>402</v>
      </c>
      <c r="E154" s="347" t="s">
        <v>263</v>
      </c>
      <c r="F154" s="715">
        <v>0.13500000000000001</v>
      </c>
      <c r="G154" s="710">
        <f>G145</f>
        <v>160000</v>
      </c>
      <c r="H154" s="703">
        <f t="shared" si="20"/>
        <v>21600</v>
      </c>
      <c r="I154" s="1174"/>
    </row>
    <row r="155" spans="2:13">
      <c r="B155" s="172"/>
      <c r="C155" s="689"/>
      <c r="D155" s="603" t="s">
        <v>562</v>
      </c>
      <c r="E155" s="347" t="s">
        <v>263</v>
      </c>
      <c r="F155" s="715">
        <v>1.35E-2</v>
      </c>
      <c r="G155" s="710">
        <f>G146</f>
        <v>170000</v>
      </c>
      <c r="H155" s="703">
        <f t="shared" si="20"/>
        <v>2295</v>
      </c>
      <c r="I155" s="1174"/>
    </row>
    <row r="156" spans="2:13">
      <c r="B156" s="689"/>
      <c r="C156" s="689"/>
      <c r="D156" s="603" t="s">
        <v>136</v>
      </c>
      <c r="E156" s="347" t="s">
        <v>263</v>
      </c>
      <c r="F156" s="715">
        <v>4.1000000000000003E-3</v>
      </c>
      <c r="G156" s="710">
        <f>G147</f>
        <v>180000</v>
      </c>
      <c r="H156" s="703">
        <f t="shared" si="20"/>
        <v>738.00000000000011</v>
      </c>
      <c r="I156" s="1174"/>
    </row>
    <row r="157" spans="2:13">
      <c r="B157" s="690"/>
      <c r="C157" s="690"/>
      <c r="D157" s="642" t="s">
        <v>680</v>
      </c>
      <c r="E157" s="705" t="s">
        <v>313</v>
      </c>
      <c r="F157" s="716">
        <v>0.35</v>
      </c>
      <c r="G157" s="706">
        <f>H152</f>
        <v>38780.5</v>
      </c>
      <c r="H157" s="703">
        <f t="shared" si="20"/>
        <v>13573.174999999999</v>
      </c>
      <c r="I157" s="1174">
        <f>SUM(H153:H156)</f>
        <v>35649</v>
      </c>
    </row>
    <row r="158" spans="2:13">
      <c r="B158" s="707"/>
      <c r="C158" s="692"/>
      <c r="D158" s="693" t="s">
        <v>645</v>
      </c>
      <c r="E158" s="693"/>
      <c r="F158" s="693"/>
      <c r="G158" s="635"/>
      <c r="H158" s="694">
        <f>SUM(H152:H157)</f>
        <v>88002.675000000003</v>
      </c>
      <c r="I158" s="1174"/>
    </row>
    <row r="159" spans="2:13">
      <c r="B159" s="396"/>
      <c r="C159" s="690"/>
      <c r="D159" s="695" t="s">
        <v>229</v>
      </c>
      <c r="E159" s="695"/>
      <c r="F159" s="695"/>
      <c r="G159" s="642"/>
      <c r="H159" s="696">
        <f>ROUND(H158,0)</f>
        <v>88003</v>
      </c>
      <c r="I159" s="775"/>
    </row>
    <row r="160" spans="2:13">
      <c r="B160" s="697" t="s">
        <v>688</v>
      </c>
      <c r="C160" s="698"/>
      <c r="D160" s="699" t="s">
        <v>1380</v>
      </c>
      <c r="E160" s="699"/>
      <c r="F160" s="717"/>
      <c r="G160" s="699"/>
      <c r="H160" s="700"/>
      <c r="I160" s="775"/>
    </row>
    <row r="161" spans="2:12">
      <c r="B161" s="677"/>
      <c r="C161" s="678"/>
      <c r="D161" s="635" t="s">
        <v>1381</v>
      </c>
      <c r="E161" s="701" t="s">
        <v>129</v>
      </c>
      <c r="F161" s="714">
        <f>F152</f>
        <v>1.21</v>
      </c>
      <c r="G161" s="702">
        <f>BAHAN!E224</f>
        <v>64762.5</v>
      </c>
      <c r="H161" s="703">
        <f t="shared" ref="H161:H166" si="21">F161*G161</f>
        <v>78362.625</v>
      </c>
      <c r="I161" s="1174">
        <f>SUM(H161)+H166</f>
        <v>105789.54375</v>
      </c>
      <c r="J161" s="2082">
        <f>SUMIF(BOQ!$G$638:$G$2199,M!I161,BOQ!$E$638:$E$2199)</f>
        <v>0</v>
      </c>
      <c r="K161" s="5">
        <f>J161*F161</f>
        <v>0</v>
      </c>
      <c r="L161" s="1136" t="s">
        <v>129</v>
      </c>
    </row>
    <row r="162" spans="2:12">
      <c r="B162" s="172"/>
      <c r="C162" s="689"/>
      <c r="D162" s="603" t="s">
        <v>133</v>
      </c>
      <c r="E162" s="347" t="s">
        <v>263</v>
      </c>
      <c r="F162" s="715">
        <v>8.1000000000000003E-2</v>
      </c>
      <c r="G162" s="710">
        <f>G153</f>
        <v>136000</v>
      </c>
      <c r="H162" s="703">
        <f t="shared" si="21"/>
        <v>11016</v>
      </c>
      <c r="I162" s="1174"/>
    </row>
    <row r="163" spans="2:12">
      <c r="B163" s="172"/>
      <c r="C163" s="689"/>
      <c r="D163" s="603" t="s">
        <v>402</v>
      </c>
      <c r="E163" s="347" t="s">
        <v>263</v>
      </c>
      <c r="F163" s="715">
        <v>0.13500000000000001</v>
      </c>
      <c r="G163" s="710">
        <f>G154</f>
        <v>160000</v>
      </c>
      <c r="H163" s="703">
        <f t="shared" si="21"/>
        <v>21600</v>
      </c>
      <c r="I163" s="1174"/>
    </row>
    <row r="164" spans="2:12">
      <c r="B164" s="172"/>
      <c r="C164" s="689"/>
      <c r="D164" s="603" t="s">
        <v>562</v>
      </c>
      <c r="E164" s="347" t="s">
        <v>263</v>
      </c>
      <c r="F164" s="715">
        <v>1.35E-2</v>
      </c>
      <c r="G164" s="710">
        <f>G155</f>
        <v>170000</v>
      </c>
      <c r="H164" s="703">
        <f t="shared" si="21"/>
        <v>2295</v>
      </c>
      <c r="I164" s="1174"/>
    </row>
    <row r="165" spans="2:12">
      <c r="B165" s="689"/>
      <c r="C165" s="689"/>
      <c r="D165" s="603" t="s">
        <v>136</v>
      </c>
      <c r="E165" s="347" t="s">
        <v>263</v>
      </c>
      <c r="F165" s="715">
        <v>4.1000000000000003E-3</v>
      </c>
      <c r="G165" s="710">
        <f>G156</f>
        <v>180000</v>
      </c>
      <c r="H165" s="703">
        <f t="shared" si="21"/>
        <v>738.00000000000011</v>
      </c>
      <c r="I165" s="1174"/>
    </row>
    <row r="166" spans="2:12">
      <c r="B166" s="690"/>
      <c r="C166" s="690"/>
      <c r="D166" s="642" t="s">
        <v>680</v>
      </c>
      <c r="E166" s="705" t="s">
        <v>313</v>
      </c>
      <c r="F166" s="716">
        <v>0.35</v>
      </c>
      <c r="G166" s="706">
        <f>H161</f>
        <v>78362.625</v>
      </c>
      <c r="H166" s="703">
        <f t="shared" si="21"/>
        <v>27426.918749999997</v>
      </c>
      <c r="I166" s="1174">
        <f>SUM(H162:H165)</f>
        <v>35649</v>
      </c>
    </row>
    <row r="167" spans="2:12">
      <c r="B167" s="707"/>
      <c r="C167" s="692"/>
      <c r="D167" s="693" t="s">
        <v>645</v>
      </c>
      <c r="E167" s="693"/>
      <c r="F167" s="693"/>
      <c r="G167" s="635"/>
      <c r="H167" s="694">
        <f>SUM(H161:H166)</f>
        <v>141438.54375000001</v>
      </c>
      <c r="I167" s="1174"/>
    </row>
    <row r="168" spans="2:12">
      <c r="B168" s="396"/>
      <c r="C168" s="690"/>
      <c r="D168" s="695" t="s">
        <v>229</v>
      </c>
      <c r="E168" s="695"/>
      <c r="F168" s="695"/>
      <c r="G168" s="642"/>
      <c r="H168" s="696">
        <f>ROUND(H167,0)</f>
        <v>141439</v>
      </c>
      <c r="I168" s="775"/>
    </row>
    <row r="169" spans="2:12">
      <c r="B169" s="697" t="s">
        <v>691</v>
      </c>
      <c r="C169" s="698"/>
      <c r="D169" s="699" t="s">
        <v>692</v>
      </c>
      <c r="E169" s="699"/>
      <c r="F169" s="717"/>
      <c r="G169" s="699"/>
      <c r="H169" s="700"/>
      <c r="I169" s="775"/>
    </row>
    <row r="170" spans="2:12">
      <c r="B170" s="677"/>
      <c r="C170" s="678"/>
      <c r="D170" s="635" t="s">
        <v>693</v>
      </c>
      <c r="E170" s="701" t="s">
        <v>129</v>
      </c>
      <c r="F170" s="714">
        <f>F152</f>
        <v>1.21</v>
      </c>
      <c r="G170" s="702">
        <f>BAHAN!$E$218</f>
        <v>7656.25</v>
      </c>
      <c r="H170" s="703">
        <f t="shared" ref="H170:H175" si="22">F170*G170</f>
        <v>9264.0625</v>
      </c>
      <c r="I170" s="1174">
        <f>SUM(H170)+H175</f>
        <v>12506.484375</v>
      </c>
      <c r="J170" s="2082">
        <f>SUMIF(BOQ!$G$638:$G$2199,M!I170,BOQ!$E$638:$E$2199)</f>
        <v>0</v>
      </c>
      <c r="K170" s="5">
        <f>J170*F170</f>
        <v>0</v>
      </c>
      <c r="L170" s="1136" t="s">
        <v>129</v>
      </c>
    </row>
    <row r="171" spans="2:12">
      <c r="B171" s="172"/>
      <c r="C171" s="689"/>
      <c r="D171" s="603" t="s">
        <v>133</v>
      </c>
      <c r="E171" s="347" t="s">
        <v>263</v>
      </c>
      <c r="F171" s="715">
        <v>8.1000000000000003E-2</v>
      </c>
      <c r="G171" s="710">
        <f>G153</f>
        <v>136000</v>
      </c>
      <c r="H171" s="703">
        <f t="shared" si="22"/>
        <v>11016</v>
      </c>
      <c r="I171" s="1174"/>
    </row>
    <row r="172" spans="2:12">
      <c r="B172" s="172"/>
      <c r="C172" s="689"/>
      <c r="D172" s="603" t="s">
        <v>402</v>
      </c>
      <c r="E172" s="347" t="s">
        <v>263</v>
      </c>
      <c r="F172" s="715">
        <v>0.13500000000000001</v>
      </c>
      <c r="G172" s="710">
        <f>G154</f>
        <v>160000</v>
      </c>
      <c r="H172" s="703">
        <f t="shared" si="22"/>
        <v>21600</v>
      </c>
      <c r="I172" s="1174"/>
    </row>
    <row r="173" spans="2:12">
      <c r="B173" s="172"/>
      <c r="C173" s="689"/>
      <c r="D173" s="603" t="s">
        <v>562</v>
      </c>
      <c r="E173" s="347" t="s">
        <v>263</v>
      </c>
      <c r="F173" s="715">
        <v>1.35E-2</v>
      </c>
      <c r="G173" s="710">
        <f>G155</f>
        <v>170000</v>
      </c>
      <c r="H173" s="703">
        <f t="shared" si="22"/>
        <v>2295</v>
      </c>
      <c r="I173" s="1174"/>
    </row>
    <row r="174" spans="2:12">
      <c r="B174" s="689"/>
      <c r="C174" s="689"/>
      <c r="D174" s="603" t="s">
        <v>136</v>
      </c>
      <c r="E174" s="347" t="s">
        <v>263</v>
      </c>
      <c r="F174" s="715">
        <v>4.1000000000000003E-3</v>
      </c>
      <c r="G174" s="710">
        <f>G156</f>
        <v>180000</v>
      </c>
      <c r="H174" s="703">
        <f t="shared" si="22"/>
        <v>738.00000000000011</v>
      </c>
      <c r="I174" s="1174"/>
    </row>
    <row r="175" spans="2:12">
      <c r="B175" s="690"/>
      <c r="C175" s="690"/>
      <c r="D175" s="642" t="s">
        <v>680</v>
      </c>
      <c r="E175" s="705" t="s">
        <v>313</v>
      </c>
      <c r="F175" s="716">
        <v>0.35</v>
      </c>
      <c r="G175" s="710">
        <f>H170</f>
        <v>9264.0625</v>
      </c>
      <c r="H175" s="703">
        <f t="shared" si="22"/>
        <v>3242.421875</v>
      </c>
      <c r="I175" s="1174">
        <f>SUM(H171:H174)</f>
        <v>35649</v>
      </c>
    </row>
    <row r="176" spans="2:12">
      <c r="B176" s="707"/>
      <c r="C176" s="692"/>
      <c r="D176" s="693" t="s">
        <v>645</v>
      </c>
      <c r="E176" s="693"/>
      <c r="F176" s="693"/>
      <c r="G176" s="635"/>
      <c r="H176" s="694">
        <f>SUM(H170:H175)</f>
        <v>48155.484375</v>
      </c>
      <c r="I176" s="1174"/>
    </row>
    <row r="177" spans="2:12">
      <c r="B177" s="396"/>
      <c r="C177" s="690"/>
      <c r="D177" s="695" t="s">
        <v>229</v>
      </c>
      <c r="E177" s="695"/>
      <c r="F177" s="695"/>
      <c r="G177" s="642"/>
      <c r="H177" s="696">
        <f>ROUND(H176,0)</f>
        <v>48155</v>
      </c>
      <c r="I177" s="775"/>
    </row>
    <row r="178" spans="2:12">
      <c r="B178" s="697" t="s">
        <v>694</v>
      </c>
      <c r="C178" s="698"/>
      <c r="D178" s="699" t="s">
        <v>695</v>
      </c>
      <c r="E178" s="699"/>
      <c r="F178" s="717"/>
      <c r="G178" s="699"/>
      <c r="H178" s="700"/>
      <c r="I178" s="775"/>
    </row>
    <row r="179" spans="2:12">
      <c r="B179" s="677"/>
      <c r="C179" s="678"/>
      <c r="D179" s="635" t="s">
        <v>696</v>
      </c>
      <c r="E179" s="701" t="s">
        <v>129</v>
      </c>
      <c r="F179" s="714">
        <f>F170</f>
        <v>1.21</v>
      </c>
      <c r="G179" s="702">
        <f>BAHAN!$E$226</f>
        <v>39125</v>
      </c>
      <c r="H179" s="703">
        <f t="shared" ref="H179:H184" si="23">F179*G179</f>
        <v>47341.25</v>
      </c>
      <c r="I179" s="1174">
        <f>SUM(H179)+H184</f>
        <v>63910.6875</v>
      </c>
      <c r="J179" s="2082">
        <f>SUMIF(BOQ!$G$638:$G$2199,M!I179,BOQ!$E$638:$E$2199)</f>
        <v>0</v>
      </c>
      <c r="K179" s="5">
        <f>J179*F179</f>
        <v>0</v>
      </c>
      <c r="L179" s="1136" t="s">
        <v>129</v>
      </c>
    </row>
    <row r="180" spans="2:12">
      <c r="B180" s="172"/>
      <c r="C180" s="689"/>
      <c r="D180" s="603" t="s">
        <v>133</v>
      </c>
      <c r="E180" s="347" t="s">
        <v>263</v>
      </c>
      <c r="F180" s="715">
        <v>8.1000000000000003E-2</v>
      </c>
      <c r="G180" s="710">
        <f>G171</f>
        <v>136000</v>
      </c>
      <c r="H180" s="703">
        <f t="shared" si="23"/>
        <v>11016</v>
      </c>
      <c r="I180" s="1174"/>
      <c r="J180" s="1410"/>
    </row>
    <row r="181" spans="2:12">
      <c r="B181" s="172"/>
      <c r="C181" s="689"/>
      <c r="D181" s="603" t="s">
        <v>402</v>
      </c>
      <c r="E181" s="347" t="s">
        <v>263</v>
      </c>
      <c r="F181" s="715">
        <v>0.13500000000000001</v>
      </c>
      <c r="G181" s="710">
        <f>G172</f>
        <v>160000</v>
      </c>
      <c r="H181" s="703">
        <f t="shared" si="23"/>
        <v>21600</v>
      </c>
      <c r="I181" s="1174"/>
      <c r="J181" s="1410"/>
    </row>
    <row r="182" spans="2:12">
      <c r="B182" s="172"/>
      <c r="C182" s="689"/>
      <c r="D182" s="603" t="s">
        <v>562</v>
      </c>
      <c r="E182" s="347" t="s">
        <v>263</v>
      </c>
      <c r="F182" s="715">
        <v>1.35E-2</v>
      </c>
      <c r="G182" s="710">
        <f>G173</f>
        <v>170000</v>
      </c>
      <c r="H182" s="703">
        <f t="shared" si="23"/>
        <v>2295</v>
      </c>
      <c r="I182" s="1174"/>
    </row>
    <row r="183" spans="2:12">
      <c r="B183" s="689"/>
      <c r="C183" s="689"/>
      <c r="D183" s="603" t="s">
        <v>136</v>
      </c>
      <c r="E183" s="347" t="s">
        <v>263</v>
      </c>
      <c r="F183" s="715">
        <v>4.1000000000000003E-3</v>
      </c>
      <c r="G183" s="710">
        <f>G174</f>
        <v>180000</v>
      </c>
      <c r="H183" s="703">
        <f t="shared" si="23"/>
        <v>738.00000000000011</v>
      </c>
      <c r="I183" s="1174"/>
    </row>
    <row r="184" spans="2:12">
      <c r="B184" s="690"/>
      <c r="C184" s="690"/>
      <c r="D184" s="642" t="s">
        <v>680</v>
      </c>
      <c r="E184" s="705" t="s">
        <v>313</v>
      </c>
      <c r="F184" s="716">
        <v>0.35</v>
      </c>
      <c r="G184" s="710">
        <f>H179</f>
        <v>47341.25</v>
      </c>
      <c r="H184" s="703">
        <f t="shared" si="23"/>
        <v>16569.4375</v>
      </c>
      <c r="I184" s="1174">
        <f>SUM(H180:H183)</f>
        <v>35649</v>
      </c>
    </row>
    <row r="185" spans="2:12">
      <c r="B185" s="707"/>
      <c r="C185" s="692"/>
      <c r="D185" s="693" t="s">
        <v>645</v>
      </c>
      <c r="E185" s="693"/>
      <c r="F185" s="693"/>
      <c r="G185" s="635"/>
      <c r="H185" s="694">
        <f>SUM(H179:H184)</f>
        <v>99559.6875</v>
      </c>
      <c r="I185" s="1174"/>
    </row>
    <row r="186" spans="2:12">
      <c r="B186" s="396"/>
      <c r="C186" s="690"/>
      <c r="D186" s="695" t="s">
        <v>229</v>
      </c>
      <c r="E186" s="695"/>
      <c r="F186" s="695"/>
      <c r="G186" s="642"/>
      <c r="H186" s="696">
        <f>ROUND(H185,0)</f>
        <v>99560</v>
      </c>
      <c r="I186" s="775"/>
    </row>
    <row r="187" spans="2:12">
      <c r="B187" s="697" t="s">
        <v>697</v>
      </c>
      <c r="C187" s="698"/>
      <c r="D187" s="699" t="s">
        <v>698</v>
      </c>
      <c r="E187" s="699"/>
      <c r="F187" s="717"/>
      <c r="G187" s="699"/>
      <c r="H187" s="700"/>
      <c r="I187" s="775"/>
    </row>
    <row r="188" spans="2:12">
      <c r="B188" s="677"/>
      <c r="C188" s="678"/>
      <c r="D188" s="635" t="s">
        <v>699</v>
      </c>
      <c r="E188" s="701" t="s">
        <v>129</v>
      </c>
      <c r="F188" s="714">
        <f>F179</f>
        <v>1.21</v>
      </c>
      <c r="G188" s="702">
        <f>BAHAN!$E$227</f>
        <v>60600</v>
      </c>
      <c r="H188" s="703">
        <f t="shared" ref="H188:H193" si="24">F188*G188</f>
        <v>73326</v>
      </c>
      <c r="I188" s="1174">
        <f>SUM(H188)+H193</f>
        <v>98990.1</v>
      </c>
      <c r="J188" s="2082">
        <f>SUMIF(BOQ!$G$638:$G$2199,M!I188,BOQ!$E$638:$E$2199)</f>
        <v>0</v>
      </c>
      <c r="K188" s="5">
        <f>J188*F188</f>
        <v>0</v>
      </c>
      <c r="L188" s="1136" t="s">
        <v>129</v>
      </c>
    </row>
    <row r="189" spans="2:12">
      <c r="B189" s="172"/>
      <c r="C189" s="689"/>
      <c r="D189" s="603" t="s">
        <v>133</v>
      </c>
      <c r="E189" s="347" t="s">
        <v>263</v>
      </c>
      <c r="F189" s="715">
        <v>8.1000000000000003E-2</v>
      </c>
      <c r="G189" s="710">
        <f>G180</f>
        <v>136000</v>
      </c>
      <c r="H189" s="703">
        <f t="shared" si="24"/>
        <v>11016</v>
      </c>
      <c r="I189" s="1174"/>
    </row>
    <row r="190" spans="2:12">
      <c r="B190" s="172"/>
      <c r="C190" s="689"/>
      <c r="D190" s="603" t="s">
        <v>402</v>
      </c>
      <c r="E190" s="347" t="s">
        <v>263</v>
      </c>
      <c r="F190" s="715">
        <v>0.13500000000000001</v>
      </c>
      <c r="G190" s="710">
        <f>G181</f>
        <v>160000</v>
      </c>
      <c r="H190" s="703">
        <f t="shared" si="24"/>
        <v>21600</v>
      </c>
      <c r="I190" s="1174"/>
    </row>
    <row r="191" spans="2:12">
      <c r="B191" s="172"/>
      <c r="C191" s="689"/>
      <c r="D191" s="603" t="s">
        <v>562</v>
      </c>
      <c r="E191" s="347" t="s">
        <v>263</v>
      </c>
      <c r="F191" s="715">
        <v>1.35E-2</v>
      </c>
      <c r="G191" s="710">
        <f>G182</f>
        <v>170000</v>
      </c>
      <c r="H191" s="703">
        <f t="shared" si="24"/>
        <v>2295</v>
      </c>
      <c r="I191" s="1174"/>
    </row>
    <row r="192" spans="2:12">
      <c r="B192" s="689"/>
      <c r="C192" s="689"/>
      <c r="D192" s="603" t="s">
        <v>136</v>
      </c>
      <c r="E192" s="347" t="s">
        <v>263</v>
      </c>
      <c r="F192" s="715">
        <v>4.1000000000000003E-3</v>
      </c>
      <c r="G192" s="710">
        <f>G183</f>
        <v>180000</v>
      </c>
      <c r="H192" s="703">
        <f t="shared" si="24"/>
        <v>738.00000000000011</v>
      </c>
      <c r="I192" s="1174"/>
    </row>
    <row r="193" spans="2:11">
      <c r="B193" s="690"/>
      <c r="C193" s="690"/>
      <c r="D193" s="642" t="s">
        <v>680</v>
      </c>
      <c r="E193" s="705" t="s">
        <v>313</v>
      </c>
      <c r="F193" s="716">
        <v>0.35</v>
      </c>
      <c r="G193" s="710">
        <f>H188</f>
        <v>73326</v>
      </c>
      <c r="H193" s="703">
        <f t="shared" si="24"/>
        <v>25664.1</v>
      </c>
      <c r="I193" s="1174">
        <f>SUM(H189:H192)</f>
        <v>35649</v>
      </c>
    </row>
    <row r="194" spans="2:11">
      <c r="B194" s="707"/>
      <c r="C194" s="692"/>
      <c r="D194" s="693" t="s">
        <v>645</v>
      </c>
      <c r="E194" s="693"/>
      <c r="F194" s="693"/>
      <c r="G194" s="635"/>
      <c r="H194" s="694">
        <f>SUM(H188:H193)</f>
        <v>134639.1</v>
      </c>
      <c r="I194" s="1174"/>
    </row>
    <row r="195" spans="2:11">
      <c r="B195" s="396"/>
      <c r="C195" s="690"/>
      <c r="D195" s="695" t="s">
        <v>229</v>
      </c>
      <c r="E195" s="695"/>
      <c r="F195" s="695"/>
      <c r="G195" s="642"/>
      <c r="H195" s="696">
        <f>ROUND(H194,0)</f>
        <v>134639</v>
      </c>
      <c r="I195" s="775"/>
    </row>
    <row r="196" spans="2:11">
      <c r="B196" s="697" t="s">
        <v>700</v>
      </c>
      <c r="C196" s="698"/>
      <c r="D196" s="699" t="s">
        <v>701</v>
      </c>
      <c r="E196" s="699"/>
      <c r="F196" s="717"/>
      <c r="G196" s="699"/>
      <c r="H196" s="700"/>
      <c r="I196" s="775"/>
    </row>
    <row r="197" spans="2:11">
      <c r="B197" s="677"/>
      <c r="C197" s="678"/>
      <c r="D197" s="635" t="s">
        <v>699</v>
      </c>
      <c r="E197" s="701" t="s">
        <v>129</v>
      </c>
      <c r="F197" s="714">
        <f>F188</f>
        <v>1.21</v>
      </c>
      <c r="G197" s="702">
        <f>BAHAN!$E$228</f>
        <v>99600</v>
      </c>
      <c r="H197" s="703">
        <f t="shared" ref="H197:H202" si="25">F197*G197</f>
        <v>120516</v>
      </c>
      <c r="I197" s="1174">
        <f>SUM(H197)+H202</f>
        <v>162696.6</v>
      </c>
      <c r="J197" s="2082">
        <f>SUMIF(BOQ!$G$638:$G$2199,M!I197,BOQ!$E$638:$E$2199)</f>
        <v>0</v>
      </c>
      <c r="K197" s="5">
        <f>J197*F197</f>
        <v>0</v>
      </c>
    </row>
    <row r="198" spans="2:11">
      <c r="B198" s="172"/>
      <c r="C198" s="689"/>
      <c r="D198" s="603" t="s">
        <v>133</v>
      </c>
      <c r="E198" s="347" t="s">
        <v>263</v>
      </c>
      <c r="F198" s="715">
        <v>8.1000000000000003E-2</v>
      </c>
      <c r="G198" s="710">
        <f>G189</f>
        <v>136000</v>
      </c>
      <c r="H198" s="703">
        <f t="shared" si="25"/>
        <v>11016</v>
      </c>
      <c r="I198" s="1174"/>
    </row>
    <row r="199" spans="2:11">
      <c r="B199" s="172"/>
      <c r="C199" s="689"/>
      <c r="D199" s="603" t="s">
        <v>402</v>
      </c>
      <c r="E199" s="347" t="s">
        <v>263</v>
      </c>
      <c r="F199" s="715">
        <v>0.13500000000000001</v>
      </c>
      <c r="G199" s="710">
        <f>G190</f>
        <v>160000</v>
      </c>
      <c r="H199" s="703">
        <f t="shared" si="25"/>
        <v>21600</v>
      </c>
      <c r="I199" s="1174"/>
    </row>
    <row r="200" spans="2:11">
      <c r="B200" s="172"/>
      <c r="C200" s="689"/>
      <c r="D200" s="603" t="s">
        <v>562</v>
      </c>
      <c r="E200" s="347" t="s">
        <v>263</v>
      </c>
      <c r="F200" s="715">
        <v>1.35E-2</v>
      </c>
      <c r="G200" s="710">
        <f>G191</f>
        <v>170000</v>
      </c>
      <c r="H200" s="703">
        <f t="shared" si="25"/>
        <v>2295</v>
      </c>
      <c r="I200" s="1174"/>
    </row>
    <row r="201" spans="2:11">
      <c r="B201" s="689"/>
      <c r="C201" s="689"/>
      <c r="D201" s="603" t="s">
        <v>136</v>
      </c>
      <c r="E201" s="347" t="s">
        <v>263</v>
      </c>
      <c r="F201" s="715">
        <v>4.1000000000000003E-3</v>
      </c>
      <c r="G201" s="710">
        <f>G192</f>
        <v>180000</v>
      </c>
      <c r="H201" s="703">
        <f t="shared" si="25"/>
        <v>738.00000000000011</v>
      </c>
      <c r="I201" s="1174"/>
    </row>
    <row r="202" spans="2:11">
      <c r="B202" s="690"/>
      <c r="C202" s="690"/>
      <c r="D202" s="642" t="s">
        <v>680</v>
      </c>
      <c r="E202" s="705" t="s">
        <v>313</v>
      </c>
      <c r="F202" s="716">
        <v>0.35</v>
      </c>
      <c r="G202" s="710">
        <f>H197</f>
        <v>120516</v>
      </c>
      <c r="H202" s="703">
        <f t="shared" si="25"/>
        <v>42180.6</v>
      </c>
      <c r="I202" s="1174">
        <f>SUM(H198:H201)</f>
        <v>35649</v>
      </c>
    </row>
    <row r="203" spans="2:11">
      <c r="B203" s="707"/>
      <c r="C203" s="692"/>
      <c r="D203" s="693" t="s">
        <v>645</v>
      </c>
      <c r="E203" s="693"/>
      <c r="F203" s="693"/>
      <c r="G203" s="635"/>
      <c r="H203" s="694">
        <f>SUM(H197:H202)</f>
        <v>198345.60000000001</v>
      </c>
      <c r="I203" s="1174"/>
    </row>
    <row r="204" spans="2:11">
      <c r="B204" s="396"/>
      <c r="C204" s="690"/>
      <c r="D204" s="695" t="s">
        <v>229</v>
      </c>
      <c r="E204" s="695"/>
      <c r="F204" s="695"/>
      <c r="G204" s="642"/>
      <c r="H204" s="696">
        <f>ROUND(H203,0)</f>
        <v>198346</v>
      </c>
      <c r="I204" s="775"/>
    </row>
    <row r="205" spans="2:11">
      <c r="B205" s="697" t="s">
        <v>702</v>
      </c>
      <c r="C205" s="698"/>
      <c r="D205" s="699" t="s">
        <v>703</v>
      </c>
      <c r="E205" s="699"/>
      <c r="F205" s="717"/>
      <c r="G205" s="699"/>
      <c r="H205" s="700"/>
      <c r="I205" s="775"/>
    </row>
    <row r="206" spans="2:11">
      <c r="B206" s="677"/>
      <c r="C206" s="678"/>
      <c r="D206" s="635" t="s">
        <v>704</v>
      </c>
      <c r="E206" s="701" t="s">
        <v>129</v>
      </c>
      <c r="F206" s="714">
        <v>1</v>
      </c>
      <c r="G206" s="702">
        <f>BAHAN!$E$216</f>
        <v>124650</v>
      </c>
      <c r="H206" s="703">
        <f t="shared" ref="H206:H211" si="26">F206*G206</f>
        <v>124650</v>
      </c>
      <c r="I206" s="1174">
        <f>SUM(H206)+H211</f>
        <v>168277.5</v>
      </c>
    </row>
    <row r="207" spans="2:11">
      <c r="B207" s="172"/>
      <c r="C207" s="689"/>
      <c r="D207" s="603" t="s">
        <v>133</v>
      </c>
      <c r="E207" s="347" t="s">
        <v>263</v>
      </c>
      <c r="F207" s="715">
        <v>8.1000000000000003E-2</v>
      </c>
      <c r="G207" s="710">
        <f>G198</f>
        <v>136000</v>
      </c>
      <c r="H207" s="703">
        <f t="shared" si="26"/>
        <v>11016</v>
      </c>
      <c r="I207" s="1174"/>
    </row>
    <row r="208" spans="2:11">
      <c r="B208" s="172"/>
      <c r="C208" s="689"/>
      <c r="D208" s="603" t="s">
        <v>402</v>
      </c>
      <c r="E208" s="347" t="s">
        <v>263</v>
      </c>
      <c r="F208" s="715">
        <v>0.13500000000000001</v>
      </c>
      <c r="G208" s="710">
        <f>G199</f>
        <v>160000</v>
      </c>
      <c r="H208" s="703">
        <f t="shared" si="26"/>
        <v>21600</v>
      </c>
      <c r="I208" s="1174"/>
    </row>
    <row r="209" spans="2:12">
      <c r="B209" s="172"/>
      <c r="C209" s="689"/>
      <c r="D209" s="603" t="s">
        <v>562</v>
      </c>
      <c r="E209" s="347" t="s">
        <v>263</v>
      </c>
      <c r="F209" s="715">
        <v>1.35E-2</v>
      </c>
      <c r="G209" s="710">
        <f>G200</f>
        <v>170000</v>
      </c>
      <c r="H209" s="703">
        <f t="shared" si="26"/>
        <v>2295</v>
      </c>
      <c r="I209" s="1174"/>
    </row>
    <row r="210" spans="2:12">
      <c r="B210" s="689"/>
      <c r="C210" s="689"/>
      <c r="D210" s="603" t="s">
        <v>136</v>
      </c>
      <c r="E210" s="347" t="s">
        <v>263</v>
      </c>
      <c r="F210" s="715">
        <v>4.1000000000000003E-3</v>
      </c>
      <c r="G210" s="710">
        <f>G201</f>
        <v>180000</v>
      </c>
      <c r="H210" s="703">
        <f t="shared" si="26"/>
        <v>738.00000000000011</v>
      </c>
      <c r="I210" s="1174"/>
    </row>
    <row r="211" spans="2:12">
      <c r="B211" s="690"/>
      <c r="C211" s="690"/>
      <c r="D211" s="642" t="s">
        <v>680</v>
      </c>
      <c r="E211" s="705" t="s">
        <v>313</v>
      </c>
      <c r="F211" s="716">
        <v>0.35</v>
      </c>
      <c r="G211" s="710">
        <f>H206</f>
        <v>124650</v>
      </c>
      <c r="H211" s="703">
        <f t="shared" si="26"/>
        <v>43627.5</v>
      </c>
      <c r="I211" s="1174">
        <f>SUM(H207:H210)</f>
        <v>35649</v>
      </c>
    </row>
    <row r="212" spans="2:12">
      <c r="B212" s="707"/>
      <c r="C212" s="692"/>
      <c r="D212" s="693" t="s">
        <v>645</v>
      </c>
      <c r="E212" s="693"/>
      <c r="F212" s="693"/>
      <c r="G212" s="635"/>
      <c r="H212" s="694">
        <f>SUM(H206:H211)</f>
        <v>203926.5</v>
      </c>
      <c r="I212" s="1174"/>
    </row>
    <row r="213" spans="2:12">
      <c r="B213" s="396"/>
      <c r="C213" s="690"/>
      <c r="D213" s="695" t="s">
        <v>229</v>
      </c>
      <c r="E213" s="695"/>
      <c r="F213" s="695"/>
      <c r="G213" s="642"/>
      <c r="H213" s="696">
        <f>ROUND(H212,0)</f>
        <v>203927</v>
      </c>
      <c r="I213" s="775"/>
    </row>
    <row r="214" spans="2:12">
      <c r="B214" s="697" t="s">
        <v>705</v>
      </c>
      <c r="C214" s="698"/>
      <c r="D214" s="699" t="s">
        <v>1715</v>
      </c>
      <c r="E214" s="699"/>
      <c r="F214" s="717"/>
      <c r="G214" s="699"/>
      <c r="H214" s="700"/>
      <c r="I214" s="775"/>
    </row>
    <row r="215" spans="2:12">
      <c r="B215" s="677"/>
      <c r="C215" s="678"/>
      <c r="D215" s="635" t="s">
        <v>1721</v>
      </c>
      <c r="E215" s="701" t="s">
        <v>129</v>
      </c>
      <c r="F215" s="714">
        <f>F206</f>
        <v>1</v>
      </c>
      <c r="G215" s="702">
        <f>BAHAN!$E$229</f>
        <v>24500</v>
      </c>
      <c r="H215" s="703">
        <f t="shared" ref="H215:H220" si="27">F215*G215</f>
        <v>24500</v>
      </c>
      <c r="I215" s="1174">
        <f>SUM(H215)+H220</f>
        <v>33075</v>
      </c>
      <c r="J215" s="1410">
        <f>BOQ!$E$643+BOQ!$E$686</f>
        <v>0</v>
      </c>
      <c r="K215" s="5">
        <f>J215*F215</f>
        <v>0</v>
      </c>
      <c r="L215" s="1136" t="s">
        <v>129</v>
      </c>
    </row>
    <row r="216" spans="2:12">
      <c r="B216" s="172"/>
      <c r="C216" s="689"/>
      <c r="D216" s="603" t="s">
        <v>133</v>
      </c>
      <c r="E216" s="347" t="s">
        <v>263</v>
      </c>
      <c r="F216" s="715">
        <v>8.1000000000000003E-2</v>
      </c>
      <c r="G216" s="710">
        <f>G207</f>
        <v>136000</v>
      </c>
      <c r="H216" s="703">
        <f t="shared" si="27"/>
        <v>11016</v>
      </c>
      <c r="I216" s="1174"/>
    </row>
    <row r="217" spans="2:12">
      <c r="B217" s="172"/>
      <c r="C217" s="689"/>
      <c r="D217" s="603" t="s">
        <v>402</v>
      </c>
      <c r="E217" s="347" t="s">
        <v>263</v>
      </c>
      <c r="F217" s="715">
        <v>0.13500000000000001</v>
      </c>
      <c r="G217" s="710">
        <f>G208</f>
        <v>160000</v>
      </c>
      <c r="H217" s="703">
        <f t="shared" si="27"/>
        <v>21600</v>
      </c>
      <c r="I217" s="1174"/>
    </row>
    <row r="218" spans="2:12">
      <c r="B218" s="172"/>
      <c r="C218" s="689"/>
      <c r="D218" s="603" t="s">
        <v>562</v>
      </c>
      <c r="E218" s="347" t="s">
        <v>263</v>
      </c>
      <c r="F218" s="715">
        <v>1.35E-2</v>
      </c>
      <c r="G218" s="710">
        <f>G209</f>
        <v>170000</v>
      </c>
      <c r="H218" s="703">
        <f t="shared" si="27"/>
        <v>2295</v>
      </c>
      <c r="I218" s="1174"/>
    </row>
    <row r="219" spans="2:12">
      <c r="B219" s="689"/>
      <c r="C219" s="689"/>
      <c r="D219" s="603" t="s">
        <v>136</v>
      </c>
      <c r="E219" s="347" t="s">
        <v>263</v>
      </c>
      <c r="F219" s="715">
        <v>4.1000000000000003E-3</v>
      </c>
      <c r="G219" s="710">
        <f>G210</f>
        <v>180000</v>
      </c>
      <c r="H219" s="703">
        <f t="shared" si="27"/>
        <v>738.00000000000011</v>
      </c>
      <c r="I219" s="1174"/>
    </row>
    <row r="220" spans="2:12">
      <c r="B220" s="690"/>
      <c r="C220" s="690"/>
      <c r="D220" s="642" t="s">
        <v>680</v>
      </c>
      <c r="E220" s="705" t="s">
        <v>313</v>
      </c>
      <c r="F220" s="716">
        <v>0.35</v>
      </c>
      <c r="G220" s="706">
        <f>H215</f>
        <v>24500</v>
      </c>
      <c r="H220" s="703">
        <f t="shared" si="27"/>
        <v>8575</v>
      </c>
      <c r="I220" s="1174">
        <f>SUM(H216:H219)</f>
        <v>35649</v>
      </c>
    </row>
    <row r="221" spans="2:12">
      <c r="B221" s="707"/>
      <c r="C221" s="692"/>
      <c r="D221" s="693" t="s">
        <v>645</v>
      </c>
      <c r="E221" s="693"/>
      <c r="F221" s="693"/>
      <c r="G221" s="635"/>
      <c r="H221" s="694">
        <f>SUM(H215:H220)</f>
        <v>68724</v>
      </c>
      <c r="I221" s="1174"/>
    </row>
    <row r="222" spans="2:12">
      <c r="B222" s="396"/>
      <c r="C222" s="690"/>
      <c r="D222" s="695" t="s">
        <v>229</v>
      </c>
      <c r="E222" s="695"/>
      <c r="F222" s="695"/>
      <c r="G222" s="642"/>
      <c r="H222" s="696">
        <f>ROUND(H221,0)</f>
        <v>68724</v>
      </c>
      <c r="I222" s="775"/>
    </row>
    <row r="223" spans="2:12">
      <c r="B223" s="697" t="s">
        <v>705</v>
      </c>
      <c r="C223" s="698"/>
      <c r="D223" s="699" t="s">
        <v>706</v>
      </c>
      <c r="E223" s="699"/>
      <c r="F223" s="717"/>
      <c r="G223" s="699"/>
      <c r="H223" s="700"/>
      <c r="I223" s="775"/>
    </row>
    <row r="224" spans="2:12">
      <c r="B224" s="673"/>
      <c r="C224" s="678"/>
      <c r="D224" s="635" t="s">
        <v>707</v>
      </c>
      <c r="E224" s="701" t="s">
        <v>88</v>
      </c>
      <c r="F224" s="714">
        <v>1</v>
      </c>
      <c r="G224" s="702">
        <f>BAHAN!$E$243</f>
        <v>150000</v>
      </c>
      <c r="H224" s="703">
        <f>F224*G224</f>
        <v>150000</v>
      </c>
      <c r="I224" s="1174">
        <f>SUM(H224)</f>
        <v>150000</v>
      </c>
      <c r="J224" s="2082">
        <f>SUMIF(BOQ!$G$638:$G$2199,M!I224,BOQ!$E$638:$E$2199)</f>
        <v>0</v>
      </c>
      <c r="K224" s="5">
        <f>J224*F224</f>
        <v>0</v>
      </c>
      <c r="L224" s="1136" t="s">
        <v>88</v>
      </c>
    </row>
    <row r="225" spans="2:12">
      <c r="B225" s="718"/>
      <c r="C225" s="689"/>
      <c r="D225" s="603" t="s">
        <v>133</v>
      </c>
      <c r="E225" s="347" t="s">
        <v>263</v>
      </c>
      <c r="F225" s="715">
        <v>0.03</v>
      </c>
      <c r="G225" s="710">
        <f>G171</f>
        <v>136000</v>
      </c>
      <c r="H225" s="703">
        <f>F225*G225</f>
        <v>4080</v>
      </c>
      <c r="I225" s="1174"/>
    </row>
    <row r="226" spans="2:12">
      <c r="B226" s="172"/>
      <c r="C226" s="689"/>
      <c r="D226" s="603" t="s">
        <v>402</v>
      </c>
      <c r="E226" s="347" t="s">
        <v>263</v>
      </c>
      <c r="F226" s="715">
        <v>0.3</v>
      </c>
      <c r="G226" s="710">
        <f>G172</f>
        <v>160000</v>
      </c>
      <c r="H226" s="703">
        <f>F226*G226</f>
        <v>48000</v>
      </c>
      <c r="I226" s="1174"/>
    </row>
    <row r="227" spans="2:12">
      <c r="B227" s="172"/>
      <c r="C227" s="689"/>
      <c r="D227" s="603" t="s">
        <v>562</v>
      </c>
      <c r="E227" s="347" t="s">
        <v>263</v>
      </c>
      <c r="F227" s="715">
        <v>0.03</v>
      </c>
      <c r="G227" s="710">
        <f>G173</f>
        <v>170000</v>
      </c>
      <c r="H227" s="703">
        <f>F227*G227</f>
        <v>5100</v>
      </c>
      <c r="I227" s="1174"/>
    </row>
    <row r="228" spans="2:12">
      <c r="B228" s="690"/>
      <c r="C228" s="690"/>
      <c r="D228" s="642" t="s">
        <v>136</v>
      </c>
      <c r="E228" s="705" t="s">
        <v>263</v>
      </c>
      <c r="F228" s="716">
        <v>1.5E-3</v>
      </c>
      <c r="G228" s="710">
        <f>G174</f>
        <v>180000</v>
      </c>
      <c r="H228" s="703">
        <f>F228*G228</f>
        <v>270</v>
      </c>
      <c r="I228" s="1174">
        <f>SUM(H225:H228)</f>
        <v>57450</v>
      </c>
    </row>
    <row r="229" spans="2:12">
      <c r="B229" s="707"/>
      <c r="C229" s="692"/>
      <c r="D229" s="693" t="s">
        <v>645</v>
      </c>
      <c r="E229" s="693"/>
      <c r="F229" s="693"/>
      <c r="G229" s="635"/>
      <c r="H229" s="694">
        <f>SUM(H223:H228)</f>
        <v>207450</v>
      </c>
      <c r="I229" s="1174"/>
    </row>
    <row r="230" spans="2:12">
      <c r="B230" s="396"/>
      <c r="C230" s="690"/>
      <c r="D230" s="695" t="s">
        <v>229</v>
      </c>
      <c r="E230" s="695"/>
      <c r="F230" s="695"/>
      <c r="G230" s="642"/>
      <c r="H230" s="696">
        <f>ROUND(H229,0)</f>
        <v>207450</v>
      </c>
      <c r="I230" s="775"/>
    </row>
    <row r="231" spans="2:12">
      <c r="B231" s="697" t="s">
        <v>708</v>
      </c>
      <c r="C231" s="698"/>
      <c r="D231" s="699" t="s">
        <v>709</v>
      </c>
      <c r="E231" s="699"/>
      <c r="F231" s="717"/>
      <c r="G231" s="699"/>
      <c r="H231" s="700"/>
      <c r="I231" s="775"/>
    </row>
    <row r="232" spans="2:12">
      <c r="B232" s="677"/>
      <c r="C232" s="678"/>
      <c r="D232" s="635" t="s">
        <v>710</v>
      </c>
      <c r="E232" s="701" t="s">
        <v>88</v>
      </c>
      <c r="F232" s="714">
        <v>1</v>
      </c>
      <c r="G232" s="702">
        <f>BAHAN!$E$234</f>
        <v>90000</v>
      </c>
      <c r="H232" s="703">
        <f t="shared" ref="H232:H237" si="28">F232*G232</f>
        <v>90000</v>
      </c>
      <c r="I232" s="1174"/>
      <c r="J232" s="2082">
        <f>SUMIF(BOQ!$G$638:$G$2199,M!I233,BOQ!$E$638:$E$2199)</f>
        <v>0</v>
      </c>
      <c r="K232" s="5">
        <f>J232*F232</f>
        <v>0</v>
      </c>
      <c r="L232" s="1136" t="s">
        <v>88</v>
      </c>
    </row>
    <row r="233" spans="2:12">
      <c r="B233" s="682"/>
      <c r="C233" s="683"/>
      <c r="D233" s="603" t="s">
        <v>711</v>
      </c>
      <c r="E233" s="339" t="s">
        <v>88</v>
      </c>
      <c r="F233" s="719">
        <v>2.5000000000000001E-2</v>
      </c>
      <c r="G233" s="709">
        <f>BAHAN!$E$231</f>
        <v>5750</v>
      </c>
      <c r="H233" s="703">
        <f t="shared" si="28"/>
        <v>143.75</v>
      </c>
      <c r="I233" s="1174">
        <f>SUM(H232:H233)</f>
        <v>90143.75</v>
      </c>
      <c r="J233" s="1410">
        <f>J232</f>
        <v>0</v>
      </c>
      <c r="K233" s="5">
        <f>J233*F233</f>
        <v>0</v>
      </c>
      <c r="L233" s="1136" t="s">
        <v>88</v>
      </c>
    </row>
    <row r="234" spans="2:12">
      <c r="B234" s="172"/>
      <c r="C234" s="689"/>
      <c r="D234" s="603" t="s">
        <v>133</v>
      </c>
      <c r="E234" s="347" t="s">
        <v>263</v>
      </c>
      <c r="F234" s="715">
        <v>0.01</v>
      </c>
      <c r="G234" s="704">
        <f>G225</f>
        <v>136000</v>
      </c>
      <c r="H234" s="703">
        <f t="shared" si="28"/>
        <v>1360</v>
      </c>
      <c r="I234" s="1174"/>
    </row>
    <row r="235" spans="2:12">
      <c r="B235" s="172"/>
      <c r="C235" s="689"/>
      <c r="D235" s="603" t="s">
        <v>402</v>
      </c>
      <c r="E235" s="347" t="s">
        <v>263</v>
      </c>
      <c r="F235" s="715">
        <v>0.1</v>
      </c>
      <c r="G235" s="704">
        <f>G226</f>
        <v>160000</v>
      </c>
      <c r="H235" s="703">
        <f t="shared" si="28"/>
        <v>16000</v>
      </c>
      <c r="I235" s="1174"/>
    </row>
    <row r="236" spans="2:12">
      <c r="B236" s="172"/>
      <c r="C236" s="689"/>
      <c r="D236" s="603" t="s">
        <v>562</v>
      </c>
      <c r="E236" s="347" t="s">
        <v>263</v>
      </c>
      <c r="F236" s="715">
        <v>0.01</v>
      </c>
      <c r="G236" s="704">
        <f>G227</f>
        <v>170000</v>
      </c>
      <c r="H236" s="703">
        <f t="shared" si="28"/>
        <v>1700</v>
      </c>
      <c r="I236" s="1174"/>
    </row>
    <row r="237" spans="2:12">
      <c r="B237" s="690"/>
      <c r="C237" s="690"/>
      <c r="D237" s="642" t="s">
        <v>136</v>
      </c>
      <c r="E237" s="705" t="s">
        <v>263</v>
      </c>
      <c r="F237" s="716">
        <v>5.0000000000000001E-3</v>
      </c>
      <c r="G237" s="704">
        <f>G228</f>
        <v>180000</v>
      </c>
      <c r="H237" s="703">
        <f t="shared" si="28"/>
        <v>900</v>
      </c>
      <c r="I237" s="1174">
        <f>SUM(H234:H237)</f>
        <v>19960</v>
      </c>
    </row>
    <row r="238" spans="2:12">
      <c r="B238" s="707"/>
      <c r="C238" s="692"/>
      <c r="D238" s="693" t="s">
        <v>645</v>
      </c>
      <c r="E238" s="693"/>
      <c r="F238" s="693"/>
      <c r="G238" s="635"/>
      <c r="H238" s="694">
        <f>SUM(H232:H237)</f>
        <v>110103.75</v>
      </c>
      <c r="I238" s="1174"/>
    </row>
    <row r="239" spans="2:12">
      <c r="B239" s="396"/>
      <c r="C239" s="690"/>
      <c r="D239" s="695" t="s">
        <v>229</v>
      </c>
      <c r="E239" s="695"/>
      <c r="F239" s="695"/>
      <c r="G239" s="642"/>
      <c r="H239" s="696">
        <f>ROUND(H238,0)</f>
        <v>110104</v>
      </c>
      <c r="I239" s="775"/>
    </row>
    <row r="240" spans="2:12">
      <c r="B240" s="697" t="s">
        <v>712</v>
      </c>
      <c r="C240" s="698"/>
      <c r="D240" s="699" t="s">
        <v>713</v>
      </c>
      <c r="E240" s="699"/>
      <c r="F240" s="717"/>
      <c r="G240" s="699"/>
      <c r="H240" s="700"/>
      <c r="I240" s="775"/>
    </row>
    <row r="241" spans="2:12">
      <c r="B241" s="677"/>
      <c r="C241" s="678"/>
      <c r="D241" s="635" t="s">
        <v>714</v>
      </c>
      <c r="E241" s="701" t="s">
        <v>88</v>
      </c>
      <c r="F241" s="714">
        <v>1</v>
      </c>
      <c r="G241" s="702">
        <f>BAHAN!$E$236</f>
        <v>1040900</v>
      </c>
      <c r="H241" s="703">
        <f t="shared" ref="H241:H246" si="29">F241*G241</f>
        <v>1040900</v>
      </c>
      <c r="I241" s="1174"/>
      <c r="J241" s="2082">
        <f>SUMIF(BOQ!$G$638:$G$2199,M!I242,BOQ!$E$638:$E$2199)</f>
        <v>0</v>
      </c>
      <c r="K241" s="5">
        <f>J241*F241</f>
        <v>0</v>
      </c>
      <c r="L241" s="1136" t="s">
        <v>88</v>
      </c>
    </row>
    <row r="242" spans="2:12">
      <c r="B242" s="682"/>
      <c r="C242" s="683"/>
      <c r="D242" s="603" t="s">
        <v>711</v>
      </c>
      <c r="E242" s="339" t="s">
        <v>88</v>
      </c>
      <c r="F242" s="719">
        <v>2.5000000000000001E-2</v>
      </c>
      <c r="G242" s="709">
        <f>G233</f>
        <v>5750</v>
      </c>
      <c r="H242" s="703">
        <f t="shared" si="29"/>
        <v>143.75</v>
      </c>
      <c r="I242" s="1174">
        <f>SUM(H241:H242)</f>
        <v>1041043.75</v>
      </c>
      <c r="J242" s="1410">
        <f>J241</f>
        <v>0</v>
      </c>
      <c r="K242" s="5">
        <f>J242*F242</f>
        <v>0</v>
      </c>
      <c r="L242" s="1136" t="s">
        <v>88</v>
      </c>
    </row>
    <row r="243" spans="2:12">
      <c r="B243" s="172"/>
      <c r="C243" s="689"/>
      <c r="D243" s="603" t="s">
        <v>133</v>
      </c>
      <c r="E243" s="347" t="s">
        <v>263</v>
      </c>
      <c r="F243" s="715">
        <v>0.01</v>
      </c>
      <c r="G243" s="704">
        <f>G234</f>
        <v>136000</v>
      </c>
      <c r="H243" s="703">
        <f t="shared" si="29"/>
        <v>1360</v>
      </c>
      <c r="I243" s="1174"/>
      <c r="J243" s="1410"/>
      <c r="L243" s="774"/>
    </row>
    <row r="244" spans="2:12">
      <c r="B244" s="172"/>
      <c r="C244" s="689"/>
      <c r="D244" s="603" t="s">
        <v>402</v>
      </c>
      <c r="E244" s="347" t="s">
        <v>263</v>
      </c>
      <c r="F244" s="715">
        <v>0.1</v>
      </c>
      <c r="G244" s="704">
        <f>G235</f>
        <v>160000</v>
      </c>
      <c r="H244" s="703">
        <f t="shared" si="29"/>
        <v>16000</v>
      </c>
      <c r="I244" s="1174"/>
      <c r="J244" s="1410"/>
      <c r="L244" s="774"/>
    </row>
    <row r="245" spans="2:12">
      <c r="B245" s="172"/>
      <c r="C245" s="689"/>
      <c r="D245" s="603" t="s">
        <v>562</v>
      </c>
      <c r="E245" s="347" t="s">
        <v>263</v>
      </c>
      <c r="F245" s="715">
        <v>0.01</v>
      </c>
      <c r="G245" s="704">
        <f>G236</f>
        <v>170000</v>
      </c>
      <c r="H245" s="703">
        <f t="shared" si="29"/>
        <v>1700</v>
      </c>
      <c r="I245" s="1174"/>
      <c r="J245" s="1410"/>
      <c r="L245" s="774"/>
    </row>
    <row r="246" spans="2:12">
      <c r="B246" s="690"/>
      <c r="C246" s="690"/>
      <c r="D246" s="642" t="s">
        <v>136</v>
      </c>
      <c r="E246" s="705" t="s">
        <v>263</v>
      </c>
      <c r="F246" s="716">
        <v>5.0000000000000001E-3</v>
      </c>
      <c r="G246" s="704">
        <f>G237</f>
        <v>180000</v>
      </c>
      <c r="H246" s="703">
        <f t="shared" si="29"/>
        <v>900</v>
      </c>
      <c r="I246" s="1174">
        <f>SUM(H243:H246)</f>
        <v>19960</v>
      </c>
      <c r="J246" s="1410"/>
      <c r="L246" s="774"/>
    </row>
    <row r="247" spans="2:12">
      <c r="B247" s="707"/>
      <c r="C247" s="692"/>
      <c r="D247" s="693" t="s">
        <v>645</v>
      </c>
      <c r="E247" s="693"/>
      <c r="F247" s="693"/>
      <c r="G247" s="635"/>
      <c r="H247" s="694">
        <f>SUM(H241:H246)</f>
        <v>1061003.75</v>
      </c>
      <c r="I247" s="1174"/>
    </row>
    <row r="248" spans="2:12">
      <c r="B248" s="396"/>
      <c r="C248" s="690"/>
      <c r="D248" s="695" t="s">
        <v>229</v>
      </c>
      <c r="E248" s="695"/>
      <c r="F248" s="695"/>
      <c r="G248" s="642"/>
      <c r="H248" s="696">
        <f>ROUND(H247,0)</f>
        <v>1061004</v>
      </c>
      <c r="I248" s="775"/>
    </row>
    <row r="249" spans="2:12">
      <c r="B249" s="697" t="s">
        <v>715</v>
      </c>
      <c r="C249" s="698"/>
      <c r="D249" s="699" t="s">
        <v>716</v>
      </c>
      <c r="E249" s="699"/>
      <c r="F249" s="717"/>
      <c r="G249" s="699"/>
      <c r="H249" s="700"/>
      <c r="I249" s="775"/>
    </row>
    <row r="250" spans="2:12">
      <c r="B250" s="677"/>
      <c r="C250" s="678"/>
      <c r="D250" s="635" t="s">
        <v>717</v>
      </c>
      <c r="E250" s="701" t="s">
        <v>88</v>
      </c>
      <c r="F250" s="714">
        <v>1</v>
      </c>
      <c r="G250" s="702">
        <f>BAHAN!$E$244</f>
        <v>30000</v>
      </c>
      <c r="H250" s="703">
        <f>F250*G250</f>
        <v>30000</v>
      </c>
      <c r="I250" s="1174">
        <f>SUM(H250)</f>
        <v>30000</v>
      </c>
      <c r="J250" s="2082">
        <f>SUMIF(BOQ!$G$638:$G$2199,M!I250,BOQ!$E$638:$E$2199)</f>
        <v>0</v>
      </c>
      <c r="K250" s="5">
        <f>J250*F250</f>
        <v>0</v>
      </c>
      <c r="L250" s="1136" t="s">
        <v>88</v>
      </c>
    </row>
    <row r="251" spans="2:12">
      <c r="B251" s="172"/>
      <c r="C251" s="689"/>
      <c r="D251" s="603" t="s">
        <v>133</v>
      </c>
      <c r="E251" s="347" t="s">
        <v>263</v>
      </c>
      <c r="F251" s="715">
        <v>0.01</v>
      </c>
      <c r="G251" s="704">
        <f>G234</f>
        <v>136000</v>
      </c>
      <c r="H251" s="703">
        <f>F251*G251</f>
        <v>1360</v>
      </c>
      <c r="I251" s="1174"/>
    </row>
    <row r="252" spans="2:12">
      <c r="B252" s="172"/>
      <c r="C252" s="689"/>
      <c r="D252" s="603" t="s">
        <v>402</v>
      </c>
      <c r="E252" s="347" t="s">
        <v>263</v>
      </c>
      <c r="F252" s="715">
        <v>0.1</v>
      </c>
      <c r="G252" s="704">
        <f>G235</f>
        <v>160000</v>
      </c>
      <c r="H252" s="703">
        <f>F252*G252</f>
        <v>16000</v>
      </c>
      <c r="I252" s="1174"/>
    </row>
    <row r="253" spans="2:12">
      <c r="B253" s="172"/>
      <c r="C253" s="689"/>
      <c r="D253" s="603" t="s">
        <v>562</v>
      </c>
      <c r="E253" s="347" t="s">
        <v>263</v>
      </c>
      <c r="F253" s="715">
        <v>0.01</v>
      </c>
      <c r="G253" s="704">
        <f>G236</f>
        <v>170000</v>
      </c>
      <c r="H253" s="703">
        <f>F253*G253</f>
        <v>1700</v>
      </c>
      <c r="I253" s="1174"/>
    </row>
    <row r="254" spans="2:12">
      <c r="B254" s="690"/>
      <c r="C254" s="690"/>
      <c r="D254" s="642" t="s">
        <v>136</v>
      </c>
      <c r="E254" s="705" t="s">
        <v>263</v>
      </c>
      <c r="F254" s="716">
        <v>5.0000000000000001E-3</v>
      </c>
      <c r="G254" s="704">
        <f>G237</f>
        <v>180000</v>
      </c>
      <c r="H254" s="703">
        <f>F254*G254</f>
        <v>900</v>
      </c>
      <c r="I254" s="1174">
        <f>SUM(H251:H254)</f>
        <v>19960</v>
      </c>
    </row>
    <row r="255" spans="2:12">
      <c r="B255" s="707"/>
      <c r="C255" s="692"/>
      <c r="D255" s="693" t="s">
        <v>645</v>
      </c>
      <c r="E255" s="693"/>
      <c r="F255" s="693"/>
      <c r="G255" s="635"/>
      <c r="H255" s="694">
        <f>SUM(H249:H254)</f>
        <v>49960</v>
      </c>
      <c r="I255" s="1174"/>
    </row>
    <row r="256" spans="2:12">
      <c r="B256" s="396"/>
      <c r="C256" s="690"/>
      <c r="D256" s="695" t="s">
        <v>229</v>
      </c>
      <c r="E256" s="695"/>
      <c r="F256" s="695"/>
      <c r="G256" s="642"/>
      <c r="H256" s="696">
        <f>ROUND(H255,0)</f>
        <v>49960</v>
      </c>
      <c r="I256" s="775"/>
    </row>
    <row r="257" spans="2:12">
      <c r="B257" s="697" t="s">
        <v>718</v>
      </c>
      <c r="C257" s="698"/>
      <c r="D257" s="699" t="s">
        <v>719</v>
      </c>
      <c r="E257" s="699"/>
      <c r="F257" s="717"/>
      <c r="G257" s="699"/>
      <c r="H257" s="700"/>
      <c r="I257" s="775"/>
    </row>
    <row r="258" spans="2:12">
      <c r="B258" s="677"/>
      <c r="C258" s="678"/>
      <c r="D258" s="635" t="s">
        <v>720</v>
      </c>
      <c r="E258" s="701" t="s">
        <v>88</v>
      </c>
      <c r="F258" s="714">
        <v>1</v>
      </c>
      <c r="G258" s="702">
        <f>BAHAN!$E$245</f>
        <v>10000</v>
      </c>
      <c r="H258" s="703">
        <f>F258*G258</f>
        <v>10000</v>
      </c>
      <c r="I258" s="1174">
        <f>SUM(H258)</f>
        <v>10000</v>
      </c>
      <c r="J258" s="2082">
        <f>SUMIF(BOQ!$G$638:$G$2199,M!I258,BOQ!$E$638:$E$2199)</f>
        <v>0</v>
      </c>
      <c r="K258" s="5">
        <f>J258*F258</f>
        <v>0</v>
      </c>
      <c r="L258" s="1136" t="s">
        <v>88</v>
      </c>
    </row>
    <row r="259" spans="2:12">
      <c r="B259" s="172"/>
      <c r="C259" s="689"/>
      <c r="D259" s="603" t="s">
        <v>133</v>
      </c>
      <c r="E259" s="347" t="s">
        <v>263</v>
      </c>
      <c r="F259" s="715">
        <v>0.01</v>
      </c>
      <c r="G259" s="704">
        <f>G251</f>
        <v>136000</v>
      </c>
      <c r="H259" s="703">
        <f>F259*G259</f>
        <v>1360</v>
      </c>
      <c r="I259" s="1174"/>
    </row>
    <row r="260" spans="2:12">
      <c r="B260" s="172"/>
      <c r="C260" s="689"/>
      <c r="D260" s="603" t="s">
        <v>402</v>
      </c>
      <c r="E260" s="347" t="s">
        <v>263</v>
      </c>
      <c r="F260" s="715">
        <v>0.1</v>
      </c>
      <c r="G260" s="704">
        <f>G252</f>
        <v>160000</v>
      </c>
      <c r="H260" s="703">
        <f>F260*G260</f>
        <v>16000</v>
      </c>
      <c r="I260" s="1174"/>
    </row>
    <row r="261" spans="2:12">
      <c r="B261" s="172"/>
      <c r="C261" s="689"/>
      <c r="D261" s="603" t="s">
        <v>562</v>
      </c>
      <c r="E261" s="347" t="s">
        <v>263</v>
      </c>
      <c r="F261" s="715">
        <v>0.01</v>
      </c>
      <c r="G261" s="704">
        <f>G253</f>
        <v>170000</v>
      </c>
      <c r="H261" s="703">
        <f>F261*G261</f>
        <v>1700</v>
      </c>
      <c r="I261" s="1174"/>
    </row>
    <row r="262" spans="2:12">
      <c r="B262" s="690"/>
      <c r="C262" s="690"/>
      <c r="D262" s="642" t="s">
        <v>136</v>
      </c>
      <c r="E262" s="705" t="s">
        <v>263</v>
      </c>
      <c r="F262" s="716">
        <v>5.0000000000000001E-3</v>
      </c>
      <c r="G262" s="704">
        <f>G254</f>
        <v>180000</v>
      </c>
      <c r="H262" s="703">
        <f>F262*G262</f>
        <v>900</v>
      </c>
      <c r="I262" s="1174">
        <f>SUM(H259:H262)</f>
        <v>19960</v>
      </c>
    </row>
    <row r="263" spans="2:12">
      <c r="B263" s="707"/>
      <c r="C263" s="692"/>
      <c r="D263" s="693" t="s">
        <v>645</v>
      </c>
      <c r="E263" s="693"/>
      <c r="F263" s="693"/>
      <c r="G263" s="635"/>
      <c r="H263" s="694">
        <f>SUM(H257:H262)</f>
        <v>29960</v>
      </c>
      <c r="I263" s="1174"/>
    </row>
    <row r="264" spans="2:12">
      <c r="B264" s="396"/>
      <c r="C264" s="690"/>
      <c r="D264" s="695" t="s">
        <v>229</v>
      </c>
      <c r="E264" s="695"/>
      <c r="F264" s="695"/>
      <c r="G264" s="642"/>
      <c r="H264" s="696">
        <f>ROUND(H263,0)</f>
        <v>29960</v>
      </c>
      <c r="I264" s="775"/>
    </row>
    <row r="265" spans="2:12">
      <c r="B265" s="697" t="s">
        <v>721</v>
      </c>
      <c r="C265" s="698"/>
      <c r="D265" s="699" t="s">
        <v>722</v>
      </c>
      <c r="E265" s="699"/>
      <c r="F265" s="699"/>
      <c r="G265" s="699"/>
      <c r="H265" s="700"/>
      <c r="I265" s="775"/>
    </row>
    <row r="266" spans="2:12">
      <c r="B266" s="677"/>
      <c r="C266" s="678"/>
      <c r="D266" s="635" t="s">
        <v>723</v>
      </c>
      <c r="E266" s="701" t="s">
        <v>129</v>
      </c>
      <c r="F266" s="720">
        <v>1.05</v>
      </c>
      <c r="G266" s="702">
        <f>BAHAN!$E$246</f>
        <v>65000</v>
      </c>
      <c r="H266" s="703">
        <f t="shared" ref="H266:H271" si="30">F266*G266</f>
        <v>68250</v>
      </c>
      <c r="I266" s="1174">
        <f>SUM(H266:H267)</f>
        <v>92137.5</v>
      </c>
    </row>
    <row r="267" spans="2:12">
      <c r="B267" s="682"/>
      <c r="C267" s="721"/>
      <c r="D267" s="603" t="s">
        <v>724</v>
      </c>
      <c r="E267" s="347" t="s">
        <v>313</v>
      </c>
      <c r="F267" s="336">
        <v>0.35</v>
      </c>
      <c r="G267" s="710">
        <f>H266</f>
        <v>68250</v>
      </c>
      <c r="H267" s="703">
        <f t="shared" si="30"/>
        <v>23887.5</v>
      </c>
      <c r="I267" s="1174"/>
    </row>
    <row r="268" spans="2:12">
      <c r="B268" s="172"/>
      <c r="C268" s="689"/>
      <c r="D268" s="603" t="s">
        <v>133</v>
      </c>
      <c r="E268" s="347" t="s">
        <v>263</v>
      </c>
      <c r="F268" s="336">
        <v>0.15</v>
      </c>
      <c r="G268" s="704">
        <f>G259</f>
        <v>136000</v>
      </c>
      <c r="H268" s="703">
        <f t="shared" si="30"/>
        <v>20400</v>
      </c>
      <c r="I268" s="1174"/>
    </row>
    <row r="269" spans="2:12">
      <c r="B269" s="172"/>
      <c r="C269" s="689"/>
      <c r="D269" s="603" t="s">
        <v>402</v>
      </c>
      <c r="E269" s="347" t="s">
        <v>263</v>
      </c>
      <c r="F269" s="336">
        <v>0.4</v>
      </c>
      <c r="G269" s="704">
        <f>G260</f>
        <v>160000</v>
      </c>
      <c r="H269" s="703">
        <f t="shared" si="30"/>
        <v>64000</v>
      </c>
      <c r="I269" s="1174"/>
    </row>
    <row r="270" spans="2:12">
      <c r="B270" s="172"/>
      <c r="C270" s="689"/>
      <c r="D270" s="603" t="s">
        <v>562</v>
      </c>
      <c r="E270" s="347" t="s">
        <v>263</v>
      </c>
      <c r="F270" s="336">
        <v>2.5000000000000001E-2</v>
      </c>
      <c r="G270" s="704">
        <f>G261</f>
        <v>170000</v>
      </c>
      <c r="H270" s="703">
        <f t="shared" si="30"/>
        <v>4250</v>
      </c>
      <c r="I270" s="1174"/>
    </row>
    <row r="271" spans="2:12">
      <c r="B271" s="690"/>
      <c r="C271" s="690"/>
      <c r="D271" s="642" t="s">
        <v>136</v>
      </c>
      <c r="E271" s="705" t="s">
        <v>263</v>
      </c>
      <c r="F271" s="691">
        <v>1.25E-3</v>
      </c>
      <c r="G271" s="704">
        <f>G262</f>
        <v>180000</v>
      </c>
      <c r="H271" s="703">
        <f t="shared" si="30"/>
        <v>225</v>
      </c>
      <c r="I271" s="1174">
        <f>SUM(H268:H271)</f>
        <v>88875</v>
      </c>
    </row>
    <row r="272" spans="2:12">
      <c r="B272" s="707"/>
      <c r="C272" s="692"/>
      <c r="D272" s="693" t="s">
        <v>645</v>
      </c>
      <c r="E272" s="693"/>
      <c r="F272" s="693"/>
      <c r="G272" s="635"/>
      <c r="H272" s="694">
        <f>SUM(H266:H271)</f>
        <v>181012.5</v>
      </c>
      <c r="I272" s="1174"/>
    </row>
    <row r="273" spans="2:12">
      <c r="B273" s="396"/>
      <c r="C273" s="690"/>
      <c r="D273" s="695" t="s">
        <v>229</v>
      </c>
      <c r="E273" s="695"/>
      <c r="F273" s="695"/>
      <c r="G273" s="642"/>
      <c r="H273" s="696">
        <f>ROUND(H272,0)</f>
        <v>181013</v>
      </c>
      <c r="I273" s="775"/>
    </row>
    <row r="274" spans="2:12">
      <c r="B274" s="697" t="s">
        <v>725</v>
      </c>
      <c r="C274" s="698"/>
      <c r="D274" s="699" t="s">
        <v>726</v>
      </c>
      <c r="E274" s="699"/>
      <c r="F274" s="699"/>
      <c r="G274" s="699"/>
      <c r="H274" s="700"/>
      <c r="I274" s="775"/>
    </row>
    <row r="275" spans="2:12">
      <c r="B275" s="677"/>
      <c r="C275" s="678"/>
      <c r="D275" s="635" t="s">
        <v>727</v>
      </c>
      <c r="E275" s="701" t="s">
        <v>88</v>
      </c>
      <c r="F275" s="679">
        <v>1</v>
      </c>
      <c r="G275" s="702">
        <f>BAHAN!$E$373</f>
        <v>1600000</v>
      </c>
      <c r="H275" s="703">
        <f t="shared" ref="H275:H280" si="31">F275*G275</f>
        <v>1600000</v>
      </c>
      <c r="I275" s="1174">
        <f>SUM(H275)+H280</f>
        <v>1696000</v>
      </c>
      <c r="J275" s="2082">
        <f>SUMIF(BOQ!$G$638:$G$2199,M!I275,BOQ!$E$638:$E$2199)</f>
        <v>0</v>
      </c>
      <c r="K275" s="5">
        <f>J275*F275</f>
        <v>0</v>
      </c>
      <c r="L275" s="1136" t="s">
        <v>88</v>
      </c>
    </row>
    <row r="276" spans="2:12">
      <c r="B276" s="172"/>
      <c r="C276" s="689"/>
      <c r="D276" s="603" t="s">
        <v>133</v>
      </c>
      <c r="E276" s="347" t="s">
        <v>263</v>
      </c>
      <c r="F276" s="336">
        <v>3.3</v>
      </c>
      <c r="G276" s="704">
        <f>$G$18</f>
        <v>136000</v>
      </c>
      <c r="H276" s="703">
        <f t="shared" si="31"/>
        <v>448800</v>
      </c>
      <c r="I276" s="1174"/>
    </row>
    <row r="277" spans="2:12">
      <c r="B277" s="172"/>
      <c r="C277" s="689"/>
      <c r="D277" s="603" t="s">
        <v>402</v>
      </c>
      <c r="E277" s="347" t="s">
        <v>263</v>
      </c>
      <c r="F277" s="336">
        <v>1.1000000000000001</v>
      </c>
      <c r="G277" s="704">
        <f>$G$19</f>
        <v>160000</v>
      </c>
      <c r="H277" s="703">
        <f t="shared" si="31"/>
        <v>176000</v>
      </c>
      <c r="I277" s="1174"/>
    </row>
    <row r="278" spans="2:12">
      <c r="B278" s="172"/>
      <c r="C278" s="689"/>
      <c r="D278" s="603" t="s">
        <v>562</v>
      </c>
      <c r="E278" s="347" t="s">
        <v>263</v>
      </c>
      <c r="F278" s="336">
        <v>1E-3</v>
      </c>
      <c r="G278" s="704">
        <f>$G$20</f>
        <v>170000</v>
      </c>
      <c r="H278" s="703">
        <f t="shared" si="31"/>
        <v>170</v>
      </c>
      <c r="I278" s="1174"/>
    </row>
    <row r="279" spans="2:12">
      <c r="B279" s="689"/>
      <c r="C279" s="689"/>
      <c r="D279" s="603" t="s">
        <v>136</v>
      </c>
      <c r="E279" s="347" t="s">
        <v>263</v>
      </c>
      <c r="F279" s="336">
        <v>0.16</v>
      </c>
      <c r="G279" s="704">
        <f>$G$21</f>
        <v>180000</v>
      </c>
      <c r="H279" s="703">
        <f t="shared" si="31"/>
        <v>28800</v>
      </c>
      <c r="I279" s="1174"/>
    </row>
    <row r="280" spans="2:12">
      <c r="B280" s="690"/>
      <c r="C280" s="690"/>
      <c r="D280" s="642" t="s">
        <v>728</v>
      </c>
      <c r="E280" s="705" t="s">
        <v>313</v>
      </c>
      <c r="F280" s="691">
        <v>0.06</v>
      </c>
      <c r="G280" s="706">
        <f>H275</f>
        <v>1600000</v>
      </c>
      <c r="H280" s="703">
        <f t="shared" si="31"/>
        <v>96000</v>
      </c>
      <c r="I280" s="1174">
        <f>SUM(H276:H279)</f>
        <v>653770</v>
      </c>
    </row>
    <row r="281" spans="2:12">
      <c r="B281" s="707"/>
      <c r="C281" s="692"/>
      <c r="D281" s="693" t="s">
        <v>645</v>
      </c>
      <c r="E281" s="693"/>
      <c r="F281" s="693"/>
      <c r="G281" s="635"/>
      <c r="H281" s="694">
        <f>SUM(H275:H280)</f>
        <v>2349770</v>
      </c>
      <c r="I281" s="1174"/>
    </row>
    <row r="282" spans="2:12">
      <c r="B282" s="396"/>
      <c r="C282" s="690"/>
      <c r="D282" s="695" t="s">
        <v>229</v>
      </c>
      <c r="E282" s="695"/>
      <c r="F282" s="695"/>
      <c r="G282" s="642"/>
      <c r="H282" s="696">
        <f>ROUND(H281,0)</f>
        <v>2349770</v>
      </c>
      <c r="I282" s="775"/>
    </row>
    <row r="283" spans="2:12">
      <c r="B283" s="697" t="s">
        <v>725</v>
      </c>
      <c r="C283" s="698"/>
      <c r="D283" s="699" t="s">
        <v>2605</v>
      </c>
      <c r="E283" s="699"/>
      <c r="F283" s="699"/>
      <c r="G283" s="699"/>
      <c r="H283" s="700"/>
      <c r="I283" s="775"/>
    </row>
    <row r="284" spans="2:12">
      <c r="B284" s="677"/>
      <c r="C284" s="678"/>
      <c r="D284" s="635" t="s">
        <v>2606</v>
      </c>
      <c r="E284" s="701" t="s">
        <v>88</v>
      </c>
      <c r="F284" s="679">
        <v>1</v>
      </c>
      <c r="G284" s="702">
        <f>BAHAN!$E$375</f>
        <v>1350000</v>
      </c>
      <c r="H284" s="703">
        <f t="shared" ref="H284:H289" si="32">F284*G284</f>
        <v>1350000</v>
      </c>
      <c r="I284" s="1174">
        <f>SUM(H284)+H289</f>
        <v>1431000</v>
      </c>
      <c r="J284" s="2082">
        <f>SUMIF(BOQ!$G$638:$G$2199,M!I284,BOQ!$E$638:$E$2199)</f>
        <v>0</v>
      </c>
      <c r="K284" s="5">
        <f>J284*F284</f>
        <v>0</v>
      </c>
      <c r="L284" s="1136" t="s">
        <v>88</v>
      </c>
    </row>
    <row r="285" spans="2:12">
      <c r="B285" s="172"/>
      <c r="C285" s="689"/>
      <c r="D285" s="603" t="s">
        <v>133</v>
      </c>
      <c r="E285" s="347" t="s">
        <v>263</v>
      </c>
      <c r="F285" s="336">
        <v>3.3</v>
      </c>
      <c r="G285" s="704">
        <f>$G$18</f>
        <v>136000</v>
      </c>
      <c r="H285" s="703">
        <f t="shared" si="32"/>
        <v>448800</v>
      </c>
      <c r="I285" s="1174"/>
    </row>
    <row r="286" spans="2:12">
      <c r="B286" s="172"/>
      <c r="C286" s="689"/>
      <c r="D286" s="603" t="s">
        <v>402</v>
      </c>
      <c r="E286" s="347" t="s">
        <v>263</v>
      </c>
      <c r="F286" s="336">
        <v>1.1000000000000001</v>
      </c>
      <c r="G286" s="704">
        <f>$G$19</f>
        <v>160000</v>
      </c>
      <c r="H286" s="703">
        <f t="shared" si="32"/>
        <v>176000</v>
      </c>
      <c r="I286" s="1174"/>
    </row>
    <row r="287" spans="2:12">
      <c r="B287" s="172"/>
      <c r="C287" s="689"/>
      <c r="D287" s="603" t="s">
        <v>562</v>
      </c>
      <c r="E287" s="347" t="s">
        <v>263</v>
      </c>
      <c r="F287" s="336">
        <v>1E-3</v>
      </c>
      <c r="G287" s="704">
        <f>$G$20</f>
        <v>170000</v>
      </c>
      <c r="H287" s="703">
        <f t="shared" si="32"/>
        <v>170</v>
      </c>
      <c r="I287" s="1174"/>
    </row>
    <row r="288" spans="2:12">
      <c r="B288" s="689"/>
      <c r="C288" s="689"/>
      <c r="D288" s="603" t="s">
        <v>136</v>
      </c>
      <c r="E288" s="347" t="s">
        <v>263</v>
      </c>
      <c r="F288" s="336">
        <v>0.16</v>
      </c>
      <c r="G288" s="704">
        <f>$G$21</f>
        <v>180000</v>
      </c>
      <c r="H288" s="703">
        <f t="shared" si="32"/>
        <v>28800</v>
      </c>
      <c r="I288" s="1174"/>
    </row>
    <row r="289" spans="2:12">
      <c r="B289" s="690"/>
      <c r="C289" s="690"/>
      <c r="D289" s="642" t="s">
        <v>728</v>
      </c>
      <c r="E289" s="705" t="s">
        <v>313</v>
      </c>
      <c r="F289" s="691">
        <v>0.06</v>
      </c>
      <c r="G289" s="706">
        <f>H284</f>
        <v>1350000</v>
      </c>
      <c r="H289" s="703">
        <f t="shared" si="32"/>
        <v>81000</v>
      </c>
      <c r="I289" s="1174">
        <f>SUM(H285:H288)</f>
        <v>653770</v>
      </c>
    </row>
    <row r="290" spans="2:12">
      <c r="B290" s="707"/>
      <c r="C290" s="692"/>
      <c r="D290" s="693" t="s">
        <v>645</v>
      </c>
      <c r="E290" s="693"/>
      <c r="F290" s="693"/>
      <c r="G290" s="635"/>
      <c r="H290" s="694">
        <f>SUM(H284:H289)</f>
        <v>2084770</v>
      </c>
      <c r="I290" s="1174"/>
    </row>
    <row r="291" spans="2:12">
      <c r="B291" s="396"/>
      <c r="C291" s="690"/>
      <c r="D291" s="695" t="s">
        <v>229</v>
      </c>
      <c r="E291" s="695"/>
      <c r="F291" s="695"/>
      <c r="G291" s="642"/>
      <c r="H291" s="696">
        <f>ROUND(H290,0)</f>
        <v>2084770</v>
      </c>
      <c r="I291" s="775"/>
    </row>
    <row r="292" spans="2:12">
      <c r="B292" s="673" t="s">
        <v>729</v>
      </c>
      <c r="C292" s="674"/>
      <c r="D292" s="675" t="s">
        <v>730</v>
      </c>
      <c r="E292" s="675"/>
      <c r="F292" s="675"/>
      <c r="G292" s="675"/>
      <c r="H292" s="676"/>
      <c r="I292" s="775"/>
    </row>
    <row r="293" spans="2:12">
      <c r="B293" s="677"/>
      <c r="C293" s="722"/>
      <c r="D293" s="600" t="s">
        <v>731</v>
      </c>
      <c r="E293" s="166" t="s">
        <v>100</v>
      </c>
      <c r="F293" s="602">
        <v>4.5</v>
      </c>
      <c r="G293" s="723">
        <f>B!$H$14</f>
        <v>80896</v>
      </c>
      <c r="H293" s="703">
        <f t="shared" ref="H293:H305" si="33">F293*G293</f>
        <v>364032</v>
      </c>
      <c r="I293" s="1174"/>
      <c r="J293" s="5">
        <f>BOQ!$E$651</f>
        <v>0</v>
      </c>
      <c r="K293" s="5">
        <f>J293*F293</f>
        <v>0</v>
      </c>
      <c r="L293" s="774" t="s">
        <v>100</v>
      </c>
    </row>
    <row r="294" spans="2:12">
      <c r="B294" s="682"/>
      <c r="C294" s="721"/>
      <c r="D294" s="724" t="s">
        <v>732</v>
      </c>
      <c r="E294" s="172" t="s">
        <v>100</v>
      </c>
      <c r="F294" s="725">
        <v>0.214</v>
      </c>
      <c r="G294" s="726">
        <f>B!$G$40</f>
        <v>170000</v>
      </c>
      <c r="H294" s="703">
        <f t="shared" si="33"/>
        <v>36380</v>
      </c>
      <c r="I294" s="1174"/>
      <c r="J294" s="5">
        <f>J293</f>
        <v>0</v>
      </c>
      <c r="K294" s="5">
        <f t="shared" ref="K294:K305" si="34">J294*F294</f>
        <v>0</v>
      </c>
      <c r="L294" s="774" t="s">
        <v>100</v>
      </c>
    </row>
    <row r="295" spans="2:12">
      <c r="B295" s="682"/>
      <c r="C295" s="721"/>
      <c r="D295" s="724" t="s">
        <v>733</v>
      </c>
      <c r="E295" s="172" t="s">
        <v>100</v>
      </c>
      <c r="F295" s="725">
        <v>2.25</v>
      </c>
      <c r="G295" s="726">
        <f>D!$H$139</f>
        <v>1180622.8571428573</v>
      </c>
      <c r="H295" s="703">
        <f t="shared" si="33"/>
        <v>2656401.4285714291</v>
      </c>
      <c r="I295" s="1174"/>
      <c r="J295" s="5">
        <f t="shared" ref="J295:J305" si="35">J294</f>
        <v>0</v>
      </c>
      <c r="K295" s="5">
        <f t="shared" si="34"/>
        <v>0</v>
      </c>
      <c r="L295" s="774" t="s">
        <v>100</v>
      </c>
    </row>
    <row r="296" spans="2:12">
      <c r="B296" s="682"/>
      <c r="C296" s="721"/>
      <c r="D296" s="724" t="s">
        <v>1827</v>
      </c>
      <c r="E296" s="172" t="s">
        <v>147</v>
      </c>
      <c r="F296" s="725">
        <v>15</v>
      </c>
      <c r="G296" s="726">
        <f>E!$H$35</f>
        <v>172315</v>
      </c>
      <c r="H296" s="703">
        <f t="shared" si="33"/>
        <v>2584725</v>
      </c>
      <c r="I296" s="1174"/>
      <c r="J296" s="5">
        <f t="shared" si="35"/>
        <v>0</v>
      </c>
      <c r="K296" s="5">
        <f t="shared" si="34"/>
        <v>0</v>
      </c>
      <c r="L296" s="774" t="s">
        <v>147</v>
      </c>
    </row>
    <row r="297" spans="2:12">
      <c r="B297" s="682"/>
      <c r="C297" s="721"/>
      <c r="D297" s="724" t="s">
        <v>735</v>
      </c>
      <c r="E297" s="172" t="s">
        <v>100</v>
      </c>
      <c r="F297" s="725">
        <v>0.3</v>
      </c>
      <c r="G297" s="726">
        <f>D!$H$162</f>
        <v>1354727</v>
      </c>
      <c r="H297" s="703">
        <f t="shared" si="33"/>
        <v>406418.1</v>
      </c>
      <c r="I297" s="1174"/>
      <c r="J297" s="5">
        <f t="shared" si="35"/>
        <v>0</v>
      </c>
      <c r="K297" s="5">
        <f t="shared" si="34"/>
        <v>0</v>
      </c>
      <c r="L297" s="774" t="s">
        <v>100</v>
      </c>
    </row>
    <row r="298" spans="2:12">
      <c r="B298" s="682"/>
      <c r="C298" s="721"/>
      <c r="D298" s="724" t="s">
        <v>736</v>
      </c>
      <c r="E298" s="172" t="s">
        <v>147</v>
      </c>
      <c r="F298" s="725">
        <v>15</v>
      </c>
      <c r="G298" s="726">
        <f>F!$H$14</f>
        <v>84394</v>
      </c>
      <c r="H298" s="703">
        <f t="shared" si="33"/>
        <v>1265910</v>
      </c>
      <c r="I298" s="1174"/>
      <c r="J298" s="5">
        <f t="shared" si="35"/>
        <v>0</v>
      </c>
      <c r="K298" s="5">
        <f t="shared" si="34"/>
        <v>0</v>
      </c>
      <c r="L298" s="774" t="s">
        <v>147</v>
      </c>
    </row>
    <row r="299" spans="2:12">
      <c r="B299" s="682"/>
      <c r="C299" s="721"/>
      <c r="D299" s="724" t="s">
        <v>737</v>
      </c>
      <c r="E299" s="172" t="s">
        <v>129</v>
      </c>
      <c r="F299" s="725">
        <v>5.4</v>
      </c>
      <c r="G299" s="726">
        <f>M!$H$159</f>
        <v>88003</v>
      </c>
      <c r="H299" s="703">
        <f t="shared" si="33"/>
        <v>475216.2</v>
      </c>
      <c r="I299" s="1174"/>
      <c r="J299" s="5">
        <f t="shared" si="35"/>
        <v>0</v>
      </c>
      <c r="K299" s="5">
        <f t="shared" si="34"/>
        <v>0</v>
      </c>
      <c r="L299" s="774" t="s">
        <v>129</v>
      </c>
    </row>
    <row r="300" spans="2:12">
      <c r="B300" s="682"/>
      <c r="C300" s="721"/>
      <c r="D300" s="724" t="s">
        <v>738</v>
      </c>
      <c r="E300" s="172" t="s">
        <v>129</v>
      </c>
      <c r="F300" s="725">
        <v>5</v>
      </c>
      <c r="G300" s="726">
        <f>$H$213</f>
        <v>203927</v>
      </c>
      <c r="H300" s="703">
        <f t="shared" si="33"/>
        <v>1019635</v>
      </c>
      <c r="I300" s="1174"/>
      <c r="J300" s="5">
        <f t="shared" si="35"/>
        <v>0</v>
      </c>
      <c r="K300" s="5">
        <f t="shared" si="34"/>
        <v>0</v>
      </c>
      <c r="L300" s="774" t="s">
        <v>129</v>
      </c>
    </row>
    <row r="301" spans="2:12">
      <c r="B301" s="682"/>
      <c r="C301" s="721"/>
      <c r="D301" s="724" t="s">
        <v>739</v>
      </c>
      <c r="E301" s="172" t="s">
        <v>100</v>
      </c>
      <c r="F301" s="725">
        <v>3.375</v>
      </c>
      <c r="G301" s="726">
        <f>B!$H$9</f>
        <v>61600</v>
      </c>
      <c r="H301" s="703">
        <f t="shared" si="33"/>
        <v>207900</v>
      </c>
      <c r="I301" s="1174"/>
      <c r="J301" s="5">
        <f t="shared" si="35"/>
        <v>0</v>
      </c>
      <c r="K301" s="5">
        <f t="shared" si="34"/>
        <v>0</v>
      </c>
      <c r="L301" s="774" t="s">
        <v>100</v>
      </c>
    </row>
    <row r="302" spans="2:12">
      <c r="B302" s="682"/>
      <c r="C302" s="683"/>
      <c r="D302" s="603" t="s">
        <v>740</v>
      </c>
      <c r="E302" s="335" t="s">
        <v>47</v>
      </c>
      <c r="F302" s="605">
        <v>5.4</v>
      </c>
      <c r="G302" s="727">
        <f>BAHAN!$E$135</f>
        <v>30000</v>
      </c>
      <c r="H302" s="703">
        <f t="shared" si="33"/>
        <v>162000</v>
      </c>
      <c r="I302" s="1174"/>
      <c r="J302" s="5">
        <f t="shared" si="35"/>
        <v>0</v>
      </c>
      <c r="K302" s="5">
        <f t="shared" si="34"/>
        <v>0</v>
      </c>
      <c r="L302" s="1136" t="s">
        <v>47</v>
      </c>
    </row>
    <row r="303" spans="2:12">
      <c r="B303" s="682"/>
      <c r="C303" s="721"/>
      <c r="D303" s="603" t="s">
        <v>741</v>
      </c>
      <c r="E303" s="172" t="s">
        <v>100</v>
      </c>
      <c r="F303" s="605">
        <v>1.05</v>
      </c>
      <c r="G303" s="728">
        <f>BAHAN!$E$8</f>
        <v>290000</v>
      </c>
      <c r="H303" s="703">
        <f t="shared" si="33"/>
        <v>304500</v>
      </c>
      <c r="I303" s="1174"/>
      <c r="J303" s="5">
        <f t="shared" si="35"/>
        <v>0</v>
      </c>
      <c r="K303" s="5">
        <f t="shared" si="34"/>
        <v>0</v>
      </c>
      <c r="L303" s="774" t="s">
        <v>100</v>
      </c>
    </row>
    <row r="304" spans="2:12">
      <c r="B304" s="172"/>
      <c r="C304" s="689"/>
      <c r="D304" s="724" t="s">
        <v>742</v>
      </c>
      <c r="E304" s="172" t="s">
        <v>129</v>
      </c>
      <c r="F304" s="605">
        <v>9</v>
      </c>
      <c r="G304" s="728">
        <f>$G$152</f>
        <v>32050</v>
      </c>
      <c r="H304" s="703">
        <f t="shared" si="33"/>
        <v>288450</v>
      </c>
      <c r="I304" s="1174"/>
      <c r="J304" s="5">
        <f t="shared" si="35"/>
        <v>0</v>
      </c>
      <c r="K304" s="5">
        <f t="shared" si="34"/>
        <v>0</v>
      </c>
      <c r="L304" s="774" t="s">
        <v>129</v>
      </c>
    </row>
    <row r="305" spans="2:12">
      <c r="B305" s="643"/>
      <c r="C305" s="690"/>
      <c r="D305" s="642" t="s">
        <v>743</v>
      </c>
      <c r="E305" s="643" t="s">
        <v>100</v>
      </c>
      <c r="F305" s="729">
        <v>1.125</v>
      </c>
      <c r="G305" s="730">
        <f>B!$H$32+B!$H$37</f>
        <v>106532</v>
      </c>
      <c r="H305" s="703">
        <f t="shared" si="33"/>
        <v>119848.5</v>
      </c>
      <c r="I305" s="1174">
        <f>SUM(H293:H305)</f>
        <v>9891416.2285714298</v>
      </c>
      <c r="J305" s="5">
        <f t="shared" si="35"/>
        <v>0</v>
      </c>
      <c r="K305" s="5">
        <f t="shared" si="34"/>
        <v>0</v>
      </c>
      <c r="L305" s="774" t="s">
        <v>100</v>
      </c>
    </row>
    <row r="306" spans="2:12">
      <c r="B306" s="451"/>
      <c r="C306" s="692"/>
      <c r="D306" s="693" t="s">
        <v>645</v>
      </c>
      <c r="E306" s="693"/>
      <c r="F306" s="693"/>
      <c r="G306" s="731"/>
      <c r="H306" s="694">
        <f>SUM(H293:H305)</f>
        <v>9891416.2285714298</v>
      </c>
      <c r="I306" s="1174"/>
    </row>
    <row r="307" spans="2:12">
      <c r="B307" s="396"/>
      <c r="C307" s="690"/>
      <c r="D307" s="695" t="s">
        <v>229</v>
      </c>
      <c r="E307" s="695"/>
      <c r="F307" s="695"/>
      <c r="G307" s="732"/>
      <c r="H307" s="696">
        <f>ROUND(H306,0)</f>
        <v>9891416</v>
      </c>
      <c r="I307" s="775"/>
    </row>
    <row r="308" spans="2:12">
      <c r="B308" s="697" t="s">
        <v>744</v>
      </c>
      <c r="C308" s="698"/>
      <c r="D308" s="699" t="s">
        <v>745</v>
      </c>
      <c r="E308" s="699"/>
      <c r="F308" s="699"/>
      <c r="G308" s="699"/>
      <c r="H308" s="700"/>
      <c r="I308" s="775"/>
    </row>
    <row r="309" spans="2:12">
      <c r="B309" s="677"/>
      <c r="C309" s="678"/>
      <c r="D309" s="635" t="s">
        <v>746</v>
      </c>
      <c r="E309" s="701" t="s">
        <v>88</v>
      </c>
      <c r="F309" s="679">
        <v>1</v>
      </c>
      <c r="G309" s="702">
        <f>BAHAN!$E$321</f>
        <v>2190000</v>
      </c>
      <c r="H309" s="703">
        <f t="shared" ref="H309:H314" si="36">F309*G309</f>
        <v>2190000</v>
      </c>
      <c r="I309" s="1174">
        <f>SUM(H309)+H314</f>
        <v>2321400</v>
      </c>
      <c r="J309" s="1410">
        <f>BOQ!$P$667</f>
        <v>1</v>
      </c>
      <c r="K309" s="5">
        <f>J309*F309</f>
        <v>1</v>
      </c>
    </row>
    <row r="310" spans="2:12">
      <c r="B310" s="172"/>
      <c r="C310" s="689"/>
      <c r="D310" s="603" t="s">
        <v>133</v>
      </c>
      <c r="E310" s="347" t="s">
        <v>263</v>
      </c>
      <c r="F310" s="336">
        <v>3.3</v>
      </c>
      <c r="G310" s="704">
        <f>G276</f>
        <v>136000</v>
      </c>
      <c r="H310" s="703">
        <f t="shared" si="36"/>
        <v>448800</v>
      </c>
      <c r="I310" s="1174"/>
    </row>
    <row r="311" spans="2:12">
      <c r="B311" s="172"/>
      <c r="C311" s="689"/>
      <c r="D311" s="603" t="s">
        <v>402</v>
      </c>
      <c r="E311" s="347" t="s">
        <v>263</v>
      </c>
      <c r="F311" s="336">
        <v>1.1000000000000001</v>
      </c>
      <c r="G311" s="704">
        <f>G277</f>
        <v>160000</v>
      </c>
      <c r="H311" s="703">
        <f t="shared" si="36"/>
        <v>176000</v>
      </c>
      <c r="I311" s="1174"/>
    </row>
    <row r="312" spans="2:12">
      <c r="B312" s="172"/>
      <c r="C312" s="689"/>
      <c r="D312" s="603" t="s">
        <v>562</v>
      </c>
      <c r="E312" s="347" t="s">
        <v>263</v>
      </c>
      <c r="F312" s="336">
        <v>1E-3</v>
      </c>
      <c r="G312" s="704">
        <f>G278</f>
        <v>170000</v>
      </c>
      <c r="H312" s="703">
        <f t="shared" si="36"/>
        <v>170</v>
      </c>
      <c r="I312" s="1174"/>
    </row>
    <row r="313" spans="2:12">
      <c r="B313" s="689"/>
      <c r="C313" s="689"/>
      <c r="D313" s="603" t="s">
        <v>136</v>
      </c>
      <c r="E313" s="347" t="s">
        <v>263</v>
      </c>
      <c r="F313" s="336">
        <v>0.16</v>
      </c>
      <c r="G313" s="704">
        <f>G279</f>
        <v>180000</v>
      </c>
      <c r="H313" s="703">
        <f t="shared" si="36"/>
        <v>28800</v>
      </c>
      <c r="I313" s="1174"/>
    </row>
    <row r="314" spans="2:12">
      <c r="B314" s="690"/>
      <c r="C314" s="690"/>
      <c r="D314" s="642" t="s">
        <v>747</v>
      </c>
      <c r="E314" s="705" t="s">
        <v>313</v>
      </c>
      <c r="F314" s="691">
        <v>0.06</v>
      </c>
      <c r="G314" s="706">
        <f>H309</f>
        <v>2190000</v>
      </c>
      <c r="H314" s="703">
        <f t="shared" si="36"/>
        <v>131400</v>
      </c>
      <c r="I314" s="1174">
        <f>SUM(H310:H313)</f>
        <v>653770</v>
      </c>
    </row>
    <row r="315" spans="2:12">
      <c r="B315" s="707"/>
      <c r="C315" s="692"/>
      <c r="D315" s="693" t="s">
        <v>645</v>
      </c>
      <c r="E315" s="693"/>
      <c r="F315" s="693"/>
      <c r="G315" s="635"/>
      <c r="H315" s="694">
        <f>SUM(H309:H314)</f>
        <v>2975170</v>
      </c>
      <c r="I315" s="1174"/>
    </row>
    <row r="316" spans="2:12">
      <c r="B316" s="396"/>
      <c r="C316" s="690"/>
      <c r="D316" s="695" t="s">
        <v>229</v>
      </c>
      <c r="E316" s="695"/>
      <c r="F316" s="695"/>
      <c r="G316" s="642"/>
      <c r="H316" s="696">
        <f>ROUND(H315,0)</f>
        <v>2975170</v>
      </c>
      <c r="I316" s="775"/>
    </row>
    <row r="317" spans="2:12">
      <c r="B317" s="697" t="s">
        <v>748</v>
      </c>
      <c r="C317" s="698"/>
      <c r="D317" s="699" t="s">
        <v>1516</v>
      </c>
      <c r="E317" s="699"/>
      <c r="F317" s="699"/>
      <c r="G317" s="699"/>
      <c r="H317" s="700"/>
      <c r="I317" s="775"/>
    </row>
    <row r="318" spans="2:12">
      <c r="B318" s="677"/>
      <c r="C318" s="678"/>
      <c r="D318" s="635" t="s">
        <v>1517</v>
      </c>
      <c r="E318" s="701" t="s">
        <v>88</v>
      </c>
      <c r="F318" s="679">
        <v>1</v>
      </c>
      <c r="G318" s="702">
        <f>BAHAN!E322</f>
        <v>3417000</v>
      </c>
      <c r="H318" s="703">
        <f t="shared" ref="H318:H323" si="37">F318*G318</f>
        <v>3417000</v>
      </c>
      <c r="I318" s="1174">
        <f>SUM(H318)+H323</f>
        <v>3622020</v>
      </c>
    </row>
    <row r="319" spans="2:12">
      <c r="B319" s="172"/>
      <c r="C319" s="689"/>
      <c r="D319" s="603" t="s">
        <v>133</v>
      </c>
      <c r="E319" s="347" t="s">
        <v>263</v>
      </c>
      <c r="F319" s="336">
        <v>3.3</v>
      </c>
      <c r="G319" s="704">
        <f>G294</f>
        <v>170000</v>
      </c>
      <c r="H319" s="703">
        <f t="shared" si="37"/>
        <v>561000</v>
      </c>
      <c r="I319" s="1174"/>
    </row>
    <row r="320" spans="2:12">
      <c r="B320" s="172"/>
      <c r="C320" s="689"/>
      <c r="D320" s="603" t="s">
        <v>402</v>
      </c>
      <c r="E320" s="347" t="s">
        <v>263</v>
      </c>
      <c r="F320" s="336">
        <v>1.1000000000000001</v>
      </c>
      <c r="G320" s="704">
        <f>G295</f>
        <v>1180622.8571428573</v>
      </c>
      <c r="H320" s="703">
        <f t="shared" si="37"/>
        <v>1298685.1428571432</v>
      </c>
      <c r="I320" s="1174"/>
    </row>
    <row r="321" spans="2:12">
      <c r="B321" s="172"/>
      <c r="C321" s="689"/>
      <c r="D321" s="603" t="s">
        <v>562</v>
      </c>
      <c r="E321" s="347" t="s">
        <v>263</v>
      </c>
      <c r="F321" s="336">
        <v>1E-3</v>
      </c>
      <c r="G321" s="704">
        <f>G296</f>
        <v>172315</v>
      </c>
      <c r="H321" s="703">
        <f t="shared" si="37"/>
        <v>172.315</v>
      </c>
      <c r="I321" s="1174"/>
    </row>
    <row r="322" spans="2:12">
      <c r="B322" s="689"/>
      <c r="C322" s="689"/>
      <c r="D322" s="603" t="s">
        <v>136</v>
      </c>
      <c r="E322" s="347" t="s">
        <v>263</v>
      </c>
      <c r="F322" s="336">
        <v>0.16</v>
      </c>
      <c r="G322" s="704">
        <f>G297</f>
        <v>1354727</v>
      </c>
      <c r="H322" s="703">
        <f t="shared" si="37"/>
        <v>216756.32</v>
      </c>
      <c r="I322" s="1174"/>
    </row>
    <row r="323" spans="2:12">
      <c r="B323" s="690"/>
      <c r="C323" s="690"/>
      <c r="D323" s="642" t="s">
        <v>747</v>
      </c>
      <c r="E323" s="705" t="s">
        <v>313</v>
      </c>
      <c r="F323" s="691">
        <v>0.06</v>
      </c>
      <c r="G323" s="706">
        <f>H318</f>
        <v>3417000</v>
      </c>
      <c r="H323" s="703">
        <f t="shared" si="37"/>
        <v>205020</v>
      </c>
      <c r="I323" s="1174">
        <f>SUM(H319:H322)</f>
        <v>2076613.7778571432</v>
      </c>
    </row>
    <row r="324" spans="2:12">
      <c r="B324" s="707"/>
      <c r="C324" s="692"/>
      <c r="D324" s="693" t="s">
        <v>645</v>
      </c>
      <c r="E324" s="693"/>
      <c r="F324" s="693"/>
      <c r="G324" s="635"/>
      <c r="H324" s="694">
        <f>SUM(H318:H323)</f>
        <v>5698633.7778571444</v>
      </c>
      <c r="I324" s="1174"/>
    </row>
    <row r="325" spans="2:12">
      <c r="B325" s="396"/>
      <c r="C325" s="690"/>
      <c r="D325" s="695" t="s">
        <v>229</v>
      </c>
      <c r="E325" s="695"/>
      <c r="F325" s="695"/>
      <c r="G325" s="642"/>
      <c r="H325" s="696">
        <f>ROUND(H324,0)</f>
        <v>5698634</v>
      </c>
      <c r="I325" s="775"/>
    </row>
    <row r="326" spans="2:12">
      <c r="B326" s="697" t="s">
        <v>752</v>
      </c>
      <c r="C326" s="698"/>
      <c r="D326" s="699" t="s">
        <v>749</v>
      </c>
      <c r="E326" s="699"/>
      <c r="F326" s="699"/>
      <c r="G326" s="699"/>
      <c r="H326" s="700"/>
      <c r="I326" s="775"/>
    </row>
    <row r="327" spans="2:12">
      <c r="B327" s="677"/>
      <c r="C327" s="678"/>
      <c r="D327" s="635" t="s">
        <v>750</v>
      </c>
      <c r="E327" s="701" t="s">
        <v>88</v>
      </c>
      <c r="F327" s="679">
        <v>1</v>
      </c>
      <c r="G327" s="702">
        <f>BAHAN!$E$323</f>
        <v>26200000</v>
      </c>
      <c r="H327" s="703">
        <f t="shared" ref="H327:H332" si="38">F327*G327</f>
        <v>26200000</v>
      </c>
      <c r="I327" s="1174">
        <f>SUM(H327)+H332</f>
        <v>27772000</v>
      </c>
      <c r="J327" s="5">
        <f>SUMIF(BOQ!$G$1:$G$3043,I327,BOQ!$E$1:$E$3043)</f>
        <v>0</v>
      </c>
      <c r="K327" s="5">
        <f>J327</f>
        <v>0</v>
      </c>
    </row>
    <row r="328" spans="2:12">
      <c r="B328" s="172"/>
      <c r="C328" s="689"/>
      <c r="D328" s="603" t="s">
        <v>133</v>
      </c>
      <c r="E328" s="347" t="s">
        <v>263</v>
      </c>
      <c r="F328" s="336">
        <v>3.3</v>
      </c>
      <c r="G328" s="704">
        <f>G310</f>
        <v>136000</v>
      </c>
      <c r="H328" s="703">
        <f t="shared" si="38"/>
        <v>448800</v>
      </c>
      <c r="I328" s="1174"/>
    </row>
    <row r="329" spans="2:12">
      <c r="B329" s="172"/>
      <c r="C329" s="689"/>
      <c r="D329" s="603" t="s">
        <v>402</v>
      </c>
      <c r="E329" s="347" t="s">
        <v>263</v>
      </c>
      <c r="F329" s="336">
        <v>1.1000000000000001</v>
      </c>
      <c r="G329" s="704">
        <f>G311</f>
        <v>160000</v>
      </c>
      <c r="H329" s="703">
        <f t="shared" si="38"/>
        <v>176000</v>
      </c>
      <c r="I329" s="1174"/>
    </row>
    <row r="330" spans="2:12">
      <c r="B330" s="172"/>
      <c r="C330" s="689"/>
      <c r="D330" s="603" t="s">
        <v>562</v>
      </c>
      <c r="E330" s="347" t="s">
        <v>263</v>
      </c>
      <c r="F330" s="336">
        <v>1E-3</v>
      </c>
      <c r="G330" s="704">
        <f>G312</f>
        <v>170000</v>
      </c>
      <c r="H330" s="703">
        <f t="shared" si="38"/>
        <v>170</v>
      </c>
      <c r="I330" s="1174"/>
    </row>
    <row r="331" spans="2:12">
      <c r="B331" s="689"/>
      <c r="C331" s="689"/>
      <c r="D331" s="603" t="s">
        <v>136</v>
      </c>
      <c r="E331" s="347" t="s">
        <v>263</v>
      </c>
      <c r="F331" s="336">
        <v>0.16</v>
      </c>
      <c r="G331" s="704">
        <f>G313</f>
        <v>180000</v>
      </c>
      <c r="H331" s="703">
        <f t="shared" si="38"/>
        <v>28800</v>
      </c>
      <c r="I331" s="1174"/>
    </row>
    <row r="332" spans="2:12">
      <c r="B332" s="690"/>
      <c r="C332" s="690"/>
      <c r="D332" s="642" t="s">
        <v>751</v>
      </c>
      <c r="E332" s="705" t="s">
        <v>313</v>
      </c>
      <c r="F332" s="691">
        <v>0.06</v>
      </c>
      <c r="G332" s="706">
        <f>H327</f>
        <v>26200000</v>
      </c>
      <c r="H332" s="703">
        <f t="shared" si="38"/>
        <v>1572000</v>
      </c>
      <c r="I332" s="1174">
        <f>SUM(H328:H331)</f>
        <v>653770</v>
      </c>
    </row>
    <row r="333" spans="2:12">
      <c r="B333" s="707"/>
      <c r="C333" s="692"/>
      <c r="D333" s="693" t="s">
        <v>645</v>
      </c>
      <c r="E333" s="693"/>
      <c r="F333" s="693"/>
      <c r="G333" s="635"/>
      <c r="H333" s="694">
        <f>SUM(H327:H332)</f>
        <v>28425770</v>
      </c>
      <c r="I333" s="1174"/>
    </row>
    <row r="334" spans="2:12">
      <c r="B334" s="396"/>
      <c r="C334" s="690"/>
      <c r="D334" s="695" t="s">
        <v>229</v>
      </c>
      <c r="E334" s="695"/>
      <c r="F334" s="695"/>
      <c r="G334" s="642"/>
      <c r="H334" s="696">
        <f>ROUND(H333,0)</f>
        <v>28425770</v>
      </c>
      <c r="I334" s="775"/>
      <c r="J334" s="910"/>
    </row>
    <row r="335" spans="2:12">
      <c r="B335" s="697" t="s">
        <v>756</v>
      </c>
      <c r="C335" s="698"/>
      <c r="D335" s="699" t="s">
        <v>753</v>
      </c>
      <c r="E335" s="699"/>
      <c r="F335" s="699"/>
      <c r="G335" s="699"/>
      <c r="H335" s="700"/>
      <c r="I335" s="775"/>
    </row>
    <row r="336" spans="2:12">
      <c r="B336" s="677"/>
      <c r="C336" s="678"/>
      <c r="D336" s="635" t="s">
        <v>754</v>
      </c>
      <c r="E336" s="701" t="s">
        <v>88</v>
      </c>
      <c r="F336" s="679">
        <v>1</v>
      </c>
      <c r="G336" s="702">
        <f>BAHAN!$E$233</f>
        <v>2920000</v>
      </c>
      <c r="H336" s="703">
        <f t="shared" ref="H336:H341" si="39">F336*G336</f>
        <v>2920000</v>
      </c>
      <c r="I336" s="1174">
        <f>SUM(H336)+H341</f>
        <v>3095200</v>
      </c>
      <c r="J336" s="2082">
        <f>SUMIF(BOQ!$G$638:$G$2199,M!I336,BOQ!$E$638:$E$2199)</f>
        <v>0</v>
      </c>
      <c r="K336" s="5">
        <f>J336*F336</f>
        <v>0</v>
      </c>
      <c r="L336" s="1136" t="s">
        <v>88</v>
      </c>
    </row>
    <row r="337" spans="2:12">
      <c r="B337" s="172"/>
      <c r="C337" s="689"/>
      <c r="D337" s="603" t="s">
        <v>133</v>
      </c>
      <c r="E337" s="347" t="s">
        <v>263</v>
      </c>
      <c r="F337" s="336">
        <v>3.3</v>
      </c>
      <c r="G337" s="704">
        <f>G328</f>
        <v>136000</v>
      </c>
      <c r="H337" s="703">
        <f t="shared" si="39"/>
        <v>448800</v>
      </c>
      <c r="I337" s="1174"/>
    </row>
    <row r="338" spans="2:12">
      <c r="B338" s="172"/>
      <c r="C338" s="689"/>
      <c r="D338" s="603" t="s">
        <v>402</v>
      </c>
      <c r="E338" s="347" t="s">
        <v>263</v>
      </c>
      <c r="F338" s="336">
        <v>1.1000000000000001</v>
      </c>
      <c r="G338" s="704">
        <f>G329</f>
        <v>160000</v>
      </c>
      <c r="H338" s="703">
        <f t="shared" si="39"/>
        <v>176000</v>
      </c>
      <c r="I338" s="1174"/>
    </row>
    <row r="339" spans="2:12">
      <c r="B339" s="172"/>
      <c r="C339" s="689"/>
      <c r="D339" s="603" t="s">
        <v>562</v>
      </c>
      <c r="E339" s="347" t="s">
        <v>263</v>
      </c>
      <c r="F339" s="336">
        <v>1E-3</v>
      </c>
      <c r="G339" s="704">
        <f>G330</f>
        <v>170000</v>
      </c>
      <c r="H339" s="703">
        <f t="shared" si="39"/>
        <v>170</v>
      </c>
      <c r="I339" s="1174"/>
    </row>
    <row r="340" spans="2:12">
      <c r="B340" s="689"/>
      <c r="C340" s="689"/>
      <c r="D340" s="603" t="s">
        <v>136</v>
      </c>
      <c r="E340" s="347" t="s">
        <v>263</v>
      </c>
      <c r="F340" s="336">
        <v>0.16</v>
      </c>
      <c r="G340" s="704">
        <f>G331</f>
        <v>180000</v>
      </c>
      <c r="H340" s="703">
        <f t="shared" si="39"/>
        <v>28800</v>
      </c>
      <c r="I340" s="1174"/>
    </row>
    <row r="341" spans="2:12">
      <c r="B341" s="690"/>
      <c r="C341" s="690"/>
      <c r="D341" s="642" t="s">
        <v>755</v>
      </c>
      <c r="E341" s="705" t="s">
        <v>313</v>
      </c>
      <c r="F341" s="691">
        <v>0.06</v>
      </c>
      <c r="G341" s="706">
        <f>H336</f>
        <v>2920000</v>
      </c>
      <c r="H341" s="703">
        <f t="shared" si="39"/>
        <v>175200</v>
      </c>
      <c r="I341" s="1174">
        <f>SUM(H337:H340)</f>
        <v>653770</v>
      </c>
    </row>
    <row r="342" spans="2:12">
      <c r="B342" s="707"/>
      <c r="C342" s="692"/>
      <c r="D342" s="693" t="s">
        <v>645</v>
      </c>
      <c r="E342" s="693"/>
      <c r="F342" s="693"/>
      <c r="G342" s="635"/>
      <c r="H342" s="694">
        <f>SUM(H336:H341)</f>
        <v>3748970</v>
      </c>
      <c r="I342" s="1174"/>
    </row>
    <row r="343" spans="2:12">
      <c r="B343" s="396"/>
      <c r="C343" s="690"/>
      <c r="D343" s="695" t="s">
        <v>229</v>
      </c>
      <c r="E343" s="695"/>
      <c r="F343" s="695"/>
      <c r="G343" s="642"/>
      <c r="H343" s="696">
        <f>ROUND(H342,0)</f>
        <v>3748970</v>
      </c>
      <c r="I343" s="775"/>
    </row>
    <row r="344" spans="2:12">
      <c r="B344" s="697" t="s">
        <v>760</v>
      </c>
      <c r="C344" s="698"/>
      <c r="D344" s="699" t="s">
        <v>757</v>
      </c>
      <c r="E344" s="699"/>
      <c r="F344" s="699"/>
      <c r="G344" s="699"/>
      <c r="H344" s="700"/>
      <c r="I344" s="775"/>
    </row>
    <row r="345" spans="2:12">
      <c r="B345" s="677"/>
      <c r="C345" s="678"/>
      <c r="D345" s="603" t="s">
        <v>758</v>
      </c>
      <c r="E345" s="701" t="s">
        <v>88</v>
      </c>
      <c r="F345" s="679">
        <v>1</v>
      </c>
      <c r="G345" s="702">
        <f>BAHAN!$E$365</f>
        <v>8019000</v>
      </c>
      <c r="H345" s="703">
        <f t="shared" ref="H345:H350" si="40">F345*G345</f>
        <v>8019000</v>
      </c>
      <c r="I345" s="1174">
        <f>SUM(H345)+H350</f>
        <v>8500140</v>
      </c>
      <c r="J345" s="2082">
        <f>SUMIF(BOQ!$G$638:$G$2199,M!I345,BOQ!$E$638:$E$2199)</f>
        <v>0</v>
      </c>
      <c r="K345" s="5">
        <f>J345*F345</f>
        <v>0</v>
      </c>
      <c r="L345" s="1136" t="s">
        <v>88</v>
      </c>
    </row>
    <row r="346" spans="2:12">
      <c r="B346" s="172"/>
      <c r="C346" s="689"/>
      <c r="D346" s="603" t="s">
        <v>133</v>
      </c>
      <c r="E346" s="347" t="s">
        <v>263</v>
      </c>
      <c r="F346" s="336">
        <v>3.3</v>
      </c>
      <c r="G346" s="704">
        <f>$G$337</f>
        <v>136000</v>
      </c>
      <c r="H346" s="703">
        <f t="shared" si="40"/>
        <v>448800</v>
      </c>
      <c r="I346" s="1174"/>
    </row>
    <row r="347" spans="2:12">
      <c r="B347" s="172"/>
      <c r="C347" s="689"/>
      <c r="D347" s="603" t="s">
        <v>402</v>
      </c>
      <c r="E347" s="347" t="s">
        <v>263</v>
      </c>
      <c r="F347" s="336">
        <v>1.1000000000000001</v>
      </c>
      <c r="G347" s="704">
        <f>$G$338</f>
        <v>160000</v>
      </c>
      <c r="H347" s="703">
        <f t="shared" si="40"/>
        <v>176000</v>
      </c>
      <c r="I347" s="1174"/>
    </row>
    <row r="348" spans="2:12">
      <c r="B348" s="172"/>
      <c r="C348" s="689"/>
      <c r="D348" s="603" t="s">
        <v>562</v>
      </c>
      <c r="E348" s="347" t="s">
        <v>263</v>
      </c>
      <c r="F348" s="336">
        <v>1E-3</v>
      </c>
      <c r="G348" s="704">
        <f>$G$339</f>
        <v>170000</v>
      </c>
      <c r="H348" s="703">
        <f t="shared" si="40"/>
        <v>170</v>
      </c>
      <c r="I348" s="1174"/>
    </row>
    <row r="349" spans="2:12">
      <c r="B349" s="689"/>
      <c r="C349" s="689"/>
      <c r="D349" s="603" t="s">
        <v>136</v>
      </c>
      <c r="E349" s="347" t="s">
        <v>263</v>
      </c>
      <c r="F349" s="336">
        <v>0.16</v>
      </c>
      <c r="G349" s="704">
        <f>$G$340</f>
        <v>180000</v>
      </c>
      <c r="H349" s="703">
        <f t="shared" si="40"/>
        <v>28800</v>
      </c>
      <c r="I349" s="1174"/>
    </row>
    <row r="350" spans="2:12">
      <c r="B350" s="690"/>
      <c r="C350" s="690"/>
      <c r="D350" s="642" t="s">
        <v>759</v>
      </c>
      <c r="E350" s="705" t="s">
        <v>313</v>
      </c>
      <c r="F350" s="691">
        <v>0.06</v>
      </c>
      <c r="G350" s="706">
        <f>H345</f>
        <v>8019000</v>
      </c>
      <c r="H350" s="703">
        <f t="shared" si="40"/>
        <v>481140</v>
      </c>
      <c r="I350" s="1174">
        <f>SUM(H346:H349)</f>
        <v>653770</v>
      </c>
    </row>
    <row r="351" spans="2:12">
      <c r="B351" s="707"/>
      <c r="C351" s="692"/>
      <c r="D351" s="693" t="s">
        <v>645</v>
      </c>
      <c r="E351" s="693"/>
      <c r="F351" s="693"/>
      <c r="G351" s="635"/>
      <c r="H351" s="694">
        <f>SUM(H345:H350)</f>
        <v>9153910</v>
      </c>
      <c r="I351" s="1174"/>
    </row>
    <row r="352" spans="2:12">
      <c r="B352" s="396"/>
      <c r="C352" s="690"/>
      <c r="D352" s="695" t="s">
        <v>229</v>
      </c>
      <c r="E352" s="695"/>
      <c r="F352" s="695"/>
      <c r="G352" s="642"/>
      <c r="H352" s="696">
        <f>ROUND(H351,0)</f>
        <v>9153910</v>
      </c>
      <c r="I352" s="775"/>
    </row>
    <row r="353" spans="2:12">
      <c r="B353" s="697" t="s">
        <v>760</v>
      </c>
      <c r="C353" s="698"/>
      <c r="D353" s="699" t="s">
        <v>2580</v>
      </c>
      <c r="E353" s="699"/>
      <c r="F353" s="699"/>
      <c r="G353" s="699"/>
      <c r="H353" s="700"/>
      <c r="I353" s="775"/>
    </row>
    <row r="354" spans="2:12">
      <c r="B354" s="677"/>
      <c r="C354" s="678"/>
      <c r="D354" s="603" t="s">
        <v>2581</v>
      </c>
      <c r="E354" s="701" t="s">
        <v>88</v>
      </c>
      <c r="F354" s="679">
        <v>1</v>
      </c>
      <c r="G354" s="702">
        <f>BAHAN!$E$368</f>
        <v>460000</v>
      </c>
      <c r="H354" s="703">
        <f t="shared" ref="H354:H359" si="41">F354*G354</f>
        <v>460000</v>
      </c>
      <c r="I354" s="1174">
        <f>SUM(H354)+H359</f>
        <v>487600</v>
      </c>
      <c r="J354" s="2082">
        <f>SUMIF(BOQ!$G$638:$G$2199,M!I354,BOQ!$E$638:$E$2199)</f>
        <v>0</v>
      </c>
      <c r="K354" s="5">
        <f>J354*F354</f>
        <v>0</v>
      </c>
      <c r="L354" s="1136" t="s">
        <v>88</v>
      </c>
    </row>
    <row r="355" spans="2:12">
      <c r="B355" s="172"/>
      <c r="C355" s="689"/>
      <c r="D355" s="603" t="s">
        <v>133</v>
      </c>
      <c r="E355" s="347" t="s">
        <v>263</v>
      </c>
      <c r="F355" s="336">
        <v>3.3</v>
      </c>
      <c r="G355" s="704">
        <f>$G$337</f>
        <v>136000</v>
      </c>
      <c r="H355" s="703">
        <f t="shared" si="41"/>
        <v>448800</v>
      </c>
      <c r="I355" s="1174"/>
    </row>
    <row r="356" spans="2:12">
      <c r="B356" s="172"/>
      <c r="C356" s="689"/>
      <c r="D356" s="603" t="s">
        <v>402</v>
      </c>
      <c r="E356" s="347" t="s">
        <v>263</v>
      </c>
      <c r="F356" s="336">
        <v>1.1000000000000001</v>
      </c>
      <c r="G356" s="704">
        <f>$G$338</f>
        <v>160000</v>
      </c>
      <c r="H356" s="703">
        <f t="shared" si="41"/>
        <v>176000</v>
      </c>
      <c r="I356" s="1174"/>
    </row>
    <row r="357" spans="2:12">
      <c r="B357" s="172"/>
      <c r="C357" s="689"/>
      <c r="D357" s="603" t="s">
        <v>562</v>
      </c>
      <c r="E357" s="347" t="s">
        <v>263</v>
      </c>
      <c r="F357" s="336">
        <v>1E-3</v>
      </c>
      <c r="G357" s="704">
        <f>$G$339</f>
        <v>170000</v>
      </c>
      <c r="H357" s="703">
        <f t="shared" si="41"/>
        <v>170</v>
      </c>
      <c r="I357" s="1174"/>
    </row>
    <row r="358" spans="2:12">
      <c r="B358" s="689"/>
      <c r="C358" s="689"/>
      <c r="D358" s="603" t="s">
        <v>136</v>
      </c>
      <c r="E358" s="347" t="s">
        <v>263</v>
      </c>
      <c r="F358" s="336">
        <v>0.16</v>
      </c>
      <c r="G358" s="704">
        <f>$G$340</f>
        <v>180000</v>
      </c>
      <c r="H358" s="703">
        <f t="shared" si="41"/>
        <v>28800</v>
      </c>
      <c r="I358" s="1174"/>
    </row>
    <row r="359" spans="2:12">
      <c r="B359" s="690"/>
      <c r="C359" s="690"/>
      <c r="D359" s="642" t="s">
        <v>759</v>
      </c>
      <c r="E359" s="705" t="s">
        <v>313</v>
      </c>
      <c r="F359" s="691">
        <v>0.06</v>
      </c>
      <c r="G359" s="706">
        <f>H354</f>
        <v>460000</v>
      </c>
      <c r="H359" s="703">
        <f t="shared" si="41"/>
        <v>27600</v>
      </c>
      <c r="I359" s="1174">
        <f>SUM(H355:H358)</f>
        <v>653770</v>
      </c>
    </row>
    <row r="360" spans="2:12">
      <c r="B360" s="707"/>
      <c r="C360" s="692"/>
      <c r="D360" s="693" t="s">
        <v>645</v>
      </c>
      <c r="E360" s="693"/>
      <c r="F360" s="693"/>
      <c r="G360" s="635"/>
      <c r="H360" s="694">
        <f>SUM(H354:H359)</f>
        <v>1141370</v>
      </c>
      <c r="I360" s="1174"/>
    </row>
    <row r="361" spans="2:12">
      <c r="B361" s="396"/>
      <c r="C361" s="690"/>
      <c r="D361" s="695" t="s">
        <v>229</v>
      </c>
      <c r="E361" s="695"/>
      <c r="F361" s="695"/>
      <c r="G361" s="642"/>
      <c r="H361" s="696">
        <f>ROUND(H360,0)</f>
        <v>1141370</v>
      </c>
      <c r="I361" s="775"/>
    </row>
    <row r="362" spans="2:12">
      <c r="B362" s="697" t="s">
        <v>1395</v>
      </c>
      <c r="C362" s="698"/>
      <c r="D362" s="699" t="s">
        <v>761</v>
      </c>
      <c r="E362" s="699"/>
      <c r="F362" s="699"/>
      <c r="G362" s="699"/>
      <c r="H362" s="700"/>
      <c r="I362" s="775"/>
    </row>
    <row r="363" spans="2:12">
      <c r="B363" s="677"/>
      <c r="C363" s="678"/>
      <c r="D363" s="635" t="s">
        <v>762</v>
      </c>
      <c r="E363" s="701" t="s">
        <v>88</v>
      </c>
      <c r="F363" s="679">
        <v>1</v>
      </c>
      <c r="G363" s="702">
        <f>BAHAN!$E$237</f>
        <v>2000000</v>
      </c>
      <c r="H363" s="703">
        <f t="shared" ref="H363:H368" si="42">F363*G363</f>
        <v>2000000</v>
      </c>
      <c r="I363" s="1174">
        <f>SUM(H363)+H368</f>
        <v>2120000</v>
      </c>
      <c r="J363" s="1410">
        <f>BOQ!$E$671+BOQ!$E$713</f>
        <v>6</v>
      </c>
      <c r="K363" s="5">
        <f>J363*F363</f>
        <v>6</v>
      </c>
      <c r="L363" s="1136" t="s">
        <v>88</v>
      </c>
    </row>
    <row r="364" spans="2:12">
      <c r="B364" s="172"/>
      <c r="C364" s="689"/>
      <c r="D364" s="603" t="s">
        <v>133</v>
      </c>
      <c r="E364" s="347" t="s">
        <v>263</v>
      </c>
      <c r="F364" s="336">
        <v>3.3</v>
      </c>
      <c r="G364" s="704">
        <f>G346</f>
        <v>136000</v>
      </c>
      <c r="H364" s="703">
        <f t="shared" si="42"/>
        <v>448800</v>
      </c>
      <c r="I364" s="1174"/>
    </row>
    <row r="365" spans="2:12">
      <c r="B365" s="172"/>
      <c r="C365" s="689"/>
      <c r="D365" s="603" t="s">
        <v>402</v>
      </c>
      <c r="E365" s="347" t="s">
        <v>263</v>
      </c>
      <c r="F365" s="336">
        <v>1.1000000000000001</v>
      </c>
      <c r="G365" s="704">
        <f>G347</f>
        <v>160000</v>
      </c>
      <c r="H365" s="703">
        <f t="shared" si="42"/>
        <v>176000</v>
      </c>
      <c r="I365" s="1174"/>
    </row>
    <row r="366" spans="2:12">
      <c r="B366" s="172"/>
      <c r="C366" s="689"/>
      <c r="D366" s="603" t="s">
        <v>562</v>
      </c>
      <c r="E366" s="347" t="s">
        <v>263</v>
      </c>
      <c r="F366" s="336">
        <v>1E-3</v>
      </c>
      <c r="G366" s="704">
        <f>G348</f>
        <v>170000</v>
      </c>
      <c r="H366" s="703">
        <f t="shared" si="42"/>
        <v>170</v>
      </c>
      <c r="I366" s="1174"/>
    </row>
    <row r="367" spans="2:12">
      <c r="B367" s="689"/>
      <c r="C367" s="689"/>
      <c r="D367" s="603" t="s">
        <v>136</v>
      </c>
      <c r="E367" s="347" t="s">
        <v>263</v>
      </c>
      <c r="F367" s="336">
        <v>0.16</v>
      </c>
      <c r="G367" s="704">
        <f>G349</f>
        <v>180000</v>
      </c>
      <c r="H367" s="703">
        <f t="shared" si="42"/>
        <v>28800</v>
      </c>
      <c r="I367" s="1174"/>
    </row>
    <row r="368" spans="2:12">
      <c r="B368" s="690"/>
      <c r="C368" s="690"/>
      <c r="D368" s="642" t="s">
        <v>763</v>
      </c>
      <c r="E368" s="705" t="s">
        <v>313</v>
      </c>
      <c r="F368" s="691">
        <v>0.06</v>
      </c>
      <c r="G368" s="706">
        <f>H363</f>
        <v>2000000</v>
      </c>
      <c r="H368" s="703">
        <f t="shared" si="42"/>
        <v>120000</v>
      </c>
      <c r="I368" s="1174">
        <f>SUM(H364:H367)</f>
        <v>653770</v>
      </c>
    </row>
    <row r="369" spans="2:12">
      <c r="B369" s="707"/>
      <c r="C369" s="692"/>
      <c r="D369" s="693" t="s">
        <v>645</v>
      </c>
      <c r="E369" s="693"/>
      <c r="F369" s="693"/>
      <c r="G369" s="635"/>
      <c r="H369" s="694">
        <f>SUM(H363:H368)</f>
        <v>2773770</v>
      </c>
      <c r="I369" s="1174"/>
    </row>
    <row r="370" spans="2:12">
      <c r="B370" s="396"/>
      <c r="C370" s="690"/>
      <c r="D370" s="695" t="s">
        <v>229</v>
      </c>
      <c r="E370" s="695"/>
      <c r="F370" s="695"/>
      <c r="G370" s="642"/>
      <c r="H370" s="696">
        <f>ROUND(H369,0)</f>
        <v>2773770</v>
      </c>
      <c r="I370" s="775"/>
    </row>
    <row r="371" spans="2:12">
      <c r="B371" s="697" t="s">
        <v>1396</v>
      </c>
      <c r="C371" s="698"/>
      <c r="D371" s="699" t="s">
        <v>1397</v>
      </c>
      <c r="E371" s="699"/>
      <c r="F371" s="717"/>
      <c r="G371" s="699"/>
      <c r="H371" s="700"/>
      <c r="I371" s="775"/>
    </row>
    <row r="372" spans="2:12">
      <c r="B372" s="677"/>
      <c r="C372" s="678"/>
      <c r="D372" s="635" t="s">
        <v>1402</v>
      </c>
      <c r="E372" s="701" t="s">
        <v>88</v>
      </c>
      <c r="F372" s="714">
        <v>1</v>
      </c>
      <c r="G372" s="702">
        <f>BAHAN!$E$247</f>
        <v>100000</v>
      </c>
      <c r="H372" s="703">
        <f t="shared" ref="H372:H377" si="43">F372*G372</f>
        <v>100000</v>
      </c>
      <c r="I372" s="1174"/>
      <c r="J372" s="2082">
        <f>SUMIF(BOQ!$G$638:$G$2199,M!I373,BOQ!$E$638:$E$2199)</f>
        <v>0</v>
      </c>
      <c r="K372" s="5">
        <f>J372*F372</f>
        <v>0</v>
      </c>
      <c r="L372" s="1136" t="s">
        <v>88</v>
      </c>
    </row>
    <row r="373" spans="2:12">
      <c r="B373" s="682"/>
      <c r="C373" s="683"/>
      <c r="D373" s="603" t="s">
        <v>711</v>
      </c>
      <c r="E373" s="339" t="s">
        <v>88</v>
      </c>
      <c r="F373" s="719">
        <v>2.5000000000000001E-2</v>
      </c>
      <c r="G373" s="709">
        <f>BAHAN!$E$231</f>
        <v>5750</v>
      </c>
      <c r="H373" s="703">
        <f t="shared" si="43"/>
        <v>143.75</v>
      </c>
      <c r="I373" s="1174">
        <f>SUM(H372:H373)</f>
        <v>100143.75</v>
      </c>
      <c r="J373" s="1410">
        <f>BOQ!$E$659+BOQ!$E$701</f>
        <v>1</v>
      </c>
      <c r="K373" s="5">
        <f>J373*F373</f>
        <v>2.5000000000000001E-2</v>
      </c>
      <c r="L373" s="1136" t="s">
        <v>88</v>
      </c>
    </row>
    <row r="374" spans="2:12">
      <c r="B374" s="172"/>
      <c r="C374" s="689"/>
      <c r="D374" s="603" t="s">
        <v>133</v>
      </c>
      <c r="E374" s="347" t="s">
        <v>263</v>
      </c>
      <c r="F374" s="715">
        <v>0.01</v>
      </c>
      <c r="G374" s="704">
        <f>G364</f>
        <v>136000</v>
      </c>
      <c r="H374" s="703">
        <f t="shared" si="43"/>
        <v>1360</v>
      </c>
      <c r="I374" s="1174"/>
    </row>
    <row r="375" spans="2:12">
      <c r="B375" s="172"/>
      <c r="C375" s="689"/>
      <c r="D375" s="603" t="s">
        <v>402</v>
      </c>
      <c r="E375" s="347" t="s">
        <v>263</v>
      </c>
      <c r="F375" s="715">
        <v>0.1</v>
      </c>
      <c r="G375" s="704">
        <f>G365</f>
        <v>160000</v>
      </c>
      <c r="H375" s="703">
        <f t="shared" si="43"/>
        <v>16000</v>
      </c>
      <c r="I375" s="1174"/>
    </row>
    <row r="376" spans="2:12">
      <c r="B376" s="172"/>
      <c r="C376" s="689"/>
      <c r="D376" s="603" t="s">
        <v>562</v>
      </c>
      <c r="E376" s="347" t="s">
        <v>263</v>
      </c>
      <c r="F376" s="715">
        <v>0.01</v>
      </c>
      <c r="G376" s="704">
        <f>G366</f>
        <v>170000</v>
      </c>
      <c r="H376" s="703">
        <f t="shared" si="43"/>
        <v>1700</v>
      </c>
      <c r="I376" s="1174"/>
    </row>
    <row r="377" spans="2:12">
      <c r="B377" s="690"/>
      <c r="C377" s="690"/>
      <c r="D377" s="642" t="s">
        <v>136</v>
      </c>
      <c r="E377" s="705" t="s">
        <v>263</v>
      </c>
      <c r="F377" s="716">
        <v>5.0000000000000001E-3</v>
      </c>
      <c r="G377" s="704">
        <f>G367</f>
        <v>180000</v>
      </c>
      <c r="H377" s="703">
        <f t="shared" si="43"/>
        <v>900</v>
      </c>
      <c r="I377" s="1174">
        <f>SUM(H374:H377)</f>
        <v>19960</v>
      </c>
    </row>
    <row r="378" spans="2:12">
      <c r="B378" s="707"/>
      <c r="C378" s="692"/>
      <c r="D378" s="693" t="s">
        <v>645</v>
      </c>
      <c r="E378" s="693"/>
      <c r="F378" s="693"/>
      <c r="G378" s="635"/>
      <c r="H378" s="694">
        <f>SUM(H372:H377)</f>
        <v>120103.75</v>
      </c>
      <c r="I378" s="1174"/>
    </row>
    <row r="379" spans="2:12">
      <c r="B379" s="396"/>
      <c r="C379" s="690"/>
      <c r="D379" s="695" t="s">
        <v>229</v>
      </c>
      <c r="E379" s="695"/>
      <c r="F379" s="695"/>
      <c r="G379" s="642"/>
      <c r="H379" s="696">
        <f>ROUND(H378,0)</f>
        <v>120104</v>
      </c>
      <c r="I379" s="775"/>
    </row>
    <row r="380" spans="2:12">
      <c r="B380" s="697" t="s">
        <v>1515</v>
      </c>
      <c r="C380" s="698"/>
      <c r="D380" s="699" t="s">
        <v>2197</v>
      </c>
      <c r="E380" s="699"/>
      <c r="F380" s="717"/>
      <c r="G380" s="699"/>
      <c r="H380" s="700"/>
      <c r="I380" s="775"/>
    </row>
    <row r="381" spans="2:12">
      <c r="B381" s="677"/>
      <c r="C381" s="678"/>
      <c r="D381" s="635" t="s">
        <v>2198</v>
      </c>
      <c r="E381" s="701" t="s">
        <v>88</v>
      </c>
      <c r="F381" s="714">
        <v>1</v>
      </c>
      <c r="G381" s="702">
        <f>BAHAN!$E$248</f>
        <v>80000</v>
      </c>
      <c r="H381" s="703">
        <f t="shared" ref="H381:H386" si="44">F381*G381</f>
        <v>80000</v>
      </c>
      <c r="I381" s="1174"/>
      <c r="J381" s="2082">
        <f>SUMIF(BOQ!$G$638:$G$2199,M!I382,BOQ!$E$638:$E$2199)</f>
        <v>0</v>
      </c>
      <c r="K381" s="5">
        <f>J381*F381</f>
        <v>0</v>
      </c>
      <c r="L381" s="1136" t="s">
        <v>88</v>
      </c>
    </row>
    <row r="382" spans="2:12">
      <c r="B382" s="682"/>
      <c r="C382" s="683"/>
      <c r="D382" s="603" t="s">
        <v>711</v>
      </c>
      <c r="E382" s="339" t="s">
        <v>88</v>
      </c>
      <c r="F382" s="719">
        <v>2.5000000000000001E-2</v>
      </c>
      <c r="G382" s="709">
        <f>BAHAN!$E$231</f>
        <v>5750</v>
      </c>
      <c r="H382" s="703">
        <f t="shared" si="44"/>
        <v>143.75</v>
      </c>
      <c r="I382" s="1174">
        <f>SUM(H381:H382)</f>
        <v>80143.75</v>
      </c>
      <c r="J382" s="1410">
        <f>J381</f>
        <v>0</v>
      </c>
      <c r="K382" s="5">
        <f>J382*F382</f>
        <v>0</v>
      </c>
      <c r="L382" s="1136" t="s">
        <v>88</v>
      </c>
    </row>
    <row r="383" spans="2:12">
      <c r="B383" s="172"/>
      <c r="C383" s="689"/>
      <c r="D383" s="603" t="s">
        <v>133</v>
      </c>
      <c r="E383" s="347" t="s">
        <v>263</v>
      </c>
      <c r="F383" s="715">
        <v>0.01</v>
      </c>
      <c r="G383" s="704">
        <f>G374</f>
        <v>136000</v>
      </c>
      <c r="H383" s="703">
        <f t="shared" si="44"/>
        <v>1360</v>
      </c>
      <c r="I383" s="1174"/>
    </row>
    <row r="384" spans="2:12">
      <c r="B384" s="172"/>
      <c r="C384" s="689"/>
      <c r="D384" s="603" t="s">
        <v>402</v>
      </c>
      <c r="E384" s="347" t="s">
        <v>263</v>
      </c>
      <c r="F384" s="715">
        <v>0.1</v>
      </c>
      <c r="G384" s="704">
        <f>G375</f>
        <v>160000</v>
      </c>
      <c r="H384" s="703">
        <f t="shared" si="44"/>
        <v>16000</v>
      </c>
      <c r="I384" s="1174"/>
    </row>
    <row r="385" spans="2:12">
      <c r="B385" s="172"/>
      <c r="C385" s="689"/>
      <c r="D385" s="603" t="s">
        <v>562</v>
      </c>
      <c r="E385" s="347" t="s">
        <v>263</v>
      </c>
      <c r="F385" s="715">
        <v>0.01</v>
      </c>
      <c r="G385" s="704">
        <f>G376</f>
        <v>170000</v>
      </c>
      <c r="H385" s="703">
        <f t="shared" si="44"/>
        <v>1700</v>
      </c>
      <c r="I385" s="1174"/>
    </row>
    <row r="386" spans="2:12">
      <c r="B386" s="690"/>
      <c r="C386" s="690"/>
      <c r="D386" s="642" t="s">
        <v>136</v>
      </c>
      <c r="E386" s="705" t="s">
        <v>263</v>
      </c>
      <c r="F386" s="716">
        <v>5.0000000000000001E-3</v>
      </c>
      <c r="G386" s="704">
        <f>G377</f>
        <v>180000</v>
      </c>
      <c r="H386" s="703">
        <f t="shared" si="44"/>
        <v>900</v>
      </c>
      <c r="I386" s="1174">
        <f>SUM(H383:H386)</f>
        <v>19960</v>
      </c>
    </row>
    <row r="387" spans="2:12">
      <c r="B387" s="707"/>
      <c r="C387" s="692"/>
      <c r="D387" s="693" t="s">
        <v>645</v>
      </c>
      <c r="E387" s="693"/>
      <c r="F387" s="693"/>
      <c r="G387" s="635"/>
      <c r="H387" s="694">
        <f>SUM(H381:H386)</f>
        <v>100103.75</v>
      </c>
      <c r="I387" s="1174"/>
    </row>
    <row r="388" spans="2:12">
      <c r="B388" s="396"/>
      <c r="C388" s="690"/>
      <c r="D388" s="695" t="s">
        <v>229</v>
      </c>
      <c r="E388" s="695"/>
      <c r="F388" s="695"/>
      <c r="G388" s="642"/>
      <c r="H388" s="696">
        <f>ROUND(H387,0)</f>
        <v>100104</v>
      </c>
      <c r="I388" s="775"/>
    </row>
    <row r="389" spans="2:12">
      <c r="B389" s="697" t="s">
        <v>1522</v>
      </c>
      <c r="C389" s="698"/>
      <c r="D389" s="699" t="s">
        <v>1523</v>
      </c>
      <c r="E389" s="699"/>
      <c r="F389" s="717"/>
      <c r="G389" s="699"/>
      <c r="H389" s="700"/>
      <c r="I389" s="775"/>
      <c r="J389" s="2082">
        <f>SUMIF(BOQ!$G$638:$G$2199,M!I390,BOQ!$E$638:$E$2199)</f>
        <v>6828.6410000000005</v>
      </c>
    </row>
    <row r="390" spans="2:12">
      <c r="B390" s="677"/>
      <c r="C390" s="678"/>
      <c r="D390" s="635" t="s">
        <v>1524</v>
      </c>
      <c r="E390" s="701" t="s">
        <v>88</v>
      </c>
      <c r="F390" s="714">
        <v>1</v>
      </c>
      <c r="G390" s="702">
        <f>BAHAN!E235</f>
        <v>23000</v>
      </c>
      <c r="H390" s="703">
        <f t="shared" ref="H390:H395" si="45">F390*G390</f>
        <v>23000</v>
      </c>
      <c r="I390" s="1174"/>
      <c r="J390" s="2082">
        <f>SUMIF(BOQ!$G$638:$G$2199,M!I391,BOQ!$E$638:$E$2199)</f>
        <v>0</v>
      </c>
      <c r="K390" s="5">
        <f>J390*F390</f>
        <v>0</v>
      </c>
      <c r="L390" s="1136" t="s">
        <v>88</v>
      </c>
    </row>
    <row r="391" spans="2:12">
      <c r="B391" s="682"/>
      <c r="C391" s="683"/>
      <c r="D391" s="603" t="s">
        <v>711</v>
      </c>
      <c r="E391" s="339" t="s">
        <v>88</v>
      </c>
      <c r="F391" s="719">
        <v>2.5000000000000001E-2</v>
      </c>
      <c r="G391" s="709">
        <f>BAHAN!$E$231</f>
        <v>5750</v>
      </c>
      <c r="H391" s="703">
        <f t="shared" si="45"/>
        <v>143.75</v>
      </c>
      <c r="I391" s="1174">
        <f>SUM(H390:H391)</f>
        <v>23143.75</v>
      </c>
      <c r="J391" s="1410">
        <f>J390</f>
        <v>0</v>
      </c>
      <c r="K391" s="5">
        <f>J391*F391</f>
        <v>0</v>
      </c>
      <c r="L391" s="1136" t="s">
        <v>88</v>
      </c>
    </row>
    <row r="392" spans="2:12">
      <c r="B392" s="172"/>
      <c r="C392" s="689"/>
      <c r="D392" s="603" t="s">
        <v>133</v>
      </c>
      <c r="E392" s="347" t="s">
        <v>263</v>
      </c>
      <c r="F392" s="715">
        <v>0.01</v>
      </c>
      <c r="G392" s="704">
        <f>G383</f>
        <v>136000</v>
      </c>
      <c r="H392" s="703">
        <f t="shared" si="45"/>
        <v>1360</v>
      </c>
      <c r="I392" s="1174"/>
    </row>
    <row r="393" spans="2:12">
      <c r="B393" s="172"/>
      <c r="C393" s="689"/>
      <c r="D393" s="603" t="s">
        <v>402</v>
      </c>
      <c r="E393" s="347" t="s">
        <v>263</v>
      </c>
      <c r="F393" s="715">
        <v>0.1</v>
      </c>
      <c r="G393" s="704">
        <f>G384</f>
        <v>160000</v>
      </c>
      <c r="H393" s="703">
        <f t="shared" si="45"/>
        <v>16000</v>
      </c>
      <c r="I393" s="1174"/>
    </row>
    <row r="394" spans="2:12">
      <c r="B394" s="172"/>
      <c r="C394" s="689"/>
      <c r="D394" s="603" t="s">
        <v>562</v>
      </c>
      <c r="E394" s="347" t="s">
        <v>263</v>
      </c>
      <c r="F394" s="715">
        <v>0.01</v>
      </c>
      <c r="G394" s="704">
        <f>G385</f>
        <v>170000</v>
      </c>
      <c r="H394" s="703">
        <f t="shared" si="45"/>
        <v>1700</v>
      </c>
      <c r="I394" s="1174"/>
    </row>
    <row r="395" spans="2:12">
      <c r="B395" s="690"/>
      <c r="C395" s="690"/>
      <c r="D395" s="642" t="s">
        <v>136</v>
      </c>
      <c r="E395" s="705" t="s">
        <v>263</v>
      </c>
      <c r="F395" s="716">
        <v>5.0000000000000001E-3</v>
      </c>
      <c r="G395" s="704">
        <f>G386</f>
        <v>180000</v>
      </c>
      <c r="H395" s="703">
        <f t="shared" si="45"/>
        <v>900</v>
      </c>
      <c r="I395" s="1174">
        <f>SUM(H392:H395)</f>
        <v>19960</v>
      </c>
    </row>
    <row r="396" spans="2:12">
      <c r="B396" s="707"/>
      <c r="C396" s="692"/>
      <c r="D396" s="693" t="s">
        <v>645</v>
      </c>
      <c r="E396" s="693"/>
      <c r="F396" s="693"/>
      <c r="G396" s="635"/>
      <c r="H396" s="694">
        <f>SUM(H390:H395)</f>
        <v>43103.75</v>
      </c>
      <c r="I396" s="1174"/>
    </row>
    <row r="397" spans="2:12">
      <c r="B397" s="396"/>
      <c r="C397" s="690"/>
      <c r="D397" s="695" t="s">
        <v>229</v>
      </c>
      <c r="E397" s="695"/>
      <c r="F397" s="695"/>
      <c r="G397" s="642"/>
      <c r="H397" s="696">
        <f>ROUND(H396,0)</f>
        <v>43104</v>
      </c>
      <c r="I397" s="775"/>
    </row>
    <row r="399" spans="2:12">
      <c r="B399" s="673" t="s">
        <v>1717</v>
      </c>
      <c r="C399" s="674"/>
      <c r="D399" s="675" t="s">
        <v>1718</v>
      </c>
      <c r="E399" s="675"/>
      <c r="F399" s="675"/>
      <c r="G399" s="675"/>
      <c r="H399" s="676"/>
      <c r="I399" s="775"/>
    </row>
    <row r="400" spans="2:12">
      <c r="B400" s="677"/>
      <c r="C400" s="722"/>
      <c r="D400" s="600" t="s">
        <v>731</v>
      </c>
      <c r="E400" s="166" t="s">
        <v>100</v>
      </c>
      <c r="F400" s="602">
        <v>4.5</v>
      </c>
      <c r="G400" s="723">
        <f>B!$H$14</f>
        <v>80896</v>
      </c>
      <c r="H400" s="703">
        <f t="shared" ref="H400:H406" si="46">F400*G400</f>
        <v>364032</v>
      </c>
      <c r="I400" s="1174"/>
      <c r="J400" s="5">
        <f>BOQ!$E$652</f>
        <v>1</v>
      </c>
      <c r="K400" s="5">
        <f>J400*F400</f>
        <v>4.5</v>
      </c>
      <c r="L400" s="774" t="s">
        <v>100</v>
      </c>
    </row>
    <row r="401" spans="2:12">
      <c r="B401" s="682"/>
      <c r="C401" s="721"/>
      <c r="D401" s="724" t="s">
        <v>732</v>
      </c>
      <c r="E401" s="172" t="s">
        <v>100</v>
      </c>
      <c r="F401" s="725">
        <v>0.214</v>
      </c>
      <c r="G401" s="726">
        <f>B!$G$40</f>
        <v>170000</v>
      </c>
      <c r="H401" s="703">
        <f t="shared" si="46"/>
        <v>36380</v>
      </c>
      <c r="I401" s="1174"/>
      <c r="J401" s="5">
        <f>BOQ!$E$652</f>
        <v>1</v>
      </c>
      <c r="K401" s="5">
        <f t="shared" ref="K401:K406" si="47">J401*F401</f>
        <v>0.214</v>
      </c>
      <c r="L401" s="774" t="s">
        <v>100</v>
      </c>
    </row>
    <row r="402" spans="2:12">
      <c r="B402" s="682"/>
      <c r="C402" s="721"/>
      <c r="D402" s="724" t="s">
        <v>733</v>
      </c>
      <c r="E402" s="172" t="s">
        <v>100</v>
      </c>
      <c r="F402" s="725">
        <v>2.25</v>
      </c>
      <c r="G402" s="726">
        <f>D!$H$139</f>
        <v>1180622.8571428573</v>
      </c>
      <c r="H402" s="703">
        <f t="shared" si="46"/>
        <v>2656401.4285714291</v>
      </c>
      <c r="I402" s="1174"/>
      <c r="J402" s="5">
        <f>BOQ!$E$652</f>
        <v>1</v>
      </c>
      <c r="K402" s="5">
        <f t="shared" si="47"/>
        <v>2.25</v>
      </c>
      <c r="L402" s="774" t="s">
        <v>100</v>
      </c>
    </row>
    <row r="403" spans="2:12">
      <c r="B403" s="682"/>
      <c r="C403" s="721"/>
      <c r="D403" s="724" t="s">
        <v>734</v>
      </c>
      <c r="E403" s="172" t="s">
        <v>147</v>
      </c>
      <c r="F403" s="725">
        <v>15</v>
      </c>
      <c r="G403" s="726">
        <f>E!$H$14</f>
        <v>355011</v>
      </c>
      <c r="H403" s="703">
        <f t="shared" si="46"/>
        <v>5325165</v>
      </c>
      <c r="I403" s="1174"/>
      <c r="J403" s="5">
        <f>BOQ!$E$652</f>
        <v>1</v>
      </c>
      <c r="K403" s="5">
        <f t="shared" si="47"/>
        <v>15</v>
      </c>
      <c r="L403" s="774" t="s">
        <v>147</v>
      </c>
    </row>
    <row r="404" spans="2:12">
      <c r="B404" s="682"/>
      <c r="C404" s="721"/>
      <c r="D404" s="724" t="s">
        <v>735</v>
      </c>
      <c r="E404" s="172" t="s">
        <v>100</v>
      </c>
      <c r="F404" s="725">
        <v>0.3</v>
      </c>
      <c r="G404" s="726">
        <f>D!$H$162</f>
        <v>1354727</v>
      </c>
      <c r="H404" s="703">
        <f t="shared" si="46"/>
        <v>406418.1</v>
      </c>
      <c r="I404" s="1174"/>
      <c r="J404" s="5">
        <f>BOQ!$E$652</f>
        <v>1</v>
      </c>
      <c r="K404" s="5">
        <f t="shared" si="47"/>
        <v>0.3</v>
      </c>
      <c r="L404" s="774" t="s">
        <v>100</v>
      </c>
    </row>
    <row r="405" spans="2:12">
      <c r="B405" s="682"/>
      <c r="C405" s="721"/>
      <c r="D405" s="724" t="s">
        <v>736</v>
      </c>
      <c r="E405" s="172" t="s">
        <v>147</v>
      </c>
      <c r="F405" s="725">
        <v>15</v>
      </c>
      <c r="G405" s="726">
        <f>F!$H$14</f>
        <v>84394</v>
      </c>
      <c r="H405" s="703">
        <f t="shared" si="46"/>
        <v>1265910</v>
      </c>
      <c r="I405" s="1174"/>
      <c r="J405" s="5">
        <f>BOQ!$E$652</f>
        <v>1</v>
      </c>
      <c r="K405" s="5">
        <f t="shared" si="47"/>
        <v>15</v>
      </c>
      <c r="L405" s="774" t="s">
        <v>147</v>
      </c>
    </row>
    <row r="406" spans="2:12">
      <c r="B406" s="643"/>
      <c r="C406" s="690"/>
      <c r="D406" s="642" t="s">
        <v>743</v>
      </c>
      <c r="E406" s="643" t="s">
        <v>100</v>
      </c>
      <c r="F406" s="729">
        <v>1.125</v>
      </c>
      <c r="G406" s="730">
        <f>B!$H$32+B!$H$37</f>
        <v>106532</v>
      </c>
      <c r="H406" s="703">
        <f t="shared" si="46"/>
        <v>119848.5</v>
      </c>
      <c r="I406" s="1174">
        <f>SUM(H400:H406)</f>
        <v>10174155.028571429</v>
      </c>
      <c r="J406" s="5">
        <f>BOQ!$E$652</f>
        <v>1</v>
      </c>
      <c r="K406" s="5">
        <f t="shared" si="47"/>
        <v>1.125</v>
      </c>
      <c r="L406" s="774" t="s">
        <v>100</v>
      </c>
    </row>
    <row r="407" spans="2:12">
      <c r="B407" s="451"/>
      <c r="C407" s="692"/>
      <c r="D407" s="693" t="s">
        <v>645</v>
      </c>
      <c r="E407" s="693"/>
      <c r="F407" s="693"/>
      <c r="G407" s="731"/>
      <c r="H407" s="694">
        <f>SUM(H400:H406)</f>
        <v>10174155.028571429</v>
      </c>
      <c r="I407" s="1174"/>
    </row>
    <row r="408" spans="2:12">
      <c r="B408" s="396"/>
      <c r="C408" s="690"/>
      <c r="D408" s="695" t="s">
        <v>229</v>
      </c>
      <c r="E408" s="695"/>
      <c r="F408" s="695"/>
      <c r="G408" s="732"/>
      <c r="H408" s="696">
        <f>ROUND(H407,0)</f>
        <v>10174155</v>
      </c>
      <c r="I408" s="775"/>
    </row>
    <row r="409" spans="2:12">
      <c r="B409" s="673" t="s">
        <v>1717</v>
      </c>
      <c r="C409" s="674"/>
      <c r="D409" s="675" t="s">
        <v>2376</v>
      </c>
      <c r="E409" s="675"/>
      <c r="F409" s="675"/>
      <c r="G409" s="675"/>
      <c r="H409" s="676"/>
      <c r="I409" s="775"/>
    </row>
    <row r="410" spans="2:12">
      <c r="B410" s="677"/>
      <c r="C410" s="722"/>
      <c r="D410" s="600" t="s">
        <v>731</v>
      </c>
      <c r="E410" s="166" t="s">
        <v>100</v>
      </c>
      <c r="F410" s="602">
        <v>4.5</v>
      </c>
      <c r="G410" s="723">
        <f>B!$H$14</f>
        <v>80896</v>
      </c>
      <c r="H410" s="703">
        <f t="shared" ref="H410:H418" si="48">F410*G410</f>
        <v>364032</v>
      </c>
      <c r="I410" s="1174"/>
      <c r="J410" s="1410">
        <f>BOQ!$E$653</f>
        <v>1</v>
      </c>
      <c r="K410" s="5">
        <f>J410*F410</f>
        <v>4.5</v>
      </c>
      <c r="L410" s="774" t="s">
        <v>100</v>
      </c>
    </row>
    <row r="411" spans="2:12">
      <c r="B411" s="682"/>
      <c r="C411" s="721"/>
      <c r="D411" s="724" t="s">
        <v>732</v>
      </c>
      <c r="E411" s="172" t="s">
        <v>100</v>
      </c>
      <c r="F411" s="725">
        <v>0.214</v>
      </c>
      <c r="G411" s="726">
        <f>B!$G$40</f>
        <v>170000</v>
      </c>
      <c r="H411" s="703">
        <f t="shared" si="48"/>
        <v>36380</v>
      </c>
      <c r="I411" s="1174"/>
      <c r="J411" s="1410">
        <f>$J$410</f>
        <v>1</v>
      </c>
      <c r="K411" s="5">
        <f t="shared" ref="K411:K418" si="49">J411*F411</f>
        <v>0.214</v>
      </c>
      <c r="L411" s="774" t="s">
        <v>100</v>
      </c>
    </row>
    <row r="412" spans="2:12">
      <c r="B412" s="682"/>
      <c r="C412" s="721"/>
      <c r="D412" s="724" t="s">
        <v>733</v>
      </c>
      <c r="E412" s="172" t="s">
        <v>100</v>
      </c>
      <c r="F412" s="725">
        <v>2.25</v>
      </c>
      <c r="G412" s="726">
        <f>D!$H$139</f>
        <v>1180622.8571428573</v>
      </c>
      <c r="H412" s="703">
        <f t="shared" si="48"/>
        <v>2656401.4285714291</v>
      </c>
      <c r="I412" s="1174"/>
      <c r="J412" s="1410">
        <f t="shared" ref="J412:J418" si="50">$J$410</f>
        <v>1</v>
      </c>
      <c r="K412" s="5">
        <f t="shared" si="49"/>
        <v>2.25</v>
      </c>
      <c r="L412" s="774" t="s">
        <v>100</v>
      </c>
    </row>
    <row r="413" spans="2:12">
      <c r="B413" s="682"/>
      <c r="C413" s="721"/>
      <c r="D413" s="724" t="s">
        <v>2375</v>
      </c>
      <c r="E413" s="172" t="s">
        <v>88</v>
      </c>
      <c r="F413" s="725">
        <v>1</v>
      </c>
      <c r="G413" s="726">
        <f>BAHAN!$E$249</f>
        <v>3500000</v>
      </c>
      <c r="H413" s="703">
        <f t="shared" si="48"/>
        <v>3500000</v>
      </c>
      <c r="I413" s="1174"/>
      <c r="J413" s="1410">
        <f t="shared" si="50"/>
        <v>1</v>
      </c>
      <c r="K413" s="5">
        <f t="shared" si="49"/>
        <v>1</v>
      </c>
      <c r="L413" s="774" t="s">
        <v>147</v>
      </c>
    </row>
    <row r="414" spans="2:12">
      <c r="B414" s="682"/>
      <c r="C414" s="721"/>
      <c r="D414" s="724" t="s">
        <v>739</v>
      </c>
      <c r="E414" s="172" t="s">
        <v>100</v>
      </c>
      <c r="F414" s="725">
        <v>3.375</v>
      </c>
      <c r="G414" s="726">
        <f>B!$H$9</f>
        <v>61600</v>
      </c>
      <c r="H414" s="703">
        <f t="shared" si="48"/>
        <v>207900</v>
      </c>
      <c r="I414" s="1174"/>
      <c r="J414" s="1410">
        <f t="shared" si="50"/>
        <v>1</v>
      </c>
      <c r="K414" s="5">
        <f t="shared" si="49"/>
        <v>3.375</v>
      </c>
      <c r="L414" s="774" t="s">
        <v>100</v>
      </c>
    </row>
    <row r="415" spans="2:12">
      <c r="B415" s="682"/>
      <c r="C415" s="683"/>
      <c r="D415" s="603" t="s">
        <v>740</v>
      </c>
      <c r="E415" s="335" t="s">
        <v>47</v>
      </c>
      <c r="F415" s="605">
        <v>5.4</v>
      </c>
      <c r="G415" s="727">
        <f>BAHAN!$E$135</f>
        <v>30000</v>
      </c>
      <c r="H415" s="703">
        <f t="shared" si="48"/>
        <v>162000</v>
      </c>
      <c r="I415" s="1174"/>
      <c r="J415" s="1410">
        <f t="shared" si="50"/>
        <v>1</v>
      </c>
      <c r="K415" s="5">
        <f t="shared" si="49"/>
        <v>5.4</v>
      </c>
      <c r="L415" s="1136" t="s">
        <v>47</v>
      </c>
    </row>
    <row r="416" spans="2:12">
      <c r="B416" s="682"/>
      <c r="C416" s="721"/>
      <c r="D416" s="603" t="s">
        <v>741</v>
      </c>
      <c r="E416" s="172" t="s">
        <v>100</v>
      </c>
      <c r="F416" s="605">
        <v>1.05</v>
      </c>
      <c r="G416" s="728">
        <f>BAHAN!$E$8</f>
        <v>290000</v>
      </c>
      <c r="H416" s="703">
        <f t="shared" si="48"/>
        <v>304500</v>
      </c>
      <c r="I416" s="1174"/>
      <c r="J416" s="1410">
        <f t="shared" si="50"/>
        <v>1</v>
      </c>
      <c r="K416" s="5">
        <f t="shared" si="49"/>
        <v>1.05</v>
      </c>
      <c r="L416" s="774" t="s">
        <v>100</v>
      </c>
    </row>
    <row r="417" spans="2:12">
      <c r="B417" s="172"/>
      <c r="C417" s="689"/>
      <c r="D417" s="724" t="s">
        <v>742</v>
      </c>
      <c r="E417" s="172" t="s">
        <v>129</v>
      </c>
      <c r="F417" s="605">
        <v>9</v>
      </c>
      <c r="G417" s="728">
        <f>$G$152</f>
        <v>32050</v>
      </c>
      <c r="H417" s="703">
        <f t="shared" si="48"/>
        <v>288450</v>
      </c>
      <c r="I417" s="1174"/>
      <c r="J417" s="1410">
        <f t="shared" si="50"/>
        <v>1</v>
      </c>
      <c r="K417" s="5">
        <f t="shared" si="49"/>
        <v>9</v>
      </c>
      <c r="L417" s="774" t="s">
        <v>129</v>
      </c>
    </row>
    <row r="418" spans="2:12">
      <c r="B418" s="643"/>
      <c r="C418" s="690"/>
      <c r="D418" s="642" t="s">
        <v>743</v>
      </c>
      <c r="E418" s="643" t="s">
        <v>100</v>
      </c>
      <c r="F418" s="729">
        <v>1.125</v>
      </c>
      <c r="G418" s="730">
        <f>B!$H$32+B!$H$37</f>
        <v>106532</v>
      </c>
      <c r="H418" s="703">
        <f t="shared" si="48"/>
        <v>119848.5</v>
      </c>
      <c r="I418" s="1174">
        <f>SUM(H410:H418)</f>
        <v>7639511.9285714291</v>
      </c>
      <c r="J418" s="1410">
        <f t="shared" si="50"/>
        <v>1</v>
      </c>
      <c r="K418" s="5">
        <f t="shared" si="49"/>
        <v>1.125</v>
      </c>
      <c r="L418" s="774" t="s">
        <v>100</v>
      </c>
    </row>
    <row r="419" spans="2:12">
      <c r="B419" s="451"/>
      <c r="C419" s="692"/>
      <c r="D419" s="693" t="s">
        <v>645</v>
      </c>
      <c r="E419" s="693"/>
      <c r="F419" s="693"/>
      <c r="G419" s="731"/>
      <c r="H419" s="694">
        <f>SUM(H410:H418)</f>
        <v>7639511.9285714291</v>
      </c>
      <c r="I419" s="1174"/>
    </row>
    <row r="420" spans="2:12">
      <c r="B420" s="396"/>
      <c r="C420" s="690"/>
      <c r="D420" s="695" t="s">
        <v>229</v>
      </c>
      <c r="E420" s="695"/>
      <c r="F420" s="695"/>
      <c r="G420" s="732"/>
      <c r="H420" s="696">
        <f>ROUND(H419,0)</f>
        <v>7639512</v>
      </c>
      <c r="I420" s="775"/>
    </row>
    <row r="422" spans="2:12">
      <c r="B422" s="697" t="s">
        <v>1522</v>
      </c>
      <c r="C422" s="698"/>
      <c r="D422" s="699" t="s">
        <v>2908</v>
      </c>
      <c r="E422" s="699"/>
      <c r="F422" s="717"/>
      <c r="G422" s="699"/>
      <c r="H422" s="700"/>
      <c r="I422" s="775"/>
      <c r="J422" s="2082">
        <f>SUMIF(BOQ!$G$638:$G$2199,M!I423,BOQ!$E$638:$E$2199)</f>
        <v>6828.6410000000005</v>
      </c>
    </row>
    <row r="423" spans="2:12">
      <c r="B423" s="677"/>
      <c r="C423" s="678"/>
      <c r="D423" s="635" t="s">
        <v>2910</v>
      </c>
      <c r="E423" s="701" t="s">
        <v>88</v>
      </c>
      <c r="F423" s="714">
        <v>1</v>
      </c>
      <c r="G423" s="702">
        <f>BAHAN!E251</f>
        <v>364100</v>
      </c>
      <c r="H423" s="703">
        <f t="shared" ref="H423:H428" si="51">F423*G423</f>
        <v>364100</v>
      </c>
      <c r="I423" s="1174"/>
      <c r="J423" s="2082">
        <f>SUMIF(BOQ!$G$638:$G$2199,M!I424,BOQ!$E$638:$E$2199)</f>
        <v>0</v>
      </c>
      <c r="K423" s="5">
        <f>J423*F423</f>
        <v>0</v>
      </c>
      <c r="L423" s="1136" t="s">
        <v>88</v>
      </c>
    </row>
    <row r="424" spans="2:12">
      <c r="B424" s="682"/>
      <c r="C424" s="683"/>
      <c r="D424" s="603" t="s">
        <v>711</v>
      </c>
      <c r="E424" s="339" t="s">
        <v>88</v>
      </c>
      <c r="F424" s="719">
        <v>2.5000000000000001E-2</v>
      </c>
      <c r="G424" s="709">
        <f>BAHAN!$E$231</f>
        <v>5750</v>
      </c>
      <c r="H424" s="703">
        <f t="shared" si="51"/>
        <v>143.75</v>
      </c>
      <c r="I424" s="1174">
        <f>SUM(H423:H424)</f>
        <v>364243.75</v>
      </c>
      <c r="J424" s="1410">
        <f>J423</f>
        <v>0</v>
      </c>
      <c r="K424" s="5">
        <f>J424*F424</f>
        <v>0</v>
      </c>
      <c r="L424" s="1136" t="s">
        <v>88</v>
      </c>
    </row>
    <row r="425" spans="2:12">
      <c r="B425" s="172"/>
      <c r="C425" s="689"/>
      <c r="D425" s="603" t="s">
        <v>133</v>
      </c>
      <c r="E425" s="347" t="s">
        <v>263</v>
      </c>
      <c r="F425" s="715">
        <v>0.01</v>
      </c>
      <c r="G425" s="704">
        <f>G416</f>
        <v>290000</v>
      </c>
      <c r="H425" s="703">
        <f t="shared" si="51"/>
        <v>2900</v>
      </c>
      <c r="I425" s="1174"/>
    </row>
    <row r="426" spans="2:12">
      <c r="B426" s="172"/>
      <c r="C426" s="689"/>
      <c r="D426" s="603" t="s">
        <v>402</v>
      </c>
      <c r="E426" s="347" t="s">
        <v>263</v>
      </c>
      <c r="F426" s="715">
        <v>0.1</v>
      </c>
      <c r="G426" s="704">
        <f>G417</f>
        <v>32050</v>
      </c>
      <c r="H426" s="703">
        <f t="shared" si="51"/>
        <v>3205</v>
      </c>
      <c r="I426" s="1174"/>
    </row>
    <row r="427" spans="2:12">
      <c r="B427" s="172"/>
      <c r="C427" s="689"/>
      <c r="D427" s="603" t="s">
        <v>562</v>
      </c>
      <c r="E427" s="347" t="s">
        <v>263</v>
      </c>
      <c r="F427" s="715">
        <v>0.01</v>
      </c>
      <c r="G427" s="704">
        <f>G418</f>
        <v>106532</v>
      </c>
      <c r="H427" s="703">
        <f t="shared" si="51"/>
        <v>1065.32</v>
      </c>
      <c r="I427" s="1174"/>
    </row>
    <row r="428" spans="2:12">
      <c r="B428" s="690"/>
      <c r="C428" s="690"/>
      <c r="D428" s="642" t="s">
        <v>136</v>
      </c>
      <c r="E428" s="705" t="s">
        <v>263</v>
      </c>
      <c r="F428" s="716">
        <v>5.0000000000000001E-3</v>
      </c>
      <c r="G428" s="704">
        <f>G419</f>
        <v>0</v>
      </c>
      <c r="H428" s="703">
        <f t="shared" si="51"/>
        <v>0</v>
      </c>
      <c r="I428" s="1174">
        <f>SUM(H425:H428)</f>
        <v>7170.32</v>
      </c>
    </row>
    <row r="429" spans="2:12">
      <c r="B429" s="707"/>
      <c r="C429" s="692"/>
      <c r="D429" s="693" t="s">
        <v>645</v>
      </c>
      <c r="E429" s="693"/>
      <c r="F429" s="693"/>
      <c r="G429" s="635"/>
      <c r="H429" s="694">
        <f>SUM(H423:H428)</f>
        <v>371414.07</v>
      </c>
      <c r="I429" s="1174"/>
    </row>
    <row r="430" spans="2:12">
      <c r="B430" s="396"/>
      <c r="C430" s="690"/>
      <c r="D430" s="695" t="s">
        <v>229</v>
      </c>
      <c r="E430" s="695"/>
      <c r="F430" s="695"/>
      <c r="G430" s="642"/>
      <c r="H430" s="696">
        <f>ROUND(H429,0)</f>
        <v>371414</v>
      </c>
      <c r="I430" s="775"/>
    </row>
    <row r="431" spans="2:12">
      <c r="B431" s="697" t="s">
        <v>1522</v>
      </c>
      <c r="C431" s="698"/>
      <c r="D431" s="699" t="s">
        <v>2909</v>
      </c>
      <c r="E431" s="699"/>
      <c r="F431" s="717"/>
      <c r="G431" s="699"/>
      <c r="H431" s="700"/>
      <c r="I431" s="775"/>
      <c r="J431" s="2082">
        <f>SUMIF(BOQ!$G$638:$G$2199,M!I432,BOQ!$E$638:$E$2199)</f>
        <v>6828.6410000000005</v>
      </c>
    </row>
    <row r="432" spans="2:12">
      <c r="B432" s="677"/>
      <c r="C432" s="678"/>
      <c r="D432" s="635" t="s">
        <v>2911</v>
      </c>
      <c r="E432" s="701" t="s">
        <v>88</v>
      </c>
      <c r="F432" s="714">
        <v>1</v>
      </c>
      <c r="G432" s="702">
        <f>BAHAN!E252</f>
        <v>866800</v>
      </c>
      <c r="H432" s="703">
        <f t="shared" ref="H432:H437" si="52">F432*G432</f>
        <v>866800</v>
      </c>
      <c r="I432" s="1174"/>
      <c r="J432" s="2082">
        <f>SUMIF(BOQ!$G$638:$G$2199,M!I433,BOQ!$E$638:$E$2199)</f>
        <v>0</v>
      </c>
      <c r="K432" s="5">
        <f>J432*F432</f>
        <v>0</v>
      </c>
      <c r="L432" s="1136" t="s">
        <v>88</v>
      </c>
    </row>
    <row r="433" spans="2:12">
      <c r="B433" s="682"/>
      <c r="C433" s="683"/>
      <c r="D433" s="603" t="s">
        <v>711</v>
      </c>
      <c r="E433" s="339" t="s">
        <v>88</v>
      </c>
      <c r="F433" s="719">
        <v>2.5000000000000001E-2</v>
      </c>
      <c r="G433" s="709">
        <f>BAHAN!$E$231</f>
        <v>5750</v>
      </c>
      <c r="H433" s="703">
        <f t="shared" si="52"/>
        <v>143.75</v>
      </c>
      <c r="I433" s="1174">
        <f>SUM(H432:H433)</f>
        <v>866943.75</v>
      </c>
      <c r="J433" s="1410">
        <f>J432</f>
        <v>0</v>
      </c>
      <c r="K433" s="5">
        <f>J433*F433</f>
        <v>0</v>
      </c>
      <c r="L433" s="1136" t="s">
        <v>88</v>
      </c>
    </row>
    <row r="434" spans="2:12">
      <c r="B434" s="172"/>
      <c r="C434" s="689"/>
      <c r="D434" s="603" t="s">
        <v>133</v>
      </c>
      <c r="E434" s="347" t="s">
        <v>263</v>
      </c>
      <c r="F434" s="715">
        <v>0.01</v>
      </c>
      <c r="G434" s="704">
        <f>G425</f>
        <v>290000</v>
      </c>
      <c r="H434" s="703">
        <f t="shared" si="52"/>
        <v>2900</v>
      </c>
      <c r="I434" s="1174"/>
    </row>
    <row r="435" spans="2:12">
      <c r="B435" s="172"/>
      <c r="C435" s="689"/>
      <c r="D435" s="603" t="s">
        <v>402</v>
      </c>
      <c r="E435" s="347" t="s">
        <v>263</v>
      </c>
      <c r="F435" s="715">
        <v>0.1</v>
      </c>
      <c r="G435" s="704">
        <f>G426</f>
        <v>32050</v>
      </c>
      <c r="H435" s="703">
        <f t="shared" si="52"/>
        <v>3205</v>
      </c>
      <c r="I435" s="1174"/>
    </row>
    <row r="436" spans="2:12">
      <c r="B436" s="172"/>
      <c r="C436" s="689"/>
      <c r="D436" s="603" t="s">
        <v>562</v>
      </c>
      <c r="E436" s="347" t="s">
        <v>263</v>
      </c>
      <c r="F436" s="715">
        <v>0.01</v>
      </c>
      <c r="G436" s="704">
        <f>G427</f>
        <v>106532</v>
      </c>
      <c r="H436" s="703">
        <f t="shared" si="52"/>
        <v>1065.32</v>
      </c>
      <c r="I436" s="1174"/>
    </row>
    <row r="437" spans="2:12">
      <c r="B437" s="690"/>
      <c r="C437" s="690"/>
      <c r="D437" s="642" t="s">
        <v>136</v>
      </c>
      <c r="E437" s="705" t="s">
        <v>263</v>
      </c>
      <c r="F437" s="716">
        <v>5.0000000000000001E-3</v>
      </c>
      <c r="G437" s="704">
        <f>G428</f>
        <v>0</v>
      </c>
      <c r="H437" s="703">
        <f t="shared" si="52"/>
        <v>0</v>
      </c>
      <c r="I437" s="1174">
        <f>SUM(H434:H437)</f>
        <v>7170.32</v>
      </c>
    </row>
    <row r="438" spans="2:12">
      <c r="B438" s="707"/>
      <c r="C438" s="692"/>
      <c r="D438" s="693" t="s">
        <v>645</v>
      </c>
      <c r="E438" s="693"/>
      <c r="F438" s="693"/>
      <c r="G438" s="635"/>
      <c r="H438" s="694">
        <f>SUM(H432:H437)</f>
        <v>874114.07</v>
      </c>
      <c r="I438" s="1174"/>
    </row>
    <row r="439" spans="2:12">
      <c r="B439" s="396"/>
      <c r="C439" s="690"/>
      <c r="D439" s="695" t="s">
        <v>229</v>
      </c>
      <c r="E439" s="695"/>
      <c r="F439" s="695"/>
      <c r="G439" s="642"/>
      <c r="H439" s="696">
        <f>ROUND(H438,0)</f>
        <v>874114</v>
      </c>
      <c r="I439" s="775"/>
    </row>
    <row r="440" spans="2:12">
      <c r="B440" s="697" t="s">
        <v>760</v>
      </c>
      <c r="C440" s="698"/>
      <c r="D440" s="699" t="s">
        <v>2912</v>
      </c>
      <c r="E440" s="699"/>
      <c r="F440" s="699"/>
      <c r="G440" s="699"/>
      <c r="H440" s="700"/>
      <c r="I440" s="775"/>
    </row>
    <row r="441" spans="2:12">
      <c r="B441" s="677"/>
      <c r="C441" s="678"/>
      <c r="D441" s="603" t="s">
        <v>2913</v>
      </c>
      <c r="E441" s="701" t="s">
        <v>88</v>
      </c>
      <c r="F441" s="679">
        <v>1</v>
      </c>
      <c r="G441" s="702">
        <f>BAHAN!E369</f>
        <v>5470000</v>
      </c>
      <c r="H441" s="703">
        <f t="shared" ref="H441:H446" si="53">F441*G441</f>
        <v>5470000</v>
      </c>
      <c r="I441" s="1174">
        <f>SUM(H441)+H446</f>
        <v>5798200</v>
      </c>
      <c r="J441" s="2082">
        <f>SUMIF(BOQ!$G$638:$G$2199,M!I441,BOQ!$E$638:$E$2199)</f>
        <v>0</v>
      </c>
      <c r="K441" s="5">
        <f>J441*F441</f>
        <v>0</v>
      </c>
      <c r="L441" s="1136" t="s">
        <v>88</v>
      </c>
    </row>
    <row r="442" spans="2:12">
      <c r="B442" s="172"/>
      <c r="C442" s="689"/>
      <c r="D442" s="603" t="s">
        <v>133</v>
      </c>
      <c r="E442" s="347" t="s">
        <v>263</v>
      </c>
      <c r="F442" s="336">
        <v>3.3</v>
      </c>
      <c r="G442" s="704">
        <f>$G$337</f>
        <v>136000</v>
      </c>
      <c r="H442" s="703">
        <f t="shared" si="53"/>
        <v>448800</v>
      </c>
      <c r="I442" s="1174"/>
    </row>
    <row r="443" spans="2:12">
      <c r="B443" s="172"/>
      <c r="C443" s="689"/>
      <c r="D443" s="603" t="s">
        <v>402</v>
      </c>
      <c r="E443" s="347" t="s">
        <v>263</v>
      </c>
      <c r="F443" s="336">
        <v>1.1000000000000001</v>
      </c>
      <c r="G443" s="704">
        <f>$G$338</f>
        <v>160000</v>
      </c>
      <c r="H443" s="703">
        <f t="shared" si="53"/>
        <v>176000</v>
      </c>
      <c r="I443" s="1174"/>
    </row>
    <row r="444" spans="2:12">
      <c r="B444" s="172"/>
      <c r="C444" s="689"/>
      <c r="D444" s="603" t="s">
        <v>562</v>
      </c>
      <c r="E444" s="347" t="s">
        <v>263</v>
      </c>
      <c r="F444" s="336">
        <v>1E-3</v>
      </c>
      <c r="G444" s="704">
        <f>$G$339</f>
        <v>170000</v>
      </c>
      <c r="H444" s="703">
        <f t="shared" si="53"/>
        <v>170</v>
      </c>
      <c r="I444" s="1174"/>
    </row>
    <row r="445" spans="2:12">
      <c r="B445" s="689"/>
      <c r="C445" s="689"/>
      <c r="D445" s="603" t="s">
        <v>136</v>
      </c>
      <c r="E445" s="347" t="s">
        <v>263</v>
      </c>
      <c r="F445" s="336">
        <v>0.16</v>
      </c>
      <c r="G445" s="704">
        <f>$G$340</f>
        <v>180000</v>
      </c>
      <c r="H445" s="703">
        <f t="shared" si="53"/>
        <v>28800</v>
      </c>
      <c r="I445" s="1174"/>
    </row>
    <row r="446" spans="2:12">
      <c r="B446" s="690"/>
      <c r="C446" s="690"/>
      <c r="D446" s="642" t="s">
        <v>759</v>
      </c>
      <c r="E446" s="705" t="s">
        <v>313</v>
      </c>
      <c r="F446" s="691">
        <v>0.06</v>
      </c>
      <c r="G446" s="706">
        <f>H441</f>
        <v>5470000</v>
      </c>
      <c r="H446" s="703">
        <f t="shared" si="53"/>
        <v>328200</v>
      </c>
      <c r="I446" s="1174">
        <f>SUM(H442:H445)</f>
        <v>653770</v>
      </c>
    </row>
    <row r="447" spans="2:12">
      <c r="B447" s="707"/>
      <c r="C447" s="692"/>
      <c r="D447" s="693" t="s">
        <v>645</v>
      </c>
      <c r="E447" s="693"/>
      <c r="F447" s="693"/>
      <c r="G447" s="635"/>
      <c r="H447" s="694">
        <f>SUM(H441:H446)</f>
        <v>6451970</v>
      </c>
      <c r="I447" s="1174"/>
    </row>
    <row r="448" spans="2:12">
      <c r="B448" s="396"/>
      <c r="C448" s="690"/>
      <c r="D448" s="695" t="s">
        <v>229</v>
      </c>
      <c r="E448" s="695"/>
      <c r="F448" s="695"/>
      <c r="G448" s="642"/>
      <c r="H448" s="696">
        <f>ROUND(H447,0)</f>
        <v>6451970</v>
      </c>
      <c r="I448" s="775"/>
    </row>
    <row r="449" spans="2:12">
      <c r="B449" s="697" t="s">
        <v>760</v>
      </c>
      <c r="C449" s="698"/>
      <c r="D449" s="699" t="s">
        <v>2914</v>
      </c>
      <c r="E449" s="699"/>
      <c r="F449" s="699"/>
      <c r="G449" s="699"/>
      <c r="H449" s="700"/>
      <c r="I449" s="775"/>
    </row>
    <row r="450" spans="2:12">
      <c r="B450" s="677"/>
      <c r="C450" s="678"/>
      <c r="D450" s="603" t="s">
        <v>2915</v>
      </c>
      <c r="E450" s="701" t="s">
        <v>88</v>
      </c>
      <c r="F450" s="679">
        <v>1</v>
      </c>
      <c r="G450" s="702">
        <f>BAHAN!E370</f>
        <v>3100000</v>
      </c>
      <c r="H450" s="703">
        <f t="shared" ref="H450:H455" si="54">F450*G450</f>
        <v>3100000</v>
      </c>
      <c r="I450" s="1174">
        <f>SUM(H450)+H455</f>
        <v>3286000</v>
      </c>
      <c r="J450" s="2082">
        <f>SUMIF(BOQ!$G$638:$G$2199,M!I450,BOQ!$E$638:$E$2199)</f>
        <v>0</v>
      </c>
      <c r="K450" s="5">
        <f>J450*F450</f>
        <v>0</v>
      </c>
      <c r="L450" s="1136" t="s">
        <v>88</v>
      </c>
    </row>
    <row r="451" spans="2:12">
      <c r="B451" s="172"/>
      <c r="C451" s="689"/>
      <c r="D451" s="603" t="s">
        <v>133</v>
      </c>
      <c r="E451" s="347" t="s">
        <v>263</v>
      </c>
      <c r="F451" s="336">
        <v>3.3</v>
      </c>
      <c r="G451" s="704">
        <f>$G$337</f>
        <v>136000</v>
      </c>
      <c r="H451" s="703">
        <f t="shared" si="54"/>
        <v>448800</v>
      </c>
      <c r="I451" s="1174"/>
    </row>
    <row r="452" spans="2:12">
      <c r="B452" s="172"/>
      <c r="C452" s="689"/>
      <c r="D452" s="603" t="s">
        <v>402</v>
      </c>
      <c r="E452" s="347" t="s">
        <v>263</v>
      </c>
      <c r="F452" s="336">
        <v>1.1000000000000001</v>
      </c>
      <c r="G452" s="704">
        <f>$G$338</f>
        <v>160000</v>
      </c>
      <c r="H452" s="703">
        <f t="shared" si="54"/>
        <v>176000</v>
      </c>
      <c r="I452" s="1174"/>
    </row>
    <row r="453" spans="2:12">
      <c r="B453" s="172"/>
      <c r="C453" s="689"/>
      <c r="D453" s="603" t="s">
        <v>562</v>
      </c>
      <c r="E453" s="347" t="s">
        <v>263</v>
      </c>
      <c r="F453" s="336">
        <v>1E-3</v>
      </c>
      <c r="G453" s="704">
        <f>$G$339</f>
        <v>170000</v>
      </c>
      <c r="H453" s="703">
        <f t="shared" si="54"/>
        <v>170</v>
      </c>
      <c r="I453" s="1174"/>
    </row>
    <row r="454" spans="2:12">
      <c r="B454" s="689"/>
      <c r="C454" s="689"/>
      <c r="D454" s="603" t="s">
        <v>136</v>
      </c>
      <c r="E454" s="347" t="s">
        <v>263</v>
      </c>
      <c r="F454" s="336">
        <v>0.16</v>
      </c>
      <c r="G454" s="704">
        <f>$G$340</f>
        <v>180000</v>
      </c>
      <c r="H454" s="703">
        <f t="shared" si="54"/>
        <v>28800</v>
      </c>
      <c r="I454" s="1174"/>
    </row>
    <row r="455" spans="2:12">
      <c r="B455" s="690"/>
      <c r="C455" s="690"/>
      <c r="D455" s="642" t="s">
        <v>759</v>
      </c>
      <c r="E455" s="705" t="s">
        <v>313</v>
      </c>
      <c r="F455" s="691">
        <v>0.06</v>
      </c>
      <c r="G455" s="706">
        <f>H450</f>
        <v>3100000</v>
      </c>
      <c r="H455" s="703">
        <f t="shared" si="54"/>
        <v>186000</v>
      </c>
      <c r="I455" s="1174">
        <f>SUM(H451:H454)</f>
        <v>653770</v>
      </c>
    </row>
    <row r="456" spans="2:12">
      <c r="B456" s="707"/>
      <c r="C456" s="692"/>
      <c r="D456" s="693" t="s">
        <v>645</v>
      </c>
      <c r="E456" s="693"/>
      <c r="F456" s="693"/>
      <c r="G456" s="635"/>
      <c r="H456" s="694">
        <f>SUM(H450:H455)</f>
        <v>3939770</v>
      </c>
      <c r="I456" s="1174"/>
    </row>
    <row r="457" spans="2:12">
      <c r="B457" s="396"/>
      <c r="C457" s="690"/>
      <c r="D457" s="695" t="s">
        <v>229</v>
      </c>
      <c r="E457" s="695"/>
      <c r="F457" s="695"/>
      <c r="G457" s="642"/>
      <c r="H457" s="696">
        <f>ROUND(H456,0)</f>
        <v>3939770</v>
      </c>
      <c r="I457" s="775"/>
    </row>
    <row r="458" spans="2:12">
      <c r="B458" s="2596" t="s">
        <v>760</v>
      </c>
      <c r="C458" s="2597"/>
      <c r="D458" s="2598" t="s">
        <v>2969</v>
      </c>
      <c r="E458" s="2598"/>
      <c r="F458" s="2598"/>
      <c r="G458" s="2598"/>
      <c r="H458" s="2599"/>
      <c r="I458" s="775"/>
    </row>
    <row r="459" spans="2:12">
      <c r="B459" s="677"/>
      <c r="C459" s="678"/>
      <c r="D459" s="2600" t="s">
        <v>2963</v>
      </c>
      <c r="E459" s="701" t="s">
        <v>88</v>
      </c>
      <c r="F459" s="679">
        <v>1</v>
      </c>
      <c r="G459" s="702">
        <f>BAHAN!$E$371</f>
        <v>780000</v>
      </c>
      <c r="H459" s="2601">
        <f t="shared" ref="H459:H464" si="55">F459*G459</f>
        <v>780000</v>
      </c>
      <c r="I459" s="1174">
        <f>SUM(H459)+H464</f>
        <v>826800</v>
      </c>
      <c r="J459" s="2082" t="e">
        <v>#VALUE!</v>
      </c>
      <c r="K459" s="5" t="e">
        <f>J459*F459</f>
        <v>#VALUE!</v>
      </c>
      <c r="L459" s="1136" t="s">
        <v>88</v>
      </c>
    </row>
    <row r="460" spans="2:12">
      <c r="B460" s="2602"/>
      <c r="C460" s="2603"/>
      <c r="D460" s="2600" t="s">
        <v>133</v>
      </c>
      <c r="E460" s="2604" t="s">
        <v>263</v>
      </c>
      <c r="F460" s="2605">
        <v>3.3</v>
      </c>
      <c r="G460" s="2606">
        <f>$G$337</f>
        <v>136000</v>
      </c>
      <c r="H460" s="2601">
        <f t="shared" si="55"/>
        <v>448800</v>
      </c>
      <c r="I460" s="1174"/>
    </row>
    <row r="461" spans="2:12">
      <c r="B461" s="2602"/>
      <c r="C461" s="2603"/>
      <c r="D461" s="2600" t="s">
        <v>402</v>
      </c>
      <c r="E461" s="2604" t="s">
        <v>263</v>
      </c>
      <c r="F461" s="2605">
        <v>1.1000000000000001</v>
      </c>
      <c r="G461" s="2606">
        <f>$G$338</f>
        <v>160000</v>
      </c>
      <c r="H461" s="2601">
        <f t="shared" si="55"/>
        <v>176000</v>
      </c>
      <c r="I461" s="1174"/>
    </row>
    <row r="462" spans="2:12">
      <c r="B462" s="2602"/>
      <c r="C462" s="2603"/>
      <c r="D462" s="2600" t="s">
        <v>562</v>
      </c>
      <c r="E462" s="2604" t="s">
        <v>263</v>
      </c>
      <c r="F462" s="2605">
        <v>1E-3</v>
      </c>
      <c r="G462" s="2606">
        <f>$G$339</f>
        <v>170000</v>
      </c>
      <c r="H462" s="2601">
        <f t="shared" si="55"/>
        <v>170</v>
      </c>
      <c r="I462" s="1174"/>
    </row>
    <row r="463" spans="2:12">
      <c r="B463" s="2603"/>
      <c r="C463" s="2603"/>
      <c r="D463" s="2600" t="s">
        <v>136</v>
      </c>
      <c r="E463" s="2604" t="s">
        <v>263</v>
      </c>
      <c r="F463" s="2605">
        <v>0.16</v>
      </c>
      <c r="G463" s="2606">
        <f>$G$340</f>
        <v>180000</v>
      </c>
      <c r="H463" s="2601">
        <f t="shared" si="55"/>
        <v>28800</v>
      </c>
      <c r="I463" s="1174"/>
    </row>
    <row r="464" spans="2:12">
      <c r="B464" s="2607"/>
      <c r="C464" s="2607"/>
      <c r="D464" s="2608" t="s">
        <v>759</v>
      </c>
      <c r="E464" s="2609" t="s">
        <v>313</v>
      </c>
      <c r="F464" s="2610">
        <v>0.06</v>
      </c>
      <c r="G464" s="2611">
        <f>H459</f>
        <v>780000</v>
      </c>
      <c r="H464" s="2601">
        <f t="shared" si="55"/>
        <v>46800</v>
      </c>
      <c r="I464" s="1174">
        <f>SUM(H460:H463)</f>
        <v>653770</v>
      </c>
    </row>
    <row r="465" spans="2:9">
      <c r="B465" s="707"/>
      <c r="C465" s="692"/>
      <c r="D465" s="693" t="s">
        <v>645</v>
      </c>
      <c r="E465" s="693"/>
      <c r="F465" s="693"/>
      <c r="G465" s="635"/>
      <c r="H465" s="694">
        <f>SUM(H459:H464)</f>
        <v>1480570</v>
      </c>
      <c r="I465" s="1174"/>
    </row>
    <row r="466" spans="2:9">
      <c r="B466" s="2612"/>
      <c r="C466" s="2607"/>
      <c r="D466" s="2613" t="s">
        <v>229</v>
      </c>
      <c r="E466" s="2613"/>
      <c r="F466" s="2613"/>
      <c r="G466" s="2608"/>
      <c r="H466" s="2614">
        <f>ROUND(H465,0)</f>
        <v>1480570</v>
      </c>
      <c r="I466" s="775"/>
    </row>
  </sheetData>
  <mergeCells count="1">
    <mergeCell ref="B2:H2"/>
  </mergeCells>
  <hyperlinks>
    <hyperlink ref="J107" location="BOQ!H275" display="BOQ!H275" xr:uid="{00000000-0004-0000-2100-000000000000}"/>
    <hyperlink ref="J133" location="BOQ!H275" display="BOQ!H275" xr:uid="{00000000-0004-0000-2100-000001000000}"/>
    <hyperlink ref="J116" location="BOQ!H275" display="BOQ!H275" xr:uid="{00000000-0004-0000-2100-000002000000}"/>
    <hyperlink ref="J134" location="BOQ!H275" display="BOQ!H275" xr:uid="{00000000-0004-0000-2100-000003000000}"/>
    <hyperlink ref="J143" location="BOQ!H275" display="BOQ!H275" xr:uid="{00000000-0004-0000-2100-000004000000}"/>
    <hyperlink ref="J152" location="BOQ!H275" display="BOQ!H275" xr:uid="{00000000-0004-0000-2100-000005000000}"/>
    <hyperlink ref="J161" location="BOQ!H275" display="BOQ!H275" xr:uid="{00000000-0004-0000-2100-000006000000}"/>
    <hyperlink ref="J170" location="BOQ!H275" display="BOQ!H275" xr:uid="{00000000-0004-0000-2100-000007000000}"/>
    <hyperlink ref="J179" location="BOQ!H275" display="BOQ!H275" xr:uid="{00000000-0004-0000-2100-000008000000}"/>
    <hyperlink ref="J188" location="BOQ!H275" display="BOQ!H275" xr:uid="{00000000-0004-0000-2100-000009000000}"/>
    <hyperlink ref="J197" location="BOQ!H275" display="BOQ!H275" xr:uid="{00000000-0004-0000-2100-00000A000000}"/>
    <hyperlink ref="J224" location="BOQ!H275" display="BOQ!H275" xr:uid="{00000000-0004-0000-2100-00000B000000}"/>
    <hyperlink ref="J232" location="BOQ!H275" display="BOQ!H275" xr:uid="{00000000-0004-0000-2100-00000C000000}"/>
    <hyperlink ref="J241" location="BOQ!H275" display="BOQ!H275" xr:uid="{00000000-0004-0000-2100-00000D000000}"/>
    <hyperlink ref="J250" location="BOQ!H275" display="BOQ!H275" xr:uid="{00000000-0004-0000-2100-00000E000000}"/>
    <hyperlink ref="J258" location="BOQ!H275" display="BOQ!H275" xr:uid="{00000000-0004-0000-2100-00000F000000}"/>
    <hyperlink ref="J275" location="BOQ!H275" display="BOQ!H275" xr:uid="{00000000-0004-0000-2100-000010000000}"/>
    <hyperlink ref="J284" location="BOQ!H275" display="BOQ!H275" xr:uid="{00000000-0004-0000-2100-000011000000}"/>
    <hyperlink ref="J345" location="BOQ!H275" display="BOQ!H275" xr:uid="{00000000-0004-0000-2100-000012000000}"/>
    <hyperlink ref="J354" location="BOQ!H275" display="BOQ!H275" xr:uid="{00000000-0004-0000-2100-000013000000}"/>
    <hyperlink ref="J372" location="BOQ!H275" display="BOQ!H275" xr:uid="{00000000-0004-0000-2100-000014000000}"/>
    <hyperlink ref="J381" location="BOQ!H275" display="BOQ!H275" xr:uid="{00000000-0004-0000-2100-000015000000}"/>
    <hyperlink ref="J389" location="BOQ!H275" display="BOQ!H275" xr:uid="{00000000-0004-0000-2100-000016000000}"/>
    <hyperlink ref="J390" location="BOQ!H275" display="BOQ!H275" xr:uid="{00000000-0004-0000-2100-000017000000}"/>
    <hyperlink ref="J336" location="BOQ!H275" display="BOQ!H275" xr:uid="{00000000-0004-0000-2100-000018000000}"/>
    <hyperlink ref="J422" location="BOQ!H275" display="BOQ!H275" xr:uid="{00000000-0004-0000-2100-000019000000}"/>
    <hyperlink ref="J423" location="BOQ!H275" display="BOQ!H275" xr:uid="{00000000-0004-0000-2100-00001A000000}"/>
    <hyperlink ref="J431" location="BOQ!H275" display="BOQ!H275" xr:uid="{00000000-0004-0000-2100-00001B000000}"/>
    <hyperlink ref="J432" location="BOQ!H275" display="BOQ!H275" xr:uid="{00000000-0004-0000-2100-00001C000000}"/>
    <hyperlink ref="J441" location="BOQ!H275" display="BOQ!H275" xr:uid="{00000000-0004-0000-2100-00001D000000}"/>
    <hyperlink ref="J450" location="BOQ!H275" display="BOQ!H275" xr:uid="{00000000-0004-0000-2100-00001E000000}"/>
    <hyperlink ref="J459" location="BOQ!H275" display="BOQ!H275" xr:uid="{00000000-0004-0000-2100-00001F000000}"/>
  </hyperlinks>
  <pageMargins left="1.2204724409448799" right="0.70866141732283505" top="0.78740157480314998" bottom="0.78740157480314998" header="0.31496062992126" footer="0.31496062992126"/>
  <pageSetup paperSize="5" scale="80" orientation="portrait" horizontalDpi="300" verticalDpi="300" r:id="rId1"/>
  <rowBreaks count="3" manualBreakCount="3">
    <brk id="78" min="1" max="7" man="1"/>
    <brk id="141" min="1" max="7" man="1"/>
    <brk id="273" min="1" max="7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4"/>
  <dimension ref="B2:Q142"/>
  <sheetViews>
    <sheetView view="pageBreakPreview" topLeftCell="C74" zoomScale="130" zoomScaleSheetLayoutView="130" workbookViewId="0">
      <selection activeCell="I74" sqref="I74"/>
    </sheetView>
  </sheetViews>
  <sheetFormatPr defaultRowHeight="15"/>
  <cols>
    <col min="1" max="1" width="1.7109375" style="5" customWidth="1"/>
    <col min="2" max="2" width="5.85546875" style="5" customWidth="1"/>
    <col min="3" max="3" width="2.140625" style="5" customWidth="1"/>
    <col min="4" max="4" width="27" style="5" bestFit="1" customWidth="1"/>
    <col min="5" max="5" width="7.85546875" style="5" customWidth="1"/>
    <col min="6" max="6" width="10.5703125" style="5" customWidth="1"/>
    <col min="7" max="7" width="14.5703125" style="5" customWidth="1"/>
    <col min="8" max="9" width="17.140625" style="5" customWidth="1"/>
    <col min="10" max="10" width="11.5703125" style="1392" customWidth="1"/>
    <col min="11" max="11" width="12.28515625" style="1392" customWidth="1"/>
    <col min="12" max="12" width="12" style="1392" customWidth="1"/>
    <col min="13" max="13" width="12.42578125" style="1392" customWidth="1"/>
    <col min="14" max="14" width="14.7109375" style="1392" customWidth="1"/>
    <col min="15" max="17" width="9.140625" style="1392"/>
    <col min="18" max="257" width="9.140625" style="5"/>
    <col min="258" max="258" width="1.7109375" style="5" customWidth="1"/>
    <col min="259" max="259" width="5.85546875" style="5" customWidth="1"/>
    <col min="260" max="260" width="2.140625" style="5" customWidth="1"/>
    <col min="261" max="261" width="27" style="5" bestFit="1" customWidth="1"/>
    <col min="262" max="262" width="7.85546875" style="5" customWidth="1"/>
    <col min="263" max="263" width="10.5703125" style="5" customWidth="1"/>
    <col min="264" max="264" width="14.5703125" style="5" customWidth="1"/>
    <col min="265" max="265" width="17.140625" style="5" customWidth="1"/>
    <col min="266" max="266" width="9.140625" style="5"/>
    <col min="267" max="267" width="29.5703125" style="5" customWidth="1"/>
    <col min="268" max="268" width="19.85546875" style="5" customWidth="1"/>
    <col min="269" max="269" width="12.42578125" style="5" customWidth="1"/>
    <col min="270" max="270" width="14.7109375" style="5" customWidth="1"/>
    <col min="271" max="513" width="9.140625" style="5"/>
    <col min="514" max="514" width="1.7109375" style="5" customWidth="1"/>
    <col min="515" max="515" width="5.85546875" style="5" customWidth="1"/>
    <col min="516" max="516" width="2.140625" style="5" customWidth="1"/>
    <col min="517" max="517" width="27" style="5" bestFit="1" customWidth="1"/>
    <col min="518" max="518" width="7.85546875" style="5" customWidth="1"/>
    <col min="519" max="519" width="10.5703125" style="5" customWidth="1"/>
    <col min="520" max="520" width="14.5703125" style="5" customWidth="1"/>
    <col min="521" max="521" width="17.140625" style="5" customWidth="1"/>
    <col min="522" max="522" width="9.140625" style="5"/>
    <col min="523" max="523" width="29.5703125" style="5" customWidth="1"/>
    <col min="524" max="524" width="19.85546875" style="5" customWidth="1"/>
    <col min="525" max="525" width="12.42578125" style="5" customWidth="1"/>
    <col min="526" max="526" width="14.7109375" style="5" customWidth="1"/>
    <col min="527" max="769" width="9.140625" style="5"/>
    <col min="770" max="770" width="1.7109375" style="5" customWidth="1"/>
    <col min="771" max="771" width="5.85546875" style="5" customWidth="1"/>
    <col min="772" max="772" width="2.140625" style="5" customWidth="1"/>
    <col min="773" max="773" width="27" style="5" bestFit="1" customWidth="1"/>
    <col min="774" max="774" width="7.85546875" style="5" customWidth="1"/>
    <col min="775" max="775" width="10.5703125" style="5" customWidth="1"/>
    <col min="776" max="776" width="14.5703125" style="5" customWidth="1"/>
    <col min="777" max="777" width="17.140625" style="5" customWidth="1"/>
    <col min="778" max="778" width="9.140625" style="5"/>
    <col min="779" max="779" width="29.5703125" style="5" customWidth="1"/>
    <col min="780" max="780" width="19.85546875" style="5" customWidth="1"/>
    <col min="781" max="781" width="12.42578125" style="5" customWidth="1"/>
    <col min="782" max="782" width="14.7109375" style="5" customWidth="1"/>
    <col min="783" max="1025" width="9.140625" style="5"/>
    <col min="1026" max="1026" width="1.7109375" style="5" customWidth="1"/>
    <col min="1027" max="1027" width="5.85546875" style="5" customWidth="1"/>
    <col min="1028" max="1028" width="2.140625" style="5" customWidth="1"/>
    <col min="1029" max="1029" width="27" style="5" bestFit="1" customWidth="1"/>
    <col min="1030" max="1030" width="7.85546875" style="5" customWidth="1"/>
    <col min="1031" max="1031" width="10.5703125" style="5" customWidth="1"/>
    <col min="1032" max="1032" width="14.5703125" style="5" customWidth="1"/>
    <col min="1033" max="1033" width="17.140625" style="5" customWidth="1"/>
    <col min="1034" max="1034" width="9.140625" style="5"/>
    <col min="1035" max="1035" width="29.5703125" style="5" customWidth="1"/>
    <col min="1036" max="1036" width="19.85546875" style="5" customWidth="1"/>
    <col min="1037" max="1037" width="12.42578125" style="5" customWidth="1"/>
    <col min="1038" max="1038" width="14.7109375" style="5" customWidth="1"/>
    <col min="1039" max="1281" width="9.140625" style="5"/>
    <col min="1282" max="1282" width="1.7109375" style="5" customWidth="1"/>
    <col min="1283" max="1283" width="5.85546875" style="5" customWidth="1"/>
    <col min="1284" max="1284" width="2.140625" style="5" customWidth="1"/>
    <col min="1285" max="1285" width="27" style="5" bestFit="1" customWidth="1"/>
    <col min="1286" max="1286" width="7.85546875" style="5" customWidth="1"/>
    <col min="1287" max="1287" width="10.5703125" style="5" customWidth="1"/>
    <col min="1288" max="1288" width="14.5703125" style="5" customWidth="1"/>
    <col min="1289" max="1289" width="17.140625" style="5" customWidth="1"/>
    <col min="1290" max="1290" width="9.140625" style="5"/>
    <col min="1291" max="1291" width="29.5703125" style="5" customWidth="1"/>
    <col min="1292" max="1292" width="19.85546875" style="5" customWidth="1"/>
    <col min="1293" max="1293" width="12.42578125" style="5" customWidth="1"/>
    <col min="1294" max="1294" width="14.7109375" style="5" customWidth="1"/>
    <col min="1295" max="1537" width="9.140625" style="5"/>
    <col min="1538" max="1538" width="1.7109375" style="5" customWidth="1"/>
    <col min="1539" max="1539" width="5.85546875" style="5" customWidth="1"/>
    <col min="1540" max="1540" width="2.140625" style="5" customWidth="1"/>
    <col min="1541" max="1541" width="27" style="5" bestFit="1" customWidth="1"/>
    <col min="1542" max="1542" width="7.85546875" style="5" customWidth="1"/>
    <col min="1543" max="1543" width="10.5703125" style="5" customWidth="1"/>
    <col min="1544" max="1544" width="14.5703125" style="5" customWidth="1"/>
    <col min="1545" max="1545" width="17.140625" style="5" customWidth="1"/>
    <col min="1546" max="1546" width="9.140625" style="5"/>
    <col min="1547" max="1547" width="29.5703125" style="5" customWidth="1"/>
    <col min="1548" max="1548" width="19.85546875" style="5" customWidth="1"/>
    <col min="1549" max="1549" width="12.42578125" style="5" customWidth="1"/>
    <col min="1550" max="1550" width="14.7109375" style="5" customWidth="1"/>
    <col min="1551" max="1793" width="9.140625" style="5"/>
    <col min="1794" max="1794" width="1.7109375" style="5" customWidth="1"/>
    <col min="1795" max="1795" width="5.85546875" style="5" customWidth="1"/>
    <col min="1796" max="1796" width="2.140625" style="5" customWidth="1"/>
    <col min="1797" max="1797" width="27" style="5" bestFit="1" customWidth="1"/>
    <col min="1798" max="1798" width="7.85546875" style="5" customWidth="1"/>
    <col min="1799" max="1799" width="10.5703125" style="5" customWidth="1"/>
    <col min="1800" max="1800" width="14.5703125" style="5" customWidth="1"/>
    <col min="1801" max="1801" width="17.140625" style="5" customWidth="1"/>
    <col min="1802" max="1802" width="9.140625" style="5"/>
    <col min="1803" max="1803" width="29.5703125" style="5" customWidth="1"/>
    <col min="1804" max="1804" width="19.85546875" style="5" customWidth="1"/>
    <col min="1805" max="1805" width="12.42578125" style="5" customWidth="1"/>
    <col min="1806" max="1806" width="14.7109375" style="5" customWidth="1"/>
    <col min="1807" max="2049" width="9.140625" style="5"/>
    <col min="2050" max="2050" width="1.7109375" style="5" customWidth="1"/>
    <col min="2051" max="2051" width="5.85546875" style="5" customWidth="1"/>
    <col min="2052" max="2052" width="2.140625" style="5" customWidth="1"/>
    <col min="2053" max="2053" width="27" style="5" bestFit="1" customWidth="1"/>
    <col min="2054" max="2054" width="7.85546875" style="5" customWidth="1"/>
    <col min="2055" max="2055" width="10.5703125" style="5" customWidth="1"/>
    <col min="2056" max="2056" width="14.5703125" style="5" customWidth="1"/>
    <col min="2057" max="2057" width="17.140625" style="5" customWidth="1"/>
    <col min="2058" max="2058" width="9.140625" style="5"/>
    <col min="2059" max="2059" width="29.5703125" style="5" customWidth="1"/>
    <col min="2060" max="2060" width="19.85546875" style="5" customWidth="1"/>
    <col min="2061" max="2061" width="12.42578125" style="5" customWidth="1"/>
    <col min="2062" max="2062" width="14.7109375" style="5" customWidth="1"/>
    <col min="2063" max="2305" width="9.140625" style="5"/>
    <col min="2306" max="2306" width="1.7109375" style="5" customWidth="1"/>
    <col min="2307" max="2307" width="5.85546875" style="5" customWidth="1"/>
    <col min="2308" max="2308" width="2.140625" style="5" customWidth="1"/>
    <col min="2309" max="2309" width="27" style="5" bestFit="1" customWidth="1"/>
    <col min="2310" max="2310" width="7.85546875" style="5" customWidth="1"/>
    <col min="2311" max="2311" width="10.5703125" style="5" customWidth="1"/>
    <col min="2312" max="2312" width="14.5703125" style="5" customWidth="1"/>
    <col min="2313" max="2313" width="17.140625" style="5" customWidth="1"/>
    <col min="2314" max="2314" width="9.140625" style="5"/>
    <col min="2315" max="2315" width="29.5703125" style="5" customWidth="1"/>
    <col min="2316" max="2316" width="19.85546875" style="5" customWidth="1"/>
    <col min="2317" max="2317" width="12.42578125" style="5" customWidth="1"/>
    <col min="2318" max="2318" width="14.7109375" style="5" customWidth="1"/>
    <col min="2319" max="2561" width="9.140625" style="5"/>
    <col min="2562" max="2562" width="1.7109375" style="5" customWidth="1"/>
    <col min="2563" max="2563" width="5.85546875" style="5" customWidth="1"/>
    <col min="2564" max="2564" width="2.140625" style="5" customWidth="1"/>
    <col min="2565" max="2565" width="27" style="5" bestFit="1" customWidth="1"/>
    <col min="2566" max="2566" width="7.85546875" style="5" customWidth="1"/>
    <col min="2567" max="2567" width="10.5703125" style="5" customWidth="1"/>
    <col min="2568" max="2568" width="14.5703125" style="5" customWidth="1"/>
    <col min="2569" max="2569" width="17.140625" style="5" customWidth="1"/>
    <col min="2570" max="2570" width="9.140625" style="5"/>
    <col min="2571" max="2571" width="29.5703125" style="5" customWidth="1"/>
    <col min="2572" max="2572" width="19.85546875" style="5" customWidth="1"/>
    <col min="2573" max="2573" width="12.42578125" style="5" customWidth="1"/>
    <col min="2574" max="2574" width="14.7109375" style="5" customWidth="1"/>
    <col min="2575" max="2817" width="9.140625" style="5"/>
    <col min="2818" max="2818" width="1.7109375" style="5" customWidth="1"/>
    <col min="2819" max="2819" width="5.85546875" style="5" customWidth="1"/>
    <col min="2820" max="2820" width="2.140625" style="5" customWidth="1"/>
    <col min="2821" max="2821" width="27" style="5" bestFit="1" customWidth="1"/>
    <col min="2822" max="2822" width="7.85546875" style="5" customWidth="1"/>
    <col min="2823" max="2823" width="10.5703125" style="5" customWidth="1"/>
    <col min="2824" max="2824" width="14.5703125" style="5" customWidth="1"/>
    <col min="2825" max="2825" width="17.140625" style="5" customWidth="1"/>
    <col min="2826" max="2826" width="9.140625" style="5"/>
    <col min="2827" max="2827" width="29.5703125" style="5" customWidth="1"/>
    <col min="2828" max="2828" width="19.85546875" style="5" customWidth="1"/>
    <col min="2829" max="2829" width="12.42578125" style="5" customWidth="1"/>
    <col min="2830" max="2830" width="14.7109375" style="5" customWidth="1"/>
    <col min="2831" max="3073" width="9.140625" style="5"/>
    <col min="3074" max="3074" width="1.7109375" style="5" customWidth="1"/>
    <col min="3075" max="3075" width="5.85546875" style="5" customWidth="1"/>
    <col min="3076" max="3076" width="2.140625" style="5" customWidth="1"/>
    <col min="3077" max="3077" width="27" style="5" bestFit="1" customWidth="1"/>
    <col min="3078" max="3078" width="7.85546875" style="5" customWidth="1"/>
    <col min="3079" max="3079" width="10.5703125" style="5" customWidth="1"/>
    <col min="3080" max="3080" width="14.5703125" style="5" customWidth="1"/>
    <col min="3081" max="3081" width="17.140625" style="5" customWidth="1"/>
    <col min="3082" max="3082" width="9.140625" style="5"/>
    <col min="3083" max="3083" width="29.5703125" style="5" customWidth="1"/>
    <col min="3084" max="3084" width="19.85546875" style="5" customWidth="1"/>
    <col min="3085" max="3085" width="12.42578125" style="5" customWidth="1"/>
    <col min="3086" max="3086" width="14.7109375" style="5" customWidth="1"/>
    <col min="3087" max="3329" width="9.140625" style="5"/>
    <col min="3330" max="3330" width="1.7109375" style="5" customWidth="1"/>
    <col min="3331" max="3331" width="5.85546875" style="5" customWidth="1"/>
    <col min="3332" max="3332" width="2.140625" style="5" customWidth="1"/>
    <col min="3333" max="3333" width="27" style="5" bestFit="1" customWidth="1"/>
    <col min="3334" max="3334" width="7.85546875" style="5" customWidth="1"/>
    <col min="3335" max="3335" width="10.5703125" style="5" customWidth="1"/>
    <col min="3336" max="3336" width="14.5703125" style="5" customWidth="1"/>
    <col min="3337" max="3337" width="17.140625" style="5" customWidth="1"/>
    <col min="3338" max="3338" width="9.140625" style="5"/>
    <col min="3339" max="3339" width="29.5703125" style="5" customWidth="1"/>
    <col min="3340" max="3340" width="19.85546875" style="5" customWidth="1"/>
    <col min="3341" max="3341" width="12.42578125" style="5" customWidth="1"/>
    <col min="3342" max="3342" width="14.7109375" style="5" customWidth="1"/>
    <col min="3343" max="3585" width="9.140625" style="5"/>
    <col min="3586" max="3586" width="1.7109375" style="5" customWidth="1"/>
    <col min="3587" max="3587" width="5.85546875" style="5" customWidth="1"/>
    <col min="3588" max="3588" width="2.140625" style="5" customWidth="1"/>
    <col min="3589" max="3589" width="27" style="5" bestFit="1" customWidth="1"/>
    <col min="3590" max="3590" width="7.85546875" style="5" customWidth="1"/>
    <col min="3591" max="3591" width="10.5703125" style="5" customWidth="1"/>
    <col min="3592" max="3592" width="14.5703125" style="5" customWidth="1"/>
    <col min="3593" max="3593" width="17.140625" style="5" customWidth="1"/>
    <col min="3594" max="3594" width="9.140625" style="5"/>
    <col min="3595" max="3595" width="29.5703125" style="5" customWidth="1"/>
    <col min="3596" max="3596" width="19.85546875" style="5" customWidth="1"/>
    <col min="3597" max="3597" width="12.42578125" style="5" customWidth="1"/>
    <col min="3598" max="3598" width="14.7109375" style="5" customWidth="1"/>
    <col min="3599" max="3841" width="9.140625" style="5"/>
    <col min="3842" max="3842" width="1.7109375" style="5" customWidth="1"/>
    <col min="3843" max="3843" width="5.85546875" style="5" customWidth="1"/>
    <col min="3844" max="3844" width="2.140625" style="5" customWidth="1"/>
    <col min="3845" max="3845" width="27" style="5" bestFit="1" customWidth="1"/>
    <col min="3846" max="3846" width="7.85546875" style="5" customWidth="1"/>
    <col min="3847" max="3847" width="10.5703125" style="5" customWidth="1"/>
    <col min="3848" max="3848" width="14.5703125" style="5" customWidth="1"/>
    <col min="3849" max="3849" width="17.140625" style="5" customWidth="1"/>
    <col min="3850" max="3850" width="9.140625" style="5"/>
    <col min="3851" max="3851" width="29.5703125" style="5" customWidth="1"/>
    <col min="3852" max="3852" width="19.85546875" style="5" customWidth="1"/>
    <col min="3853" max="3853" width="12.42578125" style="5" customWidth="1"/>
    <col min="3854" max="3854" width="14.7109375" style="5" customWidth="1"/>
    <col min="3855" max="4097" width="9.140625" style="5"/>
    <col min="4098" max="4098" width="1.7109375" style="5" customWidth="1"/>
    <col min="4099" max="4099" width="5.85546875" style="5" customWidth="1"/>
    <col min="4100" max="4100" width="2.140625" style="5" customWidth="1"/>
    <col min="4101" max="4101" width="27" style="5" bestFit="1" customWidth="1"/>
    <col min="4102" max="4102" width="7.85546875" style="5" customWidth="1"/>
    <col min="4103" max="4103" width="10.5703125" style="5" customWidth="1"/>
    <col min="4104" max="4104" width="14.5703125" style="5" customWidth="1"/>
    <col min="4105" max="4105" width="17.140625" style="5" customWidth="1"/>
    <col min="4106" max="4106" width="9.140625" style="5"/>
    <col min="4107" max="4107" width="29.5703125" style="5" customWidth="1"/>
    <col min="4108" max="4108" width="19.85546875" style="5" customWidth="1"/>
    <col min="4109" max="4109" width="12.42578125" style="5" customWidth="1"/>
    <col min="4110" max="4110" width="14.7109375" style="5" customWidth="1"/>
    <col min="4111" max="4353" width="9.140625" style="5"/>
    <col min="4354" max="4354" width="1.7109375" style="5" customWidth="1"/>
    <col min="4355" max="4355" width="5.85546875" style="5" customWidth="1"/>
    <col min="4356" max="4356" width="2.140625" style="5" customWidth="1"/>
    <col min="4357" max="4357" width="27" style="5" bestFit="1" customWidth="1"/>
    <col min="4358" max="4358" width="7.85546875" style="5" customWidth="1"/>
    <col min="4359" max="4359" width="10.5703125" style="5" customWidth="1"/>
    <col min="4360" max="4360" width="14.5703125" style="5" customWidth="1"/>
    <col min="4361" max="4361" width="17.140625" style="5" customWidth="1"/>
    <col min="4362" max="4362" width="9.140625" style="5"/>
    <col min="4363" max="4363" width="29.5703125" style="5" customWidth="1"/>
    <col min="4364" max="4364" width="19.85546875" style="5" customWidth="1"/>
    <col min="4365" max="4365" width="12.42578125" style="5" customWidth="1"/>
    <col min="4366" max="4366" width="14.7109375" style="5" customWidth="1"/>
    <col min="4367" max="4609" width="9.140625" style="5"/>
    <col min="4610" max="4610" width="1.7109375" style="5" customWidth="1"/>
    <col min="4611" max="4611" width="5.85546875" style="5" customWidth="1"/>
    <col min="4612" max="4612" width="2.140625" style="5" customWidth="1"/>
    <col min="4613" max="4613" width="27" style="5" bestFit="1" customWidth="1"/>
    <col min="4614" max="4614" width="7.85546875" style="5" customWidth="1"/>
    <col min="4615" max="4615" width="10.5703125" style="5" customWidth="1"/>
    <col min="4616" max="4616" width="14.5703125" style="5" customWidth="1"/>
    <col min="4617" max="4617" width="17.140625" style="5" customWidth="1"/>
    <col min="4618" max="4618" width="9.140625" style="5"/>
    <col min="4619" max="4619" width="29.5703125" style="5" customWidth="1"/>
    <col min="4620" max="4620" width="19.85546875" style="5" customWidth="1"/>
    <col min="4621" max="4621" width="12.42578125" style="5" customWidth="1"/>
    <col min="4622" max="4622" width="14.7109375" style="5" customWidth="1"/>
    <col min="4623" max="4865" width="9.140625" style="5"/>
    <col min="4866" max="4866" width="1.7109375" style="5" customWidth="1"/>
    <col min="4867" max="4867" width="5.85546875" style="5" customWidth="1"/>
    <col min="4868" max="4868" width="2.140625" style="5" customWidth="1"/>
    <col min="4869" max="4869" width="27" style="5" bestFit="1" customWidth="1"/>
    <col min="4870" max="4870" width="7.85546875" style="5" customWidth="1"/>
    <col min="4871" max="4871" width="10.5703125" style="5" customWidth="1"/>
    <col min="4872" max="4872" width="14.5703125" style="5" customWidth="1"/>
    <col min="4873" max="4873" width="17.140625" style="5" customWidth="1"/>
    <col min="4874" max="4874" width="9.140625" style="5"/>
    <col min="4875" max="4875" width="29.5703125" style="5" customWidth="1"/>
    <col min="4876" max="4876" width="19.85546875" style="5" customWidth="1"/>
    <col min="4877" max="4877" width="12.42578125" style="5" customWidth="1"/>
    <col min="4878" max="4878" width="14.7109375" style="5" customWidth="1"/>
    <col min="4879" max="5121" width="9.140625" style="5"/>
    <col min="5122" max="5122" width="1.7109375" style="5" customWidth="1"/>
    <col min="5123" max="5123" width="5.85546875" style="5" customWidth="1"/>
    <col min="5124" max="5124" width="2.140625" style="5" customWidth="1"/>
    <col min="5125" max="5125" width="27" style="5" bestFit="1" customWidth="1"/>
    <col min="5126" max="5126" width="7.85546875" style="5" customWidth="1"/>
    <col min="5127" max="5127" width="10.5703125" style="5" customWidth="1"/>
    <col min="5128" max="5128" width="14.5703125" style="5" customWidth="1"/>
    <col min="5129" max="5129" width="17.140625" style="5" customWidth="1"/>
    <col min="5130" max="5130" width="9.140625" style="5"/>
    <col min="5131" max="5131" width="29.5703125" style="5" customWidth="1"/>
    <col min="5132" max="5132" width="19.85546875" style="5" customWidth="1"/>
    <col min="5133" max="5133" width="12.42578125" style="5" customWidth="1"/>
    <col min="5134" max="5134" width="14.7109375" style="5" customWidth="1"/>
    <col min="5135" max="5377" width="9.140625" style="5"/>
    <col min="5378" max="5378" width="1.7109375" style="5" customWidth="1"/>
    <col min="5379" max="5379" width="5.85546875" style="5" customWidth="1"/>
    <col min="5380" max="5380" width="2.140625" style="5" customWidth="1"/>
    <col min="5381" max="5381" width="27" style="5" bestFit="1" customWidth="1"/>
    <col min="5382" max="5382" width="7.85546875" style="5" customWidth="1"/>
    <col min="5383" max="5383" width="10.5703125" style="5" customWidth="1"/>
    <col min="5384" max="5384" width="14.5703125" style="5" customWidth="1"/>
    <col min="5385" max="5385" width="17.140625" style="5" customWidth="1"/>
    <col min="5386" max="5386" width="9.140625" style="5"/>
    <col min="5387" max="5387" width="29.5703125" style="5" customWidth="1"/>
    <col min="5388" max="5388" width="19.85546875" style="5" customWidth="1"/>
    <col min="5389" max="5389" width="12.42578125" style="5" customWidth="1"/>
    <col min="5390" max="5390" width="14.7109375" style="5" customWidth="1"/>
    <col min="5391" max="5633" width="9.140625" style="5"/>
    <col min="5634" max="5634" width="1.7109375" style="5" customWidth="1"/>
    <col min="5635" max="5635" width="5.85546875" style="5" customWidth="1"/>
    <col min="5636" max="5636" width="2.140625" style="5" customWidth="1"/>
    <col min="5637" max="5637" width="27" style="5" bestFit="1" customWidth="1"/>
    <col min="5638" max="5638" width="7.85546875" style="5" customWidth="1"/>
    <col min="5639" max="5639" width="10.5703125" style="5" customWidth="1"/>
    <col min="5640" max="5640" width="14.5703125" style="5" customWidth="1"/>
    <col min="5641" max="5641" width="17.140625" style="5" customWidth="1"/>
    <col min="5642" max="5642" width="9.140625" style="5"/>
    <col min="5643" max="5643" width="29.5703125" style="5" customWidth="1"/>
    <col min="5644" max="5644" width="19.85546875" style="5" customWidth="1"/>
    <col min="5645" max="5645" width="12.42578125" style="5" customWidth="1"/>
    <col min="5646" max="5646" width="14.7109375" style="5" customWidth="1"/>
    <col min="5647" max="5889" width="9.140625" style="5"/>
    <col min="5890" max="5890" width="1.7109375" style="5" customWidth="1"/>
    <col min="5891" max="5891" width="5.85546875" style="5" customWidth="1"/>
    <col min="5892" max="5892" width="2.140625" style="5" customWidth="1"/>
    <col min="5893" max="5893" width="27" style="5" bestFit="1" customWidth="1"/>
    <col min="5894" max="5894" width="7.85546875" style="5" customWidth="1"/>
    <col min="5895" max="5895" width="10.5703125" style="5" customWidth="1"/>
    <col min="5896" max="5896" width="14.5703125" style="5" customWidth="1"/>
    <col min="5897" max="5897" width="17.140625" style="5" customWidth="1"/>
    <col min="5898" max="5898" width="9.140625" style="5"/>
    <col min="5899" max="5899" width="29.5703125" style="5" customWidth="1"/>
    <col min="5900" max="5900" width="19.85546875" style="5" customWidth="1"/>
    <col min="5901" max="5901" width="12.42578125" style="5" customWidth="1"/>
    <col min="5902" max="5902" width="14.7109375" style="5" customWidth="1"/>
    <col min="5903" max="6145" width="9.140625" style="5"/>
    <col min="6146" max="6146" width="1.7109375" style="5" customWidth="1"/>
    <col min="6147" max="6147" width="5.85546875" style="5" customWidth="1"/>
    <col min="6148" max="6148" width="2.140625" style="5" customWidth="1"/>
    <col min="6149" max="6149" width="27" style="5" bestFit="1" customWidth="1"/>
    <col min="6150" max="6150" width="7.85546875" style="5" customWidth="1"/>
    <col min="6151" max="6151" width="10.5703125" style="5" customWidth="1"/>
    <col min="6152" max="6152" width="14.5703125" style="5" customWidth="1"/>
    <col min="6153" max="6153" width="17.140625" style="5" customWidth="1"/>
    <col min="6154" max="6154" width="9.140625" style="5"/>
    <col min="6155" max="6155" width="29.5703125" style="5" customWidth="1"/>
    <col min="6156" max="6156" width="19.85546875" style="5" customWidth="1"/>
    <col min="6157" max="6157" width="12.42578125" style="5" customWidth="1"/>
    <col min="6158" max="6158" width="14.7109375" style="5" customWidth="1"/>
    <col min="6159" max="6401" width="9.140625" style="5"/>
    <col min="6402" max="6402" width="1.7109375" style="5" customWidth="1"/>
    <col min="6403" max="6403" width="5.85546875" style="5" customWidth="1"/>
    <col min="6404" max="6404" width="2.140625" style="5" customWidth="1"/>
    <col min="6405" max="6405" width="27" style="5" bestFit="1" customWidth="1"/>
    <col min="6406" max="6406" width="7.85546875" style="5" customWidth="1"/>
    <col min="6407" max="6407" width="10.5703125" style="5" customWidth="1"/>
    <col min="6408" max="6408" width="14.5703125" style="5" customWidth="1"/>
    <col min="6409" max="6409" width="17.140625" style="5" customWidth="1"/>
    <col min="6410" max="6410" width="9.140625" style="5"/>
    <col min="6411" max="6411" width="29.5703125" style="5" customWidth="1"/>
    <col min="6412" max="6412" width="19.85546875" style="5" customWidth="1"/>
    <col min="6413" max="6413" width="12.42578125" style="5" customWidth="1"/>
    <col min="6414" max="6414" width="14.7109375" style="5" customWidth="1"/>
    <col min="6415" max="6657" width="9.140625" style="5"/>
    <col min="6658" max="6658" width="1.7109375" style="5" customWidth="1"/>
    <col min="6659" max="6659" width="5.85546875" style="5" customWidth="1"/>
    <col min="6660" max="6660" width="2.140625" style="5" customWidth="1"/>
    <col min="6661" max="6661" width="27" style="5" bestFit="1" customWidth="1"/>
    <col min="6662" max="6662" width="7.85546875" style="5" customWidth="1"/>
    <col min="6663" max="6663" width="10.5703125" style="5" customWidth="1"/>
    <col min="6664" max="6664" width="14.5703125" style="5" customWidth="1"/>
    <col min="6665" max="6665" width="17.140625" style="5" customWidth="1"/>
    <col min="6666" max="6666" width="9.140625" style="5"/>
    <col min="6667" max="6667" width="29.5703125" style="5" customWidth="1"/>
    <col min="6668" max="6668" width="19.85546875" style="5" customWidth="1"/>
    <col min="6669" max="6669" width="12.42578125" style="5" customWidth="1"/>
    <col min="6670" max="6670" width="14.7109375" style="5" customWidth="1"/>
    <col min="6671" max="6913" width="9.140625" style="5"/>
    <col min="6914" max="6914" width="1.7109375" style="5" customWidth="1"/>
    <col min="6915" max="6915" width="5.85546875" style="5" customWidth="1"/>
    <col min="6916" max="6916" width="2.140625" style="5" customWidth="1"/>
    <col min="6917" max="6917" width="27" style="5" bestFit="1" customWidth="1"/>
    <col min="6918" max="6918" width="7.85546875" style="5" customWidth="1"/>
    <col min="6919" max="6919" width="10.5703125" style="5" customWidth="1"/>
    <col min="6920" max="6920" width="14.5703125" style="5" customWidth="1"/>
    <col min="6921" max="6921" width="17.140625" style="5" customWidth="1"/>
    <col min="6922" max="6922" width="9.140625" style="5"/>
    <col min="6923" max="6923" width="29.5703125" style="5" customWidth="1"/>
    <col min="6924" max="6924" width="19.85546875" style="5" customWidth="1"/>
    <col min="6925" max="6925" width="12.42578125" style="5" customWidth="1"/>
    <col min="6926" max="6926" width="14.7109375" style="5" customWidth="1"/>
    <col min="6927" max="7169" width="9.140625" style="5"/>
    <col min="7170" max="7170" width="1.7109375" style="5" customWidth="1"/>
    <col min="7171" max="7171" width="5.85546875" style="5" customWidth="1"/>
    <col min="7172" max="7172" width="2.140625" style="5" customWidth="1"/>
    <col min="7173" max="7173" width="27" style="5" bestFit="1" customWidth="1"/>
    <col min="7174" max="7174" width="7.85546875" style="5" customWidth="1"/>
    <col min="7175" max="7175" width="10.5703125" style="5" customWidth="1"/>
    <col min="7176" max="7176" width="14.5703125" style="5" customWidth="1"/>
    <col min="7177" max="7177" width="17.140625" style="5" customWidth="1"/>
    <col min="7178" max="7178" width="9.140625" style="5"/>
    <col min="7179" max="7179" width="29.5703125" style="5" customWidth="1"/>
    <col min="7180" max="7180" width="19.85546875" style="5" customWidth="1"/>
    <col min="7181" max="7181" width="12.42578125" style="5" customWidth="1"/>
    <col min="7182" max="7182" width="14.7109375" style="5" customWidth="1"/>
    <col min="7183" max="7425" width="9.140625" style="5"/>
    <col min="7426" max="7426" width="1.7109375" style="5" customWidth="1"/>
    <col min="7427" max="7427" width="5.85546875" style="5" customWidth="1"/>
    <col min="7428" max="7428" width="2.140625" style="5" customWidth="1"/>
    <col min="7429" max="7429" width="27" style="5" bestFit="1" customWidth="1"/>
    <col min="7430" max="7430" width="7.85546875" style="5" customWidth="1"/>
    <col min="7431" max="7431" width="10.5703125" style="5" customWidth="1"/>
    <col min="7432" max="7432" width="14.5703125" style="5" customWidth="1"/>
    <col min="7433" max="7433" width="17.140625" style="5" customWidth="1"/>
    <col min="7434" max="7434" width="9.140625" style="5"/>
    <col min="7435" max="7435" width="29.5703125" style="5" customWidth="1"/>
    <col min="7436" max="7436" width="19.85546875" style="5" customWidth="1"/>
    <col min="7437" max="7437" width="12.42578125" style="5" customWidth="1"/>
    <col min="7438" max="7438" width="14.7109375" style="5" customWidth="1"/>
    <col min="7439" max="7681" width="9.140625" style="5"/>
    <col min="7682" max="7682" width="1.7109375" style="5" customWidth="1"/>
    <col min="7683" max="7683" width="5.85546875" style="5" customWidth="1"/>
    <col min="7684" max="7684" width="2.140625" style="5" customWidth="1"/>
    <col min="7685" max="7685" width="27" style="5" bestFit="1" customWidth="1"/>
    <col min="7686" max="7686" width="7.85546875" style="5" customWidth="1"/>
    <col min="7687" max="7687" width="10.5703125" style="5" customWidth="1"/>
    <col min="7688" max="7688" width="14.5703125" style="5" customWidth="1"/>
    <col min="7689" max="7689" width="17.140625" style="5" customWidth="1"/>
    <col min="7690" max="7690" width="9.140625" style="5"/>
    <col min="7691" max="7691" width="29.5703125" style="5" customWidth="1"/>
    <col min="7692" max="7692" width="19.85546875" style="5" customWidth="1"/>
    <col min="7693" max="7693" width="12.42578125" style="5" customWidth="1"/>
    <col min="7694" max="7694" width="14.7109375" style="5" customWidth="1"/>
    <col min="7695" max="7937" width="9.140625" style="5"/>
    <col min="7938" max="7938" width="1.7109375" style="5" customWidth="1"/>
    <col min="7939" max="7939" width="5.85546875" style="5" customWidth="1"/>
    <col min="7940" max="7940" width="2.140625" style="5" customWidth="1"/>
    <col min="7941" max="7941" width="27" style="5" bestFit="1" customWidth="1"/>
    <col min="7942" max="7942" width="7.85546875" style="5" customWidth="1"/>
    <col min="7943" max="7943" width="10.5703125" style="5" customWidth="1"/>
    <col min="7944" max="7944" width="14.5703125" style="5" customWidth="1"/>
    <col min="7945" max="7945" width="17.140625" style="5" customWidth="1"/>
    <col min="7946" max="7946" width="9.140625" style="5"/>
    <col min="7947" max="7947" width="29.5703125" style="5" customWidth="1"/>
    <col min="7948" max="7948" width="19.85546875" style="5" customWidth="1"/>
    <col min="7949" max="7949" width="12.42578125" style="5" customWidth="1"/>
    <col min="7950" max="7950" width="14.7109375" style="5" customWidth="1"/>
    <col min="7951" max="8193" width="9.140625" style="5"/>
    <col min="8194" max="8194" width="1.7109375" style="5" customWidth="1"/>
    <col min="8195" max="8195" width="5.85546875" style="5" customWidth="1"/>
    <col min="8196" max="8196" width="2.140625" style="5" customWidth="1"/>
    <col min="8197" max="8197" width="27" style="5" bestFit="1" customWidth="1"/>
    <col min="8198" max="8198" width="7.85546875" style="5" customWidth="1"/>
    <col min="8199" max="8199" width="10.5703125" style="5" customWidth="1"/>
    <col min="8200" max="8200" width="14.5703125" style="5" customWidth="1"/>
    <col min="8201" max="8201" width="17.140625" style="5" customWidth="1"/>
    <col min="8202" max="8202" width="9.140625" style="5"/>
    <col min="8203" max="8203" width="29.5703125" style="5" customWidth="1"/>
    <col min="8204" max="8204" width="19.85546875" style="5" customWidth="1"/>
    <col min="8205" max="8205" width="12.42578125" style="5" customWidth="1"/>
    <col min="8206" max="8206" width="14.7109375" style="5" customWidth="1"/>
    <col min="8207" max="8449" width="9.140625" style="5"/>
    <col min="8450" max="8450" width="1.7109375" style="5" customWidth="1"/>
    <col min="8451" max="8451" width="5.85546875" style="5" customWidth="1"/>
    <col min="8452" max="8452" width="2.140625" style="5" customWidth="1"/>
    <col min="8453" max="8453" width="27" style="5" bestFit="1" customWidth="1"/>
    <col min="8454" max="8454" width="7.85546875" style="5" customWidth="1"/>
    <col min="8455" max="8455" width="10.5703125" style="5" customWidth="1"/>
    <col min="8456" max="8456" width="14.5703125" style="5" customWidth="1"/>
    <col min="8457" max="8457" width="17.140625" style="5" customWidth="1"/>
    <col min="8458" max="8458" width="9.140625" style="5"/>
    <col min="8459" max="8459" width="29.5703125" style="5" customWidth="1"/>
    <col min="8460" max="8460" width="19.85546875" style="5" customWidth="1"/>
    <col min="8461" max="8461" width="12.42578125" style="5" customWidth="1"/>
    <col min="8462" max="8462" width="14.7109375" style="5" customWidth="1"/>
    <col min="8463" max="8705" width="9.140625" style="5"/>
    <col min="8706" max="8706" width="1.7109375" style="5" customWidth="1"/>
    <col min="8707" max="8707" width="5.85546875" style="5" customWidth="1"/>
    <col min="8708" max="8708" width="2.140625" style="5" customWidth="1"/>
    <col min="8709" max="8709" width="27" style="5" bestFit="1" customWidth="1"/>
    <col min="8710" max="8710" width="7.85546875" style="5" customWidth="1"/>
    <col min="8711" max="8711" width="10.5703125" style="5" customWidth="1"/>
    <col min="8712" max="8712" width="14.5703125" style="5" customWidth="1"/>
    <col min="8713" max="8713" width="17.140625" style="5" customWidth="1"/>
    <col min="8714" max="8714" width="9.140625" style="5"/>
    <col min="8715" max="8715" width="29.5703125" style="5" customWidth="1"/>
    <col min="8716" max="8716" width="19.85546875" style="5" customWidth="1"/>
    <col min="8717" max="8717" width="12.42578125" style="5" customWidth="1"/>
    <col min="8718" max="8718" width="14.7109375" style="5" customWidth="1"/>
    <col min="8719" max="8961" width="9.140625" style="5"/>
    <col min="8962" max="8962" width="1.7109375" style="5" customWidth="1"/>
    <col min="8963" max="8963" width="5.85546875" style="5" customWidth="1"/>
    <col min="8964" max="8964" width="2.140625" style="5" customWidth="1"/>
    <col min="8965" max="8965" width="27" style="5" bestFit="1" customWidth="1"/>
    <col min="8966" max="8966" width="7.85546875" style="5" customWidth="1"/>
    <col min="8967" max="8967" width="10.5703125" style="5" customWidth="1"/>
    <col min="8968" max="8968" width="14.5703125" style="5" customWidth="1"/>
    <col min="8969" max="8969" width="17.140625" style="5" customWidth="1"/>
    <col min="8970" max="8970" width="9.140625" style="5"/>
    <col min="8971" max="8971" width="29.5703125" style="5" customWidth="1"/>
    <col min="8972" max="8972" width="19.85546875" style="5" customWidth="1"/>
    <col min="8973" max="8973" width="12.42578125" style="5" customWidth="1"/>
    <col min="8974" max="8974" width="14.7109375" style="5" customWidth="1"/>
    <col min="8975" max="9217" width="9.140625" style="5"/>
    <col min="9218" max="9218" width="1.7109375" style="5" customWidth="1"/>
    <col min="9219" max="9219" width="5.85546875" style="5" customWidth="1"/>
    <col min="9220" max="9220" width="2.140625" style="5" customWidth="1"/>
    <col min="9221" max="9221" width="27" style="5" bestFit="1" customWidth="1"/>
    <col min="9222" max="9222" width="7.85546875" style="5" customWidth="1"/>
    <col min="9223" max="9223" width="10.5703125" style="5" customWidth="1"/>
    <col min="9224" max="9224" width="14.5703125" style="5" customWidth="1"/>
    <col min="9225" max="9225" width="17.140625" style="5" customWidth="1"/>
    <col min="9226" max="9226" width="9.140625" style="5"/>
    <col min="9227" max="9227" width="29.5703125" style="5" customWidth="1"/>
    <col min="9228" max="9228" width="19.85546875" style="5" customWidth="1"/>
    <col min="9229" max="9229" width="12.42578125" style="5" customWidth="1"/>
    <col min="9230" max="9230" width="14.7109375" style="5" customWidth="1"/>
    <col min="9231" max="9473" width="9.140625" style="5"/>
    <col min="9474" max="9474" width="1.7109375" style="5" customWidth="1"/>
    <col min="9475" max="9475" width="5.85546875" style="5" customWidth="1"/>
    <col min="9476" max="9476" width="2.140625" style="5" customWidth="1"/>
    <col min="9477" max="9477" width="27" style="5" bestFit="1" customWidth="1"/>
    <col min="9478" max="9478" width="7.85546875" style="5" customWidth="1"/>
    <col min="9479" max="9479" width="10.5703125" style="5" customWidth="1"/>
    <col min="9480" max="9480" width="14.5703125" style="5" customWidth="1"/>
    <col min="9481" max="9481" width="17.140625" style="5" customWidth="1"/>
    <col min="9482" max="9482" width="9.140625" style="5"/>
    <col min="9483" max="9483" width="29.5703125" style="5" customWidth="1"/>
    <col min="9484" max="9484" width="19.85546875" style="5" customWidth="1"/>
    <col min="9485" max="9485" width="12.42578125" style="5" customWidth="1"/>
    <col min="9486" max="9486" width="14.7109375" style="5" customWidth="1"/>
    <col min="9487" max="9729" width="9.140625" style="5"/>
    <col min="9730" max="9730" width="1.7109375" style="5" customWidth="1"/>
    <col min="9731" max="9731" width="5.85546875" style="5" customWidth="1"/>
    <col min="9732" max="9732" width="2.140625" style="5" customWidth="1"/>
    <col min="9733" max="9733" width="27" style="5" bestFit="1" customWidth="1"/>
    <col min="9734" max="9734" width="7.85546875" style="5" customWidth="1"/>
    <col min="9735" max="9735" width="10.5703125" style="5" customWidth="1"/>
    <col min="9736" max="9736" width="14.5703125" style="5" customWidth="1"/>
    <col min="9737" max="9737" width="17.140625" style="5" customWidth="1"/>
    <col min="9738" max="9738" width="9.140625" style="5"/>
    <col min="9739" max="9739" width="29.5703125" style="5" customWidth="1"/>
    <col min="9740" max="9740" width="19.85546875" style="5" customWidth="1"/>
    <col min="9741" max="9741" width="12.42578125" style="5" customWidth="1"/>
    <col min="9742" max="9742" width="14.7109375" style="5" customWidth="1"/>
    <col min="9743" max="9985" width="9.140625" style="5"/>
    <col min="9986" max="9986" width="1.7109375" style="5" customWidth="1"/>
    <col min="9987" max="9987" width="5.85546875" style="5" customWidth="1"/>
    <col min="9988" max="9988" width="2.140625" style="5" customWidth="1"/>
    <col min="9989" max="9989" width="27" style="5" bestFit="1" customWidth="1"/>
    <col min="9990" max="9990" width="7.85546875" style="5" customWidth="1"/>
    <col min="9991" max="9991" width="10.5703125" style="5" customWidth="1"/>
    <col min="9992" max="9992" width="14.5703125" style="5" customWidth="1"/>
    <col min="9993" max="9993" width="17.140625" style="5" customWidth="1"/>
    <col min="9994" max="9994" width="9.140625" style="5"/>
    <col min="9995" max="9995" width="29.5703125" style="5" customWidth="1"/>
    <col min="9996" max="9996" width="19.85546875" style="5" customWidth="1"/>
    <col min="9997" max="9997" width="12.42578125" style="5" customWidth="1"/>
    <col min="9998" max="9998" width="14.7109375" style="5" customWidth="1"/>
    <col min="9999" max="10241" width="9.140625" style="5"/>
    <col min="10242" max="10242" width="1.7109375" style="5" customWidth="1"/>
    <col min="10243" max="10243" width="5.85546875" style="5" customWidth="1"/>
    <col min="10244" max="10244" width="2.140625" style="5" customWidth="1"/>
    <col min="10245" max="10245" width="27" style="5" bestFit="1" customWidth="1"/>
    <col min="10246" max="10246" width="7.85546875" style="5" customWidth="1"/>
    <col min="10247" max="10247" width="10.5703125" style="5" customWidth="1"/>
    <col min="10248" max="10248" width="14.5703125" style="5" customWidth="1"/>
    <col min="10249" max="10249" width="17.140625" style="5" customWidth="1"/>
    <col min="10250" max="10250" width="9.140625" style="5"/>
    <col min="10251" max="10251" width="29.5703125" style="5" customWidth="1"/>
    <col min="10252" max="10252" width="19.85546875" style="5" customWidth="1"/>
    <col min="10253" max="10253" width="12.42578125" style="5" customWidth="1"/>
    <col min="10254" max="10254" width="14.7109375" style="5" customWidth="1"/>
    <col min="10255" max="10497" width="9.140625" style="5"/>
    <col min="10498" max="10498" width="1.7109375" style="5" customWidth="1"/>
    <col min="10499" max="10499" width="5.85546875" style="5" customWidth="1"/>
    <col min="10500" max="10500" width="2.140625" style="5" customWidth="1"/>
    <col min="10501" max="10501" width="27" style="5" bestFit="1" customWidth="1"/>
    <col min="10502" max="10502" width="7.85546875" style="5" customWidth="1"/>
    <col min="10503" max="10503" width="10.5703125" style="5" customWidth="1"/>
    <col min="10504" max="10504" width="14.5703125" style="5" customWidth="1"/>
    <col min="10505" max="10505" width="17.140625" style="5" customWidth="1"/>
    <col min="10506" max="10506" width="9.140625" style="5"/>
    <col min="10507" max="10507" width="29.5703125" style="5" customWidth="1"/>
    <col min="10508" max="10508" width="19.85546875" style="5" customWidth="1"/>
    <col min="10509" max="10509" width="12.42578125" style="5" customWidth="1"/>
    <col min="10510" max="10510" width="14.7109375" style="5" customWidth="1"/>
    <col min="10511" max="10753" width="9.140625" style="5"/>
    <col min="10754" max="10754" width="1.7109375" style="5" customWidth="1"/>
    <col min="10755" max="10755" width="5.85546875" style="5" customWidth="1"/>
    <col min="10756" max="10756" width="2.140625" style="5" customWidth="1"/>
    <col min="10757" max="10757" width="27" style="5" bestFit="1" customWidth="1"/>
    <col min="10758" max="10758" width="7.85546875" style="5" customWidth="1"/>
    <col min="10759" max="10759" width="10.5703125" style="5" customWidth="1"/>
    <col min="10760" max="10760" width="14.5703125" style="5" customWidth="1"/>
    <col min="10761" max="10761" width="17.140625" style="5" customWidth="1"/>
    <col min="10762" max="10762" width="9.140625" style="5"/>
    <col min="10763" max="10763" width="29.5703125" style="5" customWidth="1"/>
    <col min="10764" max="10764" width="19.85546875" style="5" customWidth="1"/>
    <col min="10765" max="10765" width="12.42578125" style="5" customWidth="1"/>
    <col min="10766" max="10766" width="14.7109375" style="5" customWidth="1"/>
    <col min="10767" max="11009" width="9.140625" style="5"/>
    <col min="11010" max="11010" width="1.7109375" style="5" customWidth="1"/>
    <col min="11011" max="11011" width="5.85546875" style="5" customWidth="1"/>
    <col min="11012" max="11012" width="2.140625" style="5" customWidth="1"/>
    <col min="11013" max="11013" width="27" style="5" bestFit="1" customWidth="1"/>
    <col min="11014" max="11014" width="7.85546875" style="5" customWidth="1"/>
    <col min="11015" max="11015" width="10.5703125" style="5" customWidth="1"/>
    <col min="11016" max="11016" width="14.5703125" style="5" customWidth="1"/>
    <col min="11017" max="11017" width="17.140625" style="5" customWidth="1"/>
    <col min="11018" max="11018" width="9.140625" style="5"/>
    <col min="11019" max="11019" width="29.5703125" style="5" customWidth="1"/>
    <col min="11020" max="11020" width="19.85546875" style="5" customWidth="1"/>
    <col min="11021" max="11021" width="12.42578125" style="5" customWidth="1"/>
    <col min="11022" max="11022" width="14.7109375" style="5" customWidth="1"/>
    <col min="11023" max="11265" width="9.140625" style="5"/>
    <col min="11266" max="11266" width="1.7109375" style="5" customWidth="1"/>
    <col min="11267" max="11267" width="5.85546875" style="5" customWidth="1"/>
    <col min="11268" max="11268" width="2.140625" style="5" customWidth="1"/>
    <col min="11269" max="11269" width="27" style="5" bestFit="1" customWidth="1"/>
    <col min="11270" max="11270" width="7.85546875" style="5" customWidth="1"/>
    <col min="11271" max="11271" width="10.5703125" style="5" customWidth="1"/>
    <col min="11272" max="11272" width="14.5703125" style="5" customWidth="1"/>
    <col min="11273" max="11273" width="17.140625" style="5" customWidth="1"/>
    <col min="11274" max="11274" width="9.140625" style="5"/>
    <col min="11275" max="11275" width="29.5703125" style="5" customWidth="1"/>
    <col min="11276" max="11276" width="19.85546875" style="5" customWidth="1"/>
    <col min="11277" max="11277" width="12.42578125" style="5" customWidth="1"/>
    <col min="11278" max="11278" width="14.7109375" style="5" customWidth="1"/>
    <col min="11279" max="11521" width="9.140625" style="5"/>
    <col min="11522" max="11522" width="1.7109375" style="5" customWidth="1"/>
    <col min="11523" max="11523" width="5.85546875" style="5" customWidth="1"/>
    <col min="11524" max="11524" width="2.140625" style="5" customWidth="1"/>
    <col min="11525" max="11525" width="27" style="5" bestFit="1" customWidth="1"/>
    <col min="11526" max="11526" width="7.85546875" style="5" customWidth="1"/>
    <col min="11527" max="11527" width="10.5703125" style="5" customWidth="1"/>
    <col min="11528" max="11528" width="14.5703125" style="5" customWidth="1"/>
    <col min="11529" max="11529" width="17.140625" style="5" customWidth="1"/>
    <col min="11530" max="11530" width="9.140625" style="5"/>
    <col min="11531" max="11531" width="29.5703125" style="5" customWidth="1"/>
    <col min="11532" max="11532" width="19.85546875" style="5" customWidth="1"/>
    <col min="11533" max="11533" width="12.42578125" style="5" customWidth="1"/>
    <col min="11534" max="11534" width="14.7109375" style="5" customWidth="1"/>
    <col min="11535" max="11777" width="9.140625" style="5"/>
    <col min="11778" max="11778" width="1.7109375" style="5" customWidth="1"/>
    <col min="11779" max="11779" width="5.85546875" style="5" customWidth="1"/>
    <col min="11780" max="11780" width="2.140625" style="5" customWidth="1"/>
    <col min="11781" max="11781" width="27" style="5" bestFit="1" customWidth="1"/>
    <col min="11782" max="11782" width="7.85546875" style="5" customWidth="1"/>
    <col min="11783" max="11783" width="10.5703125" style="5" customWidth="1"/>
    <col min="11784" max="11784" width="14.5703125" style="5" customWidth="1"/>
    <col min="11785" max="11785" width="17.140625" style="5" customWidth="1"/>
    <col min="11786" max="11786" width="9.140625" style="5"/>
    <col min="11787" max="11787" width="29.5703125" style="5" customWidth="1"/>
    <col min="11788" max="11788" width="19.85546875" style="5" customWidth="1"/>
    <col min="11789" max="11789" width="12.42578125" style="5" customWidth="1"/>
    <col min="11790" max="11790" width="14.7109375" style="5" customWidth="1"/>
    <col min="11791" max="12033" width="9.140625" style="5"/>
    <col min="12034" max="12034" width="1.7109375" style="5" customWidth="1"/>
    <col min="12035" max="12035" width="5.85546875" style="5" customWidth="1"/>
    <col min="12036" max="12036" width="2.140625" style="5" customWidth="1"/>
    <col min="12037" max="12037" width="27" style="5" bestFit="1" customWidth="1"/>
    <col min="12038" max="12038" width="7.85546875" style="5" customWidth="1"/>
    <col min="12039" max="12039" width="10.5703125" style="5" customWidth="1"/>
    <col min="12040" max="12040" width="14.5703125" style="5" customWidth="1"/>
    <col min="12041" max="12041" width="17.140625" style="5" customWidth="1"/>
    <col min="12042" max="12042" width="9.140625" style="5"/>
    <col min="12043" max="12043" width="29.5703125" style="5" customWidth="1"/>
    <col min="12044" max="12044" width="19.85546875" style="5" customWidth="1"/>
    <col min="12045" max="12045" width="12.42578125" style="5" customWidth="1"/>
    <col min="12046" max="12046" width="14.7109375" style="5" customWidth="1"/>
    <col min="12047" max="12289" width="9.140625" style="5"/>
    <col min="12290" max="12290" width="1.7109375" style="5" customWidth="1"/>
    <col min="12291" max="12291" width="5.85546875" style="5" customWidth="1"/>
    <col min="12292" max="12292" width="2.140625" style="5" customWidth="1"/>
    <col min="12293" max="12293" width="27" style="5" bestFit="1" customWidth="1"/>
    <col min="12294" max="12294" width="7.85546875" style="5" customWidth="1"/>
    <col min="12295" max="12295" width="10.5703125" style="5" customWidth="1"/>
    <col min="12296" max="12296" width="14.5703125" style="5" customWidth="1"/>
    <col min="12297" max="12297" width="17.140625" style="5" customWidth="1"/>
    <col min="12298" max="12298" width="9.140625" style="5"/>
    <col min="12299" max="12299" width="29.5703125" style="5" customWidth="1"/>
    <col min="12300" max="12300" width="19.85546875" style="5" customWidth="1"/>
    <col min="12301" max="12301" width="12.42578125" style="5" customWidth="1"/>
    <col min="12302" max="12302" width="14.7109375" style="5" customWidth="1"/>
    <col min="12303" max="12545" width="9.140625" style="5"/>
    <col min="12546" max="12546" width="1.7109375" style="5" customWidth="1"/>
    <col min="12547" max="12547" width="5.85546875" style="5" customWidth="1"/>
    <col min="12548" max="12548" width="2.140625" style="5" customWidth="1"/>
    <col min="12549" max="12549" width="27" style="5" bestFit="1" customWidth="1"/>
    <col min="12550" max="12550" width="7.85546875" style="5" customWidth="1"/>
    <col min="12551" max="12551" width="10.5703125" style="5" customWidth="1"/>
    <col min="12552" max="12552" width="14.5703125" style="5" customWidth="1"/>
    <col min="12553" max="12553" width="17.140625" style="5" customWidth="1"/>
    <col min="12554" max="12554" width="9.140625" style="5"/>
    <col min="12555" max="12555" width="29.5703125" style="5" customWidth="1"/>
    <col min="12556" max="12556" width="19.85546875" style="5" customWidth="1"/>
    <col min="12557" max="12557" width="12.42578125" style="5" customWidth="1"/>
    <col min="12558" max="12558" width="14.7109375" style="5" customWidth="1"/>
    <col min="12559" max="12801" width="9.140625" style="5"/>
    <col min="12802" max="12802" width="1.7109375" style="5" customWidth="1"/>
    <col min="12803" max="12803" width="5.85546875" style="5" customWidth="1"/>
    <col min="12804" max="12804" width="2.140625" style="5" customWidth="1"/>
    <col min="12805" max="12805" width="27" style="5" bestFit="1" customWidth="1"/>
    <col min="12806" max="12806" width="7.85546875" style="5" customWidth="1"/>
    <col min="12807" max="12807" width="10.5703125" style="5" customWidth="1"/>
    <col min="12808" max="12808" width="14.5703125" style="5" customWidth="1"/>
    <col min="12809" max="12809" width="17.140625" style="5" customWidth="1"/>
    <col min="12810" max="12810" width="9.140625" style="5"/>
    <col min="12811" max="12811" width="29.5703125" style="5" customWidth="1"/>
    <col min="12812" max="12812" width="19.85546875" style="5" customWidth="1"/>
    <col min="12813" max="12813" width="12.42578125" style="5" customWidth="1"/>
    <col min="12814" max="12814" width="14.7109375" style="5" customWidth="1"/>
    <col min="12815" max="13057" width="9.140625" style="5"/>
    <col min="13058" max="13058" width="1.7109375" style="5" customWidth="1"/>
    <col min="13059" max="13059" width="5.85546875" style="5" customWidth="1"/>
    <col min="13060" max="13060" width="2.140625" style="5" customWidth="1"/>
    <col min="13061" max="13061" width="27" style="5" bestFit="1" customWidth="1"/>
    <col min="13062" max="13062" width="7.85546875" style="5" customWidth="1"/>
    <col min="13063" max="13063" width="10.5703125" style="5" customWidth="1"/>
    <col min="13064" max="13064" width="14.5703125" style="5" customWidth="1"/>
    <col min="13065" max="13065" width="17.140625" style="5" customWidth="1"/>
    <col min="13066" max="13066" width="9.140625" style="5"/>
    <col min="13067" max="13067" width="29.5703125" style="5" customWidth="1"/>
    <col min="13068" max="13068" width="19.85546875" style="5" customWidth="1"/>
    <col min="13069" max="13069" width="12.42578125" style="5" customWidth="1"/>
    <col min="13070" max="13070" width="14.7109375" style="5" customWidth="1"/>
    <col min="13071" max="13313" width="9.140625" style="5"/>
    <col min="13314" max="13314" width="1.7109375" style="5" customWidth="1"/>
    <col min="13315" max="13315" width="5.85546875" style="5" customWidth="1"/>
    <col min="13316" max="13316" width="2.140625" style="5" customWidth="1"/>
    <col min="13317" max="13317" width="27" style="5" bestFit="1" customWidth="1"/>
    <col min="13318" max="13318" width="7.85546875" style="5" customWidth="1"/>
    <col min="13319" max="13319" width="10.5703125" style="5" customWidth="1"/>
    <col min="13320" max="13320" width="14.5703125" style="5" customWidth="1"/>
    <col min="13321" max="13321" width="17.140625" style="5" customWidth="1"/>
    <col min="13322" max="13322" width="9.140625" style="5"/>
    <col min="13323" max="13323" width="29.5703125" style="5" customWidth="1"/>
    <col min="13324" max="13324" width="19.85546875" style="5" customWidth="1"/>
    <col min="13325" max="13325" width="12.42578125" style="5" customWidth="1"/>
    <col min="13326" max="13326" width="14.7109375" style="5" customWidth="1"/>
    <col min="13327" max="13569" width="9.140625" style="5"/>
    <col min="13570" max="13570" width="1.7109375" style="5" customWidth="1"/>
    <col min="13571" max="13571" width="5.85546875" style="5" customWidth="1"/>
    <col min="13572" max="13572" width="2.140625" style="5" customWidth="1"/>
    <col min="13573" max="13573" width="27" style="5" bestFit="1" customWidth="1"/>
    <col min="13574" max="13574" width="7.85546875" style="5" customWidth="1"/>
    <col min="13575" max="13575" width="10.5703125" style="5" customWidth="1"/>
    <col min="13576" max="13576" width="14.5703125" style="5" customWidth="1"/>
    <col min="13577" max="13577" width="17.140625" style="5" customWidth="1"/>
    <col min="13578" max="13578" width="9.140625" style="5"/>
    <col min="13579" max="13579" width="29.5703125" style="5" customWidth="1"/>
    <col min="13580" max="13580" width="19.85546875" style="5" customWidth="1"/>
    <col min="13581" max="13581" width="12.42578125" style="5" customWidth="1"/>
    <col min="13582" max="13582" width="14.7109375" style="5" customWidth="1"/>
    <col min="13583" max="13825" width="9.140625" style="5"/>
    <col min="13826" max="13826" width="1.7109375" style="5" customWidth="1"/>
    <col min="13827" max="13827" width="5.85546875" style="5" customWidth="1"/>
    <col min="13828" max="13828" width="2.140625" style="5" customWidth="1"/>
    <col min="13829" max="13829" width="27" style="5" bestFit="1" customWidth="1"/>
    <col min="13830" max="13830" width="7.85546875" style="5" customWidth="1"/>
    <col min="13831" max="13831" width="10.5703125" style="5" customWidth="1"/>
    <col min="13832" max="13832" width="14.5703125" style="5" customWidth="1"/>
    <col min="13833" max="13833" width="17.140625" style="5" customWidth="1"/>
    <col min="13834" max="13834" width="9.140625" style="5"/>
    <col min="13835" max="13835" width="29.5703125" style="5" customWidth="1"/>
    <col min="13836" max="13836" width="19.85546875" style="5" customWidth="1"/>
    <col min="13837" max="13837" width="12.42578125" style="5" customWidth="1"/>
    <col min="13838" max="13838" width="14.7109375" style="5" customWidth="1"/>
    <col min="13839" max="14081" width="9.140625" style="5"/>
    <col min="14082" max="14082" width="1.7109375" style="5" customWidth="1"/>
    <col min="14083" max="14083" width="5.85546875" style="5" customWidth="1"/>
    <col min="14084" max="14084" width="2.140625" style="5" customWidth="1"/>
    <col min="14085" max="14085" width="27" style="5" bestFit="1" customWidth="1"/>
    <col min="14086" max="14086" width="7.85546875" style="5" customWidth="1"/>
    <col min="14087" max="14087" width="10.5703125" style="5" customWidth="1"/>
    <col min="14088" max="14088" width="14.5703125" style="5" customWidth="1"/>
    <col min="14089" max="14089" width="17.140625" style="5" customWidth="1"/>
    <col min="14090" max="14090" width="9.140625" style="5"/>
    <col min="14091" max="14091" width="29.5703125" style="5" customWidth="1"/>
    <col min="14092" max="14092" width="19.85546875" style="5" customWidth="1"/>
    <col min="14093" max="14093" width="12.42578125" style="5" customWidth="1"/>
    <col min="14094" max="14094" width="14.7109375" style="5" customWidth="1"/>
    <col min="14095" max="14337" width="9.140625" style="5"/>
    <col min="14338" max="14338" width="1.7109375" style="5" customWidth="1"/>
    <col min="14339" max="14339" width="5.85546875" style="5" customWidth="1"/>
    <col min="14340" max="14340" width="2.140625" style="5" customWidth="1"/>
    <col min="14341" max="14341" width="27" style="5" bestFit="1" customWidth="1"/>
    <col min="14342" max="14342" width="7.85546875" style="5" customWidth="1"/>
    <col min="14343" max="14343" width="10.5703125" style="5" customWidth="1"/>
    <col min="14344" max="14344" width="14.5703125" style="5" customWidth="1"/>
    <col min="14345" max="14345" width="17.140625" style="5" customWidth="1"/>
    <col min="14346" max="14346" width="9.140625" style="5"/>
    <col min="14347" max="14347" width="29.5703125" style="5" customWidth="1"/>
    <col min="14348" max="14348" width="19.85546875" style="5" customWidth="1"/>
    <col min="14349" max="14349" width="12.42578125" style="5" customWidth="1"/>
    <col min="14350" max="14350" width="14.7109375" style="5" customWidth="1"/>
    <col min="14351" max="14593" width="9.140625" style="5"/>
    <col min="14594" max="14594" width="1.7109375" style="5" customWidth="1"/>
    <col min="14595" max="14595" width="5.85546875" style="5" customWidth="1"/>
    <col min="14596" max="14596" width="2.140625" style="5" customWidth="1"/>
    <col min="14597" max="14597" width="27" style="5" bestFit="1" customWidth="1"/>
    <col min="14598" max="14598" width="7.85546875" style="5" customWidth="1"/>
    <col min="14599" max="14599" width="10.5703125" style="5" customWidth="1"/>
    <col min="14600" max="14600" width="14.5703125" style="5" customWidth="1"/>
    <col min="14601" max="14601" width="17.140625" style="5" customWidth="1"/>
    <col min="14602" max="14602" width="9.140625" style="5"/>
    <col min="14603" max="14603" width="29.5703125" style="5" customWidth="1"/>
    <col min="14604" max="14604" width="19.85546875" style="5" customWidth="1"/>
    <col min="14605" max="14605" width="12.42578125" style="5" customWidth="1"/>
    <col min="14606" max="14606" width="14.7109375" style="5" customWidth="1"/>
    <col min="14607" max="14849" width="9.140625" style="5"/>
    <col min="14850" max="14850" width="1.7109375" style="5" customWidth="1"/>
    <col min="14851" max="14851" width="5.85546875" style="5" customWidth="1"/>
    <col min="14852" max="14852" width="2.140625" style="5" customWidth="1"/>
    <col min="14853" max="14853" width="27" style="5" bestFit="1" customWidth="1"/>
    <col min="14854" max="14854" width="7.85546875" style="5" customWidth="1"/>
    <col min="14855" max="14855" width="10.5703125" style="5" customWidth="1"/>
    <col min="14856" max="14856" width="14.5703125" style="5" customWidth="1"/>
    <col min="14857" max="14857" width="17.140625" style="5" customWidth="1"/>
    <col min="14858" max="14858" width="9.140625" style="5"/>
    <col min="14859" max="14859" width="29.5703125" style="5" customWidth="1"/>
    <col min="14860" max="14860" width="19.85546875" style="5" customWidth="1"/>
    <col min="14861" max="14861" width="12.42578125" style="5" customWidth="1"/>
    <col min="14862" max="14862" width="14.7109375" style="5" customWidth="1"/>
    <col min="14863" max="15105" width="9.140625" style="5"/>
    <col min="15106" max="15106" width="1.7109375" style="5" customWidth="1"/>
    <col min="15107" max="15107" width="5.85546875" style="5" customWidth="1"/>
    <col min="15108" max="15108" width="2.140625" style="5" customWidth="1"/>
    <col min="15109" max="15109" width="27" style="5" bestFit="1" customWidth="1"/>
    <col min="15110" max="15110" width="7.85546875" style="5" customWidth="1"/>
    <col min="15111" max="15111" width="10.5703125" style="5" customWidth="1"/>
    <col min="15112" max="15112" width="14.5703125" style="5" customWidth="1"/>
    <col min="15113" max="15113" width="17.140625" style="5" customWidth="1"/>
    <col min="15114" max="15114" width="9.140625" style="5"/>
    <col min="15115" max="15115" width="29.5703125" style="5" customWidth="1"/>
    <col min="15116" max="15116" width="19.85546875" style="5" customWidth="1"/>
    <col min="15117" max="15117" width="12.42578125" style="5" customWidth="1"/>
    <col min="15118" max="15118" width="14.7109375" style="5" customWidth="1"/>
    <col min="15119" max="15361" width="9.140625" style="5"/>
    <col min="15362" max="15362" width="1.7109375" style="5" customWidth="1"/>
    <col min="15363" max="15363" width="5.85546875" style="5" customWidth="1"/>
    <col min="15364" max="15364" width="2.140625" style="5" customWidth="1"/>
    <col min="15365" max="15365" width="27" style="5" bestFit="1" customWidth="1"/>
    <col min="15366" max="15366" width="7.85546875" style="5" customWidth="1"/>
    <col min="15367" max="15367" width="10.5703125" style="5" customWidth="1"/>
    <col min="15368" max="15368" width="14.5703125" style="5" customWidth="1"/>
    <col min="15369" max="15369" width="17.140625" style="5" customWidth="1"/>
    <col min="15370" max="15370" width="9.140625" style="5"/>
    <col min="15371" max="15371" width="29.5703125" style="5" customWidth="1"/>
    <col min="15372" max="15372" width="19.85546875" style="5" customWidth="1"/>
    <col min="15373" max="15373" width="12.42578125" style="5" customWidth="1"/>
    <col min="15374" max="15374" width="14.7109375" style="5" customWidth="1"/>
    <col min="15375" max="15617" width="9.140625" style="5"/>
    <col min="15618" max="15618" width="1.7109375" style="5" customWidth="1"/>
    <col min="15619" max="15619" width="5.85546875" style="5" customWidth="1"/>
    <col min="15620" max="15620" width="2.140625" style="5" customWidth="1"/>
    <col min="15621" max="15621" width="27" style="5" bestFit="1" customWidth="1"/>
    <col min="15622" max="15622" width="7.85546875" style="5" customWidth="1"/>
    <col min="15623" max="15623" width="10.5703125" style="5" customWidth="1"/>
    <col min="15624" max="15624" width="14.5703125" style="5" customWidth="1"/>
    <col min="15625" max="15625" width="17.140625" style="5" customWidth="1"/>
    <col min="15626" max="15626" width="9.140625" style="5"/>
    <col min="15627" max="15627" width="29.5703125" style="5" customWidth="1"/>
    <col min="15628" max="15628" width="19.85546875" style="5" customWidth="1"/>
    <col min="15629" max="15629" width="12.42578125" style="5" customWidth="1"/>
    <col min="15630" max="15630" width="14.7109375" style="5" customWidth="1"/>
    <col min="15631" max="15873" width="9.140625" style="5"/>
    <col min="15874" max="15874" width="1.7109375" style="5" customWidth="1"/>
    <col min="15875" max="15875" width="5.85546875" style="5" customWidth="1"/>
    <col min="15876" max="15876" width="2.140625" style="5" customWidth="1"/>
    <col min="15877" max="15877" width="27" style="5" bestFit="1" customWidth="1"/>
    <col min="15878" max="15878" width="7.85546875" style="5" customWidth="1"/>
    <col min="15879" max="15879" width="10.5703125" style="5" customWidth="1"/>
    <col min="15880" max="15880" width="14.5703125" style="5" customWidth="1"/>
    <col min="15881" max="15881" width="17.140625" style="5" customWidth="1"/>
    <col min="15882" max="15882" width="9.140625" style="5"/>
    <col min="15883" max="15883" width="29.5703125" style="5" customWidth="1"/>
    <col min="15884" max="15884" width="19.85546875" style="5" customWidth="1"/>
    <col min="15885" max="15885" width="12.42578125" style="5" customWidth="1"/>
    <col min="15886" max="15886" width="14.7109375" style="5" customWidth="1"/>
    <col min="15887" max="16129" width="9.140625" style="5"/>
    <col min="16130" max="16130" width="1.7109375" style="5" customWidth="1"/>
    <col min="16131" max="16131" width="5.85546875" style="5" customWidth="1"/>
    <col min="16132" max="16132" width="2.140625" style="5" customWidth="1"/>
    <col min="16133" max="16133" width="27" style="5" bestFit="1" customWidth="1"/>
    <col min="16134" max="16134" width="7.85546875" style="5" customWidth="1"/>
    <col min="16135" max="16135" width="10.5703125" style="5" customWidth="1"/>
    <col min="16136" max="16136" width="14.5703125" style="5" customWidth="1"/>
    <col min="16137" max="16137" width="17.140625" style="5" customWidth="1"/>
    <col min="16138" max="16138" width="9.140625" style="5"/>
    <col min="16139" max="16139" width="29.5703125" style="5" customWidth="1"/>
    <col min="16140" max="16140" width="19.85546875" style="5" customWidth="1"/>
    <col min="16141" max="16141" width="12.42578125" style="5" customWidth="1"/>
    <col min="16142" max="16142" width="14.7109375" style="5" customWidth="1"/>
    <col min="16143" max="16384" width="9.140625" style="5"/>
  </cols>
  <sheetData>
    <row r="2" spans="2:9">
      <c r="B2" s="183" t="s">
        <v>764</v>
      </c>
      <c r="C2" s="183"/>
      <c r="D2" s="183"/>
      <c r="E2" s="183"/>
      <c r="F2" s="183"/>
      <c r="G2" s="183"/>
      <c r="H2" s="183"/>
      <c r="I2" s="183"/>
    </row>
    <row r="3" spans="2:9">
      <c r="B3" s="184"/>
      <c r="C3" s="185"/>
      <c r="D3" s="185"/>
      <c r="E3" s="186"/>
      <c r="F3" s="187"/>
      <c r="G3" s="185"/>
      <c r="H3" s="185"/>
      <c r="I3" s="185"/>
    </row>
    <row r="4" spans="2:9">
      <c r="B4" s="733" t="s">
        <v>157</v>
      </c>
      <c r="C4" s="734"/>
      <c r="D4" s="735" t="s">
        <v>211</v>
      </c>
      <c r="E4" s="736" t="s">
        <v>556</v>
      </c>
      <c r="F4" s="737" t="s">
        <v>213</v>
      </c>
      <c r="G4" s="736" t="s">
        <v>557</v>
      </c>
      <c r="H4" s="738" t="s">
        <v>215</v>
      </c>
      <c r="I4" s="1175"/>
    </row>
    <row r="5" spans="2:9">
      <c r="B5" s="739"/>
      <c r="C5" s="740"/>
      <c r="D5" s="741"/>
      <c r="E5" s="742"/>
      <c r="F5" s="743"/>
      <c r="G5" s="742"/>
      <c r="H5" s="744"/>
      <c r="I5" s="1175"/>
    </row>
    <row r="6" spans="2:9">
      <c r="B6" s="530" t="s">
        <v>765</v>
      </c>
      <c r="C6" s="538" t="s">
        <v>766</v>
      </c>
      <c r="D6" s="558"/>
      <c r="E6" s="613"/>
      <c r="F6" s="745"/>
      <c r="G6" s="746"/>
      <c r="H6" s="543"/>
      <c r="I6" s="1166"/>
    </row>
    <row r="7" spans="2:9">
      <c r="B7" s="205"/>
      <c r="C7" s="206" t="s">
        <v>28</v>
      </c>
      <c r="D7" s="207" t="s">
        <v>767</v>
      </c>
      <c r="E7" s="208" t="s">
        <v>145</v>
      </c>
      <c r="F7" s="68">
        <v>0.05</v>
      </c>
      <c r="G7" s="747">
        <f>BAHAN!$E$391</f>
        <v>26500</v>
      </c>
      <c r="H7" s="748">
        <f>G7*F7</f>
        <v>1325</v>
      </c>
      <c r="I7" s="1166">
        <f>SUM(H7)</f>
        <v>1325</v>
      </c>
    </row>
    <row r="8" spans="2:9">
      <c r="B8" s="71"/>
      <c r="C8" s="368" t="s">
        <v>28</v>
      </c>
      <c r="D8" s="76" t="s">
        <v>133</v>
      </c>
      <c r="E8" s="73" t="s">
        <v>132</v>
      </c>
      <c r="F8" s="74">
        <v>0.15</v>
      </c>
      <c r="G8" s="749">
        <f>UPAH!$E$26</f>
        <v>136000</v>
      </c>
      <c r="H8" s="750">
        <f>G8*F8</f>
        <v>20400</v>
      </c>
      <c r="I8" s="1166"/>
    </row>
    <row r="9" spans="2:9">
      <c r="B9" s="369"/>
      <c r="C9" s="382" t="s">
        <v>28</v>
      </c>
      <c r="D9" s="448" t="s">
        <v>136</v>
      </c>
      <c r="E9" s="449" t="s">
        <v>132</v>
      </c>
      <c r="F9" s="450">
        <v>2.5000000000000001E-3</v>
      </c>
      <c r="G9" s="751">
        <f>UPAH!$E$9</f>
        <v>180000</v>
      </c>
      <c r="H9" s="752">
        <f>G9*F9</f>
        <v>450</v>
      </c>
      <c r="I9" s="1166">
        <f>SUM(H8:H9)</f>
        <v>20850</v>
      </c>
    </row>
    <row r="10" spans="2:9">
      <c r="B10" s="216"/>
      <c r="C10" s="83"/>
      <c r="D10" s="84" t="s">
        <v>228</v>
      </c>
      <c r="E10" s="85"/>
      <c r="F10" s="86"/>
      <c r="G10" s="753"/>
      <c r="H10" s="754">
        <f>SUM(H7:H9)</f>
        <v>22175</v>
      </c>
      <c r="I10" s="1166"/>
    </row>
    <row r="11" spans="2:9">
      <c r="B11" s="396"/>
      <c r="C11" s="442" t="s">
        <v>229</v>
      </c>
      <c r="D11" s="378"/>
      <c r="E11" s="378"/>
      <c r="F11" s="378"/>
      <c r="G11" s="518"/>
      <c r="H11" s="518">
        <f>ROUND(H10,0)</f>
        <v>22175</v>
      </c>
      <c r="I11" s="1164"/>
    </row>
    <row r="12" spans="2:9">
      <c r="B12" s="530" t="s">
        <v>768</v>
      </c>
      <c r="C12" s="328" t="s">
        <v>769</v>
      </c>
      <c r="D12" s="287"/>
      <c r="E12" s="288"/>
      <c r="F12" s="445"/>
      <c r="G12" s="755"/>
      <c r="H12" s="756"/>
      <c r="I12" s="1166"/>
    </row>
    <row r="13" spans="2:9">
      <c r="B13" s="205"/>
      <c r="C13" s="66" t="s">
        <v>28</v>
      </c>
      <c r="D13" s="207" t="s">
        <v>770</v>
      </c>
      <c r="E13" s="67" t="s">
        <v>145</v>
      </c>
      <c r="F13" s="68">
        <v>0.08</v>
      </c>
      <c r="G13" s="757">
        <f>BAHAN!$E$57</f>
        <v>55000</v>
      </c>
      <c r="H13" s="758">
        <f t="shared" ref="H13:H19" si="0">G13*F13</f>
        <v>4400</v>
      </c>
      <c r="I13" s="1166"/>
    </row>
    <row r="14" spans="2:9">
      <c r="B14" s="71"/>
      <c r="C14" s="368" t="s">
        <v>28</v>
      </c>
      <c r="D14" s="76" t="s">
        <v>771</v>
      </c>
      <c r="E14" s="73" t="s">
        <v>145</v>
      </c>
      <c r="F14" s="74">
        <v>0.02</v>
      </c>
      <c r="G14" s="749">
        <f>BAHAN!$E$59</f>
        <v>23846.153846153844</v>
      </c>
      <c r="H14" s="750">
        <f t="shared" si="0"/>
        <v>476.92307692307691</v>
      </c>
      <c r="I14" s="1166"/>
    </row>
    <row r="15" spans="2:9">
      <c r="B15" s="71"/>
      <c r="C15" s="368" t="s">
        <v>28</v>
      </c>
      <c r="D15" s="76" t="s">
        <v>772</v>
      </c>
      <c r="E15" s="73" t="s">
        <v>145</v>
      </c>
      <c r="F15" s="74">
        <v>0.01</v>
      </c>
      <c r="G15" s="749">
        <f>BAHAN!$E$11</f>
        <v>18500</v>
      </c>
      <c r="H15" s="750">
        <f t="shared" si="0"/>
        <v>185</v>
      </c>
      <c r="I15" s="1166"/>
    </row>
    <row r="16" spans="2:9">
      <c r="B16" s="71"/>
      <c r="C16" s="368" t="s">
        <v>28</v>
      </c>
      <c r="D16" s="76" t="s">
        <v>133</v>
      </c>
      <c r="E16" s="73" t="s">
        <v>132</v>
      </c>
      <c r="F16" s="74">
        <v>0.04</v>
      </c>
      <c r="G16" s="749">
        <f>G8</f>
        <v>136000</v>
      </c>
      <c r="H16" s="750">
        <f t="shared" si="0"/>
        <v>5440</v>
      </c>
      <c r="I16" s="1166"/>
    </row>
    <row r="17" spans="2:10">
      <c r="B17" s="71"/>
      <c r="C17" s="368" t="s">
        <v>28</v>
      </c>
      <c r="D17" s="76" t="s">
        <v>773</v>
      </c>
      <c r="E17" s="73" t="s">
        <v>132</v>
      </c>
      <c r="F17" s="74">
        <v>0.04</v>
      </c>
      <c r="G17" s="749">
        <f>UPAH!$E$19</f>
        <v>160000</v>
      </c>
      <c r="H17" s="750">
        <f t="shared" si="0"/>
        <v>6400</v>
      </c>
      <c r="I17" s="1166"/>
    </row>
    <row r="18" spans="2:10">
      <c r="B18" s="71"/>
      <c r="C18" s="368" t="s">
        <v>28</v>
      </c>
      <c r="D18" s="76" t="s">
        <v>135</v>
      </c>
      <c r="E18" s="73" t="s">
        <v>132</v>
      </c>
      <c r="F18" s="74">
        <v>4.0000000000000001E-3</v>
      </c>
      <c r="G18" s="749">
        <f>UPAH!E13</f>
        <v>170000</v>
      </c>
      <c r="H18" s="750">
        <f t="shared" si="0"/>
        <v>680</v>
      </c>
      <c r="I18" s="1166"/>
    </row>
    <row r="19" spans="2:10">
      <c r="B19" s="369"/>
      <c r="C19" s="382" t="s">
        <v>28</v>
      </c>
      <c r="D19" s="448" t="s">
        <v>136</v>
      </c>
      <c r="E19" s="449" t="s">
        <v>132</v>
      </c>
      <c r="F19" s="450">
        <v>2.5000000000000001E-3</v>
      </c>
      <c r="G19" s="749">
        <f>G9</f>
        <v>180000</v>
      </c>
      <c r="H19" s="752">
        <f t="shared" si="0"/>
        <v>450</v>
      </c>
      <c r="I19" s="1166"/>
    </row>
    <row r="20" spans="2:10">
      <c r="B20" s="216"/>
      <c r="C20" s="83"/>
      <c r="D20" s="84" t="s">
        <v>228</v>
      </c>
      <c r="E20" s="85"/>
      <c r="F20" s="86"/>
      <c r="G20" s="753"/>
      <c r="H20" s="754">
        <f>SUM(H13:H19)</f>
        <v>18031.923076923078</v>
      </c>
      <c r="I20" s="1166"/>
    </row>
    <row r="21" spans="2:10">
      <c r="B21" s="396"/>
      <c r="C21" s="442" t="s">
        <v>229</v>
      </c>
      <c r="D21" s="378"/>
      <c r="E21" s="378"/>
      <c r="F21" s="378"/>
      <c r="G21" s="518"/>
      <c r="H21" s="518">
        <f>ROUND(H20,0)</f>
        <v>18032</v>
      </c>
      <c r="I21" s="1164"/>
    </row>
    <row r="22" spans="2:10" ht="15" customHeight="1">
      <c r="B22" s="530" t="s">
        <v>774</v>
      </c>
      <c r="C22" s="328" t="s">
        <v>775</v>
      </c>
      <c r="D22" s="759"/>
      <c r="E22" s="759"/>
      <c r="F22" s="759"/>
      <c r="G22" s="759"/>
      <c r="H22" s="760"/>
      <c r="I22" s="1176"/>
      <c r="J22" s="1466"/>
    </row>
    <row r="23" spans="2:10">
      <c r="B23" s="71"/>
      <c r="C23" s="368" t="s">
        <v>28</v>
      </c>
      <c r="D23" s="76" t="s">
        <v>776</v>
      </c>
      <c r="E23" s="73" t="s">
        <v>145</v>
      </c>
      <c r="F23" s="74">
        <v>0.15</v>
      </c>
      <c r="G23" s="749">
        <f>BAHAN!$E$58</f>
        <v>77000.5</v>
      </c>
      <c r="H23" s="750">
        <f t="shared" ref="H23:H29" si="1">G23*F23</f>
        <v>11550.074999999999</v>
      </c>
      <c r="I23" s="1166"/>
    </row>
    <row r="24" spans="2:10">
      <c r="B24" s="71"/>
      <c r="C24" s="368" t="s">
        <v>28</v>
      </c>
      <c r="D24" s="76" t="s">
        <v>777</v>
      </c>
      <c r="E24" s="73" t="s">
        <v>145</v>
      </c>
      <c r="F24" s="74">
        <v>0.17</v>
      </c>
      <c r="G24" s="749">
        <f>BAHAN!$E$62</f>
        <v>58000</v>
      </c>
      <c r="H24" s="750">
        <f t="shared" si="1"/>
        <v>9860</v>
      </c>
      <c r="I24" s="1166"/>
    </row>
    <row r="25" spans="2:10">
      <c r="B25" s="71"/>
      <c r="C25" s="368" t="s">
        <v>28</v>
      </c>
      <c r="D25" s="76" t="s">
        <v>778</v>
      </c>
      <c r="E25" s="73" t="s">
        <v>145</v>
      </c>
      <c r="F25" s="74">
        <v>0.17</v>
      </c>
      <c r="G25" s="749">
        <f>G24</f>
        <v>58000</v>
      </c>
      <c r="H25" s="750">
        <f t="shared" si="1"/>
        <v>9860</v>
      </c>
      <c r="I25" s="1166"/>
    </row>
    <row r="26" spans="2:10">
      <c r="B26" s="71"/>
      <c r="C26" s="368" t="s">
        <v>28</v>
      </c>
      <c r="D26" s="76" t="s">
        <v>133</v>
      </c>
      <c r="E26" s="73" t="s">
        <v>132</v>
      </c>
      <c r="F26" s="74">
        <v>7.0000000000000007E-2</v>
      </c>
      <c r="G26" s="749">
        <f>G16</f>
        <v>136000</v>
      </c>
      <c r="H26" s="750">
        <f t="shared" si="1"/>
        <v>9520</v>
      </c>
      <c r="I26" s="1166"/>
    </row>
    <row r="27" spans="2:10">
      <c r="B27" s="71"/>
      <c r="C27" s="368" t="s">
        <v>28</v>
      </c>
      <c r="D27" s="76" t="s">
        <v>773</v>
      </c>
      <c r="E27" s="73" t="s">
        <v>132</v>
      </c>
      <c r="F27" s="74">
        <v>7.4999999999999997E-2</v>
      </c>
      <c r="G27" s="749">
        <f>G17</f>
        <v>160000</v>
      </c>
      <c r="H27" s="750">
        <f t="shared" si="1"/>
        <v>12000</v>
      </c>
      <c r="I27" s="1166"/>
    </row>
    <row r="28" spans="2:10">
      <c r="B28" s="71"/>
      <c r="C28" s="368" t="s">
        <v>28</v>
      </c>
      <c r="D28" s="76" t="s">
        <v>135</v>
      </c>
      <c r="E28" s="73" t="s">
        <v>132</v>
      </c>
      <c r="F28" s="74">
        <v>7.4999999999999997E-3</v>
      </c>
      <c r="G28" s="749">
        <f>G18</f>
        <v>170000</v>
      </c>
      <c r="H28" s="750">
        <f t="shared" si="1"/>
        <v>1275</v>
      </c>
      <c r="I28" s="1166"/>
    </row>
    <row r="29" spans="2:10">
      <c r="B29" s="369"/>
      <c r="C29" s="382" t="s">
        <v>28</v>
      </c>
      <c r="D29" s="564" t="s">
        <v>136</v>
      </c>
      <c r="E29" s="449" t="s">
        <v>132</v>
      </c>
      <c r="F29" s="565">
        <v>2.5000000000000001E-3</v>
      </c>
      <c r="G29" s="749">
        <f>G19</f>
        <v>180000</v>
      </c>
      <c r="H29" s="752">
        <f t="shared" si="1"/>
        <v>450</v>
      </c>
      <c r="I29" s="1166"/>
    </row>
    <row r="30" spans="2:10">
      <c r="B30" s="216"/>
      <c r="C30" s="83"/>
      <c r="D30" s="84" t="s">
        <v>228</v>
      </c>
      <c r="E30" s="85"/>
      <c r="F30" s="86"/>
      <c r="G30" s="753"/>
      <c r="H30" s="754">
        <f>SUM(H23:H29)</f>
        <v>54515.074999999997</v>
      </c>
      <c r="I30" s="1166"/>
    </row>
    <row r="31" spans="2:10">
      <c r="B31" s="396"/>
      <c r="C31" s="442" t="s">
        <v>229</v>
      </c>
      <c r="D31" s="378"/>
      <c r="E31" s="378"/>
      <c r="F31" s="378"/>
      <c r="G31" s="518"/>
      <c r="H31" s="518">
        <f>ROUND(H30,0)</f>
        <v>54515</v>
      </c>
      <c r="I31" s="1164"/>
    </row>
    <row r="32" spans="2:10">
      <c r="B32" s="530" t="s">
        <v>779</v>
      </c>
      <c r="C32" s="328" t="s">
        <v>780</v>
      </c>
      <c r="D32" s="555"/>
      <c r="E32" s="288"/>
      <c r="F32" s="445"/>
      <c r="G32" s="755"/>
      <c r="H32" s="756"/>
      <c r="I32" s="1166"/>
    </row>
    <row r="33" spans="2:9">
      <c r="B33" s="205"/>
      <c r="C33" s="66" t="s">
        <v>28</v>
      </c>
      <c r="D33" s="207" t="s">
        <v>781</v>
      </c>
      <c r="E33" s="67" t="s">
        <v>145</v>
      </c>
      <c r="F33" s="68">
        <v>0.2</v>
      </c>
      <c r="G33" s="757">
        <f>BAHAN!$E$61</f>
        <v>44500</v>
      </c>
      <c r="H33" s="758">
        <f t="shared" ref="H33:H40" si="2">G33*F33</f>
        <v>8900</v>
      </c>
      <c r="I33" s="1166"/>
    </row>
    <row r="34" spans="2:9">
      <c r="B34" s="71"/>
      <c r="C34" s="368" t="s">
        <v>28</v>
      </c>
      <c r="D34" s="76" t="s">
        <v>776</v>
      </c>
      <c r="E34" s="73" t="s">
        <v>145</v>
      </c>
      <c r="F34" s="74">
        <v>0.15</v>
      </c>
      <c r="G34" s="749">
        <f t="shared" ref="G34:G40" si="3">G23</f>
        <v>77000.5</v>
      </c>
      <c r="H34" s="750">
        <f t="shared" si="2"/>
        <v>11550.074999999999</v>
      </c>
      <c r="I34" s="1166"/>
    </row>
    <row r="35" spans="2:9">
      <c r="B35" s="71"/>
      <c r="C35" s="368" t="s">
        <v>28</v>
      </c>
      <c r="D35" s="76" t="s">
        <v>777</v>
      </c>
      <c r="E35" s="73" t="s">
        <v>145</v>
      </c>
      <c r="F35" s="74">
        <v>0.17</v>
      </c>
      <c r="G35" s="749">
        <f t="shared" si="3"/>
        <v>58000</v>
      </c>
      <c r="H35" s="750">
        <f t="shared" si="2"/>
        <v>9860</v>
      </c>
      <c r="I35" s="1166"/>
    </row>
    <row r="36" spans="2:9">
      <c r="B36" s="71"/>
      <c r="C36" s="368" t="s">
        <v>28</v>
      </c>
      <c r="D36" s="76" t="s">
        <v>782</v>
      </c>
      <c r="E36" s="73" t="s">
        <v>145</v>
      </c>
      <c r="F36" s="74">
        <v>0.35</v>
      </c>
      <c r="G36" s="749">
        <f>G25</f>
        <v>58000</v>
      </c>
      <c r="H36" s="750">
        <f t="shared" si="2"/>
        <v>20300</v>
      </c>
      <c r="I36" s="1166"/>
    </row>
    <row r="37" spans="2:9">
      <c r="B37" s="71"/>
      <c r="C37" s="368" t="s">
        <v>28</v>
      </c>
      <c r="D37" s="76" t="s">
        <v>133</v>
      </c>
      <c r="E37" s="73" t="s">
        <v>132</v>
      </c>
      <c r="F37" s="74">
        <v>7.0000000000000007E-2</v>
      </c>
      <c r="G37" s="749">
        <f t="shared" si="3"/>
        <v>136000</v>
      </c>
      <c r="H37" s="750">
        <f t="shared" si="2"/>
        <v>9520</v>
      </c>
      <c r="I37" s="1166"/>
    </row>
    <row r="38" spans="2:9">
      <c r="B38" s="71"/>
      <c r="C38" s="368" t="s">
        <v>28</v>
      </c>
      <c r="D38" s="76" t="s">
        <v>773</v>
      </c>
      <c r="E38" s="73" t="s">
        <v>132</v>
      </c>
      <c r="F38" s="74">
        <v>0.105</v>
      </c>
      <c r="G38" s="749">
        <f t="shared" si="3"/>
        <v>160000</v>
      </c>
      <c r="H38" s="750">
        <f t="shared" si="2"/>
        <v>16800</v>
      </c>
      <c r="I38" s="1166"/>
    </row>
    <row r="39" spans="2:9">
      <c r="B39" s="71"/>
      <c r="C39" s="368" t="s">
        <v>28</v>
      </c>
      <c r="D39" s="76" t="s">
        <v>135</v>
      </c>
      <c r="E39" s="73" t="s">
        <v>132</v>
      </c>
      <c r="F39" s="74">
        <v>4.0000000000000001E-3</v>
      </c>
      <c r="G39" s="749">
        <f t="shared" si="3"/>
        <v>170000</v>
      </c>
      <c r="H39" s="750">
        <f t="shared" si="2"/>
        <v>680</v>
      </c>
      <c r="I39" s="1166"/>
    </row>
    <row r="40" spans="2:9">
      <c r="B40" s="369"/>
      <c r="C40" s="382" t="s">
        <v>28</v>
      </c>
      <c r="D40" s="564" t="s">
        <v>136</v>
      </c>
      <c r="E40" s="449" t="s">
        <v>132</v>
      </c>
      <c r="F40" s="565">
        <v>2.5000000000000001E-3</v>
      </c>
      <c r="G40" s="751">
        <f t="shared" si="3"/>
        <v>180000</v>
      </c>
      <c r="H40" s="752">
        <f t="shared" si="2"/>
        <v>450</v>
      </c>
      <c r="I40" s="1166"/>
    </row>
    <row r="41" spans="2:9">
      <c r="B41" s="216"/>
      <c r="C41" s="83"/>
      <c r="D41" s="84" t="s">
        <v>228</v>
      </c>
      <c r="E41" s="85"/>
      <c r="F41" s="86"/>
      <c r="G41" s="753"/>
      <c r="H41" s="754">
        <f>SUM(H33:H40)</f>
        <v>78060.074999999997</v>
      </c>
      <c r="I41" s="1166"/>
    </row>
    <row r="42" spans="2:9">
      <c r="B42" s="396"/>
      <c r="C42" s="442" t="s">
        <v>229</v>
      </c>
      <c r="D42" s="378"/>
      <c r="E42" s="378"/>
      <c r="F42" s="378"/>
      <c r="G42" s="518"/>
      <c r="H42" s="518">
        <f>ROUND(H41,0)</f>
        <v>78060</v>
      </c>
      <c r="I42" s="1164"/>
    </row>
    <row r="43" spans="2:9">
      <c r="B43" s="226" t="s">
        <v>783</v>
      </c>
      <c r="C43" s="328" t="s">
        <v>784</v>
      </c>
      <c r="D43" s="287"/>
      <c r="E43" s="567"/>
      <c r="F43" s="445"/>
      <c r="G43" s="761"/>
      <c r="H43" s="762"/>
      <c r="I43" s="1166"/>
    </row>
    <row r="44" spans="2:9">
      <c r="B44" s="205"/>
      <c r="C44" s="66" t="s">
        <v>28</v>
      </c>
      <c r="D44" s="207" t="s">
        <v>785</v>
      </c>
      <c r="E44" s="67" t="s">
        <v>149</v>
      </c>
      <c r="F44" s="68">
        <v>0.15</v>
      </c>
      <c r="G44" s="757">
        <f>BAHAN!$E$58</f>
        <v>77000.5</v>
      </c>
      <c r="H44" s="758">
        <f t="shared" ref="H44:H49" si="4">G44*F44</f>
        <v>11550.074999999999</v>
      </c>
      <c r="I44" s="1166"/>
    </row>
    <row r="45" spans="2:9">
      <c r="B45" s="71"/>
      <c r="C45" s="368" t="s">
        <v>28</v>
      </c>
      <c r="D45" s="76" t="s">
        <v>786</v>
      </c>
      <c r="E45" s="73" t="s">
        <v>149</v>
      </c>
      <c r="F45" s="74">
        <v>0.372</v>
      </c>
      <c r="G45" s="749">
        <f>BAHAN!$E$57</f>
        <v>55000</v>
      </c>
      <c r="H45" s="750">
        <f t="shared" si="4"/>
        <v>20460</v>
      </c>
      <c r="I45" s="1166"/>
    </row>
    <row r="46" spans="2:9">
      <c r="B46" s="71"/>
      <c r="C46" s="368" t="s">
        <v>28</v>
      </c>
      <c r="D46" s="76" t="s">
        <v>787</v>
      </c>
      <c r="E46" s="73" t="s">
        <v>151</v>
      </c>
      <c r="F46" s="74">
        <v>2</v>
      </c>
      <c r="G46" s="749">
        <f>BAHAN!$E$60</f>
        <v>14750</v>
      </c>
      <c r="H46" s="750">
        <f t="shared" si="4"/>
        <v>29500</v>
      </c>
      <c r="I46" s="1166"/>
    </row>
    <row r="47" spans="2:9">
      <c r="B47" s="71"/>
      <c r="C47" s="368" t="s">
        <v>28</v>
      </c>
      <c r="D47" s="76" t="s">
        <v>773</v>
      </c>
      <c r="E47" s="73" t="s">
        <v>132</v>
      </c>
      <c r="F47" s="74">
        <v>0.06</v>
      </c>
      <c r="G47" s="749">
        <f>G27</f>
        <v>160000</v>
      </c>
      <c r="H47" s="750">
        <f t="shared" si="4"/>
        <v>9600</v>
      </c>
      <c r="I47" s="1166"/>
    </row>
    <row r="48" spans="2:9">
      <c r="B48" s="71"/>
      <c r="C48" s="368" t="s">
        <v>28</v>
      </c>
      <c r="D48" s="76" t="s">
        <v>135</v>
      </c>
      <c r="E48" s="73" t="s">
        <v>132</v>
      </c>
      <c r="F48" s="74">
        <v>1.6E-2</v>
      </c>
      <c r="G48" s="749">
        <f>G28</f>
        <v>170000</v>
      </c>
      <c r="H48" s="750">
        <f t="shared" si="4"/>
        <v>2720</v>
      </c>
      <c r="I48" s="1166"/>
    </row>
    <row r="49" spans="2:13">
      <c r="B49" s="369"/>
      <c r="C49" s="382" t="s">
        <v>28</v>
      </c>
      <c r="D49" s="448" t="s">
        <v>136</v>
      </c>
      <c r="E49" s="449" t="s">
        <v>132</v>
      </c>
      <c r="F49" s="450">
        <v>2.5000000000000001E-3</v>
      </c>
      <c r="G49" s="751">
        <f>G29</f>
        <v>180000</v>
      </c>
      <c r="H49" s="752">
        <f t="shared" si="4"/>
        <v>450</v>
      </c>
      <c r="I49" s="1166"/>
    </row>
    <row r="50" spans="2:13">
      <c r="B50" s="216"/>
      <c r="C50" s="83"/>
      <c r="D50" s="84" t="s">
        <v>228</v>
      </c>
      <c r="E50" s="85"/>
      <c r="F50" s="86"/>
      <c r="G50" s="753"/>
      <c r="H50" s="754">
        <f>SUM(H44:H49)</f>
        <v>74280.074999999997</v>
      </c>
      <c r="I50" s="1166"/>
    </row>
    <row r="51" spans="2:13">
      <c r="B51" s="396"/>
      <c r="C51" s="442" t="s">
        <v>229</v>
      </c>
      <c r="D51" s="378"/>
      <c r="E51" s="378"/>
      <c r="F51" s="378"/>
      <c r="G51" s="518"/>
      <c r="H51" s="518">
        <f>ROUND(H50,0)</f>
        <v>74280</v>
      </c>
      <c r="I51" s="1164"/>
    </row>
    <row r="52" spans="2:13">
      <c r="B52" s="530" t="s">
        <v>788</v>
      </c>
      <c r="C52" s="328" t="s">
        <v>789</v>
      </c>
      <c r="D52" s="287"/>
      <c r="E52" s="548"/>
      <c r="F52" s="533"/>
      <c r="G52" s="763"/>
      <c r="H52" s="764"/>
      <c r="I52" s="1166"/>
    </row>
    <row r="53" spans="2:13">
      <c r="B53" s="205"/>
      <c r="C53" s="206" t="s">
        <v>28</v>
      </c>
      <c r="D53" s="263" t="s">
        <v>790</v>
      </c>
      <c r="E53" s="208" t="s">
        <v>145</v>
      </c>
      <c r="F53" s="550">
        <v>0</v>
      </c>
      <c r="G53" s="747">
        <f>BAHAN!$E$46</f>
        <v>44000</v>
      </c>
      <c r="H53" s="748">
        <f t="shared" ref="H53:H59" si="5">G53*F53</f>
        <v>0</v>
      </c>
      <c r="I53" s="1166"/>
      <c r="J53" s="1467">
        <f>BOQ!$P$1213</f>
        <v>1356.4880000000003</v>
      </c>
      <c r="K53" s="1393">
        <f>J53*F53</f>
        <v>0</v>
      </c>
      <c r="L53" s="1394" t="s">
        <v>145</v>
      </c>
      <c r="M53" s="1467"/>
    </row>
    <row r="54" spans="2:13">
      <c r="B54" s="71"/>
      <c r="C54" s="368" t="s">
        <v>28</v>
      </c>
      <c r="D54" s="279" t="s">
        <v>777</v>
      </c>
      <c r="E54" s="73" t="s">
        <v>145</v>
      </c>
      <c r="F54" s="551">
        <v>0.1</v>
      </c>
      <c r="G54" s="749">
        <f>BAHAN!$E$50</f>
        <v>44204</v>
      </c>
      <c r="H54" s="750">
        <f t="shared" si="5"/>
        <v>4420.4000000000005</v>
      </c>
      <c r="I54" s="1166"/>
      <c r="J54" s="1467">
        <f>$J$53</f>
        <v>1356.4880000000003</v>
      </c>
      <c r="K54" s="1393">
        <f>J54*F54</f>
        <v>135.64880000000002</v>
      </c>
      <c r="L54" s="1394" t="s">
        <v>145</v>
      </c>
    </row>
    <row r="55" spans="2:13">
      <c r="B55" s="71"/>
      <c r="C55" s="368" t="s">
        <v>28</v>
      </c>
      <c r="D55" s="279" t="s">
        <v>791</v>
      </c>
      <c r="E55" s="73" t="s">
        <v>145</v>
      </c>
      <c r="F55" s="551">
        <v>0.26</v>
      </c>
      <c r="G55" s="749">
        <f>BAHAN!$E$48</f>
        <v>88125</v>
      </c>
      <c r="H55" s="750">
        <f t="shared" si="5"/>
        <v>22912.5</v>
      </c>
      <c r="I55" s="1166">
        <f>SUM(H53:H55)</f>
        <v>27332.9</v>
      </c>
      <c r="J55" s="1467">
        <f>$J$53</f>
        <v>1356.4880000000003</v>
      </c>
      <c r="K55" s="1393">
        <f>J55*F55</f>
        <v>352.68688000000009</v>
      </c>
      <c r="L55" s="1394" t="s">
        <v>145</v>
      </c>
    </row>
    <row r="56" spans="2:13">
      <c r="B56" s="71"/>
      <c r="C56" s="368" t="s">
        <v>28</v>
      </c>
      <c r="D56" s="279" t="s">
        <v>133</v>
      </c>
      <c r="E56" s="73" t="s">
        <v>132</v>
      </c>
      <c r="F56" s="551">
        <v>0.02</v>
      </c>
      <c r="G56" s="749">
        <f>G37</f>
        <v>136000</v>
      </c>
      <c r="H56" s="750">
        <f t="shared" si="5"/>
        <v>2720</v>
      </c>
      <c r="I56" s="1166"/>
    </row>
    <row r="57" spans="2:13">
      <c r="B57" s="71"/>
      <c r="C57" s="368" t="s">
        <v>28</v>
      </c>
      <c r="D57" s="279" t="s">
        <v>773</v>
      </c>
      <c r="E57" s="73" t="s">
        <v>132</v>
      </c>
      <c r="F57" s="551">
        <v>6.3E-2</v>
      </c>
      <c r="G57" s="749">
        <f>G38</f>
        <v>160000</v>
      </c>
      <c r="H57" s="750">
        <f t="shared" si="5"/>
        <v>10080</v>
      </c>
      <c r="I57" s="1166"/>
    </row>
    <row r="58" spans="2:13">
      <c r="B58" s="71"/>
      <c r="C58" s="368" t="s">
        <v>28</v>
      </c>
      <c r="D58" s="279" t="s">
        <v>135</v>
      </c>
      <c r="E58" s="73" t="s">
        <v>132</v>
      </c>
      <c r="F58" s="551">
        <v>6.3E-3</v>
      </c>
      <c r="G58" s="749">
        <f>G39</f>
        <v>170000</v>
      </c>
      <c r="H58" s="750">
        <f t="shared" si="5"/>
        <v>1071</v>
      </c>
      <c r="I58" s="1166"/>
    </row>
    <row r="59" spans="2:13">
      <c r="B59" s="369"/>
      <c r="C59" s="382" t="s">
        <v>28</v>
      </c>
      <c r="D59" s="383" t="s">
        <v>136</v>
      </c>
      <c r="E59" s="449" t="s">
        <v>132</v>
      </c>
      <c r="F59" s="552">
        <v>2.5000000000000001E-3</v>
      </c>
      <c r="G59" s="749">
        <f>G40</f>
        <v>180000</v>
      </c>
      <c r="H59" s="752">
        <f t="shared" si="5"/>
        <v>450</v>
      </c>
      <c r="I59" s="1166">
        <f>SUM(H56:H59)</f>
        <v>14321</v>
      </c>
    </row>
    <row r="60" spans="2:13">
      <c r="B60" s="216"/>
      <c r="C60" s="83"/>
      <c r="D60" s="84" t="s">
        <v>228</v>
      </c>
      <c r="E60" s="553"/>
      <c r="F60" s="554"/>
      <c r="G60" s="753"/>
      <c r="H60" s="754">
        <f>SUM(H53:H59)</f>
        <v>41653.9</v>
      </c>
      <c r="I60" s="1166"/>
    </row>
    <row r="61" spans="2:13">
      <c r="B61" s="396"/>
      <c r="C61" s="442" t="s">
        <v>229</v>
      </c>
      <c r="D61" s="378"/>
      <c r="E61" s="378"/>
      <c r="F61" s="378"/>
      <c r="G61" s="518"/>
      <c r="H61" s="518">
        <f>ROUND(H60,0)</f>
        <v>41654</v>
      </c>
      <c r="I61" s="1164"/>
    </row>
    <row r="62" spans="2:13">
      <c r="B62" s="530" t="s">
        <v>792</v>
      </c>
      <c r="C62" s="380" t="s">
        <v>793</v>
      </c>
      <c r="D62" s="287"/>
      <c r="E62" s="765"/>
      <c r="F62" s="766"/>
      <c r="G62" s="767"/>
      <c r="H62" s="764"/>
      <c r="I62" s="1166"/>
    </row>
    <row r="63" spans="2:13">
      <c r="B63" s="205"/>
      <c r="C63" s="206" t="s">
        <v>28</v>
      </c>
      <c r="D63" s="207" t="s">
        <v>777</v>
      </c>
      <c r="E63" s="208" t="s">
        <v>145</v>
      </c>
      <c r="F63" s="68">
        <v>0.12</v>
      </c>
      <c r="G63" s="768">
        <f t="shared" ref="G63:G68" si="6">G54</f>
        <v>44204</v>
      </c>
      <c r="H63" s="748">
        <f t="shared" ref="H63:H68" si="7">G63*F63</f>
        <v>5304.48</v>
      </c>
      <c r="I63" s="1166"/>
    </row>
    <row r="64" spans="2:13">
      <c r="B64" s="71"/>
      <c r="C64" s="368" t="s">
        <v>28</v>
      </c>
      <c r="D64" s="76" t="s">
        <v>794</v>
      </c>
      <c r="E64" s="73" t="s">
        <v>145</v>
      </c>
      <c r="F64" s="74">
        <v>0.18</v>
      </c>
      <c r="G64" s="757">
        <f t="shared" si="6"/>
        <v>88125</v>
      </c>
      <c r="H64" s="750">
        <f t="shared" si="7"/>
        <v>15862.5</v>
      </c>
      <c r="I64" s="1166"/>
    </row>
    <row r="65" spans="2:13">
      <c r="B65" s="71"/>
      <c r="C65" s="368" t="s">
        <v>28</v>
      </c>
      <c r="D65" s="76" t="s">
        <v>133</v>
      </c>
      <c r="E65" s="73" t="s">
        <v>132</v>
      </c>
      <c r="F65" s="74">
        <v>2.8000000000000001E-2</v>
      </c>
      <c r="G65" s="749">
        <f t="shared" si="6"/>
        <v>136000</v>
      </c>
      <c r="H65" s="750">
        <f t="shared" si="7"/>
        <v>3808</v>
      </c>
      <c r="I65" s="1166"/>
    </row>
    <row r="66" spans="2:13">
      <c r="B66" s="71"/>
      <c r="C66" s="368" t="s">
        <v>28</v>
      </c>
      <c r="D66" s="76" t="s">
        <v>773</v>
      </c>
      <c r="E66" s="73" t="s">
        <v>132</v>
      </c>
      <c r="F66" s="74">
        <v>4.2000000000000003E-2</v>
      </c>
      <c r="G66" s="749">
        <f t="shared" si="6"/>
        <v>160000</v>
      </c>
      <c r="H66" s="750">
        <f t="shared" si="7"/>
        <v>6720</v>
      </c>
      <c r="I66" s="1166"/>
    </row>
    <row r="67" spans="2:13">
      <c r="B67" s="71"/>
      <c r="C67" s="368" t="s">
        <v>28</v>
      </c>
      <c r="D67" s="76" t="s">
        <v>135</v>
      </c>
      <c r="E67" s="73" t="s">
        <v>132</v>
      </c>
      <c r="F67" s="74">
        <v>4.1999999999999997E-3</v>
      </c>
      <c r="G67" s="749">
        <f t="shared" si="6"/>
        <v>170000</v>
      </c>
      <c r="H67" s="750">
        <f t="shared" si="7"/>
        <v>714</v>
      </c>
      <c r="I67" s="1166"/>
    </row>
    <row r="68" spans="2:13">
      <c r="B68" s="369"/>
      <c r="C68" s="382" t="s">
        <v>28</v>
      </c>
      <c r="D68" s="448" t="s">
        <v>136</v>
      </c>
      <c r="E68" s="449" t="s">
        <v>132</v>
      </c>
      <c r="F68" s="450">
        <v>2.5000000000000001E-3</v>
      </c>
      <c r="G68" s="749">
        <f t="shared" si="6"/>
        <v>180000</v>
      </c>
      <c r="H68" s="752">
        <f t="shared" si="7"/>
        <v>450</v>
      </c>
      <c r="I68" s="1166"/>
    </row>
    <row r="69" spans="2:13">
      <c r="B69" s="216"/>
      <c r="C69" s="83"/>
      <c r="D69" s="84" t="s">
        <v>228</v>
      </c>
      <c r="E69" s="85"/>
      <c r="F69" s="86"/>
      <c r="G69" s="753"/>
      <c r="H69" s="754">
        <f>SUM(H63:H68)</f>
        <v>32858.979999999996</v>
      </c>
      <c r="I69" s="1166"/>
    </row>
    <row r="70" spans="2:13">
      <c r="B70" s="396"/>
      <c r="C70" s="442" t="s">
        <v>229</v>
      </c>
      <c r="D70" s="378"/>
      <c r="E70" s="378"/>
      <c r="F70" s="378"/>
      <c r="G70" s="518"/>
      <c r="H70" s="518">
        <f>ROUND(H69,0)</f>
        <v>32859</v>
      </c>
      <c r="I70" s="1164"/>
    </row>
    <row r="71" spans="2:13">
      <c r="B71" s="530" t="s">
        <v>795</v>
      </c>
      <c r="C71" s="328" t="s">
        <v>796</v>
      </c>
      <c r="D71" s="287"/>
      <c r="E71" s="548"/>
      <c r="F71" s="533"/>
      <c r="G71" s="763"/>
      <c r="H71" s="764"/>
      <c r="I71" s="1166"/>
    </row>
    <row r="72" spans="2:13">
      <c r="B72" s="205"/>
      <c r="C72" s="206" t="s">
        <v>28</v>
      </c>
      <c r="D72" s="263" t="s">
        <v>790</v>
      </c>
      <c r="E72" s="208" t="s">
        <v>145</v>
      </c>
      <c r="F72" s="550">
        <v>0</v>
      </c>
      <c r="G72" s="747">
        <f>G53</f>
        <v>44000</v>
      </c>
      <c r="H72" s="748">
        <f t="shared" ref="H72:H78" si="8">G72*F72</f>
        <v>0</v>
      </c>
      <c r="I72" s="1166"/>
      <c r="J72" s="1467">
        <f>BOQ!$P$1214</f>
        <v>425.11199999999997</v>
      </c>
      <c r="K72" s="1393">
        <f>J72*F72</f>
        <v>0</v>
      </c>
      <c r="L72" s="1394" t="s">
        <v>145</v>
      </c>
      <c r="M72" s="1467"/>
    </row>
    <row r="73" spans="2:13">
      <c r="B73" s="71"/>
      <c r="C73" s="368" t="s">
        <v>28</v>
      </c>
      <c r="D73" s="279" t="s">
        <v>777</v>
      </c>
      <c r="E73" s="73" t="s">
        <v>145</v>
      </c>
      <c r="F73" s="551">
        <v>0.1</v>
      </c>
      <c r="G73" s="749">
        <f>G54</f>
        <v>44204</v>
      </c>
      <c r="H73" s="750">
        <f t="shared" si="8"/>
        <v>4420.4000000000005</v>
      </c>
      <c r="I73" s="1166"/>
      <c r="J73" s="1467">
        <f>$J$72</f>
        <v>425.11199999999997</v>
      </c>
      <c r="K73" s="1393">
        <f>J73*F73</f>
        <v>42.511200000000002</v>
      </c>
      <c r="L73" s="1394" t="s">
        <v>145</v>
      </c>
    </row>
    <row r="74" spans="2:13">
      <c r="B74" s="71"/>
      <c r="C74" s="368" t="s">
        <v>28</v>
      </c>
      <c r="D74" s="279" t="s">
        <v>791</v>
      </c>
      <c r="E74" s="73" t="s">
        <v>145</v>
      </c>
      <c r="F74" s="551">
        <v>0.26</v>
      </c>
      <c r="G74" s="749">
        <f>BAHAN!$E$47</f>
        <v>97900</v>
      </c>
      <c r="H74" s="750">
        <f t="shared" si="8"/>
        <v>25454</v>
      </c>
      <c r="I74" s="1166">
        <f>SUM(H72:H74)</f>
        <v>29874.400000000001</v>
      </c>
      <c r="J74" s="1467">
        <f>$J$72</f>
        <v>425.11199999999997</v>
      </c>
      <c r="K74" s="1393">
        <f>J74*F74</f>
        <v>110.52911999999999</v>
      </c>
      <c r="L74" s="1394" t="s">
        <v>145</v>
      </c>
    </row>
    <row r="75" spans="2:13">
      <c r="B75" s="71"/>
      <c r="C75" s="368" t="s">
        <v>28</v>
      </c>
      <c r="D75" s="279" t="s">
        <v>133</v>
      </c>
      <c r="E75" s="73" t="s">
        <v>132</v>
      </c>
      <c r="F75" s="551">
        <v>0.02</v>
      </c>
      <c r="G75" s="749">
        <f>G56</f>
        <v>136000</v>
      </c>
      <c r="H75" s="750">
        <f t="shared" si="8"/>
        <v>2720</v>
      </c>
      <c r="I75" s="1166"/>
    </row>
    <row r="76" spans="2:13">
      <c r="B76" s="71"/>
      <c r="C76" s="368" t="s">
        <v>28</v>
      </c>
      <c r="D76" s="279" t="s">
        <v>773</v>
      </c>
      <c r="E76" s="73" t="s">
        <v>132</v>
      </c>
      <c r="F76" s="551">
        <v>6.3E-2</v>
      </c>
      <c r="G76" s="749">
        <f>G57</f>
        <v>160000</v>
      </c>
      <c r="H76" s="750">
        <f t="shared" si="8"/>
        <v>10080</v>
      </c>
      <c r="I76" s="1166"/>
    </row>
    <row r="77" spans="2:13">
      <c r="B77" s="71"/>
      <c r="C77" s="368" t="s">
        <v>28</v>
      </c>
      <c r="D77" s="279" t="s">
        <v>135</v>
      </c>
      <c r="E77" s="73" t="s">
        <v>132</v>
      </c>
      <c r="F77" s="551">
        <v>6.3E-3</v>
      </c>
      <c r="G77" s="749">
        <f>G58</f>
        <v>170000</v>
      </c>
      <c r="H77" s="750">
        <f t="shared" si="8"/>
        <v>1071</v>
      </c>
      <c r="I77" s="1166"/>
    </row>
    <row r="78" spans="2:13">
      <c r="B78" s="369"/>
      <c r="C78" s="382" t="s">
        <v>28</v>
      </c>
      <c r="D78" s="383" t="s">
        <v>136</v>
      </c>
      <c r="E78" s="449" t="s">
        <v>132</v>
      </c>
      <c r="F78" s="552">
        <v>2.5000000000000001E-3</v>
      </c>
      <c r="G78" s="749">
        <f>G59</f>
        <v>180000</v>
      </c>
      <c r="H78" s="752">
        <f t="shared" si="8"/>
        <v>450</v>
      </c>
      <c r="I78" s="1166">
        <f>SUM(H75:H78)</f>
        <v>14321</v>
      </c>
    </row>
    <row r="79" spans="2:13">
      <c r="B79" s="216"/>
      <c r="C79" s="83"/>
      <c r="D79" s="84" t="s">
        <v>228</v>
      </c>
      <c r="E79" s="553"/>
      <c r="F79" s="554"/>
      <c r="G79" s="753"/>
      <c r="H79" s="754">
        <f>SUM(H72:H78)</f>
        <v>44195.4</v>
      </c>
      <c r="I79" s="1166"/>
    </row>
    <row r="80" spans="2:13">
      <c r="B80" s="396"/>
      <c r="C80" s="442" t="s">
        <v>229</v>
      </c>
      <c r="D80" s="378"/>
      <c r="E80" s="378"/>
      <c r="F80" s="378"/>
      <c r="G80" s="518"/>
      <c r="H80" s="518">
        <f>ROUND(H79,0)</f>
        <v>44195</v>
      </c>
      <c r="I80" s="1164"/>
    </row>
    <row r="81" spans="2:12">
      <c r="B81" s="530" t="s">
        <v>797</v>
      </c>
      <c r="C81" s="380" t="s">
        <v>798</v>
      </c>
      <c r="D81" s="287"/>
      <c r="E81" s="765"/>
      <c r="F81" s="766"/>
      <c r="G81" s="767"/>
      <c r="H81" s="764"/>
      <c r="I81" s="1166"/>
    </row>
    <row r="82" spans="2:12">
      <c r="B82" s="205"/>
      <c r="C82" s="206" t="s">
        <v>28</v>
      </c>
      <c r="D82" s="207" t="s">
        <v>777</v>
      </c>
      <c r="E82" s="208" t="s">
        <v>145</v>
      </c>
      <c r="F82" s="68">
        <v>0.12</v>
      </c>
      <c r="G82" s="768">
        <f t="shared" ref="G82:G87" si="9">G73</f>
        <v>44204</v>
      </c>
      <c r="H82" s="748">
        <f t="shared" ref="H82:H87" si="10">G82*F82</f>
        <v>5304.48</v>
      </c>
      <c r="I82" s="1166"/>
      <c r="K82" s="1393"/>
      <c r="L82" s="1394"/>
    </row>
    <row r="83" spans="2:12">
      <c r="B83" s="71"/>
      <c r="C83" s="368" t="s">
        <v>28</v>
      </c>
      <c r="D83" s="76" t="s">
        <v>794</v>
      </c>
      <c r="E83" s="73" t="s">
        <v>145</v>
      </c>
      <c r="F83" s="74">
        <v>0.18</v>
      </c>
      <c r="G83" s="757">
        <f t="shared" si="9"/>
        <v>97900</v>
      </c>
      <c r="H83" s="750">
        <f t="shared" si="10"/>
        <v>17622</v>
      </c>
      <c r="I83" s="1166"/>
      <c r="K83" s="1393"/>
      <c r="L83" s="1394"/>
    </row>
    <row r="84" spans="2:12">
      <c r="B84" s="71"/>
      <c r="C84" s="368" t="s">
        <v>28</v>
      </c>
      <c r="D84" s="76" t="s">
        <v>133</v>
      </c>
      <c r="E84" s="73" t="s">
        <v>132</v>
      </c>
      <c r="F84" s="74">
        <v>2.8000000000000001E-2</v>
      </c>
      <c r="G84" s="749">
        <f t="shared" si="9"/>
        <v>136000</v>
      </c>
      <c r="H84" s="750">
        <f t="shared" si="10"/>
        <v>3808</v>
      </c>
      <c r="I84" s="1166"/>
    </row>
    <row r="85" spans="2:12">
      <c r="B85" s="71"/>
      <c r="C85" s="368" t="s">
        <v>28</v>
      </c>
      <c r="D85" s="76" t="s">
        <v>773</v>
      </c>
      <c r="E85" s="73" t="s">
        <v>132</v>
      </c>
      <c r="F85" s="74">
        <v>4.2000000000000003E-2</v>
      </c>
      <c r="G85" s="749">
        <f t="shared" si="9"/>
        <v>160000</v>
      </c>
      <c r="H85" s="750">
        <f t="shared" si="10"/>
        <v>6720</v>
      </c>
      <c r="I85" s="1166"/>
    </row>
    <row r="86" spans="2:12">
      <c r="B86" s="71"/>
      <c r="C86" s="368" t="s">
        <v>28</v>
      </c>
      <c r="D86" s="76" t="s">
        <v>135</v>
      </c>
      <c r="E86" s="73" t="s">
        <v>132</v>
      </c>
      <c r="F86" s="74">
        <v>4.1999999999999997E-3</v>
      </c>
      <c r="G86" s="749">
        <f t="shared" si="9"/>
        <v>170000</v>
      </c>
      <c r="H86" s="750">
        <f t="shared" si="10"/>
        <v>714</v>
      </c>
      <c r="I86" s="1166"/>
    </row>
    <row r="87" spans="2:12">
      <c r="B87" s="369"/>
      <c r="C87" s="382" t="s">
        <v>28</v>
      </c>
      <c r="D87" s="448" t="s">
        <v>136</v>
      </c>
      <c r="E87" s="449" t="s">
        <v>132</v>
      </c>
      <c r="F87" s="450">
        <v>2.5000000000000001E-3</v>
      </c>
      <c r="G87" s="749">
        <f t="shared" si="9"/>
        <v>180000</v>
      </c>
      <c r="H87" s="752">
        <f t="shared" si="10"/>
        <v>450</v>
      </c>
      <c r="I87" s="1166"/>
    </row>
    <row r="88" spans="2:12">
      <c r="B88" s="216"/>
      <c r="C88" s="83"/>
      <c r="D88" s="84" t="s">
        <v>228</v>
      </c>
      <c r="E88" s="85"/>
      <c r="F88" s="86"/>
      <c r="G88" s="753"/>
      <c r="H88" s="754">
        <f>SUM(H82:H87)</f>
        <v>34618.479999999996</v>
      </c>
      <c r="I88" s="1166"/>
    </row>
    <row r="89" spans="2:12">
      <c r="B89" s="396"/>
      <c r="C89" s="442" t="s">
        <v>229</v>
      </c>
      <c r="D89" s="378"/>
      <c r="E89" s="378"/>
      <c r="F89" s="378"/>
      <c r="G89" s="518"/>
      <c r="H89" s="518">
        <f>ROUND(H88,0)</f>
        <v>34618</v>
      </c>
      <c r="I89" s="1164"/>
    </row>
    <row r="90" spans="2:12">
      <c r="B90" s="226" t="s">
        <v>799</v>
      </c>
      <c r="C90" s="380" t="s">
        <v>800</v>
      </c>
      <c r="D90" s="287"/>
      <c r="E90" s="765"/>
      <c r="F90" s="766"/>
      <c r="G90" s="767"/>
      <c r="H90" s="764"/>
      <c r="I90" s="1166"/>
    </row>
    <row r="91" spans="2:12">
      <c r="B91" s="205"/>
      <c r="C91" s="206" t="s">
        <v>28</v>
      </c>
      <c r="D91" s="207" t="s">
        <v>801</v>
      </c>
      <c r="E91" s="208" t="s">
        <v>145</v>
      </c>
      <c r="F91" s="68">
        <v>0.2</v>
      </c>
      <c r="G91" s="747">
        <f>$G$64</f>
        <v>88125</v>
      </c>
      <c r="H91" s="748">
        <f t="shared" ref="H91:H99" si="11">G91*F91</f>
        <v>17625</v>
      </c>
      <c r="I91" s="1166"/>
      <c r="J91" s="1467">
        <f>BOQ!$P$1215+BOQ!$P$1216</f>
        <v>534.79999999999995</v>
      </c>
      <c r="K91" s="1393">
        <f>J91*F91</f>
        <v>106.96</v>
      </c>
      <c r="L91" s="1394" t="s">
        <v>145</v>
      </c>
    </row>
    <row r="92" spans="2:12">
      <c r="B92" s="71"/>
      <c r="C92" s="368" t="s">
        <v>28</v>
      </c>
      <c r="D92" s="76" t="s">
        <v>790</v>
      </c>
      <c r="E92" s="73" t="s">
        <v>145</v>
      </c>
      <c r="F92" s="74">
        <v>0.16</v>
      </c>
      <c r="G92" s="749">
        <f>$G$53</f>
        <v>44000</v>
      </c>
      <c r="H92" s="750">
        <f t="shared" si="11"/>
        <v>7040</v>
      </c>
      <c r="I92" s="1166"/>
      <c r="J92" s="1467">
        <f>$J$91</f>
        <v>534.79999999999995</v>
      </c>
      <c r="K92" s="1393">
        <f>J92*F92</f>
        <v>85.567999999999998</v>
      </c>
      <c r="L92" s="1394" t="s">
        <v>145</v>
      </c>
    </row>
    <row r="93" spans="2:12">
      <c r="B93" s="71"/>
      <c r="C93" s="368" t="s">
        <v>28</v>
      </c>
      <c r="D93" s="76" t="s">
        <v>802</v>
      </c>
      <c r="E93" s="73" t="s">
        <v>239</v>
      </c>
      <c r="F93" s="74">
        <v>0.01</v>
      </c>
      <c r="G93" s="749">
        <f>BAHAN!$E$54</f>
        <v>30000</v>
      </c>
      <c r="H93" s="750">
        <f t="shared" si="11"/>
        <v>300</v>
      </c>
      <c r="I93" s="1166"/>
      <c r="J93" s="1467">
        <f>$J$91</f>
        <v>534.79999999999995</v>
      </c>
      <c r="K93" s="1393">
        <f>J93*F93</f>
        <v>5.3479999999999999</v>
      </c>
      <c r="L93" s="1394" t="s">
        <v>239</v>
      </c>
    </row>
    <row r="94" spans="2:12">
      <c r="B94" s="71"/>
      <c r="C94" s="368" t="s">
        <v>28</v>
      </c>
      <c r="D94" s="76" t="s">
        <v>803</v>
      </c>
      <c r="E94" s="73" t="s">
        <v>124</v>
      </c>
      <c r="F94" s="74">
        <v>1</v>
      </c>
      <c r="G94" s="749">
        <v>1000</v>
      </c>
      <c r="H94" s="750">
        <f t="shared" si="11"/>
        <v>1000</v>
      </c>
      <c r="I94" s="1166"/>
      <c r="J94" s="1467">
        <f>$J$91</f>
        <v>534.79999999999995</v>
      </c>
      <c r="K94" s="1393">
        <f>J94*F94</f>
        <v>534.79999999999995</v>
      </c>
      <c r="L94" s="1394" t="s">
        <v>124</v>
      </c>
    </row>
    <row r="95" spans="2:12">
      <c r="B95" s="71"/>
      <c r="C95" s="368" t="s">
        <v>28</v>
      </c>
      <c r="D95" s="76" t="s">
        <v>787</v>
      </c>
      <c r="E95" s="73" t="s">
        <v>151</v>
      </c>
      <c r="F95" s="74">
        <v>0.5</v>
      </c>
      <c r="G95" s="749">
        <f>$G$46</f>
        <v>14750</v>
      </c>
      <c r="H95" s="750">
        <f t="shared" si="11"/>
        <v>7375</v>
      </c>
      <c r="I95" s="1166">
        <f>H95+H94+H93+H92+H91</f>
        <v>33340</v>
      </c>
      <c r="J95" s="1467">
        <f>$J$91</f>
        <v>534.79999999999995</v>
      </c>
      <c r="K95" s="1393">
        <f>J95*F95</f>
        <v>267.39999999999998</v>
      </c>
      <c r="L95" s="1394" t="s">
        <v>151</v>
      </c>
    </row>
    <row r="96" spans="2:12">
      <c r="B96" s="71"/>
      <c r="C96" s="368" t="s">
        <v>28</v>
      </c>
      <c r="D96" s="76" t="s">
        <v>257</v>
      </c>
      <c r="E96" s="73" t="s">
        <v>132</v>
      </c>
      <c r="F96" s="551">
        <v>0.02</v>
      </c>
      <c r="G96" s="749">
        <f>G65</f>
        <v>136000</v>
      </c>
      <c r="H96" s="750">
        <f t="shared" si="11"/>
        <v>2720</v>
      </c>
      <c r="I96" s="1166"/>
    </row>
    <row r="97" spans="2:12">
      <c r="B97" s="71"/>
      <c r="C97" s="368" t="s">
        <v>28</v>
      </c>
      <c r="D97" s="76" t="s">
        <v>804</v>
      </c>
      <c r="E97" s="73" t="s">
        <v>132</v>
      </c>
      <c r="F97" s="551">
        <v>6.3E-2</v>
      </c>
      <c r="G97" s="749">
        <f>G66</f>
        <v>160000</v>
      </c>
      <c r="H97" s="2644">
        <f t="shared" si="11"/>
        <v>10080</v>
      </c>
      <c r="I97" s="2643"/>
    </row>
    <row r="98" spans="2:12">
      <c r="B98" s="71"/>
      <c r="C98" s="368" t="s">
        <v>28</v>
      </c>
      <c r="D98" s="76" t="s">
        <v>135</v>
      </c>
      <c r="E98" s="73" t="s">
        <v>132</v>
      </c>
      <c r="F98" s="551">
        <v>6.3E-3</v>
      </c>
      <c r="G98" s="749">
        <f>G67</f>
        <v>170000</v>
      </c>
      <c r="H98" s="750">
        <f t="shared" si="11"/>
        <v>1071</v>
      </c>
      <c r="I98" s="1166"/>
    </row>
    <row r="99" spans="2:12">
      <c r="B99" s="369"/>
      <c r="C99" s="382" t="s">
        <v>28</v>
      </c>
      <c r="D99" s="448" t="s">
        <v>136</v>
      </c>
      <c r="E99" s="449" t="s">
        <v>132</v>
      </c>
      <c r="F99" s="552">
        <v>2.5000000000000001E-3</v>
      </c>
      <c r="G99" s="749">
        <f>G68</f>
        <v>180000</v>
      </c>
      <c r="H99" s="752">
        <f t="shared" si="11"/>
        <v>450</v>
      </c>
      <c r="I99" s="1166">
        <f>SUM(H96:H99)</f>
        <v>14321</v>
      </c>
    </row>
    <row r="100" spans="2:12">
      <c r="B100" s="216"/>
      <c r="C100" s="83"/>
      <c r="D100" s="84" t="s">
        <v>228</v>
      </c>
      <c r="E100" s="85"/>
      <c r="F100" s="86"/>
      <c r="G100" s="753"/>
      <c r="H100" s="754">
        <f>SUM(H91:H99)</f>
        <v>47661</v>
      </c>
      <c r="I100" s="1166"/>
    </row>
    <row r="101" spans="2:12">
      <c r="B101" s="396"/>
      <c r="C101" s="442" t="s">
        <v>229</v>
      </c>
      <c r="D101" s="378"/>
      <c r="E101" s="378"/>
      <c r="F101" s="378"/>
      <c r="G101" s="518"/>
      <c r="H101" s="518">
        <f>ROUND(H100,0)</f>
        <v>47661</v>
      </c>
      <c r="I101" s="1164"/>
    </row>
    <row r="102" spans="2:12">
      <c r="B102" s="530" t="s">
        <v>805</v>
      </c>
      <c r="C102" s="328" t="s">
        <v>806</v>
      </c>
      <c r="D102" s="287"/>
      <c r="E102" s="288"/>
      <c r="F102" s="445"/>
      <c r="G102" s="755"/>
      <c r="H102" s="756"/>
      <c r="I102" s="1166"/>
    </row>
    <row r="103" spans="2:12">
      <c r="B103" s="205"/>
      <c r="C103" s="66" t="s">
        <v>28</v>
      </c>
      <c r="D103" s="207" t="s">
        <v>807</v>
      </c>
      <c r="E103" s="67" t="s">
        <v>147</v>
      </c>
      <c r="F103" s="68">
        <v>1.2</v>
      </c>
      <c r="G103" s="757">
        <f>BAHAN!$E$95</f>
        <v>44050</v>
      </c>
      <c r="H103" s="758">
        <f t="shared" ref="H103:H108" si="12">G103*F103</f>
        <v>52860</v>
      </c>
      <c r="I103" s="1166"/>
      <c r="L103" s="1465"/>
    </row>
    <row r="104" spans="2:12">
      <c r="B104" s="71"/>
      <c r="C104" s="368" t="s">
        <v>28</v>
      </c>
      <c r="D104" s="76" t="s">
        <v>808</v>
      </c>
      <c r="E104" s="73" t="s">
        <v>145</v>
      </c>
      <c r="F104" s="74">
        <v>0.25</v>
      </c>
      <c r="G104" s="749">
        <f>BAHAN!$E$173</f>
        <v>25000</v>
      </c>
      <c r="H104" s="750">
        <f t="shared" si="12"/>
        <v>6250</v>
      </c>
      <c r="I104" s="1166"/>
      <c r="L104" s="1465"/>
    </row>
    <row r="105" spans="2:12">
      <c r="B105" s="71"/>
      <c r="C105" s="368" t="s">
        <v>28</v>
      </c>
      <c r="D105" s="76" t="s">
        <v>133</v>
      </c>
      <c r="E105" s="73" t="s">
        <v>132</v>
      </c>
      <c r="F105" s="74">
        <v>0.35</v>
      </c>
      <c r="G105" s="749">
        <f>G65</f>
        <v>136000</v>
      </c>
      <c r="H105" s="750">
        <f t="shared" si="12"/>
        <v>47600</v>
      </c>
      <c r="I105" s="1166"/>
      <c r="L105" s="1465"/>
    </row>
    <row r="106" spans="2:12">
      <c r="B106" s="71"/>
      <c r="C106" s="368" t="s">
        <v>28</v>
      </c>
      <c r="D106" s="76" t="s">
        <v>773</v>
      </c>
      <c r="E106" s="73" t="s">
        <v>132</v>
      </c>
      <c r="F106" s="74">
        <v>0.17499999999999999</v>
      </c>
      <c r="G106" s="749">
        <f>G66</f>
        <v>160000</v>
      </c>
      <c r="H106" s="750">
        <f t="shared" si="12"/>
        <v>28000</v>
      </c>
      <c r="I106" s="1166"/>
      <c r="L106" s="1465"/>
    </row>
    <row r="107" spans="2:12">
      <c r="B107" s="71"/>
      <c r="C107" s="368" t="s">
        <v>28</v>
      </c>
      <c r="D107" s="76" t="s">
        <v>135</v>
      </c>
      <c r="E107" s="73" t="s">
        <v>132</v>
      </c>
      <c r="F107" s="74">
        <v>1.7000000000000001E-2</v>
      </c>
      <c r="G107" s="749">
        <f>G67</f>
        <v>170000</v>
      </c>
      <c r="H107" s="750">
        <f t="shared" si="12"/>
        <v>2890</v>
      </c>
      <c r="I107" s="1166"/>
    </row>
    <row r="108" spans="2:12">
      <c r="B108" s="386"/>
      <c r="C108" s="382" t="s">
        <v>28</v>
      </c>
      <c r="D108" s="448" t="s">
        <v>136</v>
      </c>
      <c r="E108" s="449" t="s">
        <v>132</v>
      </c>
      <c r="F108" s="450">
        <v>1.6999999999999999E-3</v>
      </c>
      <c r="G108" s="751">
        <f>G68</f>
        <v>180000</v>
      </c>
      <c r="H108" s="752">
        <f t="shared" si="12"/>
        <v>306</v>
      </c>
      <c r="I108" s="1166"/>
    </row>
    <row r="109" spans="2:12">
      <c r="B109" s="193"/>
      <c r="C109" s="83"/>
      <c r="D109" s="253" t="s">
        <v>228</v>
      </c>
      <c r="E109" s="522"/>
      <c r="F109" s="463"/>
      <c r="G109" s="769"/>
      <c r="H109" s="770">
        <f>SUM(H103:H108)</f>
        <v>137906</v>
      </c>
      <c r="I109" s="1166"/>
    </row>
    <row r="110" spans="2:12">
      <c r="B110" s="396"/>
      <c r="C110" s="442" t="s">
        <v>229</v>
      </c>
      <c r="D110" s="378"/>
      <c r="E110" s="378"/>
      <c r="F110" s="378"/>
      <c r="G110" s="518"/>
      <c r="H110" s="518">
        <f>ROUND(H109,0)</f>
        <v>137906</v>
      </c>
      <c r="I110" s="1164"/>
    </row>
    <row r="111" spans="2:12">
      <c r="B111" s="530" t="s">
        <v>809</v>
      </c>
      <c r="C111" s="328" t="s">
        <v>810</v>
      </c>
      <c r="D111" s="287"/>
      <c r="E111" s="519"/>
      <c r="F111" s="445"/>
      <c r="G111" s="767"/>
      <c r="H111" s="764"/>
      <c r="I111" s="1166"/>
    </row>
    <row r="112" spans="2:12">
      <c r="B112" s="205"/>
      <c r="C112" s="206" t="s">
        <v>28</v>
      </c>
      <c r="D112" s="207" t="s">
        <v>811</v>
      </c>
      <c r="E112" s="208" t="s">
        <v>145</v>
      </c>
      <c r="F112" s="68">
        <v>0.1</v>
      </c>
      <c r="G112" s="747">
        <f>G33</f>
        <v>44500</v>
      </c>
      <c r="H112" s="748">
        <f t="shared" ref="H112:H117" si="13">G112*F112</f>
        <v>4450</v>
      </c>
      <c r="I112" s="1166"/>
      <c r="K112" s="1393"/>
    </row>
    <row r="113" spans="2:11">
      <c r="B113" s="71"/>
      <c r="C113" s="368" t="s">
        <v>28</v>
      </c>
      <c r="D113" s="76" t="s">
        <v>812</v>
      </c>
      <c r="E113" s="73" t="s">
        <v>239</v>
      </c>
      <c r="F113" s="74">
        <v>0.01</v>
      </c>
      <c r="G113" s="749">
        <f>BAHAN!$E$56</f>
        <v>10000</v>
      </c>
      <c r="H113" s="750">
        <f t="shared" si="13"/>
        <v>100</v>
      </c>
      <c r="I113" s="1166"/>
      <c r="K113" s="1393"/>
    </row>
    <row r="114" spans="2:11">
      <c r="B114" s="71"/>
      <c r="C114" s="368" t="s">
        <v>28</v>
      </c>
      <c r="D114" s="76" t="s">
        <v>133</v>
      </c>
      <c r="E114" s="73" t="s">
        <v>132</v>
      </c>
      <c r="F114" s="74">
        <v>0.02</v>
      </c>
      <c r="G114" s="749">
        <f>G96</f>
        <v>136000</v>
      </c>
      <c r="H114" s="750">
        <f t="shared" si="13"/>
        <v>2720</v>
      </c>
      <c r="I114" s="1166"/>
    </row>
    <row r="115" spans="2:11">
      <c r="B115" s="71"/>
      <c r="C115" s="368" t="s">
        <v>28</v>
      </c>
      <c r="D115" s="76" t="s">
        <v>773</v>
      </c>
      <c r="E115" s="73" t="s">
        <v>132</v>
      </c>
      <c r="F115" s="74">
        <v>0.2</v>
      </c>
      <c r="G115" s="749">
        <f>G97</f>
        <v>160000</v>
      </c>
      <c r="H115" s="750">
        <f t="shared" si="13"/>
        <v>32000</v>
      </c>
      <c r="I115" s="1166"/>
    </row>
    <row r="116" spans="2:11">
      <c r="B116" s="71"/>
      <c r="C116" s="368" t="s">
        <v>28</v>
      </c>
      <c r="D116" s="76" t="s">
        <v>135</v>
      </c>
      <c r="E116" s="73" t="s">
        <v>132</v>
      </c>
      <c r="F116" s="74">
        <v>0.02</v>
      </c>
      <c r="G116" s="749">
        <f>G98</f>
        <v>170000</v>
      </c>
      <c r="H116" s="750">
        <f t="shared" si="13"/>
        <v>3400</v>
      </c>
      <c r="I116" s="1166"/>
    </row>
    <row r="117" spans="2:11">
      <c r="B117" s="369"/>
      <c r="C117" s="382" t="s">
        <v>28</v>
      </c>
      <c r="D117" s="448" t="s">
        <v>136</v>
      </c>
      <c r="E117" s="449" t="s">
        <v>132</v>
      </c>
      <c r="F117" s="450">
        <v>0.01</v>
      </c>
      <c r="G117" s="749">
        <f>G99</f>
        <v>180000</v>
      </c>
      <c r="H117" s="752">
        <f t="shared" si="13"/>
        <v>1800</v>
      </c>
      <c r="I117" s="1166"/>
    </row>
    <row r="118" spans="2:11">
      <c r="B118" s="216"/>
      <c r="C118" s="83"/>
      <c r="D118" s="84" t="s">
        <v>228</v>
      </c>
      <c r="E118" s="85"/>
      <c r="F118" s="86"/>
      <c r="G118" s="753"/>
      <c r="H118" s="754">
        <f>SUM(H112:H117)</f>
        <v>44470</v>
      </c>
      <c r="I118" s="1166"/>
    </row>
    <row r="119" spans="2:11">
      <c r="B119" s="396"/>
      <c r="C119" s="442" t="s">
        <v>229</v>
      </c>
      <c r="D119" s="378"/>
      <c r="E119" s="378"/>
      <c r="F119" s="378"/>
      <c r="G119" s="518"/>
      <c r="H119" s="518">
        <f>ROUND(H118,0)</f>
        <v>44470</v>
      </c>
      <c r="I119" s="1164"/>
    </row>
    <row r="120" spans="2:11">
      <c r="B120" s="530" t="s">
        <v>813</v>
      </c>
      <c r="C120" s="538" t="s">
        <v>814</v>
      </c>
      <c r="D120" s="558"/>
      <c r="E120" s="559"/>
      <c r="F120" s="771"/>
      <c r="G120" s="772"/>
      <c r="H120" s="615"/>
      <c r="I120" s="1166"/>
    </row>
    <row r="121" spans="2:11">
      <c r="B121" s="205"/>
      <c r="C121" s="66" t="s">
        <v>28</v>
      </c>
      <c r="D121" s="332" t="s">
        <v>811</v>
      </c>
      <c r="E121" s="67" t="s">
        <v>145</v>
      </c>
      <c r="F121" s="773">
        <v>0.1</v>
      </c>
      <c r="G121" s="757">
        <f>G112</f>
        <v>44500</v>
      </c>
      <c r="H121" s="758">
        <f t="shared" ref="H121:H127" si="14">G121*F121</f>
        <v>4450</v>
      </c>
      <c r="I121" s="1166"/>
    </row>
    <row r="122" spans="2:11">
      <c r="B122" s="71"/>
      <c r="C122" s="368" t="s">
        <v>28</v>
      </c>
      <c r="D122" s="279" t="s">
        <v>812</v>
      </c>
      <c r="E122" s="73" t="s">
        <v>239</v>
      </c>
      <c r="F122" s="551">
        <v>0.01</v>
      </c>
      <c r="G122" s="749">
        <f>G113</f>
        <v>10000</v>
      </c>
      <c r="H122" s="750">
        <f t="shared" si="14"/>
        <v>100</v>
      </c>
      <c r="I122" s="1166"/>
    </row>
    <row r="123" spans="2:11">
      <c r="B123" s="71"/>
      <c r="C123" s="368" t="s">
        <v>28</v>
      </c>
      <c r="D123" s="279" t="s">
        <v>815</v>
      </c>
      <c r="E123" s="73" t="s">
        <v>100</v>
      </c>
      <c r="F123" s="551">
        <v>2E-3</v>
      </c>
      <c r="G123" s="749">
        <f>BAHAN!$E$66</f>
        <v>2100000</v>
      </c>
      <c r="H123" s="750">
        <f t="shared" si="14"/>
        <v>4200</v>
      </c>
      <c r="I123" s="1166"/>
    </row>
    <row r="124" spans="2:11">
      <c r="B124" s="71"/>
      <c r="C124" s="368" t="s">
        <v>28</v>
      </c>
      <c r="D124" s="279" t="s">
        <v>133</v>
      </c>
      <c r="E124" s="73" t="s">
        <v>132</v>
      </c>
      <c r="F124" s="551">
        <v>0.25</v>
      </c>
      <c r="G124" s="749">
        <f>G114</f>
        <v>136000</v>
      </c>
      <c r="H124" s="750">
        <f t="shared" si="14"/>
        <v>34000</v>
      </c>
      <c r="I124" s="1166"/>
    </row>
    <row r="125" spans="2:11">
      <c r="B125" s="71"/>
      <c r="C125" s="368" t="s">
        <v>28</v>
      </c>
      <c r="D125" s="279" t="s">
        <v>773</v>
      </c>
      <c r="E125" s="73" t="s">
        <v>132</v>
      </c>
      <c r="F125" s="551">
        <v>0.22500000000000001</v>
      </c>
      <c r="G125" s="749">
        <f>G115</f>
        <v>160000</v>
      </c>
      <c r="H125" s="750">
        <f t="shared" si="14"/>
        <v>36000</v>
      </c>
      <c r="I125" s="1166"/>
    </row>
    <row r="126" spans="2:11">
      <c r="B126" s="71"/>
      <c r="C126" s="368" t="s">
        <v>28</v>
      </c>
      <c r="D126" s="279" t="s">
        <v>135</v>
      </c>
      <c r="E126" s="73" t="s">
        <v>132</v>
      </c>
      <c r="F126" s="551">
        <v>2.2499999999999999E-2</v>
      </c>
      <c r="G126" s="749">
        <f>G116</f>
        <v>170000</v>
      </c>
      <c r="H126" s="750">
        <f t="shared" si="14"/>
        <v>3825</v>
      </c>
      <c r="I126" s="1166"/>
    </row>
    <row r="127" spans="2:11">
      <c r="B127" s="369"/>
      <c r="C127" s="382" t="s">
        <v>28</v>
      </c>
      <c r="D127" s="383" t="s">
        <v>136</v>
      </c>
      <c r="E127" s="449" t="s">
        <v>132</v>
      </c>
      <c r="F127" s="552">
        <v>7.4999999999999997E-3</v>
      </c>
      <c r="G127" s="749">
        <f>G117</f>
        <v>180000</v>
      </c>
      <c r="H127" s="752">
        <f t="shared" si="14"/>
        <v>1350</v>
      </c>
      <c r="I127" s="1166"/>
    </row>
    <row r="128" spans="2:11">
      <c r="B128" s="216"/>
      <c r="C128" s="83"/>
      <c r="D128" s="84" t="s">
        <v>228</v>
      </c>
      <c r="E128" s="553"/>
      <c r="F128" s="85"/>
      <c r="G128" s="753"/>
      <c r="H128" s="754">
        <f>SUM(H121:H127)</f>
        <v>83925</v>
      </c>
      <c r="I128" s="1166"/>
    </row>
    <row r="129" spans="2:9">
      <c r="B129" s="396"/>
      <c r="C129" s="442" t="s">
        <v>229</v>
      </c>
      <c r="D129" s="378"/>
      <c r="E129" s="378"/>
      <c r="F129" s="378"/>
      <c r="G129" s="518"/>
      <c r="H129" s="518">
        <f>ROUND(H128,0)</f>
        <v>83925</v>
      </c>
      <c r="I129" s="1164"/>
    </row>
    <row r="130" spans="2:9">
      <c r="B130" s="180"/>
      <c r="C130" s="180"/>
      <c r="D130" s="180"/>
      <c r="E130" s="180"/>
      <c r="F130" s="180"/>
      <c r="G130" s="180"/>
      <c r="H130" s="180"/>
      <c r="I130" s="180"/>
    </row>
    <row r="131" spans="2:9">
      <c r="B131" s="180"/>
      <c r="C131" s="180"/>
      <c r="D131" s="958"/>
      <c r="E131" s="959"/>
      <c r="F131" s="180"/>
      <c r="G131" s="959"/>
      <c r="H131" s="180"/>
      <c r="I131" s="180"/>
    </row>
    <row r="132" spans="2:9">
      <c r="B132" s="180"/>
      <c r="C132" s="180"/>
      <c r="D132" s="180"/>
      <c r="E132" s="180"/>
      <c r="F132" s="180"/>
      <c r="G132" s="180"/>
      <c r="H132" s="180"/>
      <c r="I132" s="180"/>
    </row>
    <row r="133" spans="2:9">
      <c r="B133" s="180"/>
      <c r="C133" s="180"/>
      <c r="D133" s="180"/>
      <c r="E133" s="180"/>
      <c r="F133" s="180"/>
      <c r="G133" s="180"/>
      <c r="H133" s="180"/>
      <c r="I133" s="180"/>
    </row>
    <row r="134" spans="2:9">
      <c r="B134" s="180"/>
      <c r="C134" s="180"/>
      <c r="D134" s="180"/>
      <c r="E134" s="180"/>
      <c r="F134" s="180"/>
      <c r="G134" s="180"/>
      <c r="H134" s="180"/>
      <c r="I134" s="180"/>
    </row>
    <row r="135" spans="2:9">
      <c r="B135" s="181"/>
      <c r="C135" s="181"/>
      <c r="D135" s="181"/>
      <c r="E135" s="181"/>
      <c r="F135" s="181"/>
      <c r="G135" s="181"/>
      <c r="H135" s="181"/>
      <c r="I135" s="181"/>
    </row>
    <row r="136" spans="2:9">
      <c r="B136" s="181"/>
      <c r="C136" s="181"/>
      <c r="D136" s="181"/>
      <c r="E136" s="181"/>
      <c r="F136" s="181"/>
      <c r="G136" s="181"/>
      <c r="H136" s="181"/>
      <c r="I136" s="181"/>
    </row>
    <row r="137" spans="2:9">
      <c r="B137" s="181"/>
      <c r="C137" s="181"/>
      <c r="D137" s="181"/>
      <c r="E137" s="181"/>
      <c r="F137" s="181"/>
      <c r="G137" s="181"/>
      <c r="H137" s="181"/>
      <c r="I137" s="181"/>
    </row>
    <row r="138" spans="2:9">
      <c r="B138" s="181"/>
      <c r="C138" s="181"/>
      <c r="D138" s="181"/>
      <c r="E138" s="181"/>
      <c r="F138" s="181"/>
      <c r="G138" s="181"/>
      <c r="H138" s="181"/>
      <c r="I138" s="181"/>
    </row>
    <row r="139" spans="2:9">
      <c r="B139" s="181"/>
      <c r="C139" s="181"/>
      <c r="D139" s="181"/>
      <c r="E139" s="181"/>
      <c r="F139" s="181"/>
      <c r="G139" s="181"/>
      <c r="H139" s="181"/>
      <c r="I139" s="181"/>
    </row>
    <row r="140" spans="2:9">
      <c r="B140" s="181"/>
      <c r="C140" s="181"/>
      <c r="D140" s="181"/>
      <c r="E140" s="181"/>
      <c r="F140" s="181"/>
      <c r="G140" s="181"/>
      <c r="H140" s="181"/>
      <c r="I140" s="181"/>
    </row>
    <row r="141" spans="2:9">
      <c r="B141" s="181"/>
      <c r="C141" s="181"/>
      <c r="D141" s="181"/>
      <c r="E141" s="181"/>
      <c r="F141" s="181"/>
      <c r="G141" s="181"/>
      <c r="H141" s="181"/>
      <c r="I141" s="181"/>
    </row>
    <row r="142" spans="2:9">
      <c r="B142" s="181"/>
      <c r="C142" s="181"/>
      <c r="D142" s="181"/>
      <c r="E142" s="181"/>
      <c r="F142" s="181"/>
      <c r="G142" s="181"/>
      <c r="H142" s="181"/>
      <c r="I142" s="181"/>
    </row>
  </sheetData>
  <pageMargins left="1.37795275590551" right="0.59055118110236204" top="0.78740157480314998" bottom="0.78740157480314998" header="0.31496062992126" footer="0.31496062992126"/>
  <pageSetup paperSize="5" scale="80" orientation="portrait" horizontalDpi="4294967294" r:id="rId1"/>
  <rowBreaks count="2" manualBreakCount="2">
    <brk id="51" min="1" max="7" man="1"/>
    <brk id="110" min="1" max="7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5"/>
  <dimension ref="B2:I37"/>
  <sheetViews>
    <sheetView workbookViewId="0">
      <selection activeCell="L16" sqref="L16"/>
    </sheetView>
  </sheetViews>
  <sheetFormatPr defaultRowHeight="15"/>
  <cols>
    <col min="1" max="1" width="1.28515625" style="5" customWidth="1"/>
    <col min="2" max="2" width="5.42578125" style="5" customWidth="1"/>
    <col min="3" max="3" width="9.140625" style="5"/>
    <col min="4" max="4" width="1.28515625" style="5" customWidth="1"/>
    <col min="5" max="5" width="13.5703125" style="5" customWidth="1"/>
    <col min="6" max="6" width="7.5703125" style="5" customWidth="1"/>
    <col min="7" max="7" width="6.140625" style="5" customWidth="1"/>
    <col min="8" max="8" width="17.5703125" style="5" customWidth="1"/>
    <col min="9" max="9" width="18.7109375" style="5" customWidth="1"/>
    <col min="10" max="256" width="9.140625" style="5"/>
    <col min="257" max="257" width="1.28515625" style="5" customWidth="1"/>
    <col min="258" max="258" width="5.42578125" style="5" customWidth="1"/>
    <col min="259" max="259" width="9.140625" style="5"/>
    <col min="260" max="260" width="1.28515625" style="5" customWidth="1"/>
    <col min="261" max="261" width="13.5703125" style="5" customWidth="1"/>
    <col min="262" max="262" width="7.5703125" style="5" customWidth="1"/>
    <col min="263" max="263" width="6.140625" style="5" customWidth="1"/>
    <col min="264" max="264" width="17.5703125" style="5" customWidth="1"/>
    <col min="265" max="265" width="18.7109375" style="5" customWidth="1"/>
    <col min="266" max="512" width="9.140625" style="5"/>
    <col min="513" max="513" width="1.28515625" style="5" customWidth="1"/>
    <col min="514" max="514" width="5.42578125" style="5" customWidth="1"/>
    <col min="515" max="515" width="9.140625" style="5"/>
    <col min="516" max="516" width="1.28515625" style="5" customWidth="1"/>
    <col min="517" max="517" width="13.5703125" style="5" customWidth="1"/>
    <col min="518" max="518" width="7.5703125" style="5" customWidth="1"/>
    <col min="519" max="519" width="6.140625" style="5" customWidth="1"/>
    <col min="520" max="520" width="17.5703125" style="5" customWidth="1"/>
    <col min="521" max="521" width="18.7109375" style="5" customWidth="1"/>
    <col min="522" max="768" width="9.140625" style="5"/>
    <col min="769" max="769" width="1.28515625" style="5" customWidth="1"/>
    <col min="770" max="770" width="5.42578125" style="5" customWidth="1"/>
    <col min="771" max="771" width="9.140625" style="5"/>
    <col min="772" max="772" width="1.28515625" style="5" customWidth="1"/>
    <col min="773" max="773" width="13.5703125" style="5" customWidth="1"/>
    <col min="774" max="774" width="7.5703125" style="5" customWidth="1"/>
    <col min="775" max="775" width="6.140625" style="5" customWidth="1"/>
    <col min="776" max="776" width="17.5703125" style="5" customWidth="1"/>
    <col min="777" max="777" width="18.7109375" style="5" customWidth="1"/>
    <col min="778" max="1024" width="9.140625" style="5"/>
    <col min="1025" max="1025" width="1.28515625" style="5" customWidth="1"/>
    <col min="1026" max="1026" width="5.42578125" style="5" customWidth="1"/>
    <col min="1027" max="1027" width="9.140625" style="5"/>
    <col min="1028" max="1028" width="1.28515625" style="5" customWidth="1"/>
    <col min="1029" max="1029" width="13.5703125" style="5" customWidth="1"/>
    <col min="1030" max="1030" width="7.5703125" style="5" customWidth="1"/>
    <col min="1031" max="1031" width="6.140625" style="5" customWidth="1"/>
    <col min="1032" max="1032" width="17.5703125" style="5" customWidth="1"/>
    <col min="1033" max="1033" width="18.7109375" style="5" customWidth="1"/>
    <col min="1034" max="1280" width="9.140625" style="5"/>
    <col min="1281" max="1281" width="1.28515625" style="5" customWidth="1"/>
    <col min="1282" max="1282" width="5.42578125" style="5" customWidth="1"/>
    <col min="1283" max="1283" width="9.140625" style="5"/>
    <col min="1284" max="1284" width="1.28515625" style="5" customWidth="1"/>
    <col min="1285" max="1285" width="13.5703125" style="5" customWidth="1"/>
    <col min="1286" max="1286" width="7.5703125" style="5" customWidth="1"/>
    <col min="1287" max="1287" width="6.140625" style="5" customWidth="1"/>
    <col min="1288" max="1288" width="17.5703125" style="5" customWidth="1"/>
    <col min="1289" max="1289" width="18.7109375" style="5" customWidth="1"/>
    <col min="1290" max="1536" width="9.140625" style="5"/>
    <col min="1537" max="1537" width="1.28515625" style="5" customWidth="1"/>
    <col min="1538" max="1538" width="5.42578125" style="5" customWidth="1"/>
    <col min="1539" max="1539" width="9.140625" style="5"/>
    <col min="1540" max="1540" width="1.28515625" style="5" customWidth="1"/>
    <col min="1541" max="1541" width="13.5703125" style="5" customWidth="1"/>
    <col min="1542" max="1542" width="7.5703125" style="5" customWidth="1"/>
    <col min="1543" max="1543" width="6.140625" style="5" customWidth="1"/>
    <col min="1544" max="1544" width="17.5703125" style="5" customWidth="1"/>
    <col min="1545" max="1545" width="18.7109375" style="5" customWidth="1"/>
    <col min="1546" max="1792" width="9.140625" style="5"/>
    <col min="1793" max="1793" width="1.28515625" style="5" customWidth="1"/>
    <col min="1794" max="1794" width="5.42578125" style="5" customWidth="1"/>
    <col min="1795" max="1795" width="9.140625" style="5"/>
    <col min="1796" max="1796" width="1.28515625" style="5" customWidth="1"/>
    <col min="1797" max="1797" width="13.5703125" style="5" customWidth="1"/>
    <col min="1798" max="1798" width="7.5703125" style="5" customWidth="1"/>
    <col min="1799" max="1799" width="6.140625" style="5" customWidth="1"/>
    <col min="1800" max="1800" width="17.5703125" style="5" customWidth="1"/>
    <col min="1801" max="1801" width="18.7109375" style="5" customWidth="1"/>
    <col min="1802" max="2048" width="9.140625" style="5"/>
    <col min="2049" max="2049" width="1.28515625" style="5" customWidth="1"/>
    <col min="2050" max="2050" width="5.42578125" style="5" customWidth="1"/>
    <col min="2051" max="2051" width="9.140625" style="5"/>
    <col min="2052" max="2052" width="1.28515625" style="5" customWidth="1"/>
    <col min="2053" max="2053" width="13.5703125" style="5" customWidth="1"/>
    <col min="2054" max="2054" width="7.5703125" style="5" customWidth="1"/>
    <col min="2055" max="2055" width="6.140625" style="5" customWidth="1"/>
    <col min="2056" max="2056" width="17.5703125" style="5" customWidth="1"/>
    <col min="2057" max="2057" width="18.7109375" style="5" customWidth="1"/>
    <col min="2058" max="2304" width="9.140625" style="5"/>
    <col min="2305" max="2305" width="1.28515625" style="5" customWidth="1"/>
    <col min="2306" max="2306" width="5.42578125" style="5" customWidth="1"/>
    <col min="2307" max="2307" width="9.140625" style="5"/>
    <col min="2308" max="2308" width="1.28515625" style="5" customWidth="1"/>
    <col min="2309" max="2309" width="13.5703125" style="5" customWidth="1"/>
    <col min="2310" max="2310" width="7.5703125" style="5" customWidth="1"/>
    <col min="2311" max="2311" width="6.140625" style="5" customWidth="1"/>
    <col min="2312" max="2312" width="17.5703125" style="5" customWidth="1"/>
    <col min="2313" max="2313" width="18.7109375" style="5" customWidth="1"/>
    <col min="2314" max="2560" width="9.140625" style="5"/>
    <col min="2561" max="2561" width="1.28515625" style="5" customWidth="1"/>
    <col min="2562" max="2562" width="5.42578125" style="5" customWidth="1"/>
    <col min="2563" max="2563" width="9.140625" style="5"/>
    <col min="2564" max="2564" width="1.28515625" style="5" customWidth="1"/>
    <col min="2565" max="2565" width="13.5703125" style="5" customWidth="1"/>
    <col min="2566" max="2566" width="7.5703125" style="5" customWidth="1"/>
    <col min="2567" max="2567" width="6.140625" style="5" customWidth="1"/>
    <col min="2568" max="2568" width="17.5703125" style="5" customWidth="1"/>
    <col min="2569" max="2569" width="18.7109375" style="5" customWidth="1"/>
    <col min="2570" max="2816" width="9.140625" style="5"/>
    <col min="2817" max="2817" width="1.28515625" style="5" customWidth="1"/>
    <col min="2818" max="2818" width="5.42578125" style="5" customWidth="1"/>
    <col min="2819" max="2819" width="9.140625" style="5"/>
    <col min="2820" max="2820" width="1.28515625" style="5" customWidth="1"/>
    <col min="2821" max="2821" width="13.5703125" style="5" customWidth="1"/>
    <col min="2822" max="2822" width="7.5703125" style="5" customWidth="1"/>
    <col min="2823" max="2823" width="6.140625" style="5" customWidth="1"/>
    <col min="2824" max="2824" width="17.5703125" style="5" customWidth="1"/>
    <col min="2825" max="2825" width="18.7109375" style="5" customWidth="1"/>
    <col min="2826" max="3072" width="9.140625" style="5"/>
    <col min="3073" max="3073" width="1.28515625" style="5" customWidth="1"/>
    <col min="3074" max="3074" width="5.42578125" style="5" customWidth="1"/>
    <col min="3075" max="3075" width="9.140625" style="5"/>
    <col min="3076" max="3076" width="1.28515625" style="5" customWidth="1"/>
    <col min="3077" max="3077" width="13.5703125" style="5" customWidth="1"/>
    <col min="3078" max="3078" width="7.5703125" style="5" customWidth="1"/>
    <col min="3079" max="3079" width="6.140625" style="5" customWidth="1"/>
    <col min="3080" max="3080" width="17.5703125" style="5" customWidth="1"/>
    <col min="3081" max="3081" width="18.7109375" style="5" customWidth="1"/>
    <col min="3082" max="3328" width="9.140625" style="5"/>
    <col min="3329" max="3329" width="1.28515625" style="5" customWidth="1"/>
    <col min="3330" max="3330" width="5.42578125" style="5" customWidth="1"/>
    <col min="3331" max="3331" width="9.140625" style="5"/>
    <col min="3332" max="3332" width="1.28515625" style="5" customWidth="1"/>
    <col min="3333" max="3333" width="13.5703125" style="5" customWidth="1"/>
    <col min="3334" max="3334" width="7.5703125" style="5" customWidth="1"/>
    <col min="3335" max="3335" width="6.140625" style="5" customWidth="1"/>
    <col min="3336" max="3336" width="17.5703125" style="5" customWidth="1"/>
    <col min="3337" max="3337" width="18.7109375" style="5" customWidth="1"/>
    <col min="3338" max="3584" width="9.140625" style="5"/>
    <col min="3585" max="3585" width="1.28515625" style="5" customWidth="1"/>
    <col min="3586" max="3586" width="5.42578125" style="5" customWidth="1"/>
    <col min="3587" max="3587" width="9.140625" style="5"/>
    <col min="3588" max="3588" width="1.28515625" style="5" customWidth="1"/>
    <col min="3589" max="3589" width="13.5703125" style="5" customWidth="1"/>
    <col min="3590" max="3590" width="7.5703125" style="5" customWidth="1"/>
    <col min="3591" max="3591" width="6.140625" style="5" customWidth="1"/>
    <col min="3592" max="3592" width="17.5703125" style="5" customWidth="1"/>
    <col min="3593" max="3593" width="18.7109375" style="5" customWidth="1"/>
    <col min="3594" max="3840" width="9.140625" style="5"/>
    <col min="3841" max="3841" width="1.28515625" style="5" customWidth="1"/>
    <col min="3842" max="3842" width="5.42578125" style="5" customWidth="1"/>
    <col min="3843" max="3843" width="9.140625" style="5"/>
    <col min="3844" max="3844" width="1.28515625" style="5" customWidth="1"/>
    <col min="3845" max="3845" width="13.5703125" style="5" customWidth="1"/>
    <col min="3846" max="3846" width="7.5703125" style="5" customWidth="1"/>
    <col min="3847" max="3847" width="6.140625" style="5" customWidth="1"/>
    <col min="3848" max="3848" width="17.5703125" style="5" customWidth="1"/>
    <col min="3849" max="3849" width="18.7109375" style="5" customWidth="1"/>
    <col min="3850" max="4096" width="9.140625" style="5"/>
    <col min="4097" max="4097" width="1.28515625" style="5" customWidth="1"/>
    <col min="4098" max="4098" width="5.42578125" style="5" customWidth="1"/>
    <col min="4099" max="4099" width="9.140625" style="5"/>
    <col min="4100" max="4100" width="1.28515625" style="5" customWidth="1"/>
    <col min="4101" max="4101" width="13.5703125" style="5" customWidth="1"/>
    <col min="4102" max="4102" width="7.5703125" style="5" customWidth="1"/>
    <col min="4103" max="4103" width="6.140625" style="5" customWidth="1"/>
    <col min="4104" max="4104" width="17.5703125" style="5" customWidth="1"/>
    <col min="4105" max="4105" width="18.7109375" style="5" customWidth="1"/>
    <col min="4106" max="4352" width="9.140625" style="5"/>
    <col min="4353" max="4353" width="1.28515625" style="5" customWidth="1"/>
    <col min="4354" max="4354" width="5.42578125" style="5" customWidth="1"/>
    <col min="4355" max="4355" width="9.140625" style="5"/>
    <col min="4356" max="4356" width="1.28515625" style="5" customWidth="1"/>
    <col min="4357" max="4357" width="13.5703125" style="5" customWidth="1"/>
    <col min="4358" max="4358" width="7.5703125" style="5" customWidth="1"/>
    <col min="4359" max="4359" width="6.140625" style="5" customWidth="1"/>
    <col min="4360" max="4360" width="17.5703125" style="5" customWidth="1"/>
    <col min="4361" max="4361" width="18.7109375" style="5" customWidth="1"/>
    <col min="4362" max="4608" width="9.140625" style="5"/>
    <col min="4609" max="4609" width="1.28515625" style="5" customWidth="1"/>
    <col min="4610" max="4610" width="5.42578125" style="5" customWidth="1"/>
    <col min="4611" max="4611" width="9.140625" style="5"/>
    <col min="4612" max="4612" width="1.28515625" style="5" customWidth="1"/>
    <col min="4613" max="4613" width="13.5703125" style="5" customWidth="1"/>
    <col min="4614" max="4614" width="7.5703125" style="5" customWidth="1"/>
    <col min="4615" max="4615" width="6.140625" style="5" customWidth="1"/>
    <col min="4616" max="4616" width="17.5703125" style="5" customWidth="1"/>
    <col min="4617" max="4617" width="18.7109375" style="5" customWidth="1"/>
    <col min="4618" max="4864" width="9.140625" style="5"/>
    <col min="4865" max="4865" width="1.28515625" style="5" customWidth="1"/>
    <col min="4866" max="4866" width="5.42578125" style="5" customWidth="1"/>
    <col min="4867" max="4867" width="9.140625" style="5"/>
    <col min="4868" max="4868" width="1.28515625" style="5" customWidth="1"/>
    <col min="4869" max="4869" width="13.5703125" style="5" customWidth="1"/>
    <col min="4870" max="4870" width="7.5703125" style="5" customWidth="1"/>
    <col min="4871" max="4871" width="6.140625" style="5" customWidth="1"/>
    <col min="4872" max="4872" width="17.5703125" style="5" customWidth="1"/>
    <col min="4873" max="4873" width="18.7109375" style="5" customWidth="1"/>
    <col min="4874" max="5120" width="9.140625" style="5"/>
    <col min="5121" max="5121" width="1.28515625" style="5" customWidth="1"/>
    <col min="5122" max="5122" width="5.42578125" style="5" customWidth="1"/>
    <col min="5123" max="5123" width="9.140625" style="5"/>
    <col min="5124" max="5124" width="1.28515625" style="5" customWidth="1"/>
    <col min="5125" max="5125" width="13.5703125" style="5" customWidth="1"/>
    <col min="5126" max="5126" width="7.5703125" style="5" customWidth="1"/>
    <col min="5127" max="5127" width="6.140625" style="5" customWidth="1"/>
    <col min="5128" max="5128" width="17.5703125" style="5" customWidth="1"/>
    <col min="5129" max="5129" width="18.7109375" style="5" customWidth="1"/>
    <col min="5130" max="5376" width="9.140625" style="5"/>
    <col min="5377" max="5377" width="1.28515625" style="5" customWidth="1"/>
    <col min="5378" max="5378" width="5.42578125" style="5" customWidth="1"/>
    <col min="5379" max="5379" width="9.140625" style="5"/>
    <col min="5380" max="5380" width="1.28515625" style="5" customWidth="1"/>
    <col min="5381" max="5381" width="13.5703125" style="5" customWidth="1"/>
    <col min="5382" max="5382" width="7.5703125" style="5" customWidth="1"/>
    <col min="5383" max="5383" width="6.140625" style="5" customWidth="1"/>
    <col min="5384" max="5384" width="17.5703125" style="5" customWidth="1"/>
    <col min="5385" max="5385" width="18.7109375" style="5" customWidth="1"/>
    <col min="5386" max="5632" width="9.140625" style="5"/>
    <col min="5633" max="5633" width="1.28515625" style="5" customWidth="1"/>
    <col min="5634" max="5634" width="5.42578125" style="5" customWidth="1"/>
    <col min="5635" max="5635" width="9.140625" style="5"/>
    <col min="5636" max="5636" width="1.28515625" style="5" customWidth="1"/>
    <col min="5637" max="5637" width="13.5703125" style="5" customWidth="1"/>
    <col min="5638" max="5638" width="7.5703125" style="5" customWidth="1"/>
    <col min="5639" max="5639" width="6.140625" style="5" customWidth="1"/>
    <col min="5640" max="5640" width="17.5703125" style="5" customWidth="1"/>
    <col min="5641" max="5641" width="18.7109375" style="5" customWidth="1"/>
    <col min="5642" max="5888" width="9.140625" style="5"/>
    <col min="5889" max="5889" width="1.28515625" style="5" customWidth="1"/>
    <col min="5890" max="5890" width="5.42578125" style="5" customWidth="1"/>
    <col min="5891" max="5891" width="9.140625" style="5"/>
    <col min="5892" max="5892" width="1.28515625" style="5" customWidth="1"/>
    <col min="5893" max="5893" width="13.5703125" style="5" customWidth="1"/>
    <col min="5894" max="5894" width="7.5703125" style="5" customWidth="1"/>
    <col min="5895" max="5895" width="6.140625" style="5" customWidth="1"/>
    <col min="5896" max="5896" width="17.5703125" style="5" customWidth="1"/>
    <col min="5897" max="5897" width="18.7109375" style="5" customWidth="1"/>
    <col min="5898" max="6144" width="9.140625" style="5"/>
    <col min="6145" max="6145" width="1.28515625" style="5" customWidth="1"/>
    <col min="6146" max="6146" width="5.42578125" style="5" customWidth="1"/>
    <col min="6147" max="6147" width="9.140625" style="5"/>
    <col min="6148" max="6148" width="1.28515625" style="5" customWidth="1"/>
    <col min="6149" max="6149" width="13.5703125" style="5" customWidth="1"/>
    <col min="6150" max="6150" width="7.5703125" style="5" customWidth="1"/>
    <col min="6151" max="6151" width="6.140625" style="5" customWidth="1"/>
    <col min="6152" max="6152" width="17.5703125" style="5" customWidth="1"/>
    <col min="6153" max="6153" width="18.7109375" style="5" customWidth="1"/>
    <col min="6154" max="6400" width="9.140625" style="5"/>
    <col min="6401" max="6401" width="1.28515625" style="5" customWidth="1"/>
    <col min="6402" max="6402" width="5.42578125" style="5" customWidth="1"/>
    <col min="6403" max="6403" width="9.140625" style="5"/>
    <col min="6404" max="6404" width="1.28515625" style="5" customWidth="1"/>
    <col min="6405" max="6405" width="13.5703125" style="5" customWidth="1"/>
    <col min="6406" max="6406" width="7.5703125" style="5" customWidth="1"/>
    <col min="6407" max="6407" width="6.140625" style="5" customWidth="1"/>
    <col min="6408" max="6408" width="17.5703125" style="5" customWidth="1"/>
    <col min="6409" max="6409" width="18.7109375" style="5" customWidth="1"/>
    <col min="6410" max="6656" width="9.140625" style="5"/>
    <col min="6657" max="6657" width="1.28515625" style="5" customWidth="1"/>
    <col min="6658" max="6658" width="5.42578125" style="5" customWidth="1"/>
    <col min="6659" max="6659" width="9.140625" style="5"/>
    <col min="6660" max="6660" width="1.28515625" style="5" customWidth="1"/>
    <col min="6661" max="6661" width="13.5703125" style="5" customWidth="1"/>
    <col min="6662" max="6662" width="7.5703125" style="5" customWidth="1"/>
    <col min="6663" max="6663" width="6.140625" style="5" customWidth="1"/>
    <col min="6664" max="6664" width="17.5703125" style="5" customWidth="1"/>
    <col min="6665" max="6665" width="18.7109375" style="5" customWidth="1"/>
    <col min="6666" max="6912" width="9.140625" style="5"/>
    <col min="6913" max="6913" width="1.28515625" style="5" customWidth="1"/>
    <col min="6914" max="6914" width="5.42578125" style="5" customWidth="1"/>
    <col min="6915" max="6915" width="9.140625" style="5"/>
    <col min="6916" max="6916" width="1.28515625" style="5" customWidth="1"/>
    <col min="6917" max="6917" width="13.5703125" style="5" customWidth="1"/>
    <col min="6918" max="6918" width="7.5703125" style="5" customWidth="1"/>
    <col min="6919" max="6919" width="6.140625" style="5" customWidth="1"/>
    <col min="6920" max="6920" width="17.5703125" style="5" customWidth="1"/>
    <col min="6921" max="6921" width="18.7109375" style="5" customWidth="1"/>
    <col min="6922" max="7168" width="9.140625" style="5"/>
    <col min="7169" max="7169" width="1.28515625" style="5" customWidth="1"/>
    <col min="7170" max="7170" width="5.42578125" style="5" customWidth="1"/>
    <col min="7171" max="7171" width="9.140625" style="5"/>
    <col min="7172" max="7172" width="1.28515625" style="5" customWidth="1"/>
    <col min="7173" max="7173" width="13.5703125" style="5" customWidth="1"/>
    <col min="7174" max="7174" width="7.5703125" style="5" customWidth="1"/>
    <col min="7175" max="7175" width="6.140625" style="5" customWidth="1"/>
    <col min="7176" max="7176" width="17.5703125" style="5" customWidth="1"/>
    <col min="7177" max="7177" width="18.7109375" style="5" customWidth="1"/>
    <col min="7178" max="7424" width="9.140625" style="5"/>
    <col min="7425" max="7425" width="1.28515625" style="5" customWidth="1"/>
    <col min="7426" max="7426" width="5.42578125" style="5" customWidth="1"/>
    <col min="7427" max="7427" width="9.140625" style="5"/>
    <col min="7428" max="7428" width="1.28515625" style="5" customWidth="1"/>
    <col min="7429" max="7429" width="13.5703125" style="5" customWidth="1"/>
    <col min="7430" max="7430" width="7.5703125" style="5" customWidth="1"/>
    <col min="7431" max="7431" width="6.140625" style="5" customWidth="1"/>
    <col min="7432" max="7432" width="17.5703125" style="5" customWidth="1"/>
    <col min="7433" max="7433" width="18.7109375" style="5" customWidth="1"/>
    <col min="7434" max="7680" width="9.140625" style="5"/>
    <col min="7681" max="7681" width="1.28515625" style="5" customWidth="1"/>
    <col min="7682" max="7682" width="5.42578125" style="5" customWidth="1"/>
    <col min="7683" max="7683" width="9.140625" style="5"/>
    <col min="7684" max="7684" width="1.28515625" style="5" customWidth="1"/>
    <col min="7685" max="7685" width="13.5703125" style="5" customWidth="1"/>
    <col min="7686" max="7686" width="7.5703125" style="5" customWidth="1"/>
    <col min="7687" max="7687" width="6.140625" style="5" customWidth="1"/>
    <col min="7688" max="7688" width="17.5703125" style="5" customWidth="1"/>
    <col min="7689" max="7689" width="18.7109375" style="5" customWidth="1"/>
    <col min="7690" max="7936" width="9.140625" style="5"/>
    <col min="7937" max="7937" width="1.28515625" style="5" customWidth="1"/>
    <col min="7938" max="7938" width="5.42578125" style="5" customWidth="1"/>
    <col min="7939" max="7939" width="9.140625" style="5"/>
    <col min="7940" max="7940" width="1.28515625" style="5" customWidth="1"/>
    <col min="7941" max="7941" width="13.5703125" style="5" customWidth="1"/>
    <col min="7942" max="7942" width="7.5703125" style="5" customWidth="1"/>
    <col min="7943" max="7943" width="6.140625" style="5" customWidth="1"/>
    <col min="7944" max="7944" width="17.5703125" style="5" customWidth="1"/>
    <col min="7945" max="7945" width="18.7109375" style="5" customWidth="1"/>
    <col min="7946" max="8192" width="9.140625" style="5"/>
    <col min="8193" max="8193" width="1.28515625" style="5" customWidth="1"/>
    <col min="8194" max="8194" width="5.42578125" style="5" customWidth="1"/>
    <col min="8195" max="8195" width="9.140625" style="5"/>
    <col min="8196" max="8196" width="1.28515625" style="5" customWidth="1"/>
    <col min="8197" max="8197" width="13.5703125" style="5" customWidth="1"/>
    <col min="8198" max="8198" width="7.5703125" style="5" customWidth="1"/>
    <col min="8199" max="8199" width="6.140625" style="5" customWidth="1"/>
    <col min="8200" max="8200" width="17.5703125" style="5" customWidth="1"/>
    <col min="8201" max="8201" width="18.7109375" style="5" customWidth="1"/>
    <col min="8202" max="8448" width="9.140625" style="5"/>
    <col min="8449" max="8449" width="1.28515625" style="5" customWidth="1"/>
    <col min="8450" max="8450" width="5.42578125" style="5" customWidth="1"/>
    <col min="8451" max="8451" width="9.140625" style="5"/>
    <col min="8452" max="8452" width="1.28515625" style="5" customWidth="1"/>
    <col min="8453" max="8453" width="13.5703125" style="5" customWidth="1"/>
    <col min="8454" max="8454" width="7.5703125" style="5" customWidth="1"/>
    <col min="8455" max="8455" width="6.140625" style="5" customWidth="1"/>
    <col min="8456" max="8456" width="17.5703125" style="5" customWidth="1"/>
    <col min="8457" max="8457" width="18.7109375" style="5" customWidth="1"/>
    <col min="8458" max="8704" width="9.140625" style="5"/>
    <col min="8705" max="8705" width="1.28515625" style="5" customWidth="1"/>
    <col min="8706" max="8706" width="5.42578125" style="5" customWidth="1"/>
    <col min="8707" max="8707" width="9.140625" style="5"/>
    <col min="8708" max="8708" width="1.28515625" style="5" customWidth="1"/>
    <col min="8709" max="8709" width="13.5703125" style="5" customWidth="1"/>
    <col min="8710" max="8710" width="7.5703125" style="5" customWidth="1"/>
    <col min="8711" max="8711" width="6.140625" style="5" customWidth="1"/>
    <col min="8712" max="8712" width="17.5703125" style="5" customWidth="1"/>
    <col min="8713" max="8713" width="18.7109375" style="5" customWidth="1"/>
    <col min="8714" max="8960" width="9.140625" style="5"/>
    <col min="8961" max="8961" width="1.28515625" style="5" customWidth="1"/>
    <col min="8962" max="8962" width="5.42578125" style="5" customWidth="1"/>
    <col min="8963" max="8963" width="9.140625" style="5"/>
    <col min="8964" max="8964" width="1.28515625" style="5" customWidth="1"/>
    <col min="8965" max="8965" width="13.5703125" style="5" customWidth="1"/>
    <col min="8966" max="8966" width="7.5703125" style="5" customWidth="1"/>
    <col min="8967" max="8967" width="6.140625" style="5" customWidth="1"/>
    <col min="8968" max="8968" width="17.5703125" style="5" customWidth="1"/>
    <col min="8969" max="8969" width="18.7109375" style="5" customWidth="1"/>
    <col min="8970" max="9216" width="9.140625" style="5"/>
    <col min="9217" max="9217" width="1.28515625" style="5" customWidth="1"/>
    <col min="9218" max="9218" width="5.42578125" style="5" customWidth="1"/>
    <col min="9219" max="9219" width="9.140625" style="5"/>
    <col min="9220" max="9220" width="1.28515625" style="5" customWidth="1"/>
    <col min="9221" max="9221" width="13.5703125" style="5" customWidth="1"/>
    <col min="9222" max="9222" width="7.5703125" style="5" customWidth="1"/>
    <col min="9223" max="9223" width="6.140625" style="5" customWidth="1"/>
    <col min="9224" max="9224" width="17.5703125" style="5" customWidth="1"/>
    <col min="9225" max="9225" width="18.7109375" style="5" customWidth="1"/>
    <col min="9226" max="9472" width="9.140625" style="5"/>
    <col min="9473" max="9473" width="1.28515625" style="5" customWidth="1"/>
    <col min="9474" max="9474" width="5.42578125" style="5" customWidth="1"/>
    <col min="9475" max="9475" width="9.140625" style="5"/>
    <col min="9476" max="9476" width="1.28515625" style="5" customWidth="1"/>
    <col min="9477" max="9477" width="13.5703125" style="5" customWidth="1"/>
    <col min="9478" max="9478" width="7.5703125" style="5" customWidth="1"/>
    <col min="9479" max="9479" width="6.140625" style="5" customWidth="1"/>
    <col min="9480" max="9480" width="17.5703125" style="5" customWidth="1"/>
    <col min="9481" max="9481" width="18.7109375" style="5" customWidth="1"/>
    <col min="9482" max="9728" width="9.140625" style="5"/>
    <col min="9729" max="9729" width="1.28515625" style="5" customWidth="1"/>
    <col min="9730" max="9730" width="5.42578125" style="5" customWidth="1"/>
    <col min="9731" max="9731" width="9.140625" style="5"/>
    <col min="9732" max="9732" width="1.28515625" style="5" customWidth="1"/>
    <col min="9733" max="9733" width="13.5703125" style="5" customWidth="1"/>
    <col min="9734" max="9734" width="7.5703125" style="5" customWidth="1"/>
    <col min="9735" max="9735" width="6.140625" style="5" customWidth="1"/>
    <col min="9736" max="9736" width="17.5703125" style="5" customWidth="1"/>
    <col min="9737" max="9737" width="18.7109375" style="5" customWidth="1"/>
    <col min="9738" max="9984" width="9.140625" style="5"/>
    <col min="9985" max="9985" width="1.28515625" style="5" customWidth="1"/>
    <col min="9986" max="9986" width="5.42578125" style="5" customWidth="1"/>
    <col min="9987" max="9987" width="9.140625" style="5"/>
    <col min="9988" max="9988" width="1.28515625" style="5" customWidth="1"/>
    <col min="9989" max="9989" width="13.5703125" style="5" customWidth="1"/>
    <col min="9990" max="9990" width="7.5703125" style="5" customWidth="1"/>
    <col min="9991" max="9991" width="6.140625" style="5" customWidth="1"/>
    <col min="9992" max="9992" width="17.5703125" style="5" customWidth="1"/>
    <col min="9993" max="9993" width="18.7109375" style="5" customWidth="1"/>
    <col min="9994" max="10240" width="9.140625" style="5"/>
    <col min="10241" max="10241" width="1.28515625" style="5" customWidth="1"/>
    <col min="10242" max="10242" width="5.42578125" style="5" customWidth="1"/>
    <col min="10243" max="10243" width="9.140625" style="5"/>
    <col min="10244" max="10244" width="1.28515625" style="5" customWidth="1"/>
    <col min="10245" max="10245" width="13.5703125" style="5" customWidth="1"/>
    <col min="10246" max="10246" width="7.5703125" style="5" customWidth="1"/>
    <col min="10247" max="10247" width="6.140625" style="5" customWidth="1"/>
    <col min="10248" max="10248" width="17.5703125" style="5" customWidth="1"/>
    <col min="10249" max="10249" width="18.7109375" style="5" customWidth="1"/>
    <col min="10250" max="10496" width="9.140625" style="5"/>
    <col min="10497" max="10497" width="1.28515625" style="5" customWidth="1"/>
    <col min="10498" max="10498" width="5.42578125" style="5" customWidth="1"/>
    <col min="10499" max="10499" width="9.140625" style="5"/>
    <col min="10500" max="10500" width="1.28515625" style="5" customWidth="1"/>
    <col min="10501" max="10501" width="13.5703125" style="5" customWidth="1"/>
    <col min="10502" max="10502" width="7.5703125" style="5" customWidth="1"/>
    <col min="10503" max="10503" width="6.140625" style="5" customWidth="1"/>
    <col min="10504" max="10504" width="17.5703125" style="5" customWidth="1"/>
    <col min="10505" max="10505" width="18.7109375" style="5" customWidth="1"/>
    <col min="10506" max="10752" width="9.140625" style="5"/>
    <col min="10753" max="10753" width="1.28515625" style="5" customWidth="1"/>
    <col min="10754" max="10754" width="5.42578125" style="5" customWidth="1"/>
    <col min="10755" max="10755" width="9.140625" style="5"/>
    <col min="10756" max="10756" width="1.28515625" style="5" customWidth="1"/>
    <col min="10757" max="10757" width="13.5703125" style="5" customWidth="1"/>
    <col min="10758" max="10758" width="7.5703125" style="5" customWidth="1"/>
    <col min="10759" max="10759" width="6.140625" style="5" customWidth="1"/>
    <col min="10760" max="10760" width="17.5703125" style="5" customWidth="1"/>
    <col min="10761" max="10761" width="18.7109375" style="5" customWidth="1"/>
    <col min="10762" max="11008" width="9.140625" style="5"/>
    <col min="11009" max="11009" width="1.28515625" style="5" customWidth="1"/>
    <col min="11010" max="11010" width="5.42578125" style="5" customWidth="1"/>
    <col min="11011" max="11011" width="9.140625" style="5"/>
    <col min="11012" max="11012" width="1.28515625" style="5" customWidth="1"/>
    <col min="11013" max="11013" width="13.5703125" style="5" customWidth="1"/>
    <col min="11014" max="11014" width="7.5703125" style="5" customWidth="1"/>
    <col min="11015" max="11015" width="6.140625" style="5" customWidth="1"/>
    <col min="11016" max="11016" width="17.5703125" style="5" customWidth="1"/>
    <col min="11017" max="11017" width="18.7109375" style="5" customWidth="1"/>
    <col min="11018" max="11264" width="9.140625" style="5"/>
    <col min="11265" max="11265" width="1.28515625" style="5" customWidth="1"/>
    <col min="11266" max="11266" width="5.42578125" style="5" customWidth="1"/>
    <col min="11267" max="11267" width="9.140625" style="5"/>
    <col min="11268" max="11268" width="1.28515625" style="5" customWidth="1"/>
    <col min="11269" max="11269" width="13.5703125" style="5" customWidth="1"/>
    <col min="11270" max="11270" width="7.5703125" style="5" customWidth="1"/>
    <col min="11271" max="11271" width="6.140625" style="5" customWidth="1"/>
    <col min="11272" max="11272" width="17.5703125" style="5" customWidth="1"/>
    <col min="11273" max="11273" width="18.7109375" style="5" customWidth="1"/>
    <col min="11274" max="11520" width="9.140625" style="5"/>
    <col min="11521" max="11521" width="1.28515625" style="5" customWidth="1"/>
    <col min="11522" max="11522" width="5.42578125" style="5" customWidth="1"/>
    <col min="11523" max="11523" width="9.140625" style="5"/>
    <col min="11524" max="11524" width="1.28515625" style="5" customWidth="1"/>
    <col min="11525" max="11525" width="13.5703125" style="5" customWidth="1"/>
    <col min="11526" max="11526" width="7.5703125" style="5" customWidth="1"/>
    <col min="11527" max="11527" width="6.140625" style="5" customWidth="1"/>
    <col min="11528" max="11528" width="17.5703125" style="5" customWidth="1"/>
    <col min="11529" max="11529" width="18.7109375" style="5" customWidth="1"/>
    <col min="11530" max="11776" width="9.140625" style="5"/>
    <col min="11777" max="11777" width="1.28515625" style="5" customWidth="1"/>
    <col min="11778" max="11778" width="5.42578125" style="5" customWidth="1"/>
    <col min="11779" max="11779" width="9.140625" style="5"/>
    <col min="11780" max="11780" width="1.28515625" style="5" customWidth="1"/>
    <col min="11781" max="11781" width="13.5703125" style="5" customWidth="1"/>
    <col min="11782" max="11782" width="7.5703125" style="5" customWidth="1"/>
    <col min="11783" max="11783" width="6.140625" style="5" customWidth="1"/>
    <col min="11784" max="11784" width="17.5703125" style="5" customWidth="1"/>
    <col min="11785" max="11785" width="18.7109375" style="5" customWidth="1"/>
    <col min="11786" max="12032" width="9.140625" style="5"/>
    <col min="12033" max="12033" width="1.28515625" style="5" customWidth="1"/>
    <col min="12034" max="12034" width="5.42578125" style="5" customWidth="1"/>
    <col min="12035" max="12035" width="9.140625" style="5"/>
    <col min="12036" max="12036" width="1.28515625" style="5" customWidth="1"/>
    <col min="12037" max="12037" width="13.5703125" style="5" customWidth="1"/>
    <col min="12038" max="12038" width="7.5703125" style="5" customWidth="1"/>
    <col min="12039" max="12039" width="6.140625" style="5" customWidth="1"/>
    <col min="12040" max="12040" width="17.5703125" style="5" customWidth="1"/>
    <col min="12041" max="12041" width="18.7109375" style="5" customWidth="1"/>
    <col min="12042" max="12288" width="9.140625" style="5"/>
    <col min="12289" max="12289" width="1.28515625" style="5" customWidth="1"/>
    <col min="12290" max="12290" width="5.42578125" style="5" customWidth="1"/>
    <col min="12291" max="12291" width="9.140625" style="5"/>
    <col min="12292" max="12292" width="1.28515625" style="5" customWidth="1"/>
    <col min="12293" max="12293" width="13.5703125" style="5" customWidth="1"/>
    <col min="12294" max="12294" width="7.5703125" style="5" customWidth="1"/>
    <col min="12295" max="12295" width="6.140625" style="5" customWidth="1"/>
    <col min="12296" max="12296" width="17.5703125" style="5" customWidth="1"/>
    <col min="12297" max="12297" width="18.7109375" style="5" customWidth="1"/>
    <col min="12298" max="12544" width="9.140625" style="5"/>
    <col min="12545" max="12545" width="1.28515625" style="5" customWidth="1"/>
    <col min="12546" max="12546" width="5.42578125" style="5" customWidth="1"/>
    <col min="12547" max="12547" width="9.140625" style="5"/>
    <col min="12548" max="12548" width="1.28515625" style="5" customWidth="1"/>
    <col min="12549" max="12549" width="13.5703125" style="5" customWidth="1"/>
    <col min="12550" max="12550" width="7.5703125" style="5" customWidth="1"/>
    <col min="12551" max="12551" width="6.140625" style="5" customWidth="1"/>
    <col min="12552" max="12552" width="17.5703125" style="5" customWidth="1"/>
    <col min="12553" max="12553" width="18.7109375" style="5" customWidth="1"/>
    <col min="12554" max="12800" width="9.140625" style="5"/>
    <col min="12801" max="12801" width="1.28515625" style="5" customWidth="1"/>
    <col min="12802" max="12802" width="5.42578125" style="5" customWidth="1"/>
    <col min="12803" max="12803" width="9.140625" style="5"/>
    <col min="12804" max="12804" width="1.28515625" style="5" customWidth="1"/>
    <col min="12805" max="12805" width="13.5703125" style="5" customWidth="1"/>
    <col min="12806" max="12806" width="7.5703125" style="5" customWidth="1"/>
    <col min="12807" max="12807" width="6.140625" style="5" customWidth="1"/>
    <col min="12808" max="12808" width="17.5703125" style="5" customWidth="1"/>
    <col min="12809" max="12809" width="18.7109375" style="5" customWidth="1"/>
    <col min="12810" max="13056" width="9.140625" style="5"/>
    <col min="13057" max="13057" width="1.28515625" style="5" customWidth="1"/>
    <col min="13058" max="13058" width="5.42578125" style="5" customWidth="1"/>
    <col min="13059" max="13059" width="9.140625" style="5"/>
    <col min="13060" max="13060" width="1.28515625" style="5" customWidth="1"/>
    <col min="13061" max="13061" width="13.5703125" style="5" customWidth="1"/>
    <col min="13062" max="13062" width="7.5703125" style="5" customWidth="1"/>
    <col min="13063" max="13063" width="6.140625" style="5" customWidth="1"/>
    <col min="13064" max="13064" width="17.5703125" style="5" customWidth="1"/>
    <col min="13065" max="13065" width="18.7109375" style="5" customWidth="1"/>
    <col min="13066" max="13312" width="9.140625" style="5"/>
    <col min="13313" max="13313" width="1.28515625" style="5" customWidth="1"/>
    <col min="13314" max="13314" width="5.42578125" style="5" customWidth="1"/>
    <col min="13315" max="13315" width="9.140625" style="5"/>
    <col min="13316" max="13316" width="1.28515625" style="5" customWidth="1"/>
    <col min="13317" max="13317" width="13.5703125" style="5" customWidth="1"/>
    <col min="13318" max="13318" width="7.5703125" style="5" customWidth="1"/>
    <col min="13319" max="13319" width="6.140625" style="5" customWidth="1"/>
    <col min="13320" max="13320" width="17.5703125" style="5" customWidth="1"/>
    <col min="13321" max="13321" width="18.7109375" style="5" customWidth="1"/>
    <col min="13322" max="13568" width="9.140625" style="5"/>
    <col min="13569" max="13569" width="1.28515625" style="5" customWidth="1"/>
    <col min="13570" max="13570" width="5.42578125" style="5" customWidth="1"/>
    <col min="13571" max="13571" width="9.140625" style="5"/>
    <col min="13572" max="13572" width="1.28515625" style="5" customWidth="1"/>
    <col min="13573" max="13573" width="13.5703125" style="5" customWidth="1"/>
    <col min="13574" max="13574" width="7.5703125" style="5" customWidth="1"/>
    <col min="13575" max="13575" width="6.140625" style="5" customWidth="1"/>
    <col min="13576" max="13576" width="17.5703125" style="5" customWidth="1"/>
    <col min="13577" max="13577" width="18.7109375" style="5" customWidth="1"/>
    <col min="13578" max="13824" width="9.140625" style="5"/>
    <col min="13825" max="13825" width="1.28515625" style="5" customWidth="1"/>
    <col min="13826" max="13826" width="5.42578125" style="5" customWidth="1"/>
    <col min="13827" max="13827" width="9.140625" style="5"/>
    <col min="13828" max="13828" width="1.28515625" style="5" customWidth="1"/>
    <col min="13829" max="13829" width="13.5703125" style="5" customWidth="1"/>
    <col min="13830" max="13830" width="7.5703125" style="5" customWidth="1"/>
    <col min="13831" max="13831" width="6.140625" style="5" customWidth="1"/>
    <col min="13832" max="13832" width="17.5703125" style="5" customWidth="1"/>
    <col min="13833" max="13833" width="18.7109375" style="5" customWidth="1"/>
    <col min="13834" max="14080" width="9.140625" style="5"/>
    <col min="14081" max="14081" width="1.28515625" style="5" customWidth="1"/>
    <col min="14082" max="14082" width="5.42578125" style="5" customWidth="1"/>
    <col min="14083" max="14083" width="9.140625" style="5"/>
    <col min="14084" max="14084" width="1.28515625" style="5" customWidth="1"/>
    <col min="14085" max="14085" width="13.5703125" style="5" customWidth="1"/>
    <col min="14086" max="14086" width="7.5703125" style="5" customWidth="1"/>
    <col min="14087" max="14087" width="6.140625" style="5" customWidth="1"/>
    <col min="14088" max="14088" width="17.5703125" style="5" customWidth="1"/>
    <col min="14089" max="14089" width="18.7109375" style="5" customWidth="1"/>
    <col min="14090" max="14336" width="9.140625" style="5"/>
    <col min="14337" max="14337" width="1.28515625" style="5" customWidth="1"/>
    <col min="14338" max="14338" width="5.42578125" style="5" customWidth="1"/>
    <col min="14339" max="14339" width="9.140625" style="5"/>
    <col min="14340" max="14340" width="1.28515625" style="5" customWidth="1"/>
    <col min="14341" max="14341" width="13.5703125" style="5" customWidth="1"/>
    <col min="14342" max="14342" width="7.5703125" style="5" customWidth="1"/>
    <col min="14343" max="14343" width="6.140625" style="5" customWidth="1"/>
    <col min="14344" max="14344" width="17.5703125" style="5" customWidth="1"/>
    <col min="14345" max="14345" width="18.7109375" style="5" customWidth="1"/>
    <col min="14346" max="14592" width="9.140625" style="5"/>
    <col min="14593" max="14593" width="1.28515625" style="5" customWidth="1"/>
    <col min="14594" max="14594" width="5.42578125" style="5" customWidth="1"/>
    <col min="14595" max="14595" width="9.140625" style="5"/>
    <col min="14596" max="14596" width="1.28515625" style="5" customWidth="1"/>
    <col min="14597" max="14597" width="13.5703125" style="5" customWidth="1"/>
    <col min="14598" max="14598" width="7.5703125" style="5" customWidth="1"/>
    <col min="14599" max="14599" width="6.140625" style="5" customWidth="1"/>
    <col min="14600" max="14600" width="17.5703125" style="5" customWidth="1"/>
    <col min="14601" max="14601" width="18.7109375" style="5" customWidth="1"/>
    <col min="14602" max="14848" width="9.140625" style="5"/>
    <col min="14849" max="14849" width="1.28515625" style="5" customWidth="1"/>
    <col min="14850" max="14850" width="5.42578125" style="5" customWidth="1"/>
    <col min="14851" max="14851" width="9.140625" style="5"/>
    <col min="14852" max="14852" width="1.28515625" style="5" customWidth="1"/>
    <col min="14853" max="14853" width="13.5703125" style="5" customWidth="1"/>
    <col min="14854" max="14854" width="7.5703125" style="5" customWidth="1"/>
    <col min="14855" max="14855" width="6.140625" style="5" customWidth="1"/>
    <col min="14856" max="14856" width="17.5703125" style="5" customWidth="1"/>
    <col min="14857" max="14857" width="18.7109375" style="5" customWidth="1"/>
    <col min="14858" max="15104" width="9.140625" style="5"/>
    <col min="15105" max="15105" width="1.28515625" style="5" customWidth="1"/>
    <col min="15106" max="15106" width="5.42578125" style="5" customWidth="1"/>
    <col min="15107" max="15107" width="9.140625" style="5"/>
    <col min="15108" max="15108" width="1.28515625" style="5" customWidth="1"/>
    <col min="15109" max="15109" width="13.5703125" style="5" customWidth="1"/>
    <col min="15110" max="15110" width="7.5703125" style="5" customWidth="1"/>
    <col min="15111" max="15111" width="6.140625" style="5" customWidth="1"/>
    <col min="15112" max="15112" width="17.5703125" style="5" customWidth="1"/>
    <col min="15113" max="15113" width="18.7109375" style="5" customWidth="1"/>
    <col min="15114" max="15360" width="9.140625" style="5"/>
    <col min="15361" max="15361" width="1.28515625" style="5" customWidth="1"/>
    <col min="15362" max="15362" width="5.42578125" style="5" customWidth="1"/>
    <col min="15363" max="15363" width="9.140625" style="5"/>
    <col min="15364" max="15364" width="1.28515625" style="5" customWidth="1"/>
    <col min="15365" max="15365" width="13.5703125" style="5" customWidth="1"/>
    <col min="15366" max="15366" width="7.5703125" style="5" customWidth="1"/>
    <col min="15367" max="15367" width="6.140625" style="5" customWidth="1"/>
    <col min="15368" max="15368" width="17.5703125" style="5" customWidth="1"/>
    <col min="15369" max="15369" width="18.7109375" style="5" customWidth="1"/>
    <col min="15370" max="15616" width="9.140625" style="5"/>
    <col min="15617" max="15617" width="1.28515625" style="5" customWidth="1"/>
    <col min="15618" max="15618" width="5.42578125" style="5" customWidth="1"/>
    <col min="15619" max="15619" width="9.140625" style="5"/>
    <col min="15620" max="15620" width="1.28515625" style="5" customWidth="1"/>
    <col min="15621" max="15621" width="13.5703125" style="5" customWidth="1"/>
    <col min="15622" max="15622" width="7.5703125" style="5" customWidth="1"/>
    <col min="15623" max="15623" width="6.140625" style="5" customWidth="1"/>
    <col min="15624" max="15624" width="17.5703125" style="5" customWidth="1"/>
    <col min="15625" max="15625" width="18.7109375" style="5" customWidth="1"/>
    <col min="15626" max="15872" width="9.140625" style="5"/>
    <col min="15873" max="15873" width="1.28515625" style="5" customWidth="1"/>
    <col min="15874" max="15874" width="5.42578125" style="5" customWidth="1"/>
    <col min="15875" max="15875" width="9.140625" style="5"/>
    <col min="15876" max="15876" width="1.28515625" style="5" customWidth="1"/>
    <col min="15877" max="15877" width="13.5703125" style="5" customWidth="1"/>
    <col min="15878" max="15878" width="7.5703125" style="5" customWidth="1"/>
    <col min="15879" max="15879" width="6.140625" style="5" customWidth="1"/>
    <col min="15880" max="15880" width="17.5703125" style="5" customWidth="1"/>
    <col min="15881" max="15881" width="18.7109375" style="5" customWidth="1"/>
    <col min="15882" max="16128" width="9.140625" style="5"/>
    <col min="16129" max="16129" width="1.28515625" style="5" customWidth="1"/>
    <col min="16130" max="16130" width="5.42578125" style="5" customWidth="1"/>
    <col min="16131" max="16131" width="9.140625" style="5"/>
    <col min="16132" max="16132" width="1.28515625" style="5" customWidth="1"/>
    <col min="16133" max="16133" width="13.5703125" style="5" customWidth="1"/>
    <col min="16134" max="16134" width="7.5703125" style="5" customWidth="1"/>
    <col min="16135" max="16135" width="6.140625" style="5" customWidth="1"/>
    <col min="16136" max="16136" width="17.5703125" style="5" customWidth="1"/>
    <col min="16137" max="16137" width="18.7109375" style="5" customWidth="1"/>
    <col min="16138" max="16384" width="9.140625" style="5"/>
  </cols>
  <sheetData>
    <row r="2" spans="2:9" ht="15.75">
      <c r="B2" s="774"/>
      <c r="C2" s="775"/>
      <c r="D2" s="775"/>
      <c r="E2" s="776" t="s">
        <v>816</v>
      </c>
      <c r="F2" s="776"/>
      <c r="G2" s="776"/>
      <c r="H2" s="776"/>
      <c r="I2" s="776"/>
    </row>
    <row r="3" spans="2:9" ht="16.5" thickBot="1">
      <c r="B3" s="774"/>
      <c r="C3" s="775"/>
      <c r="D3" s="775"/>
      <c r="E3" s="776"/>
      <c r="F3" s="776"/>
      <c r="G3" s="776"/>
      <c r="H3" s="776"/>
      <c r="I3" s="776"/>
    </row>
    <row r="4" spans="2:9" ht="15.75" thickBot="1">
      <c r="B4" s="777" t="s">
        <v>817</v>
      </c>
      <c r="C4" s="778" t="s">
        <v>211</v>
      </c>
      <c r="D4" s="778"/>
      <c r="E4" s="778"/>
      <c r="F4" s="779" t="s">
        <v>818</v>
      </c>
      <c r="G4" s="780" t="s">
        <v>819</v>
      </c>
      <c r="H4" s="778" t="s">
        <v>820</v>
      </c>
      <c r="I4" s="781" t="s">
        <v>821</v>
      </c>
    </row>
    <row r="5" spans="2:9">
      <c r="B5" s="782" t="s">
        <v>822</v>
      </c>
      <c r="C5" s="783" t="s">
        <v>823</v>
      </c>
      <c r="D5" s="784"/>
      <c r="E5" s="784"/>
      <c r="F5" s="785"/>
      <c r="G5" s="785"/>
      <c r="H5" s="786"/>
      <c r="I5" s="787"/>
    </row>
    <row r="6" spans="2:9">
      <c r="B6" s="788"/>
      <c r="C6" s="789" t="s">
        <v>824</v>
      </c>
      <c r="D6" s="635"/>
      <c r="E6" s="165"/>
      <c r="F6" s="345">
        <f>2/25</f>
        <v>0.08</v>
      </c>
      <c r="G6" s="344" t="s">
        <v>825</v>
      </c>
      <c r="H6" s="681">
        <f>BAHAN!$E$402</f>
        <v>30000</v>
      </c>
      <c r="I6" s="790">
        <f>+F6*H6</f>
        <v>2400</v>
      </c>
    </row>
    <row r="7" spans="2:9">
      <c r="B7" s="791"/>
      <c r="C7" s="792" t="s">
        <v>826</v>
      </c>
      <c r="D7" s="603"/>
      <c r="E7" s="171"/>
      <c r="F7" s="336">
        <f>1/1000</f>
        <v>1E-3</v>
      </c>
      <c r="G7" s="347" t="s">
        <v>47</v>
      </c>
      <c r="H7" s="686">
        <f>BAHAN!$E$401</f>
        <v>35000</v>
      </c>
      <c r="I7" s="793">
        <f>+F7*H7</f>
        <v>35</v>
      </c>
    </row>
    <row r="8" spans="2:9">
      <c r="B8" s="791"/>
      <c r="C8" s="792" t="s">
        <v>827</v>
      </c>
      <c r="D8" s="603"/>
      <c r="E8" s="171"/>
      <c r="F8" s="336">
        <v>1</v>
      </c>
      <c r="G8" s="347" t="s">
        <v>261</v>
      </c>
      <c r="H8" s="686">
        <f>BAHAN!$E$403</f>
        <v>100000</v>
      </c>
      <c r="I8" s="793">
        <f>+F8*H8</f>
        <v>100000</v>
      </c>
    </row>
    <row r="9" spans="2:9">
      <c r="B9" s="791"/>
      <c r="C9" s="792" t="s">
        <v>133</v>
      </c>
      <c r="D9" s="603"/>
      <c r="E9" s="171"/>
      <c r="F9" s="336">
        <v>2.5000000000000001E-2</v>
      </c>
      <c r="G9" s="347" t="s">
        <v>263</v>
      </c>
      <c r="H9" s="686">
        <f>N!G124</f>
        <v>136000</v>
      </c>
      <c r="I9" s="793">
        <f>+F9*H9</f>
        <v>3400</v>
      </c>
    </row>
    <row r="10" spans="2:9">
      <c r="B10" s="794"/>
      <c r="C10" s="795" t="s">
        <v>136</v>
      </c>
      <c r="D10" s="642"/>
      <c r="E10" s="796"/>
      <c r="F10" s="691">
        <f>F9/10</f>
        <v>2.5000000000000001E-3</v>
      </c>
      <c r="G10" s="705" t="s">
        <v>263</v>
      </c>
      <c r="H10" s="797">
        <f>N!G127</f>
        <v>180000</v>
      </c>
      <c r="I10" s="798">
        <f>+F10*H10</f>
        <v>450</v>
      </c>
    </row>
    <row r="11" spans="2:9">
      <c r="B11" s="799"/>
      <c r="C11" s="800" t="s">
        <v>645</v>
      </c>
      <c r="D11" s="801"/>
      <c r="E11" s="801"/>
      <c r="F11" s="801"/>
      <c r="G11" s="801"/>
      <c r="H11" s="802"/>
      <c r="I11" s="803">
        <f>SUM(I6:I10)</f>
        <v>106285</v>
      </c>
    </row>
    <row r="12" spans="2:9" ht="15.75" thickBot="1">
      <c r="B12" s="804"/>
      <c r="C12" s="805" t="s">
        <v>229</v>
      </c>
      <c r="D12" s="806"/>
      <c r="E12" s="806"/>
      <c r="F12" s="806"/>
      <c r="G12" s="806"/>
      <c r="H12" s="807"/>
      <c r="I12" s="808">
        <f>ROUND(I11,0)</f>
        <v>106285</v>
      </c>
    </row>
    <row r="13" spans="2:9">
      <c r="B13" s="782" t="s">
        <v>828</v>
      </c>
      <c r="C13" s="783" t="s">
        <v>829</v>
      </c>
      <c r="D13" s="784"/>
      <c r="E13" s="784"/>
      <c r="F13" s="785"/>
      <c r="G13" s="785"/>
      <c r="H13" s="786"/>
      <c r="I13" s="787"/>
    </row>
    <row r="14" spans="2:9">
      <c r="B14" s="788"/>
      <c r="C14" s="789" t="s">
        <v>824</v>
      </c>
      <c r="D14" s="635"/>
      <c r="E14" s="165"/>
      <c r="F14" s="345">
        <f>2/25</f>
        <v>0.08</v>
      </c>
      <c r="G14" s="344" t="s">
        <v>825</v>
      </c>
      <c r="H14" s="694">
        <f>H6</f>
        <v>30000</v>
      </c>
      <c r="I14" s="790">
        <f>+F14*H14</f>
        <v>2400</v>
      </c>
    </row>
    <row r="15" spans="2:9">
      <c r="B15" s="791"/>
      <c r="C15" s="792" t="s">
        <v>826</v>
      </c>
      <c r="D15" s="603"/>
      <c r="E15" s="171"/>
      <c r="F15" s="336">
        <f>1/1000</f>
        <v>1E-3</v>
      </c>
      <c r="G15" s="347" t="s">
        <v>47</v>
      </c>
      <c r="H15" s="703">
        <f>H7</f>
        <v>35000</v>
      </c>
      <c r="I15" s="793">
        <f>+F15*H15</f>
        <v>35</v>
      </c>
    </row>
    <row r="16" spans="2:9">
      <c r="B16" s="791"/>
      <c r="C16" s="792" t="s">
        <v>830</v>
      </c>
      <c r="D16" s="603"/>
      <c r="E16" s="171"/>
      <c r="F16" s="336">
        <v>1</v>
      </c>
      <c r="G16" s="347" t="s">
        <v>261</v>
      </c>
      <c r="H16" s="703">
        <f>BAHAN!$E$400</f>
        <v>6250</v>
      </c>
      <c r="I16" s="793">
        <f>+F16*H16</f>
        <v>6250</v>
      </c>
    </row>
    <row r="17" spans="2:9">
      <c r="B17" s="791"/>
      <c r="C17" s="792" t="s">
        <v>133</v>
      </c>
      <c r="D17" s="603"/>
      <c r="E17" s="171"/>
      <c r="F17" s="336">
        <v>2.5000000000000001E-2</v>
      </c>
      <c r="G17" s="347" t="s">
        <v>263</v>
      </c>
      <c r="H17" s="703">
        <f>H9</f>
        <v>136000</v>
      </c>
      <c r="I17" s="793">
        <f>+F17*H17</f>
        <v>3400</v>
      </c>
    </row>
    <row r="18" spans="2:9">
      <c r="B18" s="794"/>
      <c r="C18" s="795" t="s">
        <v>136</v>
      </c>
      <c r="D18" s="642"/>
      <c r="E18" s="796"/>
      <c r="F18" s="691">
        <f>F17/10</f>
        <v>2.5000000000000001E-3</v>
      </c>
      <c r="G18" s="705" t="s">
        <v>263</v>
      </c>
      <c r="H18" s="809">
        <f>H10</f>
        <v>180000</v>
      </c>
      <c r="I18" s="798">
        <f>+F18*H18</f>
        <v>450</v>
      </c>
    </row>
    <row r="19" spans="2:9">
      <c r="B19" s="799"/>
      <c r="C19" s="810" t="s">
        <v>645</v>
      </c>
      <c r="D19" s="801"/>
      <c r="E19" s="801"/>
      <c r="F19" s="801"/>
      <c r="G19" s="801"/>
      <c r="H19" s="802"/>
      <c r="I19" s="803">
        <f>SUM(I14:I18)</f>
        <v>12535</v>
      </c>
    </row>
    <row r="20" spans="2:9" ht="15.75" thickBot="1">
      <c r="B20" s="804"/>
      <c r="C20" s="805" t="s">
        <v>229</v>
      </c>
      <c r="D20" s="806"/>
      <c r="E20" s="806"/>
      <c r="F20" s="806"/>
      <c r="G20" s="806"/>
      <c r="H20" s="807"/>
      <c r="I20" s="808">
        <f>ROUND(I19,0)</f>
        <v>12535</v>
      </c>
    </row>
    <row r="21" spans="2:9">
      <c r="B21" s="782" t="s">
        <v>831</v>
      </c>
      <c r="C21" s="783" t="s">
        <v>832</v>
      </c>
      <c r="D21" s="784"/>
      <c r="E21" s="784"/>
      <c r="F21" s="785"/>
      <c r="G21" s="785"/>
      <c r="H21" s="786"/>
      <c r="I21" s="787"/>
    </row>
    <row r="22" spans="2:9">
      <c r="B22" s="788"/>
      <c r="C22" s="789" t="s">
        <v>824</v>
      </c>
      <c r="D22" s="635"/>
      <c r="E22" s="165"/>
      <c r="F22" s="345">
        <v>0.04</v>
      </c>
      <c r="G22" s="344" t="s">
        <v>825</v>
      </c>
      <c r="H22" s="694">
        <f>H14</f>
        <v>30000</v>
      </c>
      <c r="I22" s="790">
        <f>+F22*H22</f>
        <v>1200</v>
      </c>
    </row>
    <row r="23" spans="2:9">
      <c r="B23" s="791"/>
      <c r="C23" s="792" t="s">
        <v>826</v>
      </c>
      <c r="D23" s="603"/>
      <c r="E23" s="171"/>
      <c r="F23" s="336">
        <f>1/1000</f>
        <v>1E-3</v>
      </c>
      <c r="G23" s="347" t="s">
        <v>47</v>
      </c>
      <c r="H23" s="703">
        <f>H15</f>
        <v>35000</v>
      </c>
      <c r="I23" s="793">
        <f>+F23*H23</f>
        <v>35</v>
      </c>
    </row>
    <row r="24" spans="2:9">
      <c r="B24" s="791"/>
      <c r="C24" s="792" t="s">
        <v>833</v>
      </c>
      <c r="D24" s="603"/>
      <c r="E24" s="171"/>
      <c r="F24" s="336">
        <v>1</v>
      </c>
      <c r="G24" s="347" t="s">
        <v>261</v>
      </c>
      <c r="H24" s="703">
        <f>BAHAN!$E$404</f>
        <v>65000</v>
      </c>
      <c r="I24" s="793">
        <f>+F24*H24</f>
        <v>65000</v>
      </c>
    </row>
    <row r="25" spans="2:9">
      <c r="B25" s="791"/>
      <c r="C25" s="792" t="s">
        <v>133</v>
      </c>
      <c r="D25" s="603"/>
      <c r="E25" s="171"/>
      <c r="F25" s="336">
        <v>0.02</v>
      </c>
      <c r="G25" s="347" t="s">
        <v>263</v>
      </c>
      <c r="H25" s="703">
        <f>H17</f>
        <v>136000</v>
      </c>
      <c r="I25" s="793">
        <f>+F25*H25</f>
        <v>2720</v>
      </c>
    </row>
    <row r="26" spans="2:9">
      <c r="B26" s="794"/>
      <c r="C26" s="795" t="s">
        <v>136</v>
      </c>
      <c r="D26" s="642"/>
      <c r="E26" s="796"/>
      <c r="F26" s="691">
        <f>F25/10</f>
        <v>2E-3</v>
      </c>
      <c r="G26" s="705" t="s">
        <v>263</v>
      </c>
      <c r="H26" s="809">
        <f>H18</f>
        <v>180000</v>
      </c>
      <c r="I26" s="798">
        <f>+F26*H26</f>
        <v>360</v>
      </c>
    </row>
    <row r="27" spans="2:9">
      <c r="B27" s="799"/>
      <c r="C27" s="810" t="s">
        <v>645</v>
      </c>
      <c r="D27" s="801"/>
      <c r="E27" s="801"/>
      <c r="F27" s="801"/>
      <c r="G27" s="801"/>
      <c r="H27" s="802"/>
      <c r="I27" s="803">
        <f>SUM(I22:I26)</f>
        <v>69315</v>
      </c>
    </row>
    <row r="28" spans="2:9" ht="15.75" thickBot="1">
      <c r="B28" s="804"/>
      <c r="C28" s="805" t="s">
        <v>229</v>
      </c>
      <c r="D28" s="806"/>
      <c r="E28" s="806"/>
      <c r="F28" s="806"/>
      <c r="G28" s="806"/>
      <c r="H28" s="807"/>
      <c r="I28" s="808">
        <f>ROUND(I27,0)</f>
        <v>69315</v>
      </c>
    </row>
    <row r="29" spans="2:9">
      <c r="B29" s="782" t="s">
        <v>834</v>
      </c>
      <c r="C29" s="783" t="s">
        <v>835</v>
      </c>
      <c r="D29" s="784"/>
      <c r="E29" s="784"/>
      <c r="F29" s="785"/>
      <c r="G29" s="785"/>
      <c r="H29" s="786"/>
      <c r="I29" s="787"/>
    </row>
    <row r="30" spans="2:9">
      <c r="B30" s="788"/>
      <c r="C30" s="789" t="s">
        <v>824</v>
      </c>
      <c r="D30" s="635"/>
      <c r="E30" s="165"/>
      <c r="F30" s="345">
        <v>0.04</v>
      </c>
      <c r="G30" s="344" t="s">
        <v>825</v>
      </c>
      <c r="H30" s="694">
        <f>H22</f>
        <v>30000</v>
      </c>
      <c r="I30" s="790">
        <f>+F30*H30</f>
        <v>1200</v>
      </c>
    </row>
    <row r="31" spans="2:9">
      <c r="B31" s="791"/>
      <c r="C31" s="792" t="s">
        <v>836</v>
      </c>
      <c r="D31" s="603"/>
      <c r="E31" s="171"/>
      <c r="F31" s="336">
        <v>0.5</v>
      </c>
      <c r="G31" s="347" t="s">
        <v>147</v>
      </c>
      <c r="H31" s="703">
        <f>BAHAN!$E$405</f>
        <v>20000</v>
      </c>
      <c r="I31" s="793">
        <f>+F31*H31</f>
        <v>10000</v>
      </c>
    </row>
    <row r="32" spans="2:9">
      <c r="B32" s="791"/>
      <c r="C32" s="792" t="s">
        <v>133</v>
      </c>
      <c r="D32" s="603"/>
      <c r="E32" s="171"/>
      <c r="F32" s="336">
        <v>0.04</v>
      </c>
      <c r="G32" s="347" t="s">
        <v>263</v>
      </c>
      <c r="H32" s="703">
        <f>H25</f>
        <v>136000</v>
      </c>
      <c r="I32" s="793">
        <f>+F32*H32</f>
        <v>5440</v>
      </c>
    </row>
    <row r="33" spans="2:9">
      <c r="B33" s="794"/>
      <c r="C33" s="795" t="s">
        <v>136</v>
      </c>
      <c r="D33" s="642"/>
      <c r="E33" s="796"/>
      <c r="F33" s="691">
        <f>F32/10</f>
        <v>4.0000000000000001E-3</v>
      </c>
      <c r="G33" s="705" t="s">
        <v>263</v>
      </c>
      <c r="H33" s="809">
        <f>H26</f>
        <v>180000</v>
      </c>
      <c r="I33" s="798">
        <f>+F33*H33</f>
        <v>720</v>
      </c>
    </row>
    <row r="34" spans="2:9">
      <c r="B34" s="799"/>
      <c r="C34" s="810" t="s">
        <v>645</v>
      </c>
      <c r="D34" s="801"/>
      <c r="E34" s="801"/>
      <c r="F34" s="801"/>
      <c r="G34" s="801"/>
      <c r="H34" s="802"/>
      <c r="I34" s="803">
        <f>SUM(I30:I33)</f>
        <v>17360</v>
      </c>
    </row>
    <row r="35" spans="2:9" ht="15.75" thickBot="1">
      <c r="B35" s="804"/>
      <c r="C35" s="805" t="s">
        <v>229</v>
      </c>
      <c r="D35" s="806"/>
      <c r="E35" s="806"/>
      <c r="F35" s="806"/>
      <c r="G35" s="806"/>
      <c r="H35" s="807"/>
      <c r="I35" s="808">
        <f>ROUND(I34,0)</f>
        <v>17360</v>
      </c>
    </row>
    <row r="36" spans="2:9">
      <c r="B36" s="774"/>
      <c r="C36" s="775"/>
      <c r="D36" s="775"/>
      <c r="E36" s="775"/>
      <c r="F36" s="775"/>
      <c r="G36" s="775"/>
      <c r="H36" s="775"/>
      <c r="I36" s="775"/>
    </row>
    <row r="37" spans="2:9">
      <c r="B37" s="774"/>
      <c r="C37" s="775"/>
      <c r="D37" s="775"/>
      <c r="E37" s="775"/>
      <c r="F37" s="775"/>
      <c r="G37" s="775"/>
      <c r="H37" s="775"/>
      <c r="I37" s="775"/>
    </row>
  </sheetData>
  <pageMargins left="1.1299999999999999" right="0.7" top="0.75" bottom="0.75" header="0.3" footer="0.3"/>
  <pageSetup paperSize="132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36"/>
  <dimension ref="B2:O442"/>
  <sheetViews>
    <sheetView topLeftCell="A162" zoomScale="120" zoomScaleNormal="120" zoomScaleSheetLayoutView="100" workbookViewId="0">
      <selection activeCell="K92" sqref="K92"/>
    </sheetView>
  </sheetViews>
  <sheetFormatPr defaultRowHeight="15"/>
  <cols>
    <col min="1" max="1" width="1.28515625" style="5" customWidth="1"/>
    <col min="2" max="2" width="5.42578125" style="5" customWidth="1"/>
    <col min="3" max="3" width="9.140625" style="5"/>
    <col min="4" max="4" width="1.28515625" style="5" customWidth="1"/>
    <col min="5" max="5" width="21.5703125" style="5" customWidth="1"/>
    <col min="6" max="6" width="7.5703125" style="5" customWidth="1"/>
    <col min="7" max="7" width="6.140625" style="5" customWidth="1"/>
    <col min="8" max="8" width="17.5703125" style="5" customWidth="1"/>
    <col min="9" max="10" width="18.7109375" style="5" customWidth="1"/>
    <col min="11" max="11" width="9.140625" style="5"/>
    <col min="12" max="12" width="10.5703125" style="5" customWidth="1"/>
    <col min="13" max="13" width="9.140625" style="1392"/>
    <col min="14" max="257" width="9.140625" style="5"/>
    <col min="258" max="258" width="1.28515625" style="5" customWidth="1"/>
    <col min="259" max="259" width="5.42578125" style="5" customWidth="1"/>
    <col min="260" max="260" width="9.140625" style="5"/>
    <col min="261" max="261" width="1.28515625" style="5" customWidth="1"/>
    <col min="262" max="262" width="21.5703125" style="5" customWidth="1"/>
    <col min="263" max="263" width="7.5703125" style="5" customWidth="1"/>
    <col min="264" max="264" width="6.140625" style="5" customWidth="1"/>
    <col min="265" max="265" width="17.5703125" style="5" customWidth="1"/>
    <col min="266" max="266" width="18.7109375" style="5" customWidth="1"/>
    <col min="267" max="513" width="9.140625" style="5"/>
    <col min="514" max="514" width="1.28515625" style="5" customWidth="1"/>
    <col min="515" max="515" width="5.42578125" style="5" customWidth="1"/>
    <col min="516" max="516" width="9.140625" style="5"/>
    <col min="517" max="517" width="1.28515625" style="5" customWidth="1"/>
    <col min="518" max="518" width="21.5703125" style="5" customWidth="1"/>
    <col min="519" max="519" width="7.5703125" style="5" customWidth="1"/>
    <col min="520" max="520" width="6.140625" style="5" customWidth="1"/>
    <col min="521" max="521" width="17.5703125" style="5" customWidth="1"/>
    <col min="522" max="522" width="18.7109375" style="5" customWidth="1"/>
    <col min="523" max="769" width="9.140625" style="5"/>
    <col min="770" max="770" width="1.28515625" style="5" customWidth="1"/>
    <col min="771" max="771" width="5.42578125" style="5" customWidth="1"/>
    <col min="772" max="772" width="9.140625" style="5"/>
    <col min="773" max="773" width="1.28515625" style="5" customWidth="1"/>
    <col min="774" max="774" width="21.5703125" style="5" customWidth="1"/>
    <col min="775" max="775" width="7.5703125" style="5" customWidth="1"/>
    <col min="776" max="776" width="6.140625" style="5" customWidth="1"/>
    <col min="777" max="777" width="17.5703125" style="5" customWidth="1"/>
    <col min="778" max="778" width="18.7109375" style="5" customWidth="1"/>
    <col min="779" max="1025" width="9.140625" style="5"/>
    <col min="1026" max="1026" width="1.28515625" style="5" customWidth="1"/>
    <col min="1027" max="1027" width="5.42578125" style="5" customWidth="1"/>
    <col min="1028" max="1028" width="9.140625" style="5"/>
    <col min="1029" max="1029" width="1.28515625" style="5" customWidth="1"/>
    <col min="1030" max="1030" width="21.5703125" style="5" customWidth="1"/>
    <col min="1031" max="1031" width="7.5703125" style="5" customWidth="1"/>
    <col min="1032" max="1032" width="6.140625" style="5" customWidth="1"/>
    <col min="1033" max="1033" width="17.5703125" style="5" customWidth="1"/>
    <col min="1034" max="1034" width="18.7109375" style="5" customWidth="1"/>
    <col min="1035" max="1281" width="9.140625" style="5"/>
    <col min="1282" max="1282" width="1.28515625" style="5" customWidth="1"/>
    <col min="1283" max="1283" width="5.42578125" style="5" customWidth="1"/>
    <col min="1284" max="1284" width="9.140625" style="5"/>
    <col min="1285" max="1285" width="1.28515625" style="5" customWidth="1"/>
    <col min="1286" max="1286" width="21.5703125" style="5" customWidth="1"/>
    <col min="1287" max="1287" width="7.5703125" style="5" customWidth="1"/>
    <col min="1288" max="1288" width="6.140625" style="5" customWidth="1"/>
    <col min="1289" max="1289" width="17.5703125" style="5" customWidth="1"/>
    <col min="1290" max="1290" width="18.7109375" style="5" customWidth="1"/>
    <col min="1291" max="1537" width="9.140625" style="5"/>
    <col min="1538" max="1538" width="1.28515625" style="5" customWidth="1"/>
    <col min="1539" max="1539" width="5.42578125" style="5" customWidth="1"/>
    <col min="1540" max="1540" width="9.140625" style="5"/>
    <col min="1541" max="1541" width="1.28515625" style="5" customWidth="1"/>
    <col min="1542" max="1542" width="21.5703125" style="5" customWidth="1"/>
    <col min="1543" max="1543" width="7.5703125" style="5" customWidth="1"/>
    <col min="1544" max="1544" width="6.140625" style="5" customWidth="1"/>
    <col min="1545" max="1545" width="17.5703125" style="5" customWidth="1"/>
    <col min="1546" max="1546" width="18.7109375" style="5" customWidth="1"/>
    <col min="1547" max="1793" width="9.140625" style="5"/>
    <col min="1794" max="1794" width="1.28515625" style="5" customWidth="1"/>
    <col min="1795" max="1795" width="5.42578125" style="5" customWidth="1"/>
    <col min="1796" max="1796" width="9.140625" style="5"/>
    <col min="1797" max="1797" width="1.28515625" style="5" customWidth="1"/>
    <col min="1798" max="1798" width="21.5703125" style="5" customWidth="1"/>
    <col min="1799" max="1799" width="7.5703125" style="5" customWidth="1"/>
    <col min="1800" max="1800" width="6.140625" style="5" customWidth="1"/>
    <col min="1801" max="1801" width="17.5703125" style="5" customWidth="1"/>
    <col min="1802" max="1802" width="18.7109375" style="5" customWidth="1"/>
    <col min="1803" max="2049" width="9.140625" style="5"/>
    <col min="2050" max="2050" width="1.28515625" style="5" customWidth="1"/>
    <col min="2051" max="2051" width="5.42578125" style="5" customWidth="1"/>
    <col min="2052" max="2052" width="9.140625" style="5"/>
    <col min="2053" max="2053" width="1.28515625" style="5" customWidth="1"/>
    <col min="2054" max="2054" width="21.5703125" style="5" customWidth="1"/>
    <col min="2055" max="2055" width="7.5703125" style="5" customWidth="1"/>
    <col min="2056" max="2056" width="6.140625" style="5" customWidth="1"/>
    <col min="2057" max="2057" width="17.5703125" style="5" customWidth="1"/>
    <col min="2058" max="2058" width="18.7109375" style="5" customWidth="1"/>
    <col min="2059" max="2305" width="9.140625" style="5"/>
    <col min="2306" max="2306" width="1.28515625" style="5" customWidth="1"/>
    <col min="2307" max="2307" width="5.42578125" style="5" customWidth="1"/>
    <col min="2308" max="2308" width="9.140625" style="5"/>
    <col min="2309" max="2309" width="1.28515625" style="5" customWidth="1"/>
    <col min="2310" max="2310" width="21.5703125" style="5" customWidth="1"/>
    <col min="2311" max="2311" width="7.5703125" style="5" customWidth="1"/>
    <col min="2312" max="2312" width="6.140625" style="5" customWidth="1"/>
    <col min="2313" max="2313" width="17.5703125" style="5" customWidth="1"/>
    <col min="2314" max="2314" width="18.7109375" style="5" customWidth="1"/>
    <col min="2315" max="2561" width="9.140625" style="5"/>
    <col min="2562" max="2562" width="1.28515625" style="5" customWidth="1"/>
    <col min="2563" max="2563" width="5.42578125" style="5" customWidth="1"/>
    <col min="2564" max="2564" width="9.140625" style="5"/>
    <col min="2565" max="2565" width="1.28515625" style="5" customWidth="1"/>
    <col min="2566" max="2566" width="21.5703125" style="5" customWidth="1"/>
    <col min="2567" max="2567" width="7.5703125" style="5" customWidth="1"/>
    <col min="2568" max="2568" width="6.140625" style="5" customWidth="1"/>
    <col min="2569" max="2569" width="17.5703125" style="5" customWidth="1"/>
    <col min="2570" max="2570" width="18.7109375" style="5" customWidth="1"/>
    <col min="2571" max="2817" width="9.140625" style="5"/>
    <col min="2818" max="2818" width="1.28515625" style="5" customWidth="1"/>
    <col min="2819" max="2819" width="5.42578125" style="5" customWidth="1"/>
    <col min="2820" max="2820" width="9.140625" style="5"/>
    <col min="2821" max="2821" width="1.28515625" style="5" customWidth="1"/>
    <col min="2822" max="2822" width="21.5703125" style="5" customWidth="1"/>
    <col min="2823" max="2823" width="7.5703125" style="5" customWidth="1"/>
    <col min="2824" max="2824" width="6.140625" style="5" customWidth="1"/>
    <col min="2825" max="2825" width="17.5703125" style="5" customWidth="1"/>
    <col min="2826" max="2826" width="18.7109375" style="5" customWidth="1"/>
    <col min="2827" max="3073" width="9.140625" style="5"/>
    <col min="3074" max="3074" width="1.28515625" style="5" customWidth="1"/>
    <col min="3075" max="3075" width="5.42578125" style="5" customWidth="1"/>
    <col min="3076" max="3076" width="9.140625" style="5"/>
    <col min="3077" max="3077" width="1.28515625" style="5" customWidth="1"/>
    <col min="3078" max="3078" width="21.5703125" style="5" customWidth="1"/>
    <col min="3079" max="3079" width="7.5703125" style="5" customWidth="1"/>
    <col min="3080" max="3080" width="6.140625" style="5" customWidth="1"/>
    <col min="3081" max="3081" width="17.5703125" style="5" customWidth="1"/>
    <col min="3082" max="3082" width="18.7109375" style="5" customWidth="1"/>
    <col min="3083" max="3329" width="9.140625" style="5"/>
    <col min="3330" max="3330" width="1.28515625" style="5" customWidth="1"/>
    <col min="3331" max="3331" width="5.42578125" style="5" customWidth="1"/>
    <col min="3332" max="3332" width="9.140625" style="5"/>
    <col min="3333" max="3333" width="1.28515625" style="5" customWidth="1"/>
    <col min="3334" max="3334" width="21.5703125" style="5" customWidth="1"/>
    <col min="3335" max="3335" width="7.5703125" style="5" customWidth="1"/>
    <col min="3336" max="3336" width="6.140625" style="5" customWidth="1"/>
    <col min="3337" max="3337" width="17.5703125" style="5" customWidth="1"/>
    <col min="3338" max="3338" width="18.7109375" style="5" customWidth="1"/>
    <col min="3339" max="3585" width="9.140625" style="5"/>
    <col min="3586" max="3586" width="1.28515625" style="5" customWidth="1"/>
    <col min="3587" max="3587" width="5.42578125" style="5" customWidth="1"/>
    <col min="3588" max="3588" width="9.140625" style="5"/>
    <col min="3589" max="3589" width="1.28515625" style="5" customWidth="1"/>
    <col min="3590" max="3590" width="21.5703125" style="5" customWidth="1"/>
    <col min="3591" max="3591" width="7.5703125" style="5" customWidth="1"/>
    <col min="3592" max="3592" width="6.140625" style="5" customWidth="1"/>
    <col min="3593" max="3593" width="17.5703125" style="5" customWidth="1"/>
    <col min="3594" max="3594" width="18.7109375" style="5" customWidth="1"/>
    <col min="3595" max="3841" width="9.140625" style="5"/>
    <col min="3842" max="3842" width="1.28515625" style="5" customWidth="1"/>
    <col min="3843" max="3843" width="5.42578125" style="5" customWidth="1"/>
    <col min="3844" max="3844" width="9.140625" style="5"/>
    <col min="3845" max="3845" width="1.28515625" style="5" customWidth="1"/>
    <col min="3846" max="3846" width="21.5703125" style="5" customWidth="1"/>
    <col min="3847" max="3847" width="7.5703125" style="5" customWidth="1"/>
    <col min="3848" max="3848" width="6.140625" style="5" customWidth="1"/>
    <col min="3849" max="3849" width="17.5703125" style="5" customWidth="1"/>
    <col min="3850" max="3850" width="18.7109375" style="5" customWidth="1"/>
    <col min="3851" max="4097" width="9.140625" style="5"/>
    <col min="4098" max="4098" width="1.28515625" style="5" customWidth="1"/>
    <col min="4099" max="4099" width="5.42578125" style="5" customWidth="1"/>
    <col min="4100" max="4100" width="9.140625" style="5"/>
    <col min="4101" max="4101" width="1.28515625" style="5" customWidth="1"/>
    <col min="4102" max="4102" width="21.5703125" style="5" customWidth="1"/>
    <col min="4103" max="4103" width="7.5703125" style="5" customWidth="1"/>
    <col min="4104" max="4104" width="6.140625" style="5" customWidth="1"/>
    <col min="4105" max="4105" width="17.5703125" style="5" customWidth="1"/>
    <col min="4106" max="4106" width="18.7109375" style="5" customWidth="1"/>
    <col min="4107" max="4353" width="9.140625" style="5"/>
    <col min="4354" max="4354" width="1.28515625" style="5" customWidth="1"/>
    <col min="4355" max="4355" width="5.42578125" style="5" customWidth="1"/>
    <col min="4356" max="4356" width="9.140625" style="5"/>
    <col min="4357" max="4357" width="1.28515625" style="5" customWidth="1"/>
    <col min="4358" max="4358" width="21.5703125" style="5" customWidth="1"/>
    <col min="4359" max="4359" width="7.5703125" style="5" customWidth="1"/>
    <col min="4360" max="4360" width="6.140625" style="5" customWidth="1"/>
    <col min="4361" max="4361" width="17.5703125" style="5" customWidth="1"/>
    <col min="4362" max="4362" width="18.7109375" style="5" customWidth="1"/>
    <col min="4363" max="4609" width="9.140625" style="5"/>
    <col min="4610" max="4610" width="1.28515625" style="5" customWidth="1"/>
    <col min="4611" max="4611" width="5.42578125" style="5" customWidth="1"/>
    <col min="4612" max="4612" width="9.140625" style="5"/>
    <col min="4613" max="4613" width="1.28515625" style="5" customWidth="1"/>
    <col min="4614" max="4614" width="21.5703125" style="5" customWidth="1"/>
    <col min="4615" max="4615" width="7.5703125" style="5" customWidth="1"/>
    <col min="4616" max="4616" width="6.140625" style="5" customWidth="1"/>
    <col min="4617" max="4617" width="17.5703125" style="5" customWidth="1"/>
    <col min="4618" max="4618" width="18.7109375" style="5" customWidth="1"/>
    <col min="4619" max="4865" width="9.140625" style="5"/>
    <col min="4866" max="4866" width="1.28515625" style="5" customWidth="1"/>
    <col min="4867" max="4867" width="5.42578125" style="5" customWidth="1"/>
    <col min="4868" max="4868" width="9.140625" style="5"/>
    <col min="4869" max="4869" width="1.28515625" style="5" customWidth="1"/>
    <col min="4870" max="4870" width="21.5703125" style="5" customWidth="1"/>
    <col min="4871" max="4871" width="7.5703125" style="5" customWidth="1"/>
    <col min="4872" max="4872" width="6.140625" style="5" customWidth="1"/>
    <col min="4873" max="4873" width="17.5703125" style="5" customWidth="1"/>
    <col min="4874" max="4874" width="18.7109375" style="5" customWidth="1"/>
    <col min="4875" max="5121" width="9.140625" style="5"/>
    <col min="5122" max="5122" width="1.28515625" style="5" customWidth="1"/>
    <col min="5123" max="5123" width="5.42578125" style="5" customWidth="1"/>
    <col min="5124" max="5124" width="9.140625" style="5"/>
    <col min="5125" max="5125" width="1.28515625" style="5" customWidth="1"/>
    <col min="5126" max="5126" width="21.5703125" style="5" customWidth="1"/>
    <col min="5127" max="5127" width="7.5703125" style="5" customWidth="1"/>
    <col min="5128" max="5128" width="6.140625" style="5" customWidth="1"/>
    <col min="5129" max="5129" width="17.5703125" style="5" customWidth="1"/>
    <col min="5130" max="5130" width="18.7109375" style="5" customWidth="1"/>
    <col min="5131" max="5377" width="9.140625" style="5"/>
    <col min="5378" max="5378" width="1.28515625" style="5" customWidth="1"/>
    <col min="5379" max="5379" width="5.42578125" style="5" customWidth="1"/>
    <col min="5380" max="5380" width="9.140625" style="5"/>
    <col min="5381" max="5381" width="1.28515625" style="5" customWidth="1"/>
    <col min="5382" max="5382" width="21.5703125" style="5" customWidth="1"/>
    <col min="5383" max="5383" width="7.5703125" style="5" customWidth="1"/>
    <col min="5384" max="5384" width="6.140625" style="5" customWidth="1"/>
    <col min="5385" max="5385" width="17.5703125" style="5" customWidth="1"/>
    <col min="5386" max="5386" width="18.7109375" style="5" customWidth="1"/>
    <col min="5387" max="5633" width="9.140625" style="5"/>
    <col min="5634" max="5634" width="1.28515625" style="5" customWidth="1"/>
    <col min="5635" max="5635" width="5.42578125" style="5" customWidth="1"/>
    <col min="5636" max="5636" width="9.140625" style="5"/>
    <col min="5637" max="5637" width="1.28515625" style="5" customWidth="1"/>
    <col min="5638" max="5638" width="21.5703125" style="5" customWidth="1"/>
    <col min="5639" max="5639" width="7.5703125" style="5" customWidth="1"/>
    <col min="5640" max="5640" width="6.140625" style="5" customWidth="1"/>
    <col min="5641" max="5641" width="17.5703125" style="5" customWidth="1"/>
    <col min="5642" max="5642" width="18.7109375" style="5" customWidth="1"/>
    <col min="5643" max="5889" width="9.140625" style="5"/>
    <col min="5890" max="5890" width="1.28515625" style="5" customWidth="1"/>
    <col min="5891" max="5891" width="5.42578125" style="5" customWidth="1"/>
    <col min="5892" max="5892" width="9.140625" style="5"/>
    <col min="5893" max="5893" width="1.28515625" style="5" customWidth="1"/>
    <col min="5894" max="5894" width="21.5703125" style="5" customWidth="1"/>
    <col min="5895" max="5895" width="7.5703125" style="5" customWidth="1"/>
    <col min="5896" max="5896" width="6.140625" style="5" customWidth="1"/>
    <col min="5897" max="5897" width="17.5703125" style="5" customWidth="1"/>
    <col min="5898" max="5898" width="18.7109375" style="5" customWidth="1"/>
    <col min="5899" max="6145" width="9.140625" style="5"/>
    <col min="6146" max="6146" width="1.28515625" style="5" customWidth="1"/>
    <col min="6147" max="6147" width="5.42578125" style="5" customWidth="1"/>
    <col min="6148" max="6148" width="9.140625" style="5"/>
    <col min="6149" max="6149" width="1.28515625" style="5" customWidth="1"/>
    <col min="6150" max="6150" width="21.5703125" style="5" customWidth="1"/>
    <col min="6151" max="6151" width="7.5703125" style="5" customWidth="1"/>
    <col min="6152" max="6152" width="6.140625" style="5" customWidth="1"/>
    <col min="6153" max="6153" width="17.5703125" style="5" customWidth="1"/>
    <col min="6154" max="6154" width="18.7109375" style="5" customWidth="1"/>
    <col min="6155" max="6401" width="9.140625" style="5"/>
    <col min="6402" max="6402" width="1.28515625" style="5" customWidth="1"/>
    <col min="6403" max="6403" width="5.42578125" style="5" customWidth="1"/>
    <col min="6404" max="6404" width="9.140625" style="5"/>
    <col min="6405" max="6405" width="1.28515625" style="5" customWidth="1"/>
    <col min="6406" max="6406" width="21.5703125" style="5" customWidth="1"/>
    <col min="6407" max="6407" width="7.5703125" style="5" customWidth="1"/>
    <col min="6408" max="6408" width="6.140625" style="5" customWidth="1"/>
    <col min="6409" max="6409" width="17.5703125" style="5" customWidth="1"/>
    <col min="6410" max="6410" width="18.7109375" style="5" customWidth="1"/>
    <col min="6411" max="6657" width="9.140625" style="5"/>
    <col min="6658" max="6658" width="1.28515625" style="5" customWidth="1"/>
    <col min="6659" max="6659" width="5.42578125" style="5" customWidth="1"/>
    <col min="6660" max="6660" width="9.140625" style="5"/>
    <col min="6661" max="6661" width="1.28515625" style="5" customWidth="1"/>
    <col min="6662" max="6662" width="21.5703125" style="5" customWidth="1"/>
    <col min="6663" max="6663" width="7.5703125" style="5" customWidth="1"/>
    <col min="6664" max="6664" width="6.140625" style="5" customWidth="1"/>
    <col min="6665" max="6665" width="17.5703125" style="5" customWidth="1"/>
    <col min="6666" max="6666" width="18.7109375" style="5" customWidth="1"/>
    <col min="6667" max="6913" width="9.140625" style="5"/>
    <col min="6914" max="6914" width="1.28515625" style="5" customWidth="1"/>
    <col min="6915" max="6915" width="5.42578125" style="5" customWidth="1"/>
    <col min="6916" max="6916" width="9.140625" style="5"/>
    <col min="6917" max="6917" width="1.28515625" style="5" customWidth="1"/>
    <col min="6918" max="6918" width="21.5703125" style="5" customWidth="1"/>
    <col min="6919" max="6919" width="7.5703125" style="5" customWidth="1"/>
    <col min="6920" max="6920" width="6.140625" style="5" customWidth="1"/>
    <col min="6921" max="6921" width="17.5703125" style="5" customWidth="1"/>
    <col min="6922" max="6922" width="18.7109375" style="5" customWidth="1"/>
    <col min="6923" max="7169" width="9.140625" style="5"/>
    <col min="7170" max="7170" width="1.28515625" style="5" customWidth="1"/>
    <col min="7171" max="7171" width="5.42578125" style="5" customWidth="1"/>
    <col min="7172" max="7172" width="9.140625" style="5"/>
    <col min="7173" max="7173" width="1.28515625" style="5" customWidth="1"/>
    <col min="7174" max="7174" width="21.5703125" style="5" customWidth="1"/>
    <col min="7175" max="7175" width="7.5703125" style="5" customWidth="1"/>
    <col min="7176" max="7176" width="6.140625" style="5" customWidth="1"/>
    <col min="7177" max="7177" width="17.5703125" style="5" customWidth="1"/>
    <col min="7178" max="7178" width="18.7109375" style="5" customWidth="1"/>
    <col min="7179" max="7425" width="9.140625" style="5"/>
    <col min="7426" max="7426" width="1.28515625" style="5" customWidth="1"/>
    <col min="7427" max="7427" width="5.42578125" style="5" customWidth="1"/>
    <col min="7428" max="7428" width="9.140625" style="5"/>
    <col min="7429" max="7429" width="1.28515625" style="5" customWidth="1"/>
    <col min="7430" max="7430" width="21.5703125" style="5" customWidth="1"/>
    <col min="7431" max="7431" width="7.5703125" style="5" customWidth="1"/>
    <col min="7432" max="7432" width="6.140625" style="5" customWidth="1"/>
    <col min="7433" max="7433" width="17.5703125" style="5" customWidth="1"/>
    <col min="7434" max="7434" width="18.7109375" style="5" customWidth="1"/>
    <col min="7435" max="7681" width="9.140625" style="5"/>
    <col min="7682" max="7682" width="1.28515625" style="5" customWidth="1"/>
    <col min="7683" max="7683" width="5.42578125" style="5" customWidth="1"/>
    <col min="7684" max="7684" width="9.140625" style="5"/>
    <col min="7685" max="7685" width="1.28515625" style="5" customWidth="1"/>
    <col min="7686" max="7686" width="21.5703125" style="5" customWidth="1"/>
    <col min="7687" max="7687" width="7.5703125" style="5" customWidth="1"/>
    <col min="7688" max="7688" width="6.140625" style="5" customWidth="1"/>
    <col min="7689" max="7689" width="17.5703125" style="5" customWidth="1"/>
    <col min="7690" max="7690" width="18.7109375" style="5" customWidth="1"/>
    <col min="7691" max="7937" width="9.140625" style="5"/>
    <col min="7938" max="7938" width="1.28515625" style="5" customWidth="1"/>
    <col min="7939" max="7939" width="5.42578125" style="5" customWidth="1"/>
    <col min="7940" max="7940" width="9.140625" style="5"/>
    <col min="7941" max="7941" width="1.28515625" style="5" customWidth="1"/>
    <col min="7942" max="7942" width="21.5703125" style="5" customWidth="1"/>
    <col min="7943" max="7943" width="7.5703125" style="5" customWidth="1"/>
    <col min="7944" max="7944" width="6.140625" style="5" customWidth="1"/>
    <col min="7945" max="7945" width="17.5703125" style="5" customWidth="1"/>
    <col min="7946" max="7946" width="18.7109375" style="5" customWidth="1"/>
    <col min="7947" max="8193" width="9.140625" style="5"/>
    <col min="8194" max="8194" width="1.28515625" style="5" customWidth="1"/>
    <col min="8195" max="8195" width="5.42578125" style="5" customWidth="1"/>
    <col min="8196" max="8196" width="9.140625" style="5"/>
    <col min="8197" max="8197" width="1.28515625" style="5" customWidth="1"/>
    <col min="8198" max="8198" width="21.5703125" style="5" customWidth="1"/>
    <col min="8199" max="8199" width="7.5703125" style="5" customWidth="1"/>
    <col min="8200" max="8200" width="6.140625" style="5" customWidth="1"/>
    <col min="8201" max="8201" width="17.5703125" style="5" customWidth="1"/>
    <col min="8202" max="8202" width="18.7109375" style="5" customWidth="1"/>
    <col min="8203" max="8449" width="9.140625" style="5"/>
    <col min="8450" max="8450" width="1.28515625" style="5" customWidth="1"/>
    <col min="8451" max="8451" width="5.42578125" style="5" customWidth="1"/>
    <col min="8452" max="8452" width="9.140625" style="5"/>
    <col min="8453" max="8453" width="1.28515625" style="5" customWidth="1"/>
    <col min="8454" max="8454" width="21.5703125" style="5" customWidth="1"/>
    <col min="8455" max="8455" width="7.5703125" style="5" customWidth="1"/>
    <col min="8456" max="8456" width="6.140625" style="5" customWidth="1"/>
    <col min="8457" max="8457" width="17.5703125" style="5" customWidth="1"/>
    <col min="8458" max="8458" width="18.7109375" style="5" customWidth="1"/>
    <col min="8459" max="8705" width="9.140625" style="5"/>
    <col min="8706" max="8706" width="1.28515625" style="5" customWidth="1"/>
    <col min="8707" max="8707" width="5.42578125" style="5" customWidth="1"/>
    <col min="8708" max="8708" width="9.140625" style="5"/>
    <col min="8709" max="8709" width="1.28515625" style="5" customWidth="1"/>
    <col min="8710" max="8710" width="21.5703125" style="5" customWidth="1"/>
    <col min="8711" max="8711" width="7.5703125" style="5" customWidth="1"/>
    <col min="8712" max="8712" width="6.140625" style="5" customWidth="1"/>
    <col min="8713" max="8713" width="17.5703125" style="5" customWidth="1"/>
    <col min="8714" max="8714" width="18.7109375" style="5" customWidth="1"/>
    <col min="8715" max="8961" width="9.140625" style="5"/>
    <col min="8962" max="8962" width="1.28515625" style="5" customWidth="1"/>
    <col min="8963" max="8963" width="5.42578125" style="5" customWidth="1"/>
    <col min="8964" max="8964" width="9.140625" style="5"/>
    <col min="8965" max="8965" width="1.28515625" style="5" customWidth="1"/>
    <col min="8966" max="8966" width="21.5703125" style="5" customWidth="1"/>
    <col min="8967" max="8967" width="7.5703125" style="5" customWidth="1"/>
    <col min="8968" max="8968" width="6.140625" style="5" customWidth="1"/>
    <col min="8969" max="8969" width="17.5703125" style="5" customWidth="1"/>
    <col min="8970" max="8970" width="18.7109375" style="5" customWidth="1"/>
    <col min="8971" max="9217" width="9.140625" style="5"/>
    <col min="9218" max="9218" width="1.28515625" style="5" customWidth="1"/>
    <col min="9219" max="9219" width="5.42578125" style="5" customWidth="1"/>
    <col min="9220" max="9220" width="9.140625" style="5"/>
    <col min="9221" max="9221" width="1.28515625" style="5" customWidth="1"/>
    <col min="9222" max="9222" width="21.5703125" style="5" customWidth="1"/>
    <col min="9223" max="9223" width="7.5703125" style="5" customWidth="1"/>
    <col min="9224" max="9224" width="6.140625" style="5" customWidth="1"/>
    <col min="9225" max="9225" width="17.5703125" style="5" customWidth="1"/>
    <col min="9226" max="9226" width="18.7109375" style="5" customWidth="1"/>
    <col min="9227" max="9473" width="9.140625" style="5"/>
    <col min="9474" max="9474" width="1.28515625" style="5" customWidth="1"/>
    <col min="9475" max="9475" width="5.42578125" style="5" customWidth="1"/>
    <col min="9476" max="9476" width="9.140625" style="5"/>
    <col min="9477" max="9477" width="1.28515625" style="5" customWidth="1"/>
    <col min="9478" max="9478" width="21.5703125" style="5" customWidth="1"/>
    <col min="9479" max="9479" width="7.5703125" style="5" customWidth="1"/>
    <col min="9480" max="9480" width="6.140625" style="5" customWidth="1"/>
    <col min="9481" max="9481" width="17.5703125" style="5" customWidth="1"/>
    <col min="9482" max="9482" width="18.7109375" style="5" customWidth="1"/>
    <col min="9483" max="9729" width="9.140625" style="5"/>
    <col min="9730" max="9730" width="1.28515625" style="5" customWidth="1"/>
    <col min="9731" max="9731" width="5.42578125" style="5" customWidth="1"/>
    <col min="9732" max="9732" width="9.140625" style="5"/>
    <col min="9733" max="9733" width="1.28515625" style="5" customWidth="1"/>
    <col min="9734" max="9734" width="21.5703125" style="5" customWidth="1"/>
    <col min="9735" max="9735" width="7.5703125" style="5" customWidth="1"/>
    <col min="9736" max="9736" width="6.140625" style="5" customWidth="1"/>
    <col min="9737" max="9737" width="17.5703125" style="5" customWidth="1"/>
    <col min="9738" max="9738" width="18.7109375" style="5" customWidth="1"/>
    <col min="9739" max="9985" width="9.140625" style="5"/>
    <col min="9986" max="9986" width="1.28515625" style="5" customWidth="1"/>
    <col min="9987" max="9987" width="5.42578125" style="5" customWidth="1"/>
    <col min="9988" max="9988" width="9.140625" style="5"/>
    <col min="9989" max="9989" width="1.28515625" style="5" customWidth="1"/>
    <col min="9990" max="9990" width="21.5703125" style="5" customWidth="1"/>
    <col min="9991" max="9991" width="7.5703125" style="5" customWidth="1"/>
    <col min="9992" max="9992" width="6.140625" style="5" customWidth="1"/>
    <col min="9993" max="9993" width="17.5703125" style="5" customWidth="1"/>
    <col min="9994" max="9994" width="18.7109375" style="5" customWidth="1"/>
    <col min="9995" max="10241" width="9.140625" style="5"/>
    <col min="10242" max="10242" width="1.28515625" style="5" customWidth="1"/>
    <col min="10243" max="10243" width="5.42578125" style="5" customWidth="1"/>
    <col min="10244" max="10244" width="9.140625" style="5"/>
    <col min="10245" max="10245" width="1.28515625" style="5" customWidth="1"/>
    <col min="10246" max="10246" width="21.5703125" style="5" customWidth="1"/>
    <col min="10247" max="10247" width="7.5703125" style="5" customWidth="1"/>
    <col min="10248" max="10248" width="6.140625" style="5" customWidth="1"/>
    <col min="10249" max="10249" width="17.5703125" style="5" customWidth="1"/>
    <col min="10250" max="10250" width="18.7109375" style="5" customWidth="1"/>
    <col min="10251" max="10497" width="9.140625" style="5"/>
    <col min="10498" max="10498" width="1.28515625" style="5" customWidth="1"/>
    <col min="10499" max="10499" width="5.42578125" style="5" customWidth="1"/>
    <col min="10500" max="10500" width="9.140625" style="5"/>
    <col min="10501" max="10501" width="1.28515625" style="5" customWidth="1"/>
    <col min="10502" max="10502" width="21.5703125" style="5" customWidth="1"/>
    <col min="10503" max="10503" width="7.5703125" style="5" customWidth="1"/>
    <col min="10504" max="10504" width="6.140625" style="5" customWidth="1"/>
    <col min="10505" max="10505" width="17.5703125" style="5" customWidth="1"/>
    <col min="10506" max="10506" width="18.7109375" style="5" customWidth="1"/>
    <col min="10507" max="10753" width="9.140625" style="5"/>
    <col min="10754" max="10754" width="1.28515625" style="5" customWidth="1"/>
    <col min="10755" max="10755" width="5.42578125" style="5" customWidth="1"/>
    <col min="10756" max="10756" width="9.140625" style="5"/>
    <col min="10757" max="10757" width="1.28515625" style="5" customWidth="1"/>
    <col min="10758" max="10758" width="21.5703125" style="5" customWidth="1"/>
    <col min="10759" max="10759" width="7.5703125" style="5" customWidth="1"/>
    <col min="10760" max="10760" width="6.140625" style="5" customWidth="1"/>
    <col min="10761" max="10761" width="17.5703125" style="5" customWidth="1"/>
    <col min="10762" max="10762" width="18.7109375" style="5" customWidth="1"/>
    <col min="10763" max="11009" width="9.140625" style="5"/>
    <col min="11010" max="11010" width="1.28515625" style="5" customWidth="1"/>
    <col min="11011" max="11011" width="5.42578125" style="5" customWidth="1"/>
    <col min="11012" max="11012" width="9.140625" style="5"/>
    <col min="11013" max="11013" width="1.28515625" style="5" customWidth="1"/>
    <col min="11014" max="11014" width="21.5703125" style="5" customWidth="1"/>
    <col min="11015" max="11015" width="7.5703125" style="5" customWidth="1"/>
    <col min="11016" max="11016" width="6.140625" style="5" customWidth="1"/>
    <col min="11017" max="11017" width="17.5703125" style="5" customWidth="1"/>
    <col min="11018" max="11018" width="18.7109375" style="5" customWidth="1"/>
    <col min="11019" max="11265" width="9.140625" style="5"/>
    <col min="11266" max="11266" width="1.28515625" style="5" customWidth="1"/>
    <col min="11267" max="11267" width="5.42578125" style="5" customWidth="1"/>
    <col min="11268" max="11268" width="9.140625" style="5"/>
    <col min="11269" max="11269" width="1.28515625" style="5" customWidth="1"/>
    <col min="11270" max="11270" width="21.5703125" style="5" customWidth="1"/>
    <col min="11271" max="11271" width="7.5703125" style="5" customWidth="1"/>
    <col min="11272" max="11272" width="6.140625" style="5" customWidth="1"/>
    <col min="11273" max="11273" width="17.5703125" style="5" customWidth="1"/>
    <col min="11274" max="11274" width="18.7109375" style="5" customWidth="1"/>
    <col min="11275" max="11521" width="9.140625" style="5"/>
    <col min="11522" max="11522" width="1.28515625" style="5" customWidth="1"/>
    <col min="11523" max="11523" width="5.42578125" style="5" customWidth="1"/>
    <col min="11524" max="11524" width="9.140625" style="5"/>
    <col min="11525" max="11525" width="1.28515625" style="5" customWidth="1"/>
    <col min="11526" max="11526" width="21.5703125" style="5" customWidth="1"/>
    <col min="11527" max="11527" width="7.5703125" style="5" customWidth="1"/>
    <col min="11528" max="11528" width="6.140625" style="5" customWidth="1"/>
    <col min="11529" max="11529" width="17.5703125" style="5" customWidth="1"/>
    <col min="11530" max="11530" width="18.7109375" style="5" customWidth="1"/>
    <col min="11531" max="11777" width="9.140625" style="5"/>
    <col min="11778" max="11778" width="1.28515625" style="5" customWidth="1"/>
    <col min="11779" max="11779" width="5.42578125" style="5" customWidth="1"/>
    <col min="11780" max="11780" width="9.140625" style="5"/>
    <col min="11781" max="11781" width="1.28515625" style="5" customWidth="1"/>
    <col min="11782" max="11782" width="21.5703125" style="5" customWidth="1"/>
    <col min="11783" max="11783" width="7.5703125" style="5" customWidth="1"/>
    <col min="11784" max="11784" width="6.140625" style="5" customWidth="1"/>
    <col min="11785" max="11785" width="17.5703125" style="5" customWidth="1"/>
    <col min="11786" max="11786" width="18.7109375" style="5" customWidth="1"/>
    <col min="11787" max="12033" width="9.140625" style="5"/>
    <col min="12034" max="12034" width="1.28515625" style="5" customWidth="1"/>
    <col min="12035" max="12035" width="5.42578125" style="5" customWidth="1"/>
    <col min="12036" max="12036" width="9.140625" style="5"/>
    <col min="12037" max="12037" width="1.28515625" style="5" customWidth="1"/>
    <col min="12038" max="12038" width="21.5703125" style="5" customWidth="1"/>
    <col min="12039" max="12039" width="7.5703125" style="5" customWidth="1"/>
    <col min="12040" max="12040" width="6.140625" style="5" customWidth="1"/>
    <col min="12041" max="12041" width="17.5703125" style="5" customWidth="1"/>
    <col min="12042" max="12042" width="18.7109375" style="5" customWidth="1"/>
    <col min="12043" max="12289" width="9.140625" style="5"/>
    <col min="12290" max="12290" width="1.28515625" style="5" customWidth="1"/>
    <col min="12291" max="12291" width="5.42578125" style="5" customWidth="1"/>
    <col min="12292" max="12292" width="9.140625" style="5"/>
    <col min="12293" max="12293" width="1.28515625" style="5" customWidth="1"/>
    <col min="12294" max="12294" width="21.5703125" style="5" customWidth="1"/>
    <col min="12295" max="12295" width="7.5703125" style="5" customWidth="1"/>
    <col min="12296" max="12296" width="6.140625" style="5" customWidth="1"/>
    <col min="12297" max="12297" width="17.5703125" style="5" customWidth="1"/>
    <col min="12298" max="12298" width="18.7109375" style="5" customWidth="1"/>
    <col min="12299" max="12545" width="9.140625" style="5"/>
    <col min="12546" max="12546" width="1.28515625" style="5" customWidth="1"/>
    <col min="12547" max="12547" width="5.42578125" style="5" customWidth="1"/>
    <col min="12548" max="12548" width="9.140625" style="5"/>
    <col min="12549" max="12549" width="1.28515625" style="5" customWidth="1"/>
    <col min="12550" max="12550" width="21.5703125" style="5" customWidth="1"/>
    <col min="12551" max="12551" width="7.5703125" style="5" customWidth="1"/>
    <col min="12552" max="12552" width="6.140625" style="5" customWidth="1"/>
    <col min="12553" max="12553" width="17.5703125" style="5" customWidth="1"/>
    <col min="12554" max="12554" width="18.7109375" style="5" customWidth="1"/>
    <col min="12555" max="12801" width="9.140625" style="5"/>
    <col min="12802" max="12802" width="1.28515625" style="5" customWidth="1"/>
    <col min="12803" max="12803" width="5.42578125" style="5" customWidth="1"/>
    <col min="12804" max="12804" width="9.140625" style="5"/>
    <col min="12805" max="12805" width="1.28515625" style="5" customWidth="1"/>
    <col min="12806" max="12806" width="21.5703125" style="5" customWidth="1"/>
    <col min="12807" max="12807" width="7.5703125" style="5" customWidth="1"/>
    <col min="12808" max="12808" width="6.140625" style="5" customWidth="1"/>
    <col min="12809" max="12809" width="17.5703125" style="5" customWidth="1"/>
    <col min="12810" max="12810" width="18.7109375" style="5" customWidth="1"/>
    <col min="12811" max="13057" width="9.140625" style="5"/>
    <col min="13058" max="13058" width="1.28515625" style="5" customWidth="1"/>
    <col min="13059" max="13059" width="5.42578125" style="5" customWidth="1"/>
    <col min="13060" max="13060" width="9.140625" style="5"/>
    <col min="13061" max="13061" width="1.28515625" style="5" customWidth="1"/>
    <col min="13062" max="13062" width="21.5703125" style="5" customWidth="1"/>
    <col min="13063" max="13063" width="7.5703125" style="5" customWidth="1"/>
    <col min="13064" max="13064" width="6.140625" style="5" customWidth="1"/>
    <col min="13065" max="13065" width="17.5703125" style="5" customWidth="1"/>
    <col min="13066" max="13066" width="18.7109375" style="5" customWidth="1"/>
    <col min="13067" max="13313" width="9.140625" style="5"/>
    <col min="13314" max="13314" width="1.28515625" style="5" customWidth="1"/>
    <col min="13315" max="13315" width="5.42578125" style="5" customWidth="1"/>
    <col min="13316" max="13316" width="9.140625" style="5"/>
    <col min="13317" max="13317" width="1.28515625" style="5" customWidth="1"/>
    <col min="13318" max="13318" width="21.5703125" style="5" customWidth="1"/>
    <col min="13319" max="13319" width="7.5703125" style="5" customWidth="1"/>
    <col min="13320" max="13320" width="6.140625" style="5" customWidth="1"/>
    <col min="13321" max="13321" width="17.5703125" style="5" customWidth="1"/>
    <col min="13322" max="13322" width="18.7109375" style="5" customWidth="1"/>
    <col min="13323" max="13569" width="9.140625" style="5"/>
    <col min="13570" max="13570" width="1.28515625" style="5" customWidth="1"/>
    <col min="13571" max="13571" width="5.42578125" style="5" customWidth="1"/>
    <col min="13572" max="13572" width="9.140625" style="5"/>
    <col min="13573" max="13573" width="1.28515625" style="5" customWidth="1"/>
    <col min="13574" max="13574" width="21.5703125" style="5" customWidth="1"/>
    <col min="13575" max="13575" width="7.5703125" style="5" customWidth="1"/>
    <col min="13576" max="13576" width="6.140625" style="5" customWidth="1"/>
    <col min="13577" max="13577" width="17.5703125" style="5" customWidth="1"/>
    <col min="13578" max="13578" width="18.7109375" style="5" customWidth="1"/>
    <col min="13579" max="13825" width="9.140625" style="5"/>
    <col min="13826" max="13826" width="1.28515625" style="5" customWidth="1"/>
    <col min="13827" max="13827" width="5.42578125" style="5" customWidth="1"/>
    <col min="13828" max="13828" width="9.140625" style="5"/>
    <col min="13829" max="13829" width="1.28515625" style="5" customWidth="1"/>
    <col min="13830" max="13830" width="21.5703125" style="5" customWidth="1"/>
    <col min="13831" max="13831" width="7.5703125" style="5" customWidth="1"/>
    <col min="13832" max="13832" width="6.140625" style="5" customWidth="1"/>
    <col min="13833" max="13833" width="17.5703125" style="5" customWidth="1"/>
    <col min="13834" max="13834" width="18.7109375" style="5" customWidth="1"/>
    <col min="13835" max="14081" width="9.140625" style="5"/>
    <col min="14082" max="14082" width="1.28515625" style="5" customWidth="1"/>
    <col min="14083" max="14083" width="5.42578125" style="5" customWidth="1"/>
    <col min="14084" max="14084" width="9.140625" style="5"/>
    <col min="14085" max="14085" width="1.28515625" style="5" customWidth="1"/>
    <col min="14086" max="14086" width="21.5703125" style="5" customWidth="1"/>
    <col min="14087" max="14087" width="7.5703125" style="5" customWidth="1"/>
    <col min="14088" max="14088" width="6.140625" style="5" customWidth="1"/>
    <col min="14089" max="14089" width="17.5703125" style="5" customWidth="1"/>
    <col min="14090" max="14090" width="18.7109375" style="5" customWidth="1"/>
    <col min="14091" max="14337" width="9.140625" style="5"/>
    <col min="14338" max="14338" width="1.28515625" style="5" customWidth="1"/>
    <col min="14339" max="14339" width="5.42578125" style="5" customWidth="1"/>
    <col min="14340" max="14340" width="9.140625" style="5"/>
    <col min="14341" max="14341" width="1.28515625" style="5" customWidth="1"/>
    <col min="14342" max="14342" width="21.5703125" style="5" customWidth="1"/>
    <col min="14343" max="14343" width="7.5703125" style="5" customWidth="1"/>
    <col min="14344" max="14344" width="6.140625" style="5" customWidth="1"/>
    <col min="14345" max="14345" width="17.5703125" style="5" customWidth="1"/>
    <col min="14346" max="14346" width="18.7109375" style="5" customWidth="1"/>
    <col min="14347" max="14593" width="9.140625" style="5"/>
    <col min="14594" max="14594" width="1.28515625" style="5" customWidth="1"/>
    <col min="14595" max="14595" width="5.42578125" style="5" customWidth="1"/>
    <col min="14596" max="14596" width="9.140625" style="5"/>
    <col min="14597" max="14597" width="1.28515625" style="5" customWidth="1"/>
    <col min="14598" max="14598" width="21.5703125" style="5" customWidth="1"/>
    <col min="14599" max="14599" width="7.5703125" style="5" customWidth="1"/>
    <col min="14600" max="14600" width="6.140625" style="5" customWidth="1"/>
    <col min="14601" max="14601" width="17.5703125" style="5" customWidth="1"/>
    <col min="14602" max="14602" width="18.7109375" style="5" customWidth="1"/>
    <col min="14603" max="14849" width="9.140625" style="5"/>
    <col min="14850" max="14850" width="1.28515625" style="5" customWidth="1"/>
    <col min="14851" max="14851" width="5.42578125" style="5" customWidth="1"/>
    <col min="14852" max="14852" width="9.140625" style="5"/>
    <col min="14853" max="14853" width="1.28515625" style="5" customWidth="1"/>
    <col min="14854" max="14854" width="21.5703125" style="5" customWidth="1"/>
    <col min="14855" max="14855" width="7.5703125" style="5" customWidth="1"/>
    <col min="14856" max="14856" width="6.140625" style="5" customWidth="1"/>
    <col min="14857" max="14857" width="17.5703125" style="5" customWidth="1"/>
    <col min="14858" max="14858" width="18.7109375" style="5" customWidth="1"/>
    <col min="14859" max="15105" width="9.140625" style="5"/>
    <col min="15106" max="15106" width="1.28515625" style="5" customWidth="1"/>
    <col min="15107" max="15107" width="5.42578125" style="5" customWidth="1"/>
    <col min="15108" max="15108" width="9.140625" style="5"/>
    <col min="15109" max="15109" width="1.28515625" style="5" customWidth="1"/>
    <col min="15110" max="15110" width="21.5703125" style="5" customWidth="1"/>
    <col min="15111" max="15111" width="7.5703125" style="5" customWidth="1"/>
    <col min="15112" max="15112" width="6.140625" style="5" customWidth="1"/>
    <col min="15113" max="15113" width="17.5703125" style="5" customWidth="1"/>
    <col min="15114" max="15114" width="18.7109375" style="5" customWidth="1"/>
    <col min="15115" max="15361" width="9.140625" style="5"/>
    <col min="15362" max="15362" width="1.28515625" style="5" customWidth="1"/>
    <col min="15363" max="15363" width="5.42578125" style="5" customWidth="1"/>
    <col min="15364" max="15364" width="9.140625" style="5"/>
    <col min="15365" max="15365" width="1.28515625" style="5" customWidth="1"/>
    <col min="15366" max="15366" width="21.5703125" style="5" customWidth="1"/>
    <col min="15367" max="15367" width="7.5703125" style="5" customWidth="1"/>
    <col min="15368" max="15368" width="6.140625" style="5" customWidth="1"/>
    <col min="15369" max="15369" width="17.5703125" style="5" customWidth="1"/>
    <col min="15370" max="15370" width="18.7109375" style="5" customWidth="1"/>
    <col min="15371" max="15617" width="9.140625" style="5"/>
    <col min="15618" max="15618" width="1.28515625" style="5" customWidth="1"/>
    <col min="15619" max="15619" width="5.42578125" style="5" customWidth="1"/>
    <col min="15620" max="15620" width="9.140625" style="5"/>
    <col min="15621" max="15621" width="1.28515625" style="5" customWidth="1"/>
    <col min="15622" max="15622" width="21.5703125" style="5" customWidth="1"/>
    <col min="15623" max="15623" width="7.5703125" style="5" customWidth="1"/>
    <col min="15624" max="15624" width="6.140625" style="5" customWidth="1"/>
    <col min="15625" max="15625" width="17.5703125" style="5" customWidth="1"/>
    <col min="15626" max="15626" width="18.7109375" style="5" customWidth="1"/>
    <col min="15627" max="15873" width="9.140625" style="5"/>
    <col min="15874" max="15874" width="1.28515625" style="5" customWidth="1"/>
    <col min="15875" max="15875" width="5.42578125" style="5" customWidth="1"/>
    <col min="15876" max="15876" width="9.140625" style="5"/>
    <col min="15877" max="15877" width="1.28515625" style="5" customWidth="1"/>
    <col min="15878" max="15878" width="21.5703125" style="5" customWidth="1"/>
    <col min="15879" max="15879" width="7.5703125" style="5" customWidth="1"/>
    <col min="15880" max="15880" width="6.140625" style="5" customWidth="1"/>
    <col min="15881" max="15881" width="17.5703125" style="5" customWidth="1"/>
    <col min="15882" max="15882" width="18.7109375" style="5" customWidth="1"/>
    <col min="15883" max="16129" width="9.140625" style="5"/>
    <col min="16130" max="16130" width="1.28515625" style="5" customWidth="1"/>
    <col min="16131" max="16131" width="5.42578125" style="5" customWidth="1"/>
    <col min="16132" max="16132" width="9.140625" style="5"/>
    <col min="16133" max="16133" width="1.28515625" style="5" customWidth="1"/>
    <col min="16134" max="16134" width="21.5703125" style="5" customWidth="1"/>
    <col min="16135" max="16135" width="7.5703125" style="5" customWidth="1"/>
    <col min="16136" max="16136" width="6.140625" style="5" customWidth="1"/>
    <col min="16137" max="16137" width="17.5703125" style="5" customWidth="1"/>
    <col min="16138" max="16138" width="18.7109375" style="5" customWidth="1"/>
    <col min="16139" max="16384" width="9.140625" style="5"/>
  </cols>
  <sheetData>
    <row r="2" spans="2:14" ht="15.75">
      <c r="B2" s="774"/>
      <c r="C2" s="775"/>
      <c r="D2" s="775"/>
      <c r="E2" s="776" t="s">
        <v>837</v>
      </c>
      <c r="F2" s="776"/>
      <c r="G2" s="776"/>
      <c r="H2" s="776"/>
      <c r="I2" s="776"/>
      <c r="J2" s="776"/>
    </row>
    <row r="3" spans="2:14" ht="16.5" thickBot="1">
      <c r="B3" s="774"/>
      <c r="C3" s="775"/>
      <c r="D3" s="775"/>
      <c r="E3" s="776"/>
      <c r="F3" s="776"/>
      <c r="G3" s="776"/>
      <c r="H3" s="776"/>
      <c r="I3" s="776"/>
      <c r="J3" s="776"/>
    </row>
    <row r="4" spans="2:14" ht="15.75" thickBot="1">
      <c r="B4" s="777" t="s">
        <v>817</v>
      </c>
      <c r="C4" s="778" t="s">
        <v>211</v>
      </c>
      <c r="D4" s="778"/>
      <c r="E4" s="778"/>
      <c r="F4" s="779" t="s">
        <v>818</v>
      </c>
      <c r="G4" s="780" t="s">
        <v>819</v>
      </c>
      <c r="H4" s="778" t="s">
        <v>820</v>
      </c>
      <c r="I4" s="1178" t="s">
        <v>821</v>
      </c>
      <c r="J4" s="1177"/>
    </row>
    <row r="5" spans="2:14">
      <c r="B5" s="782" t="s">
        <v>838</v>
      </c>
      <c r="C5" s="783" t="s">
        <v>839</v>
      </c>
      <c r="D5" s="784"/>
      <c r="E5" s="784"/>
      <c r="F5" s="785"/>
      <c r="G5" s="785"/>
      <c r="H5" s="786"/>
      <c r="I5" s="787"/>
      <c r="J5" s="1174"/>
      <c r="N5" s="1903" t="s">
        <v>2062</v>
      </c>
    </row>
    <row r="6" spans="2:14">
      <c r="B6" s="788"/>
      <c r="C6" s="792" t="s">
        <v>840</v>
      </c>
      <c r="D6" s="635"/>
      <c r="E6" s="165"/>
      <c r="F6" s="345">
        <v>1.05</v>
      </c>
      <c r="G6" s="811" t="s">
        <v>841</v>
      </c>
      <c r="H6" s="681">
        <f>BAHAN!$E$291</f>
        <v>7211.45</v>
      </c>
      <c r="I6" s="790">
        <f>+F6*H6</f>
        <v>7572.0225</v>
      </c>
      <c r="J6" s="1174"/>
      <c r="K6" s="1410">
        <f>SUMIF(BOQ!$G$1:$G$3199,J8,BOQ!$E$1:$E$3199)</f>
        <v>0</v>
      </c>
      <c r="L6" s="910">
        <f>K6*F6</f>
        <v>0</v>
      </c>
      <c r="M6" s="1491" t="s">
        <v>841</v>
      </c>
      <c r="N6" s="1410"/>
    </row>
    <row r="7" spans="2:14">
      <c r="B7" s="791"/>
      <c r="C7" s="792" t="s">
        <v>842</v>
      </c>
      <c r="D7" s="603"/>
      <c r="E7" s="171"/>
      <c r="F7" s="336">
        <v>1</v>
      </c>
      <c r="G7" s="811" t="s">
        <v>841</v>
      </c>
      <c r="H7" s="686">
        <f>BAHAN!$E$326</f>
        <v>3200</v>
      </c>
      <c r="I7" s="793">
        <f t="shared" ref="I7:I12" si="0">+F7*H7</f>
        <v>3200</v>
      </c>
      <c r="J7" s="1174"/>
      <c r="K7" s="1410">
        <f>$K$6</f>
        <v>0</v>
      </c>
      <c r="L7" s="910">
        <f>K7*F7</f>
        <v>0</v>
      </c>
      <c r="M7" s="1491" t="s">
        <v>841</v>
      </c>
      <c r="N7" s="1410">
        <f>$L$7+$L$17+$L$27+$L$37+$L$255</f>
        <v>95</v>
      </c>
    </row>
    <row r="8" spans="2:14">
      <c r="B8" s="791"/>
      <c r="C8" s="792" t="s">
        <v>843</v>
      </c>
      <c r="D8" s="603"/>
      <c r="E8" s="171"/>
      <c r="F8" s="336">
        <v>5</v>
      </c>
      <c r="G8" s="811" t="s">
        <v>844</v>
      </c>
      <c r="H8" s="686">
        <f>I6</f>
        <v>7572.0225</v>
      </c>
      <c r="I8" s="793">
        <f>+F8%*H8</f>
        <v>378.60112500000002</v>
      </c>
      <c r="J8" s="1174">
        <f>SUM(I6:I8)</f>
        <v>11150.623624999998</v>
      </c>
      <c r="K8" s="1410">
        <f>$K$6</f>
        <v>0</v>
      </c>
      <c r="L8" s="910">
        <f>K8*F8</f>
        <v>0</v>
      </c>
      <c r="M8" s="1491" t="s">
        <v>844</v>
      </c>
    </row>
    <row r="9" spans="2:14">
      <c r="B9" s="812"/>
      <c r="C9" s="792" t="s">
        <v>845</v>
      </c>
      <c r="D9" s="813"/>
      <c r="E9" s="814"/>
      <c r="F9" s="815">
        <v>0.1</v>
      </c>
      <c r="G9" s="811" t="s">
        <v>846</v>
      </c>
      <c r="H9" s="797">
        <f>UPAH!$E$26</f>
        <v>136000</v>
      </c>
      <c r="I9" s="793">
        <f t="shared" si="0"/>
        <v>13600</v>
      </c>
      <c r="J9" s="1174"/>
    </row>
    <row r="10" spans="2:14">
      <c r="B10" s="812"/>
      <c r="C10" s="792" t="s">
        <v>847</v>
      </c>
      <c r="D10" s="813"/>
      <c r="E10" s="814"/>
      <c r="F10" s="815">
        <v>0.1</v>
      </c>
      <c r="G10" s="811" t="s">
        <v>846</v>
      </c>
      <c r="H10" s="797">
        <f>UPAH!$E$20</f>
        <v>170000</v>
      </c>
      <c r="I10" s="793">
        <f t="shared" si="0"/>
        <v>17000</v>
      </c>
      <c r="J10" s="1174"/>
    </row>
    <row r="11" spans="2:14">
      <c r="B11" s="812"/>
      <c r="C11" s="792" t="s">
        <v>848</v>
      </c>
      <c r="D11" s="813"/>
      <c r="E11" s="814"/>
      <c r="F11" s="815">
        <v>0.05</v>
      </c>
      <c r="G11" s="811" t="s">
        <v>846</v>
      </c>
      <c r="H11" s="797">
        <f>UPAH!$E$14</f>
        <v>170000</v>
      </c>
      <c r="I11" s="793">
        <f t="shared" si="0"/>
        <v>8500</v>
      </c>
      <c r="J11" s="1174"/>
    </row>
    <row r="12" spans="2:14">
      <c r="B12" s="794"/>
      <c r="C12" s="792" t="s">
        <v>136</v>
      </c>
      <c r="D12" s="642"/>
      <c r="E12" s="796"/>
      <c r="F12" s="691">
        <v>0.05</v>
      </c>
      <c r="G12" s="816" t="s">
        <v>846</v>
      </c>
      <c r="H12" s="797">
        <f>UPAH!$E$9</f>
        <v>180000</v>
      </c>
      <c r="I12" s="798">
        <f t="shared" si="0"/>
        <v>9000</v>
      </c>
      <c r="J12" s="1174">
        <f>SUM(I9:I12)</f>
        <v>48100</v>
      </c>
    </row>
    <row r="13" spans="2:14">
      <c r="B13" s="799"/>
      <c r="C13" s="810" t="s">
        <v>645</v>
      </c>
      <c r="D13" s="801"/>
      <c r="E13" s="801"/>
      <c r="F13" s="801"/>
      <c r="G13" s="801"/>
      <c r="H13" s="802"/>
      <c r="I13" s="803">
        <f>SUM(I6:I12)</f>
        <v>59250.623625</v>
      </c>
      <c r="J13" s="1174"/>
    </row>
    <row r="14" spans="2:14" ht="15.75" thickBot="1">
      <c r="B14" s="804"/>
      <c r="C14" s="805" t="s">
        <v>229</v>
      </c>
      <c r="D14" s="806"/>
      <c r="E14" s="806"/>
      <c r="F14" s="806"/>
      <c r="G14" s="806"/>
      <c r="H14" s="807"/>
      <c r="I14" s="808">
        <f>ROUND(I13,0)</f>
        <v>59251</v>
      </c>
      <c r="J14" s="775"/>
    </row>
    <row r="15" spans="2:14">
      <c r="B15" s="782" t="s">
        <v>849</v>
      </c>
      <c r="C15" s="783" t="s">
        <v>850</v>
      </c>
      <c r="D15" s="784"/>
      <c r="E15" s="784"/>
      <c r="F15" s="785"/>
      <c r="G15" s="785"/>
      <c r="H15" s="786"/>
      <c r="I15" s="787"/>
      <c r="J15" s="1174"/>
    </row>
    <row r="16" spans="2:14">
      <c r="B16" s="788"/>
      <c r="C16" s="792" t="s">
        <v>851</v>
      </c>
      <c r="D16" s="635"/>
      <c r="E16" s="165"/>
      <c r="F16" s="345">
        <v>1.05</v>
      </c>
      <c r="G16" s="811" t="s">
        <v>841</v>
      </c>
      <c r="H16" s="681">
        <f>BAHAN!$E$292</f>
        <v>9792</v>
      </c>
      <c r="I16" s="790">
        <f t="shared" ref="I16:I22" si="1">+F16*H16</f>
        <v>10281.6</v>
      </c>
      <c r="J16" s="1174"/>
      <c r="K16" s="1410">
        <f>SUMIF(BOQ!$G$1:$G$3199,J18,BOQ!$E$1:$E$3199)</f>
        <v>0</v>
      </c>
      <c r="L16" s="910">
        <f>K16*F16</f>
        <v>0</v>
      </c>
      <c r="M16" s="1491" t="s">
        <v>841</v>
      </c>
      <c r="N16" s="1410">
        <f>SUM(L16,L26)</f>
        <v>0</v>
      </c>
    </row>
    <row r="17" spans="2:13">
      <c r="B17" s="791"/>
      <c r="C17" s="792" t="s">
        <v>842</v>
      </c>
      <c r="D17" s="603"/>
      <c r="E17" s="171"/>
      <c r="F17" s="336">
        <v>1</v>
      </c>
      <c r="G17" s="811" t="s">
        <v>841</v>
      </c>
      <c r="H17" s="686">
        <f>H7</f>
        <v>3200</v>
      </c>
      <c r="I17" s="793">
        <f t="shared" si="1"/>
        <v>3200</v>
      </c>
      <c r="J17" s="1174"/>
      <c r="K17" s="1410">
        <f>$K$16</f>
        <v>0</v>
      </c>
      <c r="L17" s="910">
        <f>K17*F17</f>
        <v>0</v>
      </c>
      <c r="M17" s="1491" t="s">
        <v>841</v>
      </c>
    </row>
    <row r="18" spans="2:13">
      <c r="B18" s="791"/>
      <c r="C18" s="792" t="s">
        <v>843</v>
      </c>
      <c r="D18" s="603"/>
      <c r="E18" s="171"/>
      <c r="F18" s="336">
        <v>5</v>
      </c>
      <c r="G18" s="811" t="s">
        <v>844</v>
      </c>
      <c r="H18" s="686">
        <f>I16</f>
        <v>10281.6</v>
      </c>
      <c r="I18" s="793">
        <f>+F18%*H18</f>
        <v>514.08000000000004</v>
      </c>
      <c r="J18" s="1174">
        <f>SUM(I16:I18)</f>
        <v>13995.68</v>
      </c>
      <c r="K18" s="1410">
        <f>$K$16</f>
        <v>0</v>
      </c>
      <c r="L18" s="910">
        <f>K18*F18</f>
        <v>0</v>
      </c>
      <c r="M18" s="1491" t="s">
        <v>844</v>
      </c>
    </row>
    <row r="19" spans="2:13">
      <c r="B19" s="812"/>
      <c r="C19" s="792" t="s">
        <v>845</v>
      </c>
      <c r="D19" s="813"/>
      <c r="E19" s="814"/>
      <c r="F19" s="815">
        <v>0.1</v>
      </c>
      <c r="G19" s="811" t="s">
        <v>846</v>
      </c>
      <c r="H19" s="797">
        <f>H9</f>
        <v>136000</v>
      </c>
      <c r="I19" s="793">
        <f t="shared" si="1"/>
        <v>13600</v>
      </c>
      <c r="J19" s="1174"/>
    </row>
    <row r="20" spans="2:13">
      <c r="B20" s="812"/>
      <c r="C20" s="792" t="s">
        <v>847</v>
      </c>
      <c r="D20" s="813"/>
      <c r="E20" s="814"/>
      <c r="F20" s="815">
        <v>0.1</v>
      </c>
      <c r="G20" s="811" t="s">
        <v>846</v>
      </c>
      <c r="H20" s="797">
        <f>H10</f>
        <v>170000</v>
      </c>
      <c r="I20" s="793">
        <f t="shared" si="1"/>
        <v>17000</v>
      </c>
      <c r="J20" s="1174"/>
    </row>
    <row r="21" spans="2:13">
      <c r="B21" s="812"/>
      <c r="C21" s="792" t="s">
        <v>848</v>
      </c>
      <c r="D21" s="813"/>
      <c r="E21" s="814"/>
      <c r="F21" s="815">
        <v>0.05</v>
      </c>
      <c r="G21" s="811" t="s">
        <v>846</v>
      </c>
      <c r="H21" s="797">
        <f>H11</f>
        <v>170000</v>
      </c>
      <c r="I21" s="793">
        <f t="shared" si="1"/>
        <v>8500</v>
      </c>
      <c r="J21" s="1174"/>
    </row>
    <row r="22" spans="2:13">
      <c r="B22" s="794"/>
      <c r="C22" s="792" t="s">
        <v>136</v>
      </c>
      <c r="D22" s="642"/>
      <c r="E22" s="796"/>
      <c r="F22" s="691">
        <v>0.05</v>
      </c>
      <c r="G22" s="816" t="s">
        <v>846</v>
      </c>
      <c r="H22" s="797">
        <f>H12</f>
        <v>180000</v>
      </c>
      <c r="I22" s="798">
        <f t="shared" si="1"/>
        <v>9000</v>
      </c>
      <c r="J22" s="1174">
        <f>SUM(I19:I22)</f>
        <v>48100</v>
      </c>
    </row>
    <row r="23" spans="2:13">
      <c r="B23" s="799"/>
      <c r="C23" s="810" t="s">
        <v>645</v>
      </c>
      <c r="D23" s="801"/>
      <c r="E23" s="801"/>
      <c r="F23" s="801"/>
      <c r="G23" s="801"/>
      <c r="H23" s="802"/>
      <c r="I23" s="803">
        <f>SUM(I16:I22)</f>
        <v>62095.68</v>
      </c>
      <c r="J23" s="1174"/>
    </row>
    <row r="24" spans="2:13" ht="15.75" thickBot="1">
      <c r="B24" s="804"/>
      <c r="C24" s="805" t="s">
        <v>229</v>
      </c>
      <c r="D24" s="806"/>
      <c r="E24" s="806"/>
      <c r="F24" s="806"/>
      <c r="G24" s="806"/>
      <c r="H24" s="807"/>
      <c r="I24" s="808">
        <f>ROUND(I23,0)</f>
        <v>62096</v>
      </c>
      <c r="J24" s="775"/>
    </row>
    <row r="25" spans="2:13">
      <c r="B25" s="782" t="s">
        <v>852</v>
      </c>
      <c r="C25" s="783" t="s">
        <v>853</v>
      </c>
      <c r="D25" s="784"/>
      <c r="E25" s="784"/>
      <c r="F25" s="785"/>
      <c r="G25" s="785"/>
      <c r="H25" s="786"/>
      <c r="I25" s="787"/>
      <c r="J25" s="1174"/>
    </row>
    <row r="26" spans="2:13">
      <c r="B26" s="788"/>
      <c r="C26" s="792" t="s">
        <v>851</v>
      </c>
      <c r="D26" s="635"/>
      <c r="E26" s="165"/>
      <c r="F26" s="345">
        <v>1.0489999999999999</v>
      </c>
      <c r="G26" s="811" t="s">
        <v>841</v>
      </c>
      <c r="H26" s="681">
        <f>H16</f>
        <v>9792</v>
      </c>
      <c r="I26" s="790">
        <f t="shared" ref="I26:I32" si="2">+F26*H26</f>
        <v>10271.807999999999</v>
      </c>
      <c r="J26" s="1174"/>
      <c r="K26" s="1410">
        <f>SUMIF(BOQ!$G$1:$G$3199,J28,BOQ!$E$1:$E$3199)</f>
        <v>0</v>
      </c>
      <c r="L26" s="910">
        <f>K26*F26</f>
        <v>0</v>
      </c>
    </row>
    <row r="27" spans="2:13">
      <c r="B27" s="791"/>
      <c r="C27" s="792" t="s">
        <v>842</v>
      </c>
      <c r="D27" s="603"/>
      <c r="E27" s="171"/>
      <c r="F27" s="336">
        <v>1</v>
      </c>
      <c r="G27" s="811" t="s">
        <v>841</v>
      </c>
      <c r="H27" s="681">
        <f t="shared" ref="H27:H32" si="3">H17</f>
        <v>3200</v>
      </c>
      <c r="I27" s="793">
        <f t="shared" si="2"/>
        <v>3200</v>
      </c>
      <c r="J27" s="1174"/>
      <c r="K27" s="1410">
        <f>$K$26</f>
        <v>0</v>
      </c>
      <c r="L27" s="910">
        <f>K27*F27</f>
        <v>0</v>
      </c>
    </row>
    <row r="28" spans="2:13">
      <c r="B28" s="791"/>
      <c r="C28" s="792" t="s">
        <v>843</v>
      </c>
      <c r="D28" s="603"/>
      <c r="E28" s="171"/>
      <c r="F28" s="336">
        <v>5</v>
      </c>
      <c r="G28" s="811" t="s">
        <v>844</v>
      </c>
      <c r="H28" s="681">
        <f>I26</f>
        <v>10271.807999999999</v>
      </c>
      <c r="I28" s="793">
        <f>+F28%*H28</f>
        <v>513.59039999999993</v>
      </c>
      <c r="J28" s="1174">
        <f>SUM(I26:I28)</f>
        <v>13985.398399999998</v>
      </c>
      <c r="K28" s="1410">
        <f>$K$26</f>
        <v>0</v>
      </c>
      <c r="L28" s="910">
        <f>K28*F28</f>
        <v>0</v>
      </c>
    </row>
    <row r="29" spans="2:13">
      <c r="B29" s="812"/>
      <c r="C29" s="792" t="s">
        <v>845</v>
      </c>
      <c r="D29" s="813"/>
      <c r="E29" s="814"/>
      <c r="F29" s="815">
        <v>0.1</v>
      </c>
      <c r="G29" s="811" t="s">
        <v>846</v>
      </c>
      <c r="H29" s="681">
        <f t="shared" si="3"/>
        <v>136000</v>
      </c>
      <c r="I29" s="793">
        <f t="shared" si="2"/>
        <v>13600</v>
      </c>
      <c r="J29" s="1174"/>
    </row>
    <row r="30" spans="2:13">
      <c r="B30" s="812"/>
      <c r="C30" s="792" t="s">
        <v>847</v>
      </c>
      <c r="D30" s="813"/>
      <c r="E30" s="814"/>
      <c r="F30" s="815">
        <v>0.1</v>
      </c>
      <c r="G30" s="811" t="s">
        <v>846</v>
      </c>
      <c r="H30" s="681">
        <f t="shared" si="3"/>
        <v>170000</v>
      </c>
      <c r="I30" s="793">
        <f t="shared" si="2"/>
        <v>17000</v>
      </c>
      <c r="J30" s="1174"/>
    </row>
    <row r="31" spans="2:13">
      <c r="B31" s="812"/>
      <c r="C31" s="792" t="s">
        <v>848</v>
      </c>
      <c r="D31" s="813"/>
      <c r="E31" s="814"/>
      <c r="F31" s="815">
        <v>0.05</v>
      </c>
      <c r="G31" s="811" t="s">
        <v>846</v>
      </c>
      <c r="H31" s="681">
        <f t="shared" si="3"/>
        <v>170000</v>
      </c>
      <c r="I31" s="793">
        <f t="shared" si="2"/>
        <v>8500</v>
      </c>
      <c r="J31" s="1174"/>
    </row>
    <row r="32" spans="2:13">
      <c r="B32" s="794"/>
      <c r="C32" s="792" t="s">
        <v>136</v>
      </c>
      <c r="D32" s="642"/>
      <c r="E32" s="796"/>
      <c r="F32" s="691">
        <v>0.05</v>
      </c>
      <c r="G32" s="816" t="s">
        <v>846</v>
      </c>
      <c r="H32" s="681">
        <f t="shared" si="3"/>
        <v>180000</v>
      </c>
      <c r="I32" s="798">
        <f t="shared" si="2"/>
        <v>9000</v>
      </c>
      <c r="J32" s="1174">
        <f>SUM(I29:I32)</f>
        <v>48100</v>
      </c>
    </row>
    <row r="33" spans="2:13">
      <c r="B33" s="799"/>
      <c r="C33" s="810" t="s">
        <v>645</v>
      </c>
      <c r="D33" s="801"/>
      <c r="E33" s="801"/>
      <c r="F33" s="801"/>
      <c r="G33" s="801"/>
      <c r="H33" s="802"/>
      <c r="I33" s="803">
        <f>SUM(I26:I32)</f>
        <v>62085.398399999998</v>
      </c>
      <c r="J33" s="1174"/>
    </row>
    <row r="34" spans="2:13" ht="15.75" thickBot="1">
      <c r="B34" s="804"/>
      <c r="C34" s="805" t="s">
        <v>229</v>
      </c>
      <c r="D34" s="806"/>
      <c r="E34" s="806"/>
      <c r="F34" s="806"/>
      <c r="G34" s="806"/>
      <c r="H34" s="807"/>
      <c r="I34" s="808">
        <f>ROUND(I33,0)</f>
        <v>62085</v>
      </c>
      <c r="J34" s="775"/>
    </row>
    <row r="35" spans="2:13">
      <c r="B35" s="782" t="s">
        <v>854</v>
      </c>
      <c r="C35" s="783" t="s">
        <v>855</v>
      </c>
      <c r="D35" s="784"/>
      <c r="E35" s="784"/>
      <c r="F35" s="785"/>
      <c r="G35" s="785"/>
      <c r="H35" s="786"/>
      <c r="I35" s="787"/>
      <c r="J35" s="1174"/>
    </row>
    <row r="36" spans="2:13">
      <c r="B36" s="788"/>
      <c r="C36" s="792" t="s">
        <v>856</v>
      </c>
      <c r="D36" s="635"/>
      <c r="E36" s="165"/>
      <c r="F36" s="345">
        <v>1.05</v>
      </c>
      <c r="G36" s="811" t="s">
        <v>841</v>
      </c>
      <c r="H36" s="681">
        <f>BAHAN!$E$327</f>
        <v>7750</v>
      </c>
      <c r="I36" s="790">
        <f t="shared" ref="I36:I42" si="4">+F36*H36</f>
        <v>8137.5</v>
      </c>
      <c r="J36" s="1174"/>
      <c r="K36" s="5">
        <f>BOQ!$E$1205</f>
        <v>40</v>
      </c>
      <c r="L36" s="910">
        <f>K36*F36</f>
        <v>42</v>
      </c>
      <c r="M36" s="1491" t="s">
        <v>841</v>
      </c>
    </row>
    <row r="37" spans="2:13">
      <c r="B37" s="791"/>
      <c r="C37" s="792" t="s">
        <v>842</v>
      </c>
      <c r="D37" s="603"/>
      <c r="E37" s="171"/>
      <c r="F37" s="336">
        <v>1</v>
      </c>
      <c r="G37" s="811" t="s">
        <v>841</v>
      </c>
      <c r="H37" s="686">
        <f>H27</f>
        <v>3200</v>
      </c>
      <c r="I37" s="793">
        <f t="shared" si="4"/>
        <v>3200</v>
      </c>
      <c r="J37" s="1174"/>
      <c r="K37" s="5">
        <f>BOQ!$E$1205</f>
        <v>40</v>
      </c>
      <c r="L37" s="910">
        <f>K37*F37</f>
        <v>40</v>
      </c>
      <c r="M37" s="1491" t="s">
        <v>841</v>
      </c>
    </row>
    <row r="38" spans="2:13">
      <c r="B38" s="791"/>
      <c r="C38" s="792" t="s">
        <v>843</v>
      </c>
      <c r="D38" s="603"/>
      <c r="E38" s="171"/>
      <c r="F38" s="336">
        <v>5</v>
      </c>
      <c r="G38" s="811" t="s">
        <v>844</v>
      </c>
      <c r="H38" s="686">
        <f>I36</f>
        <v>8137.5</v>
      </c>
      <c r="I38" s="793">
        <f>+F38%*H38</f>
        <v>406.875</v>
      </c>
      <c r="J38" s="1174">
        <f>SUM(I36:I38)</f>
        <v>11744.375</v>
      </c>
      <c r="K38" s="5">
        <f>BOQ!$E$1205</f>
        <v>40</v>
      </c>
      <c r="L38" s="910">
        <f>K38*F38</f>
        <v>200</v>
      </c>
      <c r="M38" s="1491" t="s">
        <v>844</v>
      </c>
    </row>
    <row r="39" spans="2:13">
      <c r="B39" s="812"/>
      <c r="C39" s="792" t="s">
        <v>845</v>
      </c>
      <c r="D39" s="813"/>
      <c r="E39" s="814"/>
      <c r="F39" s="815">
        <v>0.1</v>
      </c>
      <c r="G39" s="811" t="s">
        <v>846</v>
      </c>
      <c r="H39" s="686">
        <f>H29</f>
        <v>136000</v>
      </c>
      <c r="I39" s="793">
        <f t="shared" si="4"/>
        <v>13600</v>
      </c>
      <c r="J39" s="1174"/>
    </row>
    <row r="40" spans="2:13">
      <c r="B40" s="812"/>
      <c r="C40" s="792" t="s">
        <v>847</v>
      </c>
      <c r="D40" s="813"/>
      <c r="E40" s="814"/>
      <c r="F40" s="815">
        <v>0.1</v>
      </c>
      <c r="G40" s="811" t="s">
        <v>846</v>
      </c>
      <c r="H40" s="686">
        <f>H30</f>
        <v>170000</v>
      </c>
      <c r="I40" s="793">
        <f t="shared" si="4"/>
        <v>17000</v>
      </c>
      <c r="J40" s="1174"/>
    </row>
    <row r="41" spans="2:13">
      <c r="B41" s="812"/>
      <c r="C41" s="792" t="s">
        <v>848</v>
      </c>
      <c r="D41" s="813"/>
      <c r="E41" s="814"/>
      <c r="F41" s="815">
        <v>0.05</v>
      </c>
      <c r="G41" s="811" t="s">
        <v>846</v>
      </c>
      <c r="H41" s="686">
        <f>H31</f>
        <v>170000</v>
      </c>
      <c r="I41" s="793">
        <f t="shared" si="4"/>
        <v>8500</v>
      </c>
      <c r="J41" s="1174"/>
    </row>
    <row r="42" spans="2:13">
      <c r="B42" s="794"/>
      <c r="C42" s="792" t="s">
        <v>136</v>
      </c>
      <c r="D42" s="642"/>
      <c r="E42" s="796"/>
      <c r="F42" s="691">
        <v>0.05</v>
      </c>
      <c r="G42" s="816" t="s">
        <v>846</v>
      </c>
      <c r="H42" s="686">
        <f>H32</f>
        <v>180000</v>
      </c>
      <c r="I42" s="798">
        <f t="shared" si="4"/>
        <v>9000</v>
      </c>
      <c r="J42" s="1174">
        <f>SUM(I39:I42)</f>
        <v>48100</v>
      </c>
    </row>
    <row r="43" spans="2:13">
      <c r="B43" s="799"/>
      <c r="C43" s="810" t="s">
        <v>645</v>
      </c>
      <c r="D43" s="801"/>
      <c r="E43" s="801"/>
      <c r="F43" s="801"/>
      <c r="G43" s="801"/>
      <c r="H43" s="802"/>
      <c r="I43" s="803">
        <f>SUM(I36:I42)</f>
        <v>59844.375</v>
      </c>
      <c r="J43" s="1174"/>
    </row>
    <row r="44" spans="2:13" ht="15.75" thickBot="1">
      <c r="B44" s="804"/>
      <c r="C44" s="805" t="s">
        <v>229</v>
      </c>
      <c r="D44" s="806"/>
      <c r="E44" s="806"/>
      <c r="F44" s="806"/>
      <c r="G44" s="806"/>
      <c r="H44" s="807"/>
      <c r="I44" s="808">
        <f>ROUND(I43,0)</f>
        <v>59844</v>
      </c>
      <c r="J44" s="775"/>
    </row>
    <row r="45" spans="2:13">
      <c r="B45" s="782" t="s">
        <v>857</v>
      </c>
      <c r="C45" s="783" t="s">
        <v>858</v>
      </c>
      <c r="D45" s="784"/>
      <c r="E45" s="784"/>
      <c r="F45" s="785"/>
      <c r="G45" s="785"/>
      <c r="H45" s="786"/>
      <c r="I45" s="787"/>
      <c r="J45" s="1174"/>
    </row>
    <row r="46" spans="2:13">
      <c r="B46" s="788"/>
      <c r="C46" s="792" t="s">
        <v>859</v>
      </c>
      <c r="D46" s="635"/>
      <c r="E46" s="165"/>
      <c r="F46" s="345">
        <v>1.05</v>
      </c>
      <c r="G46" s="811" t="s">
        <v>841</v>
      </c>
      <c r="H46" s="681">
        <f>BAHAN!$E$328</f>
        <v>1250</v>
      </c>
      <c r="I46" s="790">
        <f t="shared" ref="I46:I52" si="5">+F46*H46</f>
        <v>1312.5</v>
      </c>
      <c r="J46" s="1174"/>
      <c r="K46" s="5">
        <f>BOQ!$E$1206</f>
        <v>0</v>
      </c>
      <c r="L46" s="954">
        <f>K46*F46</f>
        <v>0</v>
      </c>
      <c r="M46" s="1491" t="s">
        <v>841</v>
      </c>
    </row>
    <row r="47" spans="2:13">
      <c r="B47" s="791"/>
      <c r="C47" s="792" t="s">
        <v>842</v>
      </c>
      <c r="D47" s="603"/>
      <c r="E47" s="171"/>
      <c r="F47" s="336">
        <v>1</v>
      </c>
      <c r="G47" s="811" t="s">
        <v>841</v>
      </c>
      <c r="H47" s="686">
        <f>H37</f>
        <v>3200</v>
      </c>
      <c r="I47" s="793">
        <f t="shared" si="5"/>
        <v>3200</v>
      </c>
      <c r="J47" s="1174"/>
      <c r="K47" s="5">
        <f>BOQ!$E$1206</f>
        <v>0</v>
      </c>
      <c r="L47" s="954">
        <f>K47*F47</f>
        <v>0</v>
      </c>
      <c r="M47" s="1491" t="s">
        <v>841</v>
      </c>
    </row>
    <row r="48" spans="2:13">
      <c r="B48" s="791"/>
      <c r="C48" s="792" t="s">
        <v>843</v>
      </c>
      <c r="D48" s="603"/>
      <c r="E48" s="171"/>
      <c r="F48" s="336">
        <v>5</v>
      </c>
      <c r="G48" s="811" t="s">
        <v>844</v>
      </c>
      <c r="H48" s="686">
        <f>I46</f>
        <v>1312.5</v>
      </c>
      <c r="I48" s="793">
        <f>+F48%*H48</f>
        <v>65.625</v>
      </c>
      <c r="J48" s="1174">
        <f>SUM(I46:I48)</f>
        <v>4578.125</v>
      </c>
      <c r="K48" s="5">
        <f>BOQ!$E$1206</f>
        <v>0</v>
      </c>
      <c r="L48" s="954">
        <f>K48*F48</f>
        <v>0</v>
      </c>
      <c r="M48" s="1491" t="s">
        <v>844</v>
      </c>
    </row>
    <row r="49" spans="2:13">
      <c r="B49" s="812"/>
      <c r="C49" s="792" t="s">
        <v>845</v>
      </c>
      <c r="D49" s="813"/>
      <c r="E49" s="814"/>
      <c r="F49" s="815">
        <v>0.1</v>
      </c>
      <c r="G49" s="811" t="s">
        <v>846</v>
      </c>
      <c r="H49" s="797">
        <f>H39</f>
        <v>136000</v>
      </c>
      <c r="I49" s="793">
        <f t="shared" si="5"/>
        <v>13600</v>
      </c>
      <c r="J49" s="1174"/>
    </row>
    <row r="50" spans="2:13">
      <c r="B50" s="812"/>
      <c r="C50" s="792" t="s">
        <v>847</v>
      </c>
      <c r="D50" s="813"/>
      <c r="E50" s="814"/>
      <c r="F50" s="815">
        <v>0.1</v>
      </c>
      <c r="G50" s="811" t="s">
        <v>846</v>
      </c>
      <c r="H50" s="797">
        <f>H40</f>
        <v>170000</v>
      </c>
      <c r="I50" s="793">
        <f t="shared" si="5"/>
        <v>17000</v>
      </c>
      <c r="J50" s="1174"/>
    </row>
    <row r="51" spans="2:13">
      <c r="B51" s="812"/>
      <c r="C51" s="792" t="s">
        <v>848</v>
      </c>
      <c r="D51" s="813"/>
      <c r="E51" s="814"/>
      <c r="F51" s="815">
        <v>0.05</v>
      </c>
      <c r="G51" s="811" t="s">
        <v>846</v>
      </c>
      <c r="H51" s="797">
        <f>H41</f>
        <v>170000</v>
      </c>
      <c r="I51" s="793">
        <f t="shared" si="5"/>
        <v>8500</v>
      </c>
      <c r="J51" s="1174"/>
    </row>
    <row r="52" spans="2:13">
      <c r="B52" s="794"/>
      <c r="C52" s="792" t="s">
        <v>136</v>
      </c>
      <c r="D52" s="642"/>
      <c r="E52" s="796"/>
      <c r="F52" s="691">
        <v>0.05</v>
      </c>
      <c r="G52" s="816" t="s">
        <v>846</v>
      </c>
      <c r="H52" s="797">
        <f>H42</f>
        <v>180000</v>
      </c>
      <c r="I52" s="798">
        <f t="shared" si="5"/>
        <v>9000</v>
      </c>
      <c r="J52" s="1174">
        <f>SUM(I49:I52)</f>
        <v>48100</v>
      </c>
    </row>
    <row r="53" spans="2:13">
      <c r="B53" s="799"/>
      <c r="C53" s="810" t="s">
        <v>645</v>
      </c>
      <c r="D53" s="801"/>
      <c r="E53" s="801"/>
      <c r="F53" s="801"/>
      <c r="G53" s="801"/>
      <c r="H53" s="802"/>
      <c r="I53" s="803">
        <f>SUM(I46:I52)</f>
        <v>52678.125</v>
      </c>
      <c r="J53" s="1174"/>
    </row>
    <row r="54" spans="2:13" ht="15.75" thickBot="1">
      <c r="B54" s="804"/>
      <c r="C54" s="805" t="s">
        <v>229</v>
      </c>
      <c r="D54" s="806"/>
      <c r="E54" s="806"/>
      <c r="F54" s="806"/>
      <c r="G54" s="806"/>
      <c r="H54" s="807"/>
      <c r="I54" s="808">
        <f>ROUND(I53,0)</f>
        <v>52678</v>
      </c>
      <c r="J54" s="775"/>
    </row>
    <row r="55" spans="2:13">
      <c r="B55" s="782" t="s">
        <v>860</v>
      </c>
      <c r="C55" s="783" t="s">
        <v>861</v>
      </c>
      <c r="D55" s="784"/>
      <c r="E55" s="784"/>
      <c r="F55" s="785"/>
      <c r="G55" s="785"/>
      <c r="H55" s="786"/>
      <c r="I55" s="787"/>
      <c r="J55" s="1174"/>
    </row>
    <row r="56" spans="2:13">
      <c r="B56" s="788"/>
      <c r="C56" s="792" t="s">
        <v>862</v>
      </c>
      <c r="D56" s="635"/>
      <c r="E56" s="165"/>
      <c r="F56" s="345">
        <v>1</v>
      </c>
      <c r="G56" s="811" t="s">
        <v>88</v>
      </c>
      <c r="H56" s="681">
        <f>BAHAN!$E$324</f>
        <v>60000</v>
      </c>
      <c r="I56" s="790">
        <f t="shared" ref="I56:I61" si="6">+F56*H56</f>
        <v>60000</v>
      </c>
      <c r="J56" s="1174"/>
      <c r="K56" s="1410">
        <f>SUMIF(BOQ!$G$1:$G$3199,J57,BOQ!$E$1:$E$3199)</f>
        <v>0</v>
      </c>
      <c r="L56" s="955">
        <f>K56*F56</f>
        <v>0</v>
      </c>
      <c r="M56" s="1491" t="s">
        <v>88</v>
      </c>
    </row>
    <row r="57" spans="2:13">
      <c r="B57" s="791"/>
      <c r="C57" s="792" t="s">
        <v>843</v>
      </c>
      <c r="D57" s="603"/>
      <c r="E57" s="171"/>
      <c r="F57" s="336">
        <v>5</v>
      </c>
      <c r="G57" s="811" t="s">
        <v>844</v>
      </c>
      <c r="H57" s="686">
        <f>I56</f>
        <v>60000</v>
      </c>
      <c r="I57" s="793">
        <f>+F57%*H57</f>
        <v>3000</v>
      </c>
      <c r="J57" s="1174">
        <f>SUM(I56:I57)</f>
        <v>63000</v>
      </c>
      <c r="K57" s="5">
        <f>BOQ!$E$1208</f>
        <v>5</v>
      </c>
      <c r="L57" s="955">
        <f>K57*F57</f>
        <v>25</v>
      </c>
      <c r="M57" s="1491" t="s">
        <v>844</v>
      </c>
    </row>
    <row r="58" spans="2:13">
      <c r="B58" s="812"/>
      <c r="C58" s="792" t="s">
        <v>845</v>
      </c>
      <c r="D58" s="813"/>
      <c r="E58" s="814"/>
      <c r="F58" s="336">
        <v>2.5000000000000001E-2</v>
      </c>
      <c r="G58" s="811" t="s">
        <v>846</v>
      </c>
      <c r="H58" s="797">
        <f>H49</f>
        <v>136000</v>
      </c>
      <c r="I58" s="793">
        <f t="shared" si="6"/>
        <v>3400</v>
      </c>
      <c r="J58" s="1174"/>
    </row>
    <row r="59" spans="2:13">
      <c r="B59" s="812"/>
      <c r="C59" s="792" t="s">
        <v>847</v>
      </c>
      <c r="D59" s="813"/>
      <c r="E59" s="814"/>
      <c r="F59" s="336">
        <v>2.5000000000000001E-2</v>
      </c>
      <c r="G59" s="811" t="s">
        <v>846</v>
      </c>
      <c r="H59" s="797">
        <f>H50</f>
        <v>170000</v>
      </c>
      <c r="I59" s="793">
        <f t="shared" si="6"/>
        <v>4250</v>
      </c>
      <c r="J59" s="1174"/>
    </row>
    <row r="60" spans="2:13">
      <c r="B60" s="812"/>
      <c r="C60" s="792" t="s">
        <v>848</v>
      </c>
      <c r="D60" s="813"/>
      <c r="E60" s="814"/>
      <c r="F60" s="336">
        <v>1.66E-2</v>
      </c>
      <c r="G60" s="811" t="s">
        <v>846</v>
      </c>
      <c r="H60" s="797">
        <f>H51</f>
        <v>170000</v>
      </c>
      <c r="I60" s="793">
        <f t="shared" si="6"/>
        <v>2822</v>
      </c>
      <c r="J60" s="1174"/>
    </row>
    <row r="61" spans="2:13">
      <c r="B61" s="794"/>
      <c r="C61" s="792" t="s">
        <v>136</v>
      </c>
      <c r="D61" s="642"/>
      <c r="E61" s="796"/>
      <c r="F61" s="691">
        <v>1.4E-2</v>
      </c>
      <c r="G61" s="816" t="s">
        <v>846</v>
      </c>
      <c r="H61" s="797">
        <f>H52</f>
        <v>180000</v>
      </c>
      <c r="I61" s="798">
        <f t="shared" si="6"/>
        <v>2520</v>
      </c>
      <c r="J61" s="1174">
        <f>SUM(I58:I61)</f>
        <v>12992</v>
      </c>
    </row>
    <row r="62" spans="2:13">
      <c r="B62" s="799"/>
      <c r="C62" s="810" t="s">
        <v>645</v>
      </c>
      <c r="D62" s="801"/>
      <c r="E62" s="801"/>
      <c r="F62" s="801"/>
      <c r="G62" s="801"/>
      <c r="H62" s="802"/>
      <c r="I62" s="803">
        <f>SUM(I56:I61)</f>
        <v>75992</v>
      </c>
      <c r="J62" s="1174"/>
    </row>
    <row r="63" spans="2:13" ht="15.75" thickBot="1">
      <c r="B63" s="804"/>
      <c r="C63" s="805" t="s">
        <v>229</v>
      </c>
      <c r="D63" s="806"/>
      <c r="E63" s="806"/>
      <c r="F63" s="806"/>
      <c r="G63" s="806"/>
      <c r="H63" s="807"/>
      <c r="I63" s="808">
        <f>ROUND(I62,0)</f>
        <v>75992</v>
      </c>
      <c r="J63" s="775"/>
    </row>
    <row r="64" spans="2:13">
      <c r="B64" s="782" t="s">
        <v>863</v>
      </c>
      <c r="C64" s="783" t="s">
        <v>864</v>
      </c>
      <c r="D64" s="784"/>
      <c r="E64" s="784"/>
      <c r="F64" s="785"/>
      <c r="G64" s="785"/>
      <c r="H64" s="786"/>
      <c r="I64" s="787"/>
      <c r="J64" s="1174"/>
    </row>
    <row r="65" spans="2:13">
      <c r="B65" s="788"/>
      <c r="C65" s="792" t="s">
        <v>865</v>
      </c>
      <c r="D65" s="635"/>
      <c r="E65" s="165"/>
      <c r="F65" s="345">
        <v>1</v>
      </c>
      <c r="G65" s="811" t="s">
        <v>154</v>
      </c>
      <c r="H65" s="681">
        <v>3000000</v>
      </c>
      <c r="I65" s="790">
        <f>+F65*H65</f>
        <v>3000000</v>
      </c>
      <c r="J65" s="1174"/>
    </row>
    <row r="66" spans="2:13">
      <c r="B66" s="791"/>
      <c r="C66" s="792" t="s">
        <v>866</v>
      </c>
      <c r="D66" s="603"/>
      <c r="E66" s="171"/>
      <c r="F66" s="336"/>
      <c r="G66" s="811"/>
      <c r="H66" s="686"/>
      <c r="I66" s="793"/>
      <c r="J66" s="1174"/>
    </row>
    <row r="67" spans="2:13">
      <c r="B67" s="812"/>
      <c r="C67" s="792" t="s">
        <v>867</v>
      </c>
      <c r="D67" s="813"/>
      <c r="E67" s="814"/>
      <c r="F67" s="336"/>
      <c r="G67" s="811"/>
      <c r="H67" s="797"/>
      <c r="I67" s="793"/>
      <c r="J67" s="1174"/>
    </row>
    <row r="68" spans="2:13">
      <c r="B68" s="812"/>
      <c r="C68" s="792" t="s">
        <v>868</v>
      </c>
      <c r="D68" s="813"/>
      <c r="E68" s="814"/>
      <c r="F68" s="336"/>
      <c r="G68" s="811"/>
      <c r="H68" s="797"/>
      <c r="I68" s="793"/>
      <c r="J68" s="1174"/>
    </row>
    <row r="69" spans="2:13">
      <c r="B69" s="812"/>
      <c r="C69" s="792" t="s">
        <v>869</v>
      </c>
      <c r="D69" s="813"/>
      <c r="E69" s="814"/>
      <c r="F69" s="336"/>
      <c r="G69" s="811"/>
      <c r="H69" s="797"/>
      <c r="I69" s="793"/>
      <c r="J69" s="1174"/>
    </row>
    <row r="70" spans="2:13">
      <c r="B70" s="794"/>
      <c r="C70" s="792" t="s">
        <v>870</v>
      </c>
      <c r="D70" s="642"/>
      <c r="E70" s="796"/>
      <c r="F70" s="691"/>
      <c r="G70" s="816"/>
      <c r="H70" s="797"/>
      <c r="I70" s="798"/>
      <c r="J70" s="1174"/>
    </row>
    <row r="71" spans="2:13">
      <c r="B71" s="799"/>
      <c r="C71" s="810" t="s">
        <v>645</v>
      </c>
      <c r="D71" s="801"/>
      <c r="E71" s="801"/>
      <c r="F71" s="801"/>
      <c r="G71" s="801"/>
      <c r="H71" s="802"/>
      <c r="I71" s="803">
        <f>SUM(I65:I70)</f>
        <v>3000000</v>
      </c>
      <c r="J71" s="1174"/>
    </row>
    <row r="72" spans="2:13" ht="15.75" thickBot="1">
      <c r="B72" s="804"/>
      <c r="C72" s="805" t="s">
        <v>229</v>
      </c>
      <c r="D72" s="806"/>
      <c r="E72" s="806"/>
      <c r="F72" s="806"/>
      <c r="G72" s="806"/>
      <c r="H72" s="807"/>
      <c r="I72" s="808">
        <f>ROUND(I71,0)</f>
        <v>3000000</v>
      </c>
      <c r="J72" s="775"/>
    </row>
    <row r="73" spans="2:13">
      <c r="B73" s="782" t="s">
        <v>871</v>
      </c>
      <c r="C73" s="783" t="s">
        <v>872</v>
      </c>
      <c r="D73" s="784"/>
      <c r="E73" s="784"/>
      <c r="F73" s="785"/>
      <c r="G73" s="785"/>
      <c r="H73" s="786"/>
      <c r="I73" s="787"/>
      <c r="J73" s="1174"/>
    </row>
    <row r="74" spans="2:13">
      <c r="B74" s="788"/>
      <c r="C74" s="792" t="s">
        <v>873</v>
      </c>
      <c r="D74" s="635"/>
      <c r="E74" s="165"/>
      <c r="F74" s="345">
        <v>1</v>
      </c>
      <c r="G74" s="811" t="s">
        <v>88</v>
      </c>
      <c r="H74" s="681">
        <f>BAHAN!$E$308</f>
        <v>17367</v>
      </c>
      <c r="I74" s="790">
        <f t="shared" ref="I74:I79" si="7">+F74*H74</f>
        <v>17367</v>
      </c>
      <c r="J74" s="1174"/>
      <c r="K74" s="1410">
        <f>SUMIF(BOQ!$G$1:$G$3199,J75,BOQ!$E$1:$E$3199)</f>
        <v>0</v>
      </c>
      <c r="L74" s="954">
        <f>K74*F74</f>
        <v>0</v>
      </c>
      <c r="M74" s="1491" t="s">
        <v>88</v>
      </c>
    </row>
    <row r="75" spans="2:13">
      <c r="B75" s="791"/>
      <c r="C75" s="792" t="s">
        <v>843</v>
      </c>
      <c r="D75" s="603"/>
      <c r="E75" s="171"/>
      <c r="F75" s="336">
        <v>5</v>
      </c>
      <c r="G75" s="811" t="s">
        <v>844</v>
      </c>
      <c r="H75" s="686">
        <f>I74</f>
        <v>17367</v>
      </c>
      <c r="I75" s="793">
        <f>+F75%*H75</f>
        <v>868.35</v>
      </c>
      <c r="J75" s="1174">
        <f>SUM(I74:I75)</f>
        <v>18235.349999999999</v>
      </c>
      <c r="K75" s="1410">
        <f>$K$74</f>
        <v>0</v>
      </c>
      <c r="L75" s="954">
        <f>K75*F75</f>
        <v>0</v>
      </c>
      <c r="M75" s="1491" t="s">
        <v>844</v>
      </c>
    </row>
    <row r="76" spans="2:13">
      <c r="B76" s="812"/>
      <c r="C76" s="792" t="s">
        <v>845</v>
      </c>
      <c r="D76" s="813"/>
      <c r="E76" s="814"/>
      <c r="F76" s="336">
        <v>2.5000000000000001E-2</v>
      </c>
      <c r="G76" s="811" t="s">
        <v>846</v>
      </c>
      <c r="H76" s="797">
        <f>H58</f>
        <v>136000</v>
      </c>
      <c r="I76" s="793">
        <f t="shared" si="7"/>
        <v>3400</v>
      </c>
      <c r="J76" s="1174"/>
    </row>
    <row r="77" spans="2:13">
      <c r="B77" s="812"/>
      <c r="C77" s="792" t="s">
        <v>847</v>
      </c>
      <c r="D77" s="813"/>
      <c r="E77" s="814"/>
      <c r="F77" s="336">
        <v>2.5000000000000001E-2</v>
      </c>
      <c r="G77" s="811" t="s">
        <v>846</v>
      </c>
      <c r="H77" s="797">
        <f>H59</f>
        <v>170000</v>
      </c>
      <c r="I77" s="793">
        <f t="shared" si="7"/>
        <v>4250</v>
      </c>
      <c r="J77" s="1174"/>
    </row>
    <row r="78" spans="2:13">
      <c r="B78" s="812"/>
      <c r="C78" s="792" t="s">
        <v>848</v>
      </c>
      <c r="D78" s="813"/>
      <c r="E78" s="814"/>
      <c r="F78" s="336">
        <v>1.66E-2</v>
      </c>
      <c r="G78" s="811" t="s">
        <v>846</v>
      </c>
      <c r="H78" s="797">
        <f>H60</f>
        <v>170000</v>
      </c>
      <c r="I78" s="793">
        <f t="shared" si="7"/>
        <v>2822</v>
      </c>
      <c r="J78" s="1174"/>
    </row>
    <row r="79" spans="2:13">
      <c r="B79" s="794"/>
      <c r="C79" s="792" t="s">
        <v>136</v>
      </c>
      <c r="D79" s="642"/>
      <c r="E79" s="796"/>
      <c r="F79" s="691">
        <v>1.4E-2</v>
      </c>
      <c r="G79" s="816" t="s">
        <v>846</v>
      </c>
      <c r="H79" s="797">
        <f>H61</f>
        <v>180000</v>
      </c>
      <c r="I79" s="798">
        <f t="shared" si="7"/>
        <v>2520</v>
      </c>
      <c r="J79" s="1174">
        <f>SUM(I76:I79)</f>
        <v>12992</v>
      </c>
    </row>
    <row r="80" spans="2:13">
      <c r="B80" s="799"/>
      <c r="C80" s="810" t="s">
        <v>645</v>
      </c>
      <c r="D80" s="801"/>
      <c r="E80" s="801"/>
      <c r="F80" s="801"/>
      <c r="G80" s="801"/>
      <c r="H80" s="802"/>
      <c r="I80" s="803">
        <f>SUM(I74:I79)</f>
        <v>31227.35</v>
      </c>
      <c r="J80" s="1174"/>
    </row>
    <row r="81" spans="2:13" ht="15.75" thickBot="1">
      <c r="B81" s="804"/>
      <c r="C81" s="805" t="s">
        <v>229</v>
      </c>
      <c r="D81" s="806"/>
      <c r="E81" s="806"/>
      <c r="F81" s="806"/>
      <c r="G81" s="806"/>
      <c r="H81" s="807"/>
      <c r="I81" s="808">
        <f>ROUND(I80,0)</f>
        <v>31227</v>
      </c>
      <c r="J81" s="775"/>
    </row>
    <row r="82" spans="2:13">
      <c r="B82" s="782" t="s">
        <v>874</v>
      </c>
      <c r="C82" s="783" t="s">
        <v>875</v>
      </c>
      <c r="D82" s="784"/>
      <c r="E82" s="784"/>
      <c r="F82" s="785"/>
      <c r="G82" s="785"/>
      <c r="H82" s="786"/>
      <c r="I82" s="787"/>
      <c r="J82" s="1174"/>
    </row>
    <row r="83" spans="2:13">
      <c r="B83" s="788"/>
      <c r="C83" s="792" t="s">
        <v>876</v>
      </c>
      <c r="D83" s="635"/>
      <c r="E83" s="165"/>
      <c r="F83" s="345">
        <v>1</v>
      </c>
      <c r="G83" s="811" t="s">
        <v>88</v>
      </c>
      <c r="H83" s="681">
        <f>BAHAN!$E$310</f>
        <v>65000</v>
      </c>
      <c r="I83" s="790">
        <f>+F83*H83</f>
        <v>65000</v>
      </c>
      <c r="J83" s="1174"/>
      <c r="K83" s="1410">
        <f>SUMIF(BOQ!$G$1:$G$3199,J84,BOQ!$E$1:$E$3199)</f>
        <v>0</v>
      </c>
      <c r="L83" s="5">
        <f>K83*F83</f>
        <v>0</v>
      </c>
      <c r="M83" s="1392" t="s">
        <v>88</v>
      </c>
    </row>
    <row r="84" spans="2:13">
      <c r="B84" s="791"/>
      <c r="C84" s="792" t="s">
        <v>843</v>
      </c>
      <c r="D84" s="603"/>
      <c r="E84" s="171"/>
      <c r="F84" s="336">
        <v>5</v>
      </c>
      <c r="G84" s="811" t="s">
        <v>844</v>
      </c>
      <c r="H84" s="686">
        <f>I83</f>
        <v>65000</v>
      </c>
      <c r="I84" s="793">
        <f>+F84%*H84</f>
        <v>3250</v>
      </c>
      <c r="J84" s="1174">
        <f>SUM(I83:I84)</f>
        <v>68250</v>
      </c>
      <c r="K84" s="5">
        <f>$K$83</f>
        <v>0</v>
      </c>
      <c r="L84" s="5">
        <f>K84*F84</f>
        <v>0</v>
      </c>
      <c r="M84" s="1392" t="s">
        <v>844</v>
      </c>
    </row>
    <row r="85" spans="2:13">
      <c r="B85" s="812"/>
      <c r="C85" s="792" t="s">
        <v>845</v>
      </c>
      <c r="D85" s="813"/>
      <c r="E85" s="814"/>
      <c r="F85" s="336">
        <v>2.5000000000000001E-2</v>
      </c>
      <c r="G85" s="811" t="s">
        <v>846</v>
      </c>
      <c r="H85" s="797">
        <f>H76</f>
        <v>136000</v>
      </c>
      <c r="I85" s="793">
        <f>+F85*H85</f>
        <v>3400</v>
      </c>
      <c r="J85" s="1174"/>
    </row>
    <row r="86" spans="2:13">
      <c r="B86" s="812"/>
      <c r="C86" s="792" t="s">
        <v>847</v>
      </c>
      <c r="D86" s="813"/>
      <c r="E86" s="814"/>
      <c r="F86" s="336">
        <v>2.5000000000000001E-2</v>
      </c>
      <c r="G86" s="811" t="s">
        <v>846</v>
      </c>
      <c r="H86" s="797">
        <f>H77</f>
        <v>170000</v>
      </c>
      <c r="I86" s="793">
        <f>+F86*H86</f>
        <v>4250</v>
      </c>
      <c r="J86" s="1174"/>
    </row>
    <row r="87" spans="2:13">
      <c r="B87" s="812"/>
      <c r="C87" s="792" t="s">
        <v>848</v>
      </c>
      <c r="D87" s="813"/>
      <c r="E87" s="814"/>
      <c r="F87" s="336">
        <v>1.66E-2</v>
      </c>
      <c r="G87" s="811" t="s">
        <v>846</v>
      </c>
      <c r="H87" s="797">
        <f>H78</f>
        <v>170000</v>
      </c>
      <c r="I87" s="793">
        <f>+F87*H87</f>
        <v>2822</v>
      </c>
      <c r="J87" s="1174"/>
    </row>
    <row r="88" spans="2:13">
      <c r="B88" s="794"/>
      <c r="C88" s="792" t="s">
        <v>136</v>
      </c>
      <c r="D88" s="642"/>
      <c r="E88" s="796"/>
      <c r="F88" s="691">
        <v>1.4E-2</v>
      </c>
      <c r="G88" s="816" t="s">
        <v>846</v>
      </c>
      <c r="H88" s="797">
        <f>H79</f>
        <v>180000</v>
      </c>
      <c r="I88" s="798">
        <f>+F88*H88</f>
        <v>2520</v>
      </c>
      <c r="J88" s="1174">
        <f>SUM(I85:I88)</f>
        <v>12992</v>
      </c>
    </row>
    <row r="89" spans="2:13">
      <c r="B89" s="799"/>
      <c r="C89" s="810" t="s">
        <v>645</v>
      </c>
      <c r="D89" s="801"/>
      <c r="E89" s="801"/>
      <c r="F89" s="801"/>
      <c r="G89" s="801"/>
      <c r="H89" s="802"/>
      <c r="I89" s="803">
        <f>SUM(I83:I88)</f>
        <v>81242</v>
      </c>
      <c r="J89" s="1174"/>
    </row>
    <row r="90" spans="2:13" ht="15.75" thickBot="1">
      <c r="B90" s="804"/>
      <c r="C90" s="805" t="s">
        <v>229</v>
      </c>
      <c r="D90" s="806"/>
      <c r="E90" s="806"/>
      <c r="F90" s="806"/>
      <c r="G90" s="806"/>
      <c r="H90" s="807"/>
      <c r="I90" s="808">
        <f>ROUND(I89,0)</f>
        <v>81242</v>
      </c>
      <c r="J90" s="775"/>
    </row>
    <row r="91" spans="2:13">
      <c r="B91" s="782" t="s">
        <v>877</v>
      </c>
      <c r="C91" s="783" t="s">
        <v>878</v>
      </c>
      <c r="D91" s="784"/>
      <c r="E91" s="784"/>
      <c r="F91" s="785"/>
      <c r="G91" s="785"/>
      <c r="H91" s="786"/>
      <c r="I91" s="787"/>
      <c r="J91" s="1174"/>
    </row>
    <row r="92" spans="2:13">
      <c r="B92" s="788"/>
      <c r="C92" s="792" t="s">
        <v>879</v>
      </c>
      <c r="D92" s="635"/>
      <c r="E92" s="165"/>
      <c r="F92" s="345">
        <v>1</v>
      </c>
      <c r="G92" s="811" t="s">
        <v>88</v>
      </c>
      <c r="H92" s="681">
        <f>BAHAN!$E$311</f>
        <v>270000</v>
      </c>
      <c r="I92" s="790">
        <f>+F92*H92</f>
        <v>270000</v>
      </c>
      <c r="J92" s="1174"/>
    </row>
    <row r="93" spans="2:13">
      <c r="B93" s="791"/>
      <c r="C93" s="792" t="s">
        <v>843</v>
      </c>
      <c r="D93" s="603"/>
      <c r="E93" s="171"/>
      <c r="F93" s="336">
        <v>5</v>
      </c>
      <c r="G93" s="811" t="s">
        <v>844</v>
      </c>
      <c r="H93" s="686">
        <f>I92</f>
        <v>270000</v>
      </c>
      <c r="I93" s="793">
        <f>+F93%*H93</f>
        <v>13500</v>
      </c>
      <c r="J93" s="1174">
        <f>SUM(I92:I93)</f>
        <v>283500</v>
      </c>
    </row>
    <row r="94" spans="2:13">
      <c r="B94" s="812"/>
      <c r="C94" s="792" t="s">
        <v>845</v>
      </c>
      <c r="D94" s="813"/>
      <c r="E94" s="814"/>
      <c r="F94" s="336">
        <v>2.5000000000000001E-2</v>
      </c>
      <c r="G94" s="811" t="s">
        <v>846</v>
      </c>
      <c r="H94" s="797">
        <f>H85</f>
        <v>136000</v>
      </c>
      <c r="I94" s="793">
        <f>+F94*H94</f>
        <v>3400</v>
      </c>
      <c r="J94" s="1174"/>
    </row>
    <row r="95" spans="2:13">
      <c r="B95" s="812"/>
      <c r="C95" s="792" t="s">
        <v>847</v>
      </c>
      <c r="D95" s="813"/>
      <c r="E95" s="814"/>
      <c r="F95" s="336">
        <v>2.5000000000000001E-2</v>
      </c>
      <c r="G95" s="811" t="s">
        <v>846</v>
      </c>
      <c r="H95" s="797">
        <f>H86</f>
        <v>170000</v>
      </c>
      <c r="I95" s="793">
        <f>+F95*H95</f>
        <v>4250</v>
      </c>
      <c r="J95" s="1174"/>
    </row>
    <row r="96" spans="2:13">
      <c r="B96" s="812"/>
      <c r="C96" s="792" t="s">
        <v>848</v>
      </c>
      <c r="D96" s="813"/>
      <c r="E96" s="814"/>
      <c r="F96" s="336">
        <v>1.66E-2</v>
      </c>
      <c r="G96" s="811" t="s">
        <v>846</v>
      </c>
      <c r="H96" s="797">
        <f>H87</f>
        <v>170000</v>
      </c>
      <c r="I96" s="793">
        <f>+F96*H96</f>
        <v>2822</v>
      </c>
      <c r="J96" s="1174"/>
    </row>
    <row r="97" spans="2:13">
      <c r="B97" s="794"/>
      <c r="C97" s="792" t="s">
        <v>136</v>
      </c>
      <c r="D97" s="642"/>
      <c r="E97" s="796"/>
      <c r="F97" s="691">
        <v>1.4E-2</v>
      </c>
      <c r="G97" s="816" t="s">
        <v>846</v>
      </c>
      <c r="H97" s="797">
        <f>H88</f>
        <v>180000</v>
      </c>
      <c r="I97" s="798">
        <f>+F97*H97</f>
        <v>2520</v>
      </c>
      <c r="J97" s="1174">
        <f>SUM(I94:I97)</f>
        <v>12992</v>
      </c>
    </row>
    <row r="98" spans="2:13">
      <c r="B98" s="799"/>
      <c r="C98" s="810" t="s">
        <v>645</v>
      </c>
      <c r="D98" s="801"/>
      <c r="E98" s="801"/>
      <c r="F98" s="801"/>
      <c r="G98" s="801"/>
      <c r="H98" s="802"/>
      <c r="I98" s="803">
        <f>SUM(I92:I97)</f>
        <v>296492</v>
      </c>
      <c r="J98" s="1174"/>
    </row>
    <row r="99" spans="2:13" ht="15.75" thickBot="1">
      <c r="B99" s="804"/>
      <c r="C99" s="805" t="s">
        <v>229</v>
      </c>
      <c r="D99" s="806"/>
      <c r="E99" s="806"/>
      <c r="F99" s="806"/>
      <c r="G99" s="806"/>
      <c r="H99" s="807"/>
      <c r="I99" s="808">
        <f>ROUND(I98,0)</f>
        <v>296492</v>
      </c>
      <c r="J99" s="775"/>
    </row>
    <row r="100" spans="2:13">
      <c r="B100" s="2627" t="s">
        <v>880</v>
      </c>
      <c r="C100" s="783" t="s">
        <v>1652</v>
      </c>
      <c r="D100" s="784"/>
      <c r="E100" s="784"/>
      <c r="F100" s="785"/>
      <c r="G100" s="785"/>
      <c r="H100" s="786"/>
      <c r="I100" s="787"/>
      <c r="J100" s="1174"/>
    </row>
    <row r="101" spans="2:13">
      <c r="B101" s="788"/>
      <c r="C101" s="792" t="s">
        <v>1662</v>
      </c>
      <c r="D101" s="635"/>
      <c r="E101" s="165"/>
      <c r="F101" s="345">
        <v>1</v>
      </c>
      <c r="G101" s="811" t="s">
        <v>88</v>
      </c>
      <c r="H101" s="681">
        <f>31700</f>
        <v>31700</v>
      </c>
      <c r="I101" s="790">
        <f>+F101*H101</f>
        <v>31700</v>
      </c>
      <c r="J101" s="1174"/>
      <c r="K101" s="1410">
        <f>BOQ!$P$1016</f>
        <v>1</v>
      </c>
      <c r="L101" s="954">
        <f>K101*F101</f>
        <v>1</v>
      </c>
    </row>
    <row r="102" spans="2:13">
      <c r="B102" s="791"/>
      <c r="C102" s="792" t="s">
        <v>843</v>
      </c>
      <c r="D102" s="603"/>
      <c r="E102" s="171"/>
      <c r="F102" s="336">
        <v>5</v>
      </c>
      <c r="G102" s="811" t="s">
        <v>844</v>
      </c>
      <c r="H102" s="686">
        <f>I101</f>
        <v>31700</v>
      </c>
      <c r="I102" s="793">
        <f>+F102%*H102</f>
        <v>1585</v>
      </c>
      <c r="J102" s="1174">
        <f>SUM(I101:I102)</f>
        <v>33285</v>
      </c>
    </row>
    <row r="103" spans="2:13">
      <c r="B103" s="812"/>
      <c r="C103" s="792" t="s">
        <v>845</v>
      </c>
      <c r="D103" s="813"/>
      <c r="E103" s="814"/>
      <c r="F103" s="336">
        <v>2.5000000000000001E-2</v>
      </c>
      <c r="G103" s="811" t="s">
        <v>846</v>
      </c>
      <c r="H103" s="797">
        <f>H85</f>
        <v>136000</v>
      </c>
      <c r="I103" s="793">
        <f>+F103*H103</f>
        <v>3400</v>
      </c>
      <c r="J103" s="1174"/>
    </row>
    <row r="104" spans="2:13">
      <c r="B104" s="812"/>
      <c r="C104" s="792" t="s">
        <v>847</v>
      </c>
      <c r="D104" s="813"/>
      <c r="E104" s="814"/>
      <c r="F104" s="336">
        <v>2.5000000000000001E-2</v>
      </c>
      <c r="G104" s="811" t="s">
        <v>846</v>
      </c>
      <c r="H104" s="797">
        <f>H86</f>
        <v>170000</v>
      </c>
      <c r="I104" s="793">
        <f>+F104*H104</f>
        <v>4250</v>
      </c>
      <c r="J104" s="1174"/>
    </row>
    <row r="105" spans="2:13">
      <c r="B105" s="812"/>
      <c r="C105" s="792" t="s">
        <v>848</v>
      </c>
      <c r="D105" s="813"/>
      <c r="E105" s="814"/>
      <c r="F105" s="336">
        <v>1.66E-2</v>
      </c>
      <c r="G105" s="811" t="s">
        <v>846</v>
      </c>
      <c r="H105" s="797">
        <f>H87</f>
        <v>170000</v>
      </c>
      <c r="I105" s="793">
        <f>+F105*H105</f>
        <v>2822</v>
      </c>
      <c r="J105" s="1174"/>
    </row>
    <row r="106" spans="2:13">
      <c r="B106" s="794"/>
      <c r="C106" s="792" t="s">
        <v>136</v>
      </c>
      <c r="D106" s="642"/>
      <c r="E106" s="796"/>
      <c r="F106" s="691">
        <v>1.4E-2</v>
      </c>
      <c r="G106" s="816" t="s">
        <v>846</v>
      </c>
      <c r="H106" s="797">
        <f>H88</f>
        <v>180000</v>
      </c>
      <c r="I106" s="798">
        <f>+F106*H106</f>
        <v>2520</v>
      </c>
      <c r="J106" s="1174">
        <f>SUM(I103:I106)</f>
        <v>12992</v>
      </c>
    </row>
    <row r="107" spans="2:13">
      <c r="B107" s="799"/>
      <c r="C107" s="810" t="s">
        <v>645</v>
      </c>
      <c r="D107" s="801"/>
      <c r="E107" s="801"/>
      <c r="F107" s="801"/>
      <c r="G107" s="801"/>
      <c r="H107" s="802"/>
      <c r="I107" s="803">
        <f>SUM(I101:I106)</f>
        <v>46277</v>
      </c>
      <c r="J107" s="1174"/>
    </row>
    <row r="108" spans="2:13" ht="15.75" thickBot="1">
      <c r="B108" s="804"/>
      <c r="C108" s="805" t="s">
        <v>229</v>
      </c>
      <c r="D108" s="806"/>
      <c r="E108" s="806"/>
      <c r="F108" s="806"/>
      <c r="G108" s="806"/>
      <c r="H108" s="807"/>
      <c r="I108" s="808">
        <f>ROUND(I107,0)</f>
        <v>46277</v>
      </c>
      <c r="J108" s="775"/>
    </row>
    <row r="109" spans="2:13">
      <c r="B109" s="782" t="s">
        <v>883</v>
      </c>
      <c r="C109" s="783" t="s">
        <v>881</v>
      </c>
      <c r="D109" s="784"/>
      <c r="E109" s="784"/>
      <c r="F109" s="785"/>
      <c r="G109" s="785"/>
      <c r="H109" s="786"/>
      <c r="I109" s="787"/>
      <c r="J109" s="1174"/>
    </row>
    <row r="110" spans="2:13">
      <c r="B110" s="788"/>
      <c r="C110" s="792" t="s">
        <v>882</v>
      </c>
      <c r="D110" s="635"/>
      <c r="E110" s="165"/>
      <c r="F110" s="345">
        <v>1</v>
      </c>
      <c r="G110" s="811" t="s">
        <v>88</v>
      </c>
      <c r="H110" s="681">
        <f>BAHAN!$E$309</f>
        <v>49623</v>
      </c>
      <c r="I110" s="790">
        <f>+F110*H110</f>
        <v>49623</v>
      </c>
      <c r="J110" s="1174"/>
      <c r="K110" s="1410">
        <f>SUMIF(BOQ!$G$1:$G$3199,J111,BOQ!$E$1:$E$3199)</f>
        <v>0</v>
      </c>
      <c r="L110" s="954">
        <f>K110*F110</f>
        <v>0</v>
      </c>
      <c r="M110" s="1491" t="s">
        <v>88</v>
      </c>
    </row>
    <row r="111" spans="2:13">
      <c r="B111" s="791"/>
      <c r="C111" s="792" t="s">
        <v>843</v>
      </c>
      <c r="D111" s="603"/>
      <c r="E111" s="171"/>
      <c r="F111" s="336">
        <v>5</v>
      </c>
      <c r="G111" s="811" t="s">
        <v>844</v>
      </c>
      <c r="H111" s="686">
        <f>I110</f>
        <v>49623</v>
      </c>
      <c r="I111" s="793">
        <f>+F111%*H111</f>
        <v>2481.15</v>
      </c>
      <c r="J111" s="1174">
        <f>SUM(I110:I111)</f>
        <v>52104.15</v>
      </c>
      <c r="K111" s="1410">
        <f>$K$110</f>
        <v>0</v>
      </c>
      <c r="L111" s="954">
        <f>K111*F111</f>
        <v>0</v>
      </c>
      <c r="M111" s="1491" t="s">
        <v>844</v>
      </c>
    </row>
    <row r="112" spans="2:13">
      <c r="B112" s="812"/>
      <c r="C112" s="792" t="s">
        <v>845</v>
      </c>
      <c r="D112" s="813"/>
      <c r="E112" s="814"/>
      <c r="F112" s="336">
        <v>2.5000000000000001E-2</v>
      </c>
      <c r="G112" s="811" t="s">
        <v>846</v>
      </c>
      <c r="H112" s="797">
        <f>H94</f>
        <v>136000</v>
      </c>
      <c r="I112" s="793">
        <f>+F112*H112</f>
        <v>3400</v>
      </c>
      <c r="J112" s="1174"/>
    </row>
    <row r="113" spans="2:13">
      <c r="B113" s="812"/>
      <c r="C113" s="792" t="s">
        <v>847</v>
      </c>
      <c r="D113" s="813"/>
      <c r="E113" s="814"/>
      <c r="F113" s="336">
        <v>2.5000000000000001E-2</v>
      </c>
      <c r="G113" s="811" t="s">
        <v>846</v>
      </c>
      <c r="H113" s="797">
        <f>H95</f>
        <v>170000</v>
      </c>
      <c r="I113" s="793">
        <f>+F113*H113</f>
        <v>4250</v>
      </c>
      <c r="J113" s="1174"/>
    </row>
    <row r="114" spans="2:13">
      <c r="B114" s="812"/>
      <c r="C114" s="792" t="s">
        <v>848</v>
      </c>
      <c r="D114" s="813"/>
      <c r="E114" s="814"/>
      <c r="F114" s="336">
        <v>1.66E-2</v>
      </c>
      <c r="G114" s="811" t="s">
        <v>846</v>
      </c>
      <c r="H114" s="797">
        <f>H96</f>
        <v>170000</v>
      </c>
      <c r="I114" s="793">
        <f>+F114*H114</f>
        <v>2822</v>
      </c>
      <c r="J114" s="1174"/>
    </row>
    <row r="115" spans="2:13">
      <c r="B115" s="794"/>
      <c r="C115" s="792" t="s">
        <v>136</v>
      </c>
      <c r="D115" s="642"/>
      <c r="E115" s="796"/>
      <c r="F115" s="691">
        <v>1.4E-2</v>
      </c>
      <c r="G115" s="816" t="s">
        <v>846</v>
      </c>
      <c r="H115" s="797">
        <f>H97</f>
        <v>180000</v>
      </c>
      <c r="I115" s="798">
        <f>+F115*H115</f>
        <v>2520</v>
      </c>
      <c r="J115" s="1174">
        <f>SUM(I112:I115)</f>
        <v>12992</v>
      </c>
    </row>
    <row r="116" spans="2:13">
      <c r="B116" s="799"/>
      <c r="C116" s="810" t="s">
        <v>645</v>
      </c>
      <c r="D116" s="801"/>
      <c r="E116" s="801"/>
      <c r="F116" s="801"/>
      <c r="G116" s="801"/>
      <c r="H116" s="802"/>
      <c r="I116" s="803">
        <f>SUM(I110:I115)</f>
        <v>65096.15</v>
      </c>
      <c r="J116" s="1174"/>
    </row>
    <row r="117" spans="2:13" ht="15.75" thickBot="1">
      <c r="B117" s="804"/>
      <c r="C117" s="805" t="s">
        <v>229</v>
      </c>
      <c r="D117" s="806"/>
      <c r="E117" s="806"/>
      <c r="F117" s="806"/>
      <c r="G117" s="806"/>
      <c r="H117" s="807"/>
      <c r="I117" s="808">
        <f>ROUND(I116,0)</f>
        <v>65096</v>
      </c>
      <c r="J117" s="775"/>
    </row>
    <row r="118" spans="2:13">
      <c r="B118" s="782" t="s">
        <v>883</v>
      </c>
      <c r="C118" s="783" t="s">
        <v>884</v>
      </c>
      <c r="D118" s="784"/>
      <c r="E118" s="784"/>
      <c r="F118" s="785"/>
      <c r="G118" s="785"/>
      <c r="H118" s="786"/>
      <c r="I118" s="787"/>
      <c r="J118" s="1174"/>
    </row>
    <row r="119" spans="2:13">
      <c r="B119" s="788"/>
      <c r="C119" s="792" t="s">
        <v>885</v>
      </c>
      <c r="D119" s="635"/>
      <c r="E119" s="165"/>
      <c r="F119" s="345">
        <v>1</v>
      </c>
      <c r="G119" s="811" t="s">
        <v>88</v>
      </c>
      <c r="H119" s="681">
        <f>BAHAN!$E$304</f>
        <v>9870</v>
      </c>
      <c r="I119" s="790">
        <f t="shared" ref="I119:I124" si="8">+F119*H119</f>
        <v>9870</v>
      </c>
      <c r="J119" s="1174"/>
      <c r="K119" s="1410">
        <f>SUMIF(BOQ!$G$1:$G$3199,J120,BOQ!$E$1:$E$3199)</f>
        <v>0</v>
      </c>
      <c r="L119" s="954">
        <f>K119*F119</f>
        <v>0</v>
      </c>
      <c r="M119" s="1491" t="s">
        <v>88</v>
      </c>
    </row>
    <row r="120" spans="2:13">
      <c r="B120" s="791"/>
      <c r="C120" s="792" t="s">
        <v>843</v>
      </c>
      <c r="D120" s="603"/>
      <c r="E120" s="171"/>
      <c r="F120" s="336">
        <v>5</v>
      </c>
      <c r="G120" s="811" t="s">
        <v>844</v>
      </c>
      <c r="H120" s="686">
        <f>I119</f>
        <v>9870</v>
      </c>
      <c r="I120" s="793">
        <f>+F120%*H120</f>
        <v>493.5</v>
      </c>
      <c r="J120" s="1174">
        <f>SUM(I119:I120)</f>
        <v>10363.5</v>
      </c>
      <c r="K120" s="1410">
        <f>$K$119</f>
        <v>0</v>
      </c>
      <c r="L120" s="954">
        <f>K120*F120</f>
        <v>0</v>
      </c>
      <c r="M120" s="1491" t="s">
        <v>844</v>
      </c>
    </row>
    <row r="121" spans="2:13">
      <c r="B121" s="812"/>
      <c r="C121" s="792" t="s">
        <v>845</v>
      </c>
      <c r="D121" s="813"/>
      <c r="E121" s="814"/>
      <c r="F121" s="336">
        <v>2.5000000000000001E-2</v>
      </c>
      <c r="G121" s="811" t="s">
        <v>846</v>
      </c>
      <c r="H121" s="797">
        <f>H112</f>
        <v>136000</v>
      </c>
      <c r="I121" s="793">
        <f t="shared" si="8"/>
        <v>3400</v>
      </c>
      <c r="J121" s="1174"/>
    </row>
    <row r="122" spans="2:13">
      <c r="B122" s="812"/>
      <c r="C122" s="792" t="s">
        <v>847</v>
      </c>
      <c r="D122" s="813"/>
      <c r="E122" s="814"/>
      <c r="F122" s="336">
        <v>2.5000000000000001E-2</v>
      </c>
      <c r="G122" s="811" t="s">
        <v>846</v>
      </c>
      <c r="H122" s="797">
        <f>H113</f>
        <v>170000</v>
      </c>
      <c r="I122" s="793">
        <f t="shared" si="8"/>
        <v>4250</v>
      </c>
      <c r="J122" s="1174"/>
    </row>
    <row r="123" spans="2:13">
      <c r="B123" s="812"/>
      <c r="C123" s="792" t="s">
        <v>848</v>
      </c>
      <c r="D123" s="813"/>
      <c r="E123" s="814"/>
      <c r="F123" s="336">
        <v>1.66E-2</v>
      </c>
      <c r="G123" s="811" t="s">
        <v>846</v>
      </c>
      <c r="H123" s="797">
        <f>H114</f>
        <v>170000</v>
      </c>
      <c r="I123" s="793">
        <f t="shared" si="8"/>
        <v>2822</v>
      </c>
      <c r="J123" s="1174"/>
    </row>
    <row r="124" spans="2:13">
      <c r="B124" s="794"/>
      <c r="C124" s="792" t="s">
        <v>136</v>
      </c>
      <c r="D124" s="642"/>
      <c r="E124" s="796"/>
      <c r="F124" s="691">
        <v>1.4E-2</v>
      </c>
      <c r="G124" s="816" t="s">
        <v>846</v>
      </c>
      <c r="H124" s="797">
        <f>H115</f>
        <v>180000</v>
      </c>
      <c r="I124" s="798">
        <f t="shared" si="8"/>
        <v>2520</v>
      </c>
      <c r="J124" s="1174">
        <f>SUM(I121:I124)</f>
        <v>12992</v>
      </c>
    </row>
    <row r="125" spans="2:13">
      <c r="B125" s="799"/>
      <c r="C125" s="810" t="s">
        <v>645</v>
      </c>
      <c r="D125" s="801"/>
      <c r="E125" s="801"/>
      <c r="F125" s="801"/>
      <c r="G125" s="801"/>
      <c r="H125" s="802"/>
      <c r="I125" s="803">
        <f>SUM(I119:I124)</f>
        <v>23355.5</v>
      </c>
      <c r="J125" s="1174"/>
    </row>
    <row r="126" spans="2:13" ht="15.75" thickBot="1">
      <c r="B126" s="804"/>
      <c r="C126" s="805" t="s">
        <v>229</v>
      </c>
      <c r="D126" s="806"/>
      <c r="E126" s="806"/>
      <c r="F126" s="806"/>
      <c r="G126" s="806"/>
      <c r="H126" s="807"/>
      <c r="I126" s="808">
        <f>ROUND(I125,0)</f>
        <v>23356</v>
      </c>
      <c r="J126" s="775"/>
    </row>
    <row r="127" spans="2:13">
      <c r="B127" s="782" t="s">
        <v>886</v>
      </c>
      <c r="C127" s="783" t="s">
        <v>887</v>
      </c>
      <c r="D127" s="784"/>
      <c r="E127" s="784"/>
      <c r="F127" s="785"/>
      <c r="G127" s="785"/>
      <c r="H127" s="786"/>
      <c r="I127" s="787"/>
      <c r="J127" s="1174"/>
    </row>
    <row r="128" spans="2:13">
      <c r="B128" s="788"/>
      <c r="C128" s="792" t="s">
        <v>888</v>
      </c>
      <c r="D128" s="635"/>
      <c r="E128" s="165"/>
      <c r="F128" s="345">
        <v>1</v>
      </c>
      <c r="G128" s="811" t="s">
        <v>88</v>
      </c>
      <c r="H128" s="681">
        <f>BAHAN!$E$305</f>
        <v>13412</v>
      </c>
      <c r="I128" s="790">
        <f t="shared" ref="I128:I133" si="9">+F128*H128</f>
        <v>13412</v>
      </c>
      <c r="J128" s="1174"/>
      <c r="K128" s="1410">
        <f>SUMIF(BOQ!$G$1:$G$3199,J129,BOQ!$E$1:$E$3199)</f>
        <v>0</v>
      </c>
      <c r="L128" s="954">
        <f>K128*F128</f>
        <v>0</v>
      </c>
      <c r="M128" s="1491" t="s">
        <v>88</v>
      </c>
    </row>
    <row r="129" spans="2:13">
      <c r="B129" s="791"/>
      <c r="C129" s="792" t="s">
        <v>843</v>
      </c>
      <c r="D129" s="603"/>
      <c r="E129" s="171"/>
      <c r="F129" s="336">
        <v>5</v>
      </c>
      <c r="G129" s="811" t="s">
        <v>844</v>
      </c>
      <c r="H129" s="686">
        <f>I128</f>
        <v>13412</v>
      </c>
      <c r="I129" s="793">
        <f>+F129%*H129</f>
        <v>670.6</v>
      </c>
      <c r="J129" s="1174">
        <f>SUM(I128:I129)</f>
        <v>14082.6</v>
      </c>
      <c r="K129" s="1410">
        <f>$K$128</f>
        <v>0</v>
      </c>
      <c r="L129" s="954">
        <f>K129*F129</f>
        <v>0</v>
      </c>
      <c r="M129" s="1491" t="s">
        <v>844</v>
      </c>
    </row>
    <row r="130" spans="2:13">
      <c r="B130" s="812"/>
      <c r="C130" s="792" t="s">
        <v>845</v>
      </c>
      <c r="D130" s="813"/>
      <c r="E130" s="814"/>
      <c r="F130" s="336">
        <v>2.5000000000000001E-2</v>
      </c>
      <c r="G130" s="811" t="s">
        <v>846</v>
      </c>
      <c r="H130" s="797">
        <f>H121</f>
        <v>136000</v>
      </c>
      <c r="I130" s="793">
        <f t="shared" si="9"/>
        <v>3400</v>
      </c>
      <c r="J130" s="1174"/>
    </row>
    <row r="131" spans="2:13">
      <c r="B131" s="812"/>
      <c r="C131" s="792" t="s">
        <v>847</v>
      </c>
      <c r="D131" s="813"/>
      <c r="E131" s="814"/>
      <c r="F131" s="336">
        <v>2.5000000000000001E-2</v>
      </c>
      <c r="G131" s="811" t="s">
        <v>846</v>
      </c>
      <c r="H131" s="797">
        <f>H122</f>
        <v>170000</v>
      </c>
      <c r="I131" s="793">
        <f t="shared" si="9"/>
        <v>4250</v>
      </c>
      <c r="J131" s="1174"/>
    </row>
    <row r="132" spans="2:13">
      <c r="B132" s="791"/>
      <c r="C132" s="792" t="s">
        <v>848</v>
      </c>
      <c r="D132" s="813"/>
      <c r="E132" s="814"/>
      <c r="F132" s="336">
        <v>1.66E-2</v>
      </c>
      <c r="G132" s="811" t="s">
        <v>846</v>
      </c>
      <c r="H132" s="797">
        <f>H123</f>
        <v>170000</v>
      </c>
      <c r="I132" s="793">
        <f t="shared" si="9"/>
        <v>2822</v>
      </c>
      <c r="J132" s="1174"/>
    </row>
    <row r="133" spans="2:13">
      <c r="B133" s="812"/>
      <c r="C133" s="792" t="s">
        <v>136</v>
      </c>
      <c r="D133" s="642"/>
      <c r="E133" s="796"/>
      <c r="F133" s="691">
        <v>1.4E-2</v>
      </c>
      <c r="G133" s="816" t="s">
        <v>846</v>
      </c>
      <c r="H133" s="797">
        <f>H124</f>
        <v>180000</v>
      </c>
      <c r="I133" s="798">
        <f t="shared" si="9"/>
        <v>2520</v>
      </c>
      <c r="J133" s="1174">
        <f>SUM(I130:I133)</f>
        <v>12992</v>
      </c>
    </row>
    <row r="134" spans="2:13">
      <c r="B134" s="791"/>
      <c r="C134" s="810" t="s">
        <v>645</v>
      </c>
      <c r="D134" s="801"/>
      <c r="E134" s="801"/>
      <c r="F134" s="801"/>
      <c r="G134" s="801"/>
      <c r="H134" s="802"/>
      <c r="I134" s="803">
        <f>SUM(I128:I133)</f>
        <v>27074.6</v>
      </c>
      <c r="J134" s="1174"/>
    </row>
    <row r="135" spans="2:13" ht="15.75" thickBot="1">
      <c r="B135" s="812"/>
      <c r="C135" s="805" t="s">
        <v>229</v>
      </c>
      <c r="D135" s="806"/>
      <c r="E135" s="806"/>
      <c r="F135" s="806"/>
      <c r="G135" s="806"/>
      <c r="H135" s="807"/>
      <c r="I135" s="808">
        <f>ROUND(I134,0)</f>
        <v>27075</v>
      </c>
      <c r="J135" s="775"/>
    </row>
    <row r="136" spans="2:13">
      <c r="B136" s="1557" t="s">
        <v>889</v>
      </c>
      <c r="C136" s="783" t="s">
        <v>1425</v>
      </c>
      <c r="D136" s="784"/>
      <c r="E136" s="784"/>
      <c r="F136" s="785"/>
      <c r="G136" s="785"/>
      <c r="H136" s="786"/>
      <c r="I136" s="787"/>
      <c r="J136" s="1174"/>
    </row>
    <row r="137" spans="2:13">
      <c r="B137" s="1556"/>
      <c r="C137" s="792" t="s">
        <v>1424</v>
      </c>
      <c r="D137" s="635"/>
      <c r="E137" s="165"/>
      <c r="F137" s="345">
        <v>1</v>
      </c>
      <c r="G137" s="811" t="s">
        <v>88</v>
      </c>
      <c r="H137" s="681">
        <f>BAHAN!$E$306</f>
        <v>17493</v>
      </c>
      <c r="I137" s="790">
        <f>+F137*H137</f>
        <v>17493</v>
      </c>
      <c r="J137" s="1174"/>
      <c r="K137" s="1410">
        <f>SUMIF(BOQ!$G$1:$G$3199,J138,BOQ!$E$1:$E$3199)</f>
        <v>0</v>
      </c>
      <c r="L137" s="954">
        <f>K137*F137</f>
        <v>0</v>
      </c>
      <c r="M137" s="1491" t="s">
        <v>88</v>
      </c>
    </row>
    <row r="138" spans="2:13">
      <c r="B138" s="791"/>
      <c r="C138" s="792" t="s">
        <v>843</v>
      </c>
      <c r="D138" s="603"/>
      <c r="E138" s="171"/>
      <c r="F138" s="336">
        <v>5</v>
      </c>
      <c r="G138" s="811" t="s">
        <v>844</v>
      </c>
      <c r="H138" s="686">
        <f>I137</f>
        <v>17493</v>
      </c>
      <c r="I138" s="793">
        <f>+F138%*H138</f>
        <v>874.65000000000009</v>
      </c>
      <c r="J138" s="1174">
        <f>SUM(I137:I138)</f>
        <v>18367.650000000001</v>
      </c>
      <c r="K138" s="5">
        <f>$K$137</f>
        <v>0</v>
      </c>
      <c r="L138" s="954">
        <f>K138*F138</f>
        <v>0</v>
      </c>
      <c r="M138" s="1491" t="s">
        <v>844</v>
      </c>
    </row>
    <row r="139" spans="2:13">
      <c r="B139" s="812"/>
      <c r="C139" s="792" t="s">
        <v>845</v>
      </c>
      <c r="D139" s="813"/>
      <c r="E139" s="814"/>
      <c r="F139" s="336">
        <v>2.5000000000000001E-2</v>
      </c>
      <c r="G139" s="811" t="s">
        <v>846</v>
      </c>
      <c r="H139" s="797">
        <f>H238</f>
        <v>136000</v>
      </c>
      <c r="I139" s="793">
        <f>+F139*H139</f>
        <v>3400</v>
      </c>
      <c r="J139" s="1174"/>
    </row>
    <row r="140" spans="2:13">
      <c r="B140" s="812"/>
      <c r="C140" s="792" t="s">
        <v>847</v>
      </c>
      <c r="D140" s="813"/>
      <c r="E140" s="814"/>
      <c r="F140" s="336">
        <v>2.5000000000000001E-2</v>
      </c>
      <c r="G140" s="811" t="s">
        <v>846</v>
      </c>
      <c r="H140" s="797">
        <f>H239</f>
        <v>170000</v>
      </c>
      <c r="I140" s="793">
        <f>+F140*H140</f>
        <v>4250</v>
      </c>
      <c r="J140" s="1174"/>
    </row>
    <row r="141" spans="2:13">
      <c r="B141" s="812"/>
      <c r="C141" s="792" t="s">
        <v>848</v>
      </c>
      <c r="D141" s="813"/>
      <c r="E141" s="814"/>
      <c r="F141" s="336">
        <v>1.66E-2</v>
      </c>
      <c r="G141" s="811" t="s">
        <v>846</v>
      </c>
      <c r="H141" s="797">
        <f>H240</f>
        <v>170000</v>
      </c>
      <c r="I141" s="793">
        <f>+F141*H141</f>
        <v>2822</v>
      </c>
      <c r="J141" s="1174"/>
    </row>
    <row r="142" spans="2:13">
      <c r="B142" s="812"/>
      <c r="C142" s="792" t="s">
        <v>136</v>
      </c>
      <c r="D142" s="642"/>
      <c r="E142" s="796"/>
      <c r="F142" s="691">
        <v>1.4E-2</v>
      </c>
      <c r="G142" s="816" t="s">
        <v>846</v>
      </c>
      <c r="H142" s="797">
        <f>H241</f>
        <v>180000</v>
      </c>
      <c r="I142" s="798">
        <f>+F142*H142</f>
        <v>2520</v>
      </c>
      <c r="J142" s="1174">
        <f>SUM(I139:I142)</f>
        <v>12992</v>
      </c>
    </row>
    <row r="143" spans="2:13">
      <c r="B143" s="812"/>
      <c r="C143" s="810" t="s">
        <v>645</v>
      </c>
      <c r="D143" s="801"/>
      <c r="E143" s="801"/>
      <c r="F143" s="801"/>
      <c r="G143" s="801"/>
      <c r="H143" s="802"/>
      <c r="I143" s="803">
        <f>SUM(I137:I142)</f>
        <v>31359.65</v>
      </c>
      <c r="J143" s="1174"/>
    </row>
    <row r="144" spans="2:13" ht="15.75" thickBot="1">
      <c r="B144" s="812"/>
      <c r="C144" s="805" t="s">
        <v>229</v>
      </c>
      <c r="D144" s="806"/>
      <c r="E144" s="806"/>
      <c r="F144" s="806"/>
      <c r="G144" s="806"/>
      <c r="H144" s="807"/>
      <c r="I144" s="808">
        <f>ROUND(I143,0)</f>
        <v>31360</v>
      </c>
      <c r="J144" s="775"/>
    </row>
    <row r="145" spans="2:15">
      <c r="B145" s="1557" t="s">
        <v>892</v>
      </c>
      <c r="C145" s="783" t="s">
        <v>1536</v>
      </c>
      <c r="D145" s="784"/>
      <c r="E145" s="784"/>
      <c r="F145" s="785"/>
      <c r="G145" s="785"/>
      <c r="H145" s="786"/>
      <c r="I145" s="787"/>
      <c r="J145" s="1174"/>
    </row>
    <row r="146" spans="2:15">
      <c r="B146" s="1556"/>
      <c r="C146" s="792" t="s">
        <v>1537</v>
      </c>
      <c r="D146" s="635"/>
      <c r="E146" s="165"/>
      <c r="F146" s="1238">
        <v>1</v>
      </c>
      <c r="G146" s="811" t="s">
        <v>88</v>
      </c>
      <c r="H146" s="681">
        <f>BAHAN!$E$307</f>
        <v>87703</v>
      </c>
      <c r="I146" s="790">
        <v>73626</v>
      </c>
      <c r="J146" s="1174"/>
      <c r="K146" s="1410">
        <f>SUMIF(BOQ!$G$1:$G$3199,J147,BOQ!$E$1:$E$3199)</f>
        <v>0</v>
      </c>
      <c r="L146" s="954">
        <f>K146*F146</f>
        <v>0</v>
      </c>
      <c r="M146" s="1491" t="s">
        <v>88</v>
      </c>
    </row>
    <row r="147" spans="2:15">
      <c r="B147" s="791"/>
      <c r="C147" s="792" t="s">
        <v>843</v>
      </c>
      <c r="D147" s="603"/>
      <c r="E147" s="171"/>
      <c r="F147" s="336">
        <v>5</v>
      </c>
      <c r="G147" s="811" t="s">
        <v>844</v>
      </c>
      <c r="H147" s="686">
        <v>73626</v>
      </c>
      <c r="I147" s="793">
        <v>3681.3</v>
      </c>
      <c r="J147" s="1174">
        <f>SUM(I146:I147)</f>
        <v>77307.3</v>
      </c>
      <c r="K147" s="1410">
        <f>K146</f>
        <v>0</v>
      </c>
      <c r="L147" s="954">
        <f>K147*F147</f>
        <v>0</v>
      </c>
      <c r="M147" s="1491" t="s">
        <v>844</v>
      </c>
    </row>
    <row r="148" spans="2:15">
      <c r="B148" s="812"/>
      <c r="C148" s="792" t="s">
        <v>845</v>
      </c>
      <c r="D148" s="813"/>
      <c r="E148" s="814"/>
      <c r="F148" s="336">
        <v>2.5000000000000001E-2</v>
      </c>
      <c r="G148" s="811" t="s">
        <v>846</v>
      </c>
      <c r="H148" s="797">
        <v>90000</v>
      </c>
      <c r="I148" s="793">
        <v>2250</v>
      </c>
      <c r="J148" s="1174"/>
    </row>
    <row r="149" spans="2:15">
      <c r="B149" s="812"/>
      <c r="C149" s="792" t="s">
        <v>847</v>
      </c>
      <c r="D149" s="813"/>
      <c r="E149" s="814"/>
      <c r="F149" s="336">
        <v>2.5000000000000001E-2</v>
      </c>
      <c r="G149" s="811" t="s">
        <v>846</v>
      </c>
      <c r="H149" s="797">
        <v>120000</v>
      </c>
      <c r="I149" s="793">
        <v>3000</v>
      </c>
      <c r="J149" s="1174"/>
    </row>
    <row r="150" spans="2:15">
      <c r="B150" s="812"/>
      <c r="C150" s="792" t="s">
        <v>848</v>
      </c>
      <c r="D150" s="813"/>
      <c r="E150" s="814"/>
      <c r="F150" s="336">
        <v>1.66E-2</v>
      </c>
      <c r="G150" s="811" t="s">
        <v>846</v>
      </c>
      <c r="H150" s="797">
        <v>150000</v>
      </c>
      <c r="I150" s="793">
        <v>2490</v>
      </c>
      <c r="J150" s="1174"/>
    </row>
    <row r="151" spans="2:15">
      <c r="B151" s="791"/>
      <c r="C151" s="792" t="s">
        <v>136</v>
      </c>
      <c r="D151" s="642"/>
      <c r="E151" s="796"/>
      <c r="F151" s="691">
        <v>1.4E-2</v>
      </c>
      <c r="G151" s="816" t="s">
        <v>846</v>
      </c>
      <c r="H151" s="797">
        <v>200000</v>
      </c>
      <c r="I151" s="798">
        <v>2800</v>
      </c>
      <c r="J151" s="1174">
        <f>SUM(I148:I151)</f>
        <v>10540</v>
      </c>
    </row>
    <row r="152" spans="2:15">
      <c r="B152" s="812"/>
      <c r="C152" s="810" t="s">
        <v>645</v>
      </c>
      <c r="D152" s="801"/>
      <c r="E152" s="801"/>
      <c r="F152" s="801"/>
      <c r="G152" s="801"/>
      <c r="H152" s="802"/>
      <c r="I152" s="803">
        <v>87847.3</v>
      </c>
      <c r="J152" s="1174"/>
    </row>
    <row r="153" spans="2:15" ht="15.75" thickBot="1">
      <c r="B153" s="812"/>
      <c r="C153" s="805" t="s">
        <v>229</v>
      </c>
      <c r="D153" s="806"/>
      <c r="E153" s="806"/>
      <c r="F153" s="806"/>
      <c r="G153" s="806"/>
      <c r="H153" s="807"/>
      <c r="I153" s="808">
        <v>87847</v>
      </c>
      <c r="J153" s="775"/>
    </row>
    <row r="154" spans="2:15">
      <c r="B154" s="1557" t="s">
        <v>895</v>
      </c>
      <c r="C154" s="783" t="s">
        <v>890</v>
      </c>
      <c r="D154" s="784"/>
      <c r="E154" s="784"/>
      <c r="F154" s="785"/>
      <c r="G154" s="785"/>
      <c r="H154" s="786"/>
      <c r="I154" s="787"/>
      <c r="J154" s="1174"/>
    </row>
    <row r="155" spans="2:15">
      <c r="B155" s="1556"/>
      <c r="C155" s="792" t="s">
        <v>891</v>
      </c>
      <c r="D155" s="635"/>
      <c r="E155" s="165"/>
      <c r="F155" s="345">
        <v>1</v>
      </c>
      <c r="G155" s="811" t="s">
        <v>88</v>
      </c>
      <c r="H155" s="681">
        <f>BAHAN!$E$317</f>
        <v>315000</v>
      </c>
      <c r="I155" s="790">
        <f t="shared" ref="I155:I160" si="10">+F155*H155</f>
        <v>315000</v>
      </c>
      <c r="J155" s="1174"/>
      <c r="K155" s="1410">
        <f>SUMIF(BOQ!$G$1:$G$3199,J156,BOQ!$E$1:$E$3199)</f>
        <v>0</v>
      </c>
      <c r="L155" s="910">
        <f>K155*F155</f>
        <v>0</v>
      </c>
      <c r="M155" s="1491"/>
    </row>
    <row r="156" spans="2:15">
      <c r="B156" s="812"/>
      <c r="C156" s="792" t="s">
        <v>843</v>
      </c>
      <c r="D156" s="603"/>
      <c r="E156" s="171"/>
      <c r="F156" s="336">
        <v>5</v>
      </c>
      <c r="G156" s="811" t="s">
        <v>844</v>
      </c>
      <c r="H156" s="686">
        <f>I155</f>
        <v>315000</v>
      </c>
      <c r="I156" s="793">
        <f>+F156%*H156</f>
        <v>15750</v>
      </c>
      <c r="J156" s="1174">
        <f>SUM(I155:I156)</f>
        <v>330750</v>
      </c>
      <c r="K156" s="5">
        <f>K155</f>
        <v>0</v>
      </c>
      <c r="L156" s="910">
        <f>K156*F156</f>
        <v>0</v>
      </c>
      <c r="M156" s="1491"/>
      <c r="O156" s="5">
        <f>416-391</f>
        <v>25</v>
      </c>
    </row>
    <row r="157" spans="2:15">
      <c r="B157" s="791"/>
      <c r="C157" s="792" t="s">
        <v>845</v>
      </c>
      <c r="D157" s="813"/>
      <c r="E157" s="814"/>
      <c r="F157" s="336">
        <v>0.16600000000000001</v>
      </c>
      <c r="G157" s="811" t="s">
        <v>846</v>
      </c>
      <c r="H157" s="797">
        <f>H130</f>
        <v>136000</v>
      </c>
      <c r="I157" s="793">
        <f t="shared" si="10"/>
        <v>22576</v>
      </c>
      <c r="J157" s="1174"/>
    </row>
    <row r="158" spans="2:15">
      <c r="B158" s="812"/>
      <c r="C158" s="792" t="s">
        <v>847</v>
      </c>
      <c r="D158" s="813"/>
      <c r="E158" s="814"/>
      <c r="F158" s="336">
        <v>0.16600000000000001</v>
      </c>
      <c r="G158" s="811" t="s">
        <v>846</v>
      </c>
      <c r="H158" s="797">
        <f>H131</f>
        <v>170000</v>
      </c>
      <c r="I158" s="793">
        <f t="shared" si="10"/>
        <v>28220</v>
      </c>
      <c r="J158" s="1174"/>
    </row>
    <row r="159" spans="2:15">
      <c r="B159" s="812"/>
      <c r="C159" s="792" t="s">
        <v>848</v>
      </c>
      <c r="D159" s="813"/>
      <c r="E159" s="814"/>
      <c r="F159" s="336">
        <v>3.3000000000000002E-2</v>
      </c>
      <c r="G159" s="811" t="s">
        <v>846</v>
      </c>
      <c r="H159" s="797">
        <f>H132</f>
        <v>170000</v>
      </c>
      <c r="I159" s="793">
        <f t="shared" si="10"/>
        <v>5610</v>
      </c>
      <c r="J159" s="1174"/>
    </row>
    <row r="160" spans="2:15">
      <c r="B160" s="794"/>
      <c r="C160" s="792" t="s">
        <v>136</v>
      </c>
      <c r="D160" s="642"/>
      <c r="E160" s="796"/>
      <c r="F160" s="336">
        <v>1.66E-2</v>
      </c>
      <c r="G160" s="816" t="s">
        <v>846</v>
      </c>
      <c r="H160" s="797">
        <f>H133</f>
        <v>180000</v>
      </c>
      <c r="I160" s="798">
        <f t="shared" si="10"/>
        <v>2988</v>
      </c>
      <c r="J160" s="1174">
        <f>SUM(I157:I160)</f>
        <v>59394</v>
      </c>
    </row>
    <row r="161" spans="2:13">
      <c r="B161" s="799"/>
      <c r="C161" s="810" t="s">
        <v>645</v>
      </c>
      <c r="D161" s="801"/>
      <c r="E161" s="801"/>
      <c r="F161" s="801"/>
      <c r="G161" s="801"/>
      <c r="H161" s="802"/>
      <c r="I161" s="803">
        <f>SUM(I155:I160)</f>
        <v>390144</v>
      </c>
      <c r="J161" s="1174"/>
    </row>
    <row r="162" spans="2:13" ht="15.75" thickBot="1">
      <c r="B162" s="804"/>
      <c r="C162" s="805" t="s">
        <v>229</v>
      </c>
      <c r="D162" s="806"/>
      <c r="E162" s="806"/>
      <c r="F162" s="806"/>
      <c r="G162" s="806"/>
      <c r="H162" s="807"/>
      <c r="I162" s="808">
        <f>ROUND(I161,0)</f>
        <v>390144</v>
      </c>
      <c r="J162" s="775"/>
    </row>
    <row r="163" spans="2:13">
      <c r="B163" s="782" t="s">
        <v>901</v>
      </c>
      <c r="C163" s="783" t="s">
        <v>893</v>
      </c>
      <c r="D163" s="784"/>
      <c r="E163" s="784"/>
      <c r="F163" s="785"/>
      <c r="G163" s="785"/>
      <c r="H163" s="786"/>
      <c r="I163" s="787"/>
      <c r="J163" s="1174"/>
    </row>
    <row r="164" spans="2:13">
      <c r="B164" s="788"/>
      <c r="C164" s="792" t="s">
        <v>894</v>
      </c>
      <c r="D164" s="635"/>
      <c r="E164" s="165"/>
      <c r="F164" s="345">
        <v>1</v>
      </c>
      <c r="G164" s="811" t="s">
        <v>88</v>
      </c>
      <c r="H164" s="681">
        <f>BAHAN!$E$315</f>
        <v>58000</v>
      </c>
      <c r="I164" s="790">
        <f t="shared" ref="I164:I169" si="11">+F164*H164</f>
        <v>58000</v>
      </c>
      <c r="J164" s="1174"/>
      <c r="K164" s="1410">
        <f>SUMIF(BOQ!$G$1:$G$3199,J165,BOQ!$E$1:$E$3199)</f>
        <v>0</v>
      </c>
      <c r="L164" s="954">
        <f>K164*F164</f>
        <v>0</v>
      </c>
      <c r="M164" s="1491" t="s">
        <v>88</v>
      </c>
    </row>
    <row r="165" spans="2:13">
      <c r="B165" s="791"/>
      <c r="C165" s="792" t="s">
        <v>843</v>
      </c>
      <c r="D165" s="603"/>
      <c r="E165" s="171"/>
      <c r="F165" s="336">
        <v>5</v>
      </c>
      <c r="G165" s="811" t="s">
        <v>844</v>
      </c>
      <c r="H165" s="686">
        <f>I164</f>
        <v>58000</v>
      </c>
      <c r="I165" s="793">
        <f>+F165%*H165</f>
        <v>2900</v>
      </c>
      <c r="J165" s="1174">
        <f>SUM(I164:I165)</f>
        <v>60900</v>
      </c>
      <c r="K165" s="1410">
        <f>$K$164</f>
        <v>0</v>
      </c>
      <c r="L165" s="954">
        <f>K165*F165</f>
        <v>0</v>
      </c>
      <c r="M165" s="1491" t="s">
        <v>844</v>
      </c>
    </row>
    <row r="166" spans="2:13">
      <c r="B166" s="812"/>
      <c r="C166" s="792" t="s">
        <v>845</v>
      </c>
      <c r="D166" s="813"/>
      <c r="E166" s="814"/>
      <c r="F166" s="336">
        <v>0.16600000000000001</v>
      </c>
      <c r="G166" s="811" t="s">
        <v>846</v>
      </c>
      <c r="H166" s="797">
        <f>H157</f>
        <v>136000</v>
      </c>
      <c r="I166" s="793">
        <f t="shared" si="11"/>
        <v>22576</v>
      </c>
      <c r="J166" s="1174"/>
    </row>
    <row r="167" spans="2:13">
      <c r="B167" s="812"/>
      <c r="C167" s="792" t="s">
        <v>847</v>
      </c>
      <c r="D167" s="813"/>
      <c r="E167" s="814"/>
      <c r="F167" s="336">
        <v>0.16600000000000001</v>
      </c>
      <c r="G167" s="811" t="s">
        <v>846</v>
      </c>
      <c r="H167" s="797">
        <f>H158</f>
        <v>170000</v>
      </c>
      <c r="I167" s="793">
        <f t="shared" si="11"/>
        <v>28220</v>
      </c>
      <c r="J167" s="1174"/>
    </row>
    <row r="168" spans="2:13">
      <c r="B168" s="812"/>
      <c r="C168" s="792" t="s">
        <v>848</v>
      </c>
      <c r="D168" s="813"/>
      <c r="E168" s="814"/>
      <c r="F168" s="336">
        <v>3.3000000000000002E-2</v>
      </c>
      <c r="G168" s="811" t="s">
        <v>846</v>
      </c>
      <c r="H168" s="797">
        <f>H159</f>
        <v>170000</v>
      </c>
      <c r="I168" s="793">
        <f t="shared" si="11"/>
        <v>5610</v>
      </c>
      <c r="J168" s="1174"/>
    </row>
    <row r="169" spans="2:13">
      <c r="B169" s="794"/>
      <c r="C169" s="792" t="s">
        <v>136</v>
      </c>
      <c r="D169" s="642"/>
      <c r="E169" s="796"/>
      <c r="F169" s="336">
        <v>1.66E-2</v>
      </c>
      <c r="G169" s="816" t="s">
        <v>846</v>
      </c>
      <c r="H169" s="797">
        <f>H160</f>
        <v>180000</v>
      </c>
      <c r="I169" s="798">
        <f t="shared" si="11"/>
        <v>2988</v>
      </c>
      <c r="J169" s="1174">
        <f>SUM(I166:I169)</f>
        <v>59394</v>
      </c>
    </row>
    <row r="170" spans="2:13">
      <c r="B170" s="799"/>
      <c r="C170" s="810" t="s">
        <v>645</v>
      </c>
      <c r="D170" s="801"/>
      <c r="E170" s="801"/>
      <c r="F170" s="801"/>
      <c r="G170" s="801"/>
      <c r="H170" s="802"/>
      <c r="I170" s="803">
        <f>SUM(I164:I169)</f>
        <v>120294</v>
      </c>
      <c r="J170" s="1174"/>
    </row>
    <row r="171" spans="2:13" ht="15.75" thickBot="1">
      <c r="B171" s="804"/>
      <c r="C171" s="805" t="s">
        <v>229</v>
      </c>
      <c r="D171" s="806"/>
      <c r="E171" s="806"/>
      <c r="F171" s="806"/>
      <c r="G171" s="806"/>
      <c r="H171" s="807"/>
      <c r="I171" s="808">
        <f>ROUND(I170,0)</f>
        <v>120294</v>
      </c>
      <c r="J171" s="775"/>
    </row>
    <row r="172" spans="2:13">
      <c r="B172" s="782" t="s">
        <v>895</v>
      </c>
      <c r="C172" s="783" t="s">
        <v>1477</v>
      </c>
      <c r="D172" s="784"/>
      <c r="E172" s="784"/>
      <c r="F172" s="785"/>
      <c r="G172" s="785"/>
      <c r="H172" s="786"/>
      <c r="I172" s="787"/>
      <c r="J172" s="1174"/>
    </row>
    <row r="173" spans="2:13">
      <c r="B173" s="788"/>
      <c r="C173" s="792" t="s">
        <v>1478</v>
      </c>
      <c r="D173" s="635"/>
      <c r="E173" s="165"/>
      <c r="F173" s="345">
        <v>1</v>
      </c>
      <c r="G173" s="811" t="s">
        <v>88</v>
      </c>
      <c r="H173" s="681">
        <f>BAHAN!$E$313</f>
        <v>139800</v>
      </c>
      <c r="I173" s="790">
        <f>+F173*H173</f>
        <v>139800</v>
      </c>
      <c r="J173" s="1174"/>
      <c r="K173" s="1410">
        <f>SUMIF(BOQ!$G$1:$G$3199,J174,BOQ!$E$1:$E$3199)</f>
        <v>0</v>
      </c>
      <c r="L173" s="954">
        <f>K173*F173</f>
        <v>0</v>
      </c>
      <c r="M173" s="1491" t="s">
        <v>88</v>
      </c>
    </row>
    <row r="174" spans="2:13">
      <c r="B174" s="791"/>
      <c r="C174" s="792" t="s">
        <v>843</v>
      </c>
      <c r="D174" s="603"/>
      <c r="E174" s="171"/>
      <c r="F174" s="336">
        <v>5</v>
      </c>
      <c r="G174" s="811" t="s">
        <v>844</v>
      </c>
      <c r="H174" s="686">
        <f>I173</f>
        <v>139800</v>
      </c>
      <c r="I174" s="793">
        <f>+F174%*H174</f>
        <v>6990</v>
      </c>
      <c r="J174" s="1174">
        <f>SUM(I173:I174)</f>
        <v>146790</v>
      </c>
      <c r="K174" s="1410">
        <f>$K$173</f>
        <v>0</v>
      </c>
      <c r="L174" s="954">
        <f>K174*F174</f>
        <v>0</v>
      </c>
      <c r="M174" s="1491" t="s">
        <v>844</v>
      </c>
    </row>
    <row r="175" spans="2:13">
      <c r="B175" s="812"/>
      <c r="C175" s="792" t="s">
        <v>845</v>
      </c>
      <c r="D175" s="813"/>
      <c r="E175" s="814"/>
      <c r="F175" s="336">
        <v>0.16600000000000001</v>
      </c>
      <c r="G175" s="811" t="s">
        <v>846</v>
      </c>
      <c r="H175" s="797">
        <f>H166</f>
        <v>136000</v>
      </c>
      <c r="I175" s="793">
        <f>+F175*H175</f>
        <v>22576</v>
      </c>
      <c r="J175" s="1174"/>
    </row>
    <row r="176" spans="2:13">
      <c r="B176" s="812"/>
      <c r="C176" s="792" t="s">
        <v>847</v>
      </c>
      <c r="D176" s="813"/>
      <c r="E176" s="814"/>
      <c r="F176" s="336">
        <v>0.16600000000000001</v>
      </c>
      <c r="G176" s="811" t="s">
        <v>846</v>
      </c>
      <c r="H176" s="797">
        <f>H167</f>
        <v>170000</v>
      </c>
      <c r="I176" s="793">
        <f>+F176*H176</f>
        <v>28220</v>
      </c>
      <c r="J176" s="1174"/>
    </row>
    <row r="177" spans="2:13">
      <c r="B177" s="812"/>
      <c r="C177" s="792" t="s">
        <v>848</v>
      </c>
      <c r="D177" s="813"/>
      <c r="E177" s="814"/>
      <c r="F177" s="336">
        <v>3.3000000000000002E-2</v>
      </c>
      <c r="G177" s="811" t="s">
        <v>846</v>
      </c>
      <c r="H177" s="797">
        <f>H168</f>
        <v>170000</v>
      </c>
      <c r="I177" s="793">
        <f>+F177*H177</f>
        <v>5610</v>
      </c>
      <c r="J177" s="1174"/>
    </row>
    <row r="178" spans="2:13">
      <c r="B178" s="794"/>
      <c r="C178" s="792" t="s">
        <v>136</v>
      </c>
      <c r="D178" s="642"/>
      <c r="E178" s="796"/>
      <c r="F178" s="336">
        <v>1.66E-2</v>
      </c>
      <c r="G178" s="816" t="s">
        <v>846</v>
      </c>
      <c r="H178" s="797">
        <f>H169</f>
        <v>180000</v>
      </c>
      <c r="I178" s="798">
        <f>+F178*H178</f>
        <v>2988</v>
      </c>
      <c r="J178" s="1174">
        <f>SUM(I175:I178)</f>
        <v>59394</v>
      </c>
    </row>
    <row r="179" spans="2:13">
      <c r="B179" s="799"/>
      <c r="C179" s="810" t="s">
        <v>645</v>
      </c>
      <c r="D179" s="801"/>
      <c r="E179" s="801"/>
      <c r="F179" s="801"/>
      <c r="G179" s="801"/>
      <c r="H179" s="802"/>
      <c r="I179" s="803">
        <f>SUM(I173:I178)</f>
        <v>206184</v>
      </c>
      <c r="J179" s="1174"/>
    </row>
    <row r="180" spans="2:13" ht="15.75" thickBot="1">
      <c r="B180" s="804"/>
      <c r="C180" s="805" t="s">
        <v>229</v>
      </c>
      <c r="D180" s="806"/>
      <c r="E180" s="806"/>
      <c r="F180" s="806"/>
      <c r="G180" s="806"/>
      <c r="H180" s="807"/>
      <c r="I180" s="808">
        <f>ROUND(I179,0)</f>
        <v>206184</v>
      </c>
      <c r="J180" s="775"/>
    </row>
    <row r="181" spans="2:13">
      <c r="B181" s="782" t="s">
        <v>898</v>
      </c>
      <c r="C181" s="783" t="s">
        <v>1480</v>
      </c>
      <c r="D181" s="784"/>
      <c r="E181" s="784"/>
      <c r="F181" s="785"/>
      <c r="G181" s="785"/>
      <c r="H181" s="786"/>
      <c r="I181" s="787"/>
      <c r="J181" s="1174"/>
    </row>
    <row r="182" spans="2:13">
      <c r="B182" s="788"/>
      <c r="C182" s="792" t="s">
        <v>1481</v>
      </c>
      <c r="D182" s="635"/>
      <c r="E182" s="165"/>
      <c r="F182" s="345">
        <v>1</v>
      </c>
      <c r="G182" s="811" t="s">
        <v>88</v>
      </c>
      <c r="H182" s="681">
        <f>BAHAN!$E$314</f>
        <v>175000</v>
      </c>
      <c r="I182" s="790">
        <f>+F182*H182</f>
        <v>175000</v>
      </c>
      <c r="J182" s="1174"/>
      <c r="K182" s="1410">
        <f>SUMIF(BOQ!$G$1:$G$3199,J183,BOQ!$E$1:$E$3199)</f>
        <v>0</v>
      </c>
      <c r="L182" s="954">
        <f>K182*F182</f>
        <v>0</v>
      </c>
      <c r="M182" s="1491" t="s">
        <v>88</v>
      </c>
    </row>
    <row r="183" spans="2:13">
      <c r="B183" s="791"/>
      <c r="C183" s="792" t="s">
        <v>843</v>
      </c>
      <c r="D183" s="603"/>
      <c r="E183" s="171"/>
      <c r="F183" s="336">
        <v>5</v>
      </c>
      <c r="G183" s="811" t="s">
        <v>844</v>
      </c>
      <c r="H183" s="686">
        <f>I182</f>
        <v>175000</v>
      </c>
      <c r="I183" s="793">
        <f>+F183%*H183</f>
        <v>8750</v>
      </c>
      <c r="J183" s="1174">
        <f>SUM(I182:I183)</f>
        <v>183750</v>
      </c>
      <c r="K183" s="1410">
        <f>$K$182</f>
        <v>0</v>
      </c>
      <c r="L183" s="954">
        <f>K183*F183</f>
        <v>0</v>
      </c>
      <c r="M183" s="1491" t="s">
        <v>844</v>
      </c>
    </row>
    <row r="184" spans="2:13">
      <c r="B184" s="812"/>
      <c r="C184" s="792" t="s">
        <v>845</v>
      </c>
      <c r="D184" s="813"/>
      <c r="E184" s="814"/>
      <c r="F184" s="336">
        <v>0.16600000000000001</v>
      </c>
      <c r="G184" s="811" t="s">
        <v>846</v>
      </c>
      <c r="H184" s="797">
        <f>H175</f>
        <v>136000</v>
      </c>
      <c r="I184" s="793">
        <f>+F184*H184</f>
        <v>22576</v>
      </c>
      <c r="J184" s="1174"/>
    </row>
    <row r="185" spans="2:13">
      <c r="B185" s="812"/>
      <c r="C185" s="792" t="s">
        <v>847</v>
      </c>
      <c r="D185" s="813"/>
      <c r="E185" s="814"/>
      <c r="F185" s="336">
        <v>0.16600000000000001</v>
      </c>
      <c r="G185" s="811" t="s">
        <v>846</v>
      </c>
      <c r="H185" s="797">
        <f>H176</f>
        <v>170000</v>
      </c>
      <c r="I185" s="793">
        <f>+F185*H185</f>
        <v>28220</v>
      </c>
      <c r="J185" s="1174"/>
    </row>
    <row r="186" spans="2:13">
      <c r="B186" s="812"/>
      <c r="C186" s="792" t="s">
        <v>848</v>
      </c>
      <c r="D186" s="813"/>
      <c r="E186" s="814"/>
      <c r="F186" s="336">
        <v>3.3000000000000002E-2</v>
      </c>
      <c r="G186" s="811" t="s">
        <v>846</v>
      </c>
      <c r="H186" s="797">
        <f>H177</f>
        <v>170000</v>
      </c>
      <c r="I186" s="793">
        <f>+F186*H186</f>
        <v>5610</v>
      </c>
      <c r="J186" s="1174"/>
    </row>
    <row r="187" spans="2:13">
      <c r="B187" s="794"/>
      <c r="C187" s="792" t="s">
        <v>136</v>
      </c>
      <c r="D187" s="642"/>
      <c r="E187" s="796"/>
      <c r="F187" s="336">
        <v>1.66E-2</v>
      </c>
      <c r="G187" s="816" t="s">
        <v>846</v>
      </c>
      <c r="H187" s="797">
        <f>H178</f>
        <v>180000</v>
      </c>
      <c r="I187" s="798">
        <f>+F187*H187</f>
        <v>2988</v>
      </c>
      <c r="J187" s="1174">
        <f>SUM(I184:I187)</f>
        <v>59394</v>
      </c>
    </row>
    <row r="188" spans="2:13">
      <c r="B188" s="799"/>
      <c r="C188" s="810" t="s">
        <v>645</v>
      </c>
      <c r="D188" s="801"/>
      <c r="E188" s="801"/>
      <c r="F188" s="801"/>
      <c r="G188" s="801"/>
      <c r="H188" s="802"/>
      <c r="I188" s="803">
        <f>SUM(I182:I187)</f>
        <v>243144</v>
      </c>
      <c r="J188" s="1174"/>
    </row>
    <row r="189" spans="2:13" ht="15.75" thickBot="1">
      <c r="B189" s="804"/>
      <c r="C189" s="805" t="s">
        <v>229</v>
      </c>
      <c r="D189" s="806"/>
      <c r="E189" s="806"/>
      <c r="F189" s="806"/>
      <c r="G189" s="806"/>
      <c r="H189" s="807"/>
      <c r="I189" s="808">
        <f>ROUND(I188,0)</f>
        <v>243144</v>
      </c>
      <c r="J189" s="775"/>
    </row>
    <row r="190" spans="2:13">
      <c r="B190" s="782" t="s">
        <v>901</v>
      </c>
      <c r="C190" s="783" t="s">
        <v>896</v>
      </c>
      <c r="D190" s="784"/>
      <c r="E190" s="784"/>
      <c r="F190" s="785"/>
      <c r="G190" s="785"/>
      <c r="H190" s="786"/>
      <c r="I190" s="787"/>
      <c r="J190" s="1174"/>
    </row>
    <row r="191" spans="2:13">
      <c r="B191" s="788"/>
      <c r="C191" s="792" t="s">
        <v>897</v>
      </c>
      <c r="D191" s="635"/>
      <c r="E191" s="165"/>
      <c r="F191" s="345">
        <v>1</v>
      </c>
      <c r="G191" s="811" t="s">
        <v>88</v>
      </c>
      <c r="H191" s="681">
        <f>BAHAN!$E$318</f>
        <v>174000</v>
      </c>
      <c r="I191" s="790">
        <f t="shared" ref="I191:I196" si="12">+F191*H191</f>
        <v>174000</v>
      </c>
      <c r="J191" s="1174"/>
      <c r="K191" s="1410">
        <f>BOQ!$E$1007+BOQ!$E$1050</f>
        <v>0</v>
      </c>
      <c r="L191" s="954">
        <f>K191*F191</f>
        <v>0</v>
      </c>
      <c r="M191" s="1491" t="s">
        <v>88</v>
      </c>
    </row>
    <row r="192" spans="2:13">
      <c r="B192" s="791"/>
      <c r="C192" s="792" t="s">
        <v>843</v>
      </c>
      <c r="D192" s="603"/>
      <c r="E192" s="171"/>
      <c r="F192" s="336">
        <v>5</v>
      </c>
      <c r="G192" s="811" t="s">
        <v>844</v>
      </c>
      <c r="H192" s="686">
        <f>I191</f>
        <v>174000</v>
      </c>
      <c r="I192" s="793">
        <f>+F192%*H192</f>
        <v>8700</v>
      </c>
      <c r="J192" s="1174">
        <f>SUM(I191:I192)</f>
        <v>182700</v>
      </c>
      <c r="K192" s="1410">
        <f>BOQ!$E$1007+BOQ!$E$1050</f>
        <v>0</v>
      </c>
      <c r="L192" s="954">
        <f>K192*F192</f>
        <v>0</v>
      </c>
      <c r="M192" s="1491" t="s">
        <v>844</v>
      </c>
    </row>
    <row r="193" spans="2:13">
      <c r="B193" s="812"/>
      <c r="C193" s="792" t="s">
        <v>845</v>
      </c>
      <c r="D193" s="813"/>
      <c r="E193" s="814"/>
      <c r="F193" s="336">
        <v>0.16600000000000001</v>
      </c>
      <c r="G193" s="811" t="s">
        <v>846</v>
      </c>
      <c r="H193" s="797">
        <f>H166</f>
        <v>136000</v>
      </c>
      <c r="I193" s="793">
        <f t="shared" si="12"/>
        <v>22576</v>
      </c>
      <c r="J193" s="1174"/>
    </row>
    <row r="194" spans="2:13">
      <c r="B194" s="812"/>
      <c r="C194" s="792" t="s">
        <v>847</v>
      </c>
      <c r="D194" s="813"/>
      <c r="E194" s="814"/>
      <c r="F194" s="336">
        <v>0.16600000000000001</v>
      </c>
      <c r="G194" s="811" t="s">
        <v>846</v>
      </c>
      <c r="H194" s="797">
        <f>H167</f>
        <v>170000</v>
      </c>
      <c r="I194" s="793">
        <f t="shared" si="12"/>
        <v>28220</v>
      </c>
      <c r="J194" s="1174"/>
    </row>
    <row r="195" spans="2:13">
      <c r="B195" s="812"/>
      <c r="C195" s="792" t="s">
        <v>848</v>
      </c>
      <c r="D195" s="813"/>
      <c r="E195" s="814"/>
      <c r="F195" s="336">
        <v>3.3000000000000002E-2</v>
      </c>
      <c r="G195" s="811" t="s">
        <v>846</v>
      </c>
      <c r="H195" s="797">
        <f>H168</f>
        <v>170000</v>
      </c>
      <c r="I195" s="793">
        <f t="shared" si="12"/>
        <v>5610</v>
      </c>
      <c r="J195" s="1174"/>
    </row>
    <row r="196" spans="2:13">
      <c r="B196" s="794"/>
      <c r="C196" s="792" t="s">
        <v>136</v>
      </c>
      <c r="D196" s="642"/>
      <c r="E196" s="796"/>
      <c r="F196" s="336">
        <v>1.66E-2</v>
      </c>
      <c r="G196" s="816" t="s">
        <v>846</v>
      </c>
      <c r="H196" s="797">
        <f>H169</f>
        <v>180000</v>
      </c>
      <c r="I196" s="798">
        <f t="shared" si="12"/>
        <v>2988</v>
      </c>
      <c r="J196" s="1174">
        <f>SUM(I193:I196)</f>
        <v>59394</v>
      </c>
    </row>
    <row r="197" spans="2:13">
      <c r="B197" s="799"/>
      <c r="C197" s="810" t="s">
        <v>645</v>
      </c>
      <c r="D197" s="801"/>
      <c r="E197" s="801"/>
      <c r="F197" s="801"/>
      <c r="G197" s="801"/>
      <c r="H197" s="802"/>
      <c r="I197" s="803">
        <f>SUM(I191:I196)</f>
        <v>242094</v>
      </c>
      <c r="J197" s="1174"/>
    </row>
    <row r="198" spans="2:13" ht="15.75" thickBot="1">
      <c r="B198" s="804"/>
      <c r="C198" s="805" t="s">
        <v>229</v>
      </c>
      <c r="D198" s="806"/>
      <c r="E198" s="806"/>
      <c r="F198" s="806"/>
      <c r="G198" s="806"/>
      <c r="H198" s="807"/>
      <c r="I198" s="808">
        <f>ROUND(I197,0)</f>
        <v>242094</v>
      </c>
      <c r="J198" s="775"/>
    </row>
    <row r="199" spans="2:13">
      <c r="B199" s="782" t="s">
        <v>904</v>
      </c>
      <c r="C199" s="783" t="s">
        <v>899</v>
      </c>
      <c r="D199" s="784"/>
      <c r="E199" s="784"/>
      <c r="F199" s="785"/>
      <c r="G199" s="785"/>
      <c r="H199" s="786"/>
      <c r="I199" s="787"/>
      <c r="J199" s="1174"/>
    </row>
    <row r="200" spans="2:13">
      <c r="B200" s="788"/>
      <c r="C200" s="792" t="s">
        <v>900</v>
      </c>
      <c r="D200" s="635"/>
      <c r="E200" s="165"/>
      <c r="F200" s="345">
        <v>1</v>
      </c>
      <c r="G200" s="811" t="s">
        <v>88</v>
      </c>
      <c r="H200" s="681">
        <f>BAHAN!$E$320</f>
        <v>49900</v>
      </c>
      <c r="I200" s="790">
        <f t="shared" ref="I200:I205" si="13">+F200*H200</f>
        <v>49900</v>
      </c>
      <c r="J200" s="1174"/>
      <c r="K200" s="1410">
        <f>SUMIF(BOQ!$G$1:$G$3199,J201,BOQ!$E$1:$E$3199)</f>
        <v>0</v>
      </c>
      <c r="L200" s="954">
        <f>K200*F200</f>
        <v>0</v>
      </c>
      <c r="M200" s="1491" t="s">
        <v>88</v>
      </c>
    </row>
    <row r="201" spans="2:13">
      <c r="B201" s="791"/>
      <c r="C201" s="792" t="s">
        <v>843</v>
      </c>
      <c r="D201" s="603"/>
      <c r="E201" s="171"/>
      <c r="F201" s="336">
        <v>5</v>
      </c>
      <c r="G201" s="811" t="s">
        <v>844</v>
      </c>
      <c r="H201" s="686">
        <f>I200</f>
        <v>49900</v>
      </c>
      <c r="I201" s="793">
        <f>+F201%*H201</f>
        <v>2495</v>
      </c>
      <c r="J201" s="1174">
        <f>SUM(I200:I201)</f>
        <v>52395</v>
      </c>
      <c r="K201" s="1410">
        <f>K200</f>
        <v>0</v>
      </c>
      <c r="L201" s="954">
        <f>K201*F201</f>
        <v>0</v>
      </c>
      <c r="M201" s="1491" t="s">
        <v>844</v>
      </c>
    </row>
    <row r="202" spans="2:13">
      <c r="B202" s="812"/>
      <c r="C202" s="792" t="s">
        <v>845</v>
      </c>
      <c r="D202" s="813"/>
      <c r="E202" s="814"/>
      <c r="F202" s="336">
        <v>0.16600000000000001</v>
      </c>
      <c r="G202" s="811" t="s">
        <v>846</v>
      </c>
      <c r="H202" s="797">
        <f>H193</f>
        <v>136000</v>
      </c>
      <c r="I202" s="793">
        <f t="shared" si="13"/>
        <v>22576</v>
      </c>
      <c r="J202" s="1174"/>
    </row>
    <row r="203" spans="2:13">
      <c r="B203" s="812"/>
      <c r="C203" s="792" t="s">
        <v>847</v>
      </c>
      <c r="D203" s="813"/>
      <c r="E203" s="814"/>
      <c r="F203" s="336">
        <v>0.16600000000000001</v>
      </c>
      <c r="G203" s="811" t="s">
        <v>846</v>
      </c>
      <c r="H203" s="797">
        <f>H194</f>
        <v>170000</v>
      </c>
      <c r="I203" s="793">
        <f t="shared" si="13"/>
        <v>28220</v>
      </c>
      <c r="J203" s="1174"/>
    </row>
    <row r="204" spans="2:13">
      <c r="B204" s="812"/>
      <c r="C204" s="792" t="s">
        <v>848</v>
      </c>
      <c r="D204" s="813"/>
      <c r="E204" s="814"/>
      <c r="F204" s="336">
        <v>3.3000000000000002E-2</v>
      </c>
      <c r="G204" s="811" t="s">
        <v>846</v>
      </c>
      <c r="H204" s="797">
        <f>H195</f>
        <v>170000</v>
      </c>
      <c r="I204" s="793">
        <f t="shared" si="13"/>
        <v>5610</v>
      </c>
      <c r="J204" s="1174"/>
    </row>
    <row r="205" spans="2:13">
      <c r="B205" s="794"/>
      <c r="C205" s="792" t="s">
        <v>136</v>
      </c>
      <c r="D205" s="642"/>
      <c r="E205" s="796"/>
      <c r="F205" s="336">
        <v>1.66E-2</v>
      </c>
      <c r="G205" s="816" t="s">
        <v>846</v>
      </c>
      <c r="H205" s="797">
        <f>H196</f>
        <v>180000</v>
      </c>
      <c r="I205" s="798">
        <f t="shared" si="13"/>
        <v>2988</v>
      </c>
      <c r="J205" s="1174">
        <f>SUM(I202:I205)</f>
        <v>59394</v>
      </c>
    </row>
    <row r="206" spans="2:13">
      <c r="B206" s="799"/>
      <c r="C206" s="810" t="s">
        <v>645</v>
      </c>
      <c r="D206" s="801"/>
      <c r="E206" s="801"/>
      <c r="F206" s="801"/>
      <c r="G206" s="801"/>
      <c r="H206" s="802"/>
      <c r="I206" s="803">
        <f>SUM(I200:I205)</f>
        <v>111789</v>
      </c>
      <c r="J206" s="1174"/>
    </row>
    <row r="207" spans="2:13" ht="15.75" thickBot="1">
      <c r="B207" s="804"/>
      <c r="C207" s="805" t="s">
        <v>229</v>
      </c>
      <c r="D207" s="806"/>
      <c r="E207" s="806"/>
      <c r="F207" s="806"/>
      <c r="G207" s="806"/>
      <c r="H207" s="807"/>
      <c r="I207" s="808">
        <f>ROUND(I206,0)</f>
        <v>111789</v>
      </c>
      <c r="J207" s="775"/>
    </row>
    <row r="208" spans="2:13">
      <c r="B208" s="782" t="s">
        <v>1426</v>
      </c>
      <c r="C208" s="783" t="s">
        <v>1483</v>
      </c>
      <c r="D208" s="784"/>
      <c r="E208" s="784"/>
      <c r="F208" s="785"/>
      <c r="G208" s="785"/>
      <c r="H208" s="786"/>
      <c r="I208" s="787"/>
      <c r="J208" s="1174"/>
    </row>
    <row r="209" spans="2:13">
      <c r="B209" s="788"/>
      <c r="C209" s="792" t="s">
        <v>1488</v>
      </c>
      <c r="D209" s="635"/>
      <c r="E209" s="165"/>
      <c r="F209" s="345">
        <v>1</v>
      </c>
      <c r="G209" s="811" t="s">
        <v>88</v>
      </c>
      <c r="H209" s="681">
        <f>BAHAN!E318</f>
        <v>174000</v>
      </c>
      <c r="I209" s="790">
        <f>+F209*H209</f>
        <v>174000</v>
      </c>
      <c r="J209" s="1174"/>
      <c r="K209" s="1410">
        <f>SUMIF(BOQ!$G$1:$G$3199,J210,BOQ!$E$1:$E$3199)</f>
        <v>0</v>
      </c>
      <c r="L209" s="954">
        <f>K209*F209</f>
        <v>0</v>
      </c>
      <c r="M209" s="1491" t="s">
        <v>88</v>
      </c>
    </row>
    <row r="210" spans="2:13">
      <c r="B210" s="791"/>
      <c r="C210" s="792" t="s">
        <v>843</v>
      </c>
      <c r="D210" s="603"/>
      <c r="E210" s="171"/>
      <c r="F210" s="336">
        <v>5</v>
      </c>
      <c r="G210" s="811" t="s">
        <v>844</v>
      </c>
      <c r="H210" s="686">
        <f>I209</f>
        <v>174000</v>
      </c>
      <c r="I210" s="793">
        <f>+F210%*H210</f>
        <v>8700</v>
      </c>
      <c r="J210" s="1174">
        <f>SUM(I209:I210)</f>
        <v>182700</v>
      </c>
      <c r="K210" s="1410">
        <f>$K$209</f>
        <v>0</v>
      </c>
      <c r="L210" s="954">
        <f>K210*F210</f>
        <v>0</v>
      </c>
      <c r="M210" s="1491" t="s">
        <v>844</v>
      </c>
    </row>
    <row r="211" spans="2:13">
      <c r="B211" s="812"/>
      <c r="C211" s="792" t="s">
        <v>845</v>
      </c>
      <c r="D211" s="813"/>
      <c r="E211" s="814"/>
      <c r="F211" s="336">
        <v>0.16600000000000001</v>
      </c>
      <c r="G211" s="811" t="s">
        <v>846</v>
      </c>
      <c r="H211" s="797">
        <f>H202</f>
        <v>136000</v>
      </c>
      <c r="I211" s="793">
        <f>+F211*H211</f>
        <v>22576</v>
      </c>
      <c r="J211" s="1174"/>
    </row>
    <row r="212" spans="2:13">
      <c r="B212" s="812"/>
      <c r="C212" s="792" t="s">
        <v>847</v>
      </c>
      <c r="D212" s="813"/>
      <c r="E212" s="814"/>
      <c r="F212" s="336">
        <v>0.16600000000000001</v>
      </c>
      <c r="G212" s="811" t="s">
        <v>846</v>
      </c>
      <c r="H212" s="797">
        <f>H203</f>
        <v>170000</v>
      </c>
      <c r="I212" s="793">
        <f>+F212*H212</f>
        <v>28220</v>
      </c>
      <c r="J212" s="1174"/>
    </row>
    <row r="213" spans="2:13">
      <c r="B213" s="812"/>
      <c r="C213" s="792" t="s">
        <v>848</v>
      </c>
      <c r="D213" s="813"/>
      <c r="E213" s="814"/>
      <c r="F213" s="336">
        <v>3.3000000000000002E-2</v>
      </c>
      <c r="G213" s="811" t="s">
        <v>846</v>
      </c>
      <c r="H213" s="797">
        <f>H204</f>
        <v>170000</v>
      </c>
      <c r="I213" s="793">
        <f>+F213*H213</f>
        <v>5610</v>
      </c>
      <c r="J213" s="1174"/>
    </row>
    <row r="214" spans="2:13">
      <c r="B214" s="794"/>
      <c r="C214" s="792" t="s">
        <v>136</v>
      </c>
      <c r="D214" s="642"/>
      <c r="E214" s="796"/>
      <c r="F214" s="336">
        <v>1.66E-2</v>
      </c>
      <c r="G214" s="816" t="s">
        <v>846</v>
      </c>
      <c r="H214" s="797">
        <f>H205</f>
        <v>180000</v>
      </c>
      <c r="I214" s="798">
        <f>+F214*H214</f>
        <v>2988</v>
      </c>
      <c r="J214" s="1174">
        <f>SUM(I211:I214)</f>
        <v>59394</v>
      </c>
    </row>
    <row r="215" spans="2:13">
      <c r="B215" s="799"/>
      <c r="C215" s="810" t="s">
        <v>645</v>
      </c>
      <c r="D215" s="801"/>
      <c r="E215" s="801"/>
      <c r="F215" s="801"/>
      <c r="G215" s="801"/>
      <c r="H215" s="802"/>
      <c r="I215" s="803">
        <f>SUM(I209:I214)</f>
        <v>242094</v>
      </c>
      <c r="J215" s="1174"/>
    </row>
    <row r="216" spans="2:13" ht="15.75" thickBot="1">
      <c r="B216" s="804"/>
      <c r="C216" s="805" t="s">
        <v>229</v>
      </c>
      <c r="D216" s="806"/>
      <c r="E216" s="806"/>
      <c r="F216" s="806"/>
      <c r="G216" s="806"/>
      <c r="H216" s="807"/>
      <c r="I216" s="808">
        <f>ROUND(I215,0)</f>
        <v>242094</v>
      </c>
      <c r="J216" s="775"/>
    </row>
    <row r="217" spans="2:13">
      <c r="B217" s="782" t="s">
        <v>1427</v>
      </c>
      <c r="C217" s="783" t="s">
        <v>1511</v>
      </c>
      <c r="D217" s="784"/>
      <c r="E217" s="784"/>
      <c r="F217" s="785"/>
      <c r="G217" s="785"/>
      <c r="H217" s="786"/>
      <c r="I217" s="787"/>
      <c r="J217" s="1174"/>
    </row>
    <row r="218" spans="2:13">
      <c r="B218" s="788"/>
      <c r="C218" s="792" t="s">
        <v>1509</v>
      </c>
      <c r="D218" s="635"/>
      <c r="E218" s="165"/>
      <c r="F218" s="345">
        <v>1</v>
      </c>
      <c r="G218" s="811" t="s">
        <v>88</v>
      </c>
      <c r="H218" s="681">
        <f>BAHAN!E316</f>
        <v>617500</v>
      </c>
      <c r="I218" s="790">
        <f>+F218*H218</f>
        <v>617500</v>
      </c>
      <c r="J218" s="1174"/>
      <c r="K218" s="5">
        <f>BOQ!$E$1010+BOQ!$E$1053</f>
        <v>6</v>
      </c>
      <c r="L218" s="954">
        <f>K218*F218</f>
        <v>6</v>
      </c>
      <c r="M218" s="1491" t="s">
        <v>88</v>
      </c>
    </row>
    <row r="219" spans="2:13">
      <c r="B219" s="791"/>
      <c r="C219" s="792" t="s">
        <v>843</v>
      </c>
      <c r="D219" s="603"/>
      <c r="E219" s="171"/>
      <c r="F219" s="336">
        <v>5</v>
      </c>
      <c r="G219" s="811" t="s">
        <v>844</v>
      </c>
      <c r="H219" s="686">
        <f>I218</f>
        <v>617500</v>
      </c>
      <c r="I219" s="793">
        <f>+F219%*H219</f>
        <v>30875</v>
      </c>
      <c r="J219" s="1174">
        <f>SUM(I218:I219)</f>
        <v>648375</v>
      </c>
      <c r="K219" s="5">
        <f>BOQ!$E$1010+BOQ!$E$1053</f>
        <v>6</v>
      </c>
      <c r="L219" s="954">
        <f>K219*F219</f>
        <v>30</v>
      </c>
      <c r="M219" s="1491" t="s">
        <v>844</v>
      </c>
    </row>
    <row r="220" spans="2:13">
      <c r="B220" s="812"/>
      <c r="C220" s="792" t="s">
        <v>845</v>
      </c>
      <c r="D220" s="813"/>
      <c r="E220" s="814"/>
      <c r="F220" s="336">
        <v>0.16600000000000001</v>
      </c>
      <c r="G220" s="811" t="s">
        <v>846</v>
      </c>
      <c r="H220" s="797">
        <f>H211</f>
        <v>136000</v>
      </c>
      <c r="I220" s="793">
        <f>+F220*H220</f>
        <v>22576</v>
      </c>
      <c r="J220" s="1174"/>
    </row>
    <row r="221" spans="2:13">
      <c r="B221" s="812"/>
      <c r="C221" s="792" t="s">
        <v>847</v>
      </c>
      <c r="D221" s="813"/>
      <c r="E221" s="814"/>
      <c r="F221" s="336">
        <v>0.16600000000000001</v>
      </c>
      <c r="G221" s="811" t="s">
        <v>846</v>
      </c>
      <c r="H221" s="797">
        <f>H212</f>
        <v>170000</v>
      </c>
      <c r="I221" s="793">
        <f>+F221*H221</f>
        <v>28220</v>
      </c>
      <c r="J221" s="1174"/>
    </row>
    <row r="222" spans="2:13">
      <c r="B222" s="812"/>
      <c r="C222" s="792" t="s">
        <v>848</v>
      </c>
      <c r="D222" s="813"/>
      <c r="E222" s="814"/>
      <c r="F222" s="336">
        <v>3.3000000000000002E-2</v>
      </c>
      <c r="G222" s="811" t="s">
        <v>846</v>
      </c>
      <c r="H222" s="797">
        <f>H213</f>
        <v>170000</v>
      </c>
      <c r="I222" s="793">
        <f>+F222*H222</f>
        <v>5610</v>
      </c>
      <c r="J222" s="1174"/>
    </row>
    <row r="223" spans="2:13">
      <c r="B223" s="794"/>
      <c r="C223" s="792" t="s">
        <v>136</v>
      </c>
      <c r="D223" s="642"/>
      <c r="E223" s="796"/>
      <c r="F223" s="336">
        <v>1.66E-2</v>
      </c>
      <c r="G223" s="816" t="s">
        <v>846</v>
      </c>
      <c r="H223" s="797">
        <f>H214</f>
        <v>180000</v>
      </c>
      <c r="I223" s="798">
        <f>+F223*H223</f>
        <v>2988</v>
      </c>
      <c r="J223" s="1174">
        <f>SUM(I220:I223)</f>
        <v>59394</v>
      </c>
    </row>
    <row r="224" spans="2:13">
      <c r="B224" s="799"/>
      <c r="C224" s="810" t="s">
        <v>645</v>
      </c>
      <c r="D224" s="801"/>
      <c r="E224" s="801"/>
      <c r="F224" s="801"/>
      <c r="G224" s="801"/>
      <c r="H224" s="802"/>
      <c r="I224" s="803">
        <f>SUM(I218:I223)</f>
        <v>707769</v>
      </c>
      <c r="J224" s="1174"/>
    </row>
    <row r="225" spans="2:13" ht="15.75" thickBot="1">
      <c r="B225" s="804"/>
      <c r="C225" s="805" t="s">
        <v>229</v>
      </c>
      <c r="D225" s="806"/>
      <c r="E225" s="806"/>
      <c r="F225" s="806"/>
      <c r="G225" s="806"/>
      <c r="H225" s="807"/>
      <c r="I225" s="808">
        <f>ROUND(I224,0)</f>
        <v>707769</v>
      </c>
      <c r="J225" s="775"/>
    </row>
    <row r="226" spans="2:13">
      <c r="B226" s="782" t="s">
        <v>1436</v>
      </c>
      <c r="C226" s="783" t="s">
        <v>902</v>
      </c>
      <c r="D226" s="784"/>
      <c r="E226" s="784"/>
      <c r="F226" s="785"/>
      <c r="G226" s="785"/>
      <c r="H226" s="786"/>
      <c r="I226" s="787"/>
      <c r="J226" s="1174"/>
    </row>
    <row r="227" spans="2:13">
      <c r="B227" s="788"/>
      <c r="C227" s="792" t="s">
        <v>903</v>
      </c>
      <c r="D227" s="635"/>
      <c r="E227" s="165"/>
      <c r="F227" s="345">
        <v>1</v>
      </c>
      <c r="G227" s="811" t="s">
        <v>88</v>
      </c>
      <c r="H227" s="681">
        <f>BAHAN!$E$286</f>
        <v>255000</v>
      </c>
      <c r="I227" s="790">
        <f t="shared" ref="I227:I232" si="14">+F227*H227</f>
        <v>255000</v>
      </c>
      <c r="J227" s="1174"/>
      <c r="K227" s="1410">
        <f>SUMIF(BOQ!$G$1:$G$3199,J228,BOQ!$E$1:$E$3199)</f>
        <v>0</v>
      </c>
      <c r="L227" s="954">
        <f>K227*F227</f>
        <v>0</v>
      </c>
      <c r="M227" s="1491" t="s">
        <v>88</v>
      </c>
    </row>
    <row r="228" spans="2:13">
      <c r="B228" s="791"/>
      <c r="C228" s="792" t="s">
        <v>843</v>
      </c>
      <c r="D228" s="603"/>
      <c r="E228" s="171"/>
      <c r="F228" s="336">
        <v>5</v>
      </c>
      <c r="G228" s="811" t="s">
        <v>844</v>
      </c>
      <c r="H228" s="686">
        <f>I227</f>
        <v>255000</v>
      </c>
      <c r="I228" s="793">
        <f>+F228%*H228</f>
        <v>12750</v>
      </c>
      <c r="J228" s="1174">
        <f>SUM(I227:I228)</f>
        <v>267750</v>
      </c>
      <c r="K228" s="1410">
        <f>$K$227</f>
        <v>0</v>
      </c>
      <c r="L228" s="954">
        <f>K228*F228</f>
        <v>0</v>
      </c>
      <c r="M228" s="1491" t="s">
        <v>844</v>
      </c>
    </row>
    <row r="229" spans="2:13">
      <c r="B229" s="812"/>
      <c r="C229" s="792" t="s">
        <v>845</v>
      </c>
      <c r="D229" s="813"/>
      <c r="E229" s="814"/>
      <c r="F229" s="336">
        <v>0.16600000000000001</v>
      </c>
      <c r="G229" s="811" t="s">
        <v>846</v>
      </c>
      <c r="H229" s="797">
        <f>H202</f>
        <v>136000</v>
      </c>
      <c r="I229" s="793">
        <f t="shared" si="14"/>
        <v>22576</v>
      </c>
      <c r="J229" s="1174"/>
    </row>
    <row r="230" spans="2:13">
      <c r="B230" s="812"/>
      <c r="C230" s="792" t="s">
        <v>847</v>
      </c>
      <c r="D230" s="813"/>
      <c r="E230" s="814"/>
      <c r="F230" s="336">
        <v>0.16600000000000001</v>
      </c>
      <c r="G230" s="811" t="s">
        <v>846</v>
      </c>
      <c r="H230" s="797">
        <f>H203</f>
        <v>170000</v>
      </c>
      <c r="I230" s="793">
        <f t="shared" si="14"/>
        <v>28220</v>
      </c>
      <c r="J230" s="1174"/>
    </row>
    <row r="231" spans="2:13">
      <c r="B231" s="812"/>
      <c r="C231" s="792" t="s">
        <v>848</v>
      </c>
      <c r="D231" s="813"/>
      <c r="E231" s="814"/>
      <c r="F231" s="336">
        <v>3.3000000000000002E-2</v>
      </c>
      <c r="G231" s="811" t="s">
        <v>846</v>
      </c>
      <c r="H231" s="797">
        <f>H204</f>
        <v>170000</v>
      </c>
      <c r="I231" s="793">
        <f t="shared" si="14"/>
        <v>5610</v>
      </c>
      <c r="J231" s="1174"/>
    </row>
    <row r="232" spans="2:13">
      <c r="B232" s="794"/>
      <c r="C232" s="792" t="s">
        <v>136</v>
      </c>
      <c r="D232" s="642"/>
      <c r="E232" s="796"/>
      <c r="F232" s="336">
        <v>1.66E-2</v>
      </c>
      <c r="G232" s="816" t="s">
        <v>846</v>
      </c>
      <c r="H232" s="797">
        <f>H205</f>
        <v>180000</v>
      </c>
      <c r="I232" s="798">
        <f t="shared" si="14"/>
        <v>2988</v>
      </c>
      <c r="J232" s="1174">
        <f>SUM(I229:I232)</f>
        <v>59394</v>
      </c>
    </row>
    <row r="233" spans="2:13">
      <c r="B233" s="799"/>
      <c r="C233" s="810" t="s">
        <v>645</v>
      </c>
      <c r="D233" s="801"/>
      <c r="E233" s="801"/>
      <c r="F233" s="801"/>
      <c r="G233" s="801"/>
      <c r="H233" s="802"/>
      <c r="I233" s="803">
        <f>SUM(I227:I232)</f>
        <v>327144</v>
      </c>
      <c r="J233" s="1174"/>
    </row>
    <row r="234" spans="2:13" ht="15.75" thickBot="1">
      <c r="B234" s="804"/>
      <c r="C234" s="805" t="s">
        <v>229</v>
      </c>
      <c r="D234" s="806"/>
      <c r="E234" s="806"/>
      <c r="F234" s="806"/>
      <c r="G234" s="806"/>
      <c r="H234" s="807"/>
      <c r="I234" s="808">
        <f>ROUND(I233,0)</f>
        <v>327144</v>
      </c>
      <c r="J234" s="775"/>
    </row>
    <row r="235" spans="2:13">
      <c r="B235" s="782" t="s">
        <v>1439</v>
      </c>
      <c r="C235" s="783" t="s">
        <v>905</v>
      </c>
      <c r="D235" s="784"/>
      <c r="E235" s="784"/>
      <c r="F235" s="785"/>
      <c r="G235" s="785"/>
      <c r="H235" s="786"/>
      <c r="I235" s="787"/>
      <c r="J235" s="1174"/>
    </row>
    <row r="236" spans="2:13">
      <c r="B236" s="788"/>
      <c r="C236" s="792" t="s">
        <v>906</v>
      </c>
      <c r="D236" s="635"/>
      <c r="E236" s="165"/>
      <c r="F236" s="345">
        <v>1</v>
      </c>
      <c r="G236" s="811" t="s">
        <v>841</v>
      </c>
      <c r="H236" s="681">
        <f>BAHAN!$E$325</f>
        <v>160000</v>
      </c>
      <c r="I236" s="790">
        <f t="shared" ref="I236:I241" si="15">+F236*H236</f>
        <v>160000</v>
      </c>
      <c r="J236" s="1174"/>
      <c r="K236" s="5">
        <f>BOQ!$E$1207</f>
        <v>0</v>
      </c>
      <c r="L236" s="954">
        <f>K236*F236</f>
        <v>0</v>
      </c>
      <c r="M236" s="1491" t="s">
        <v>841</v>
      </c>
    </row>
    <row r="237" spans="2:13">
      <c r="B237" s="791"/>
      <c r="C237" s="792" t="s">
        <v>843</v>
      </c>
      <c r="D237" s="603"/>
      <c r="E237" s="171"/>
      <c r="F237" s="336">
        <v>5</v>
      </c>
      <c r="G237" s="811" t="s">
        <v>844</v>
      </c>
      <c r="H237" s="686">
        <f>I236</f>
        <v>160000</v>
      </c>
      <c r="I237" s="793">
        <f>+F237%*H237</f>
        <v>8000</v>
      </c>
      <c r="J237" s="1174">
        <f>SUM(I236:I237)</f>
        <v>168000</v>
      </c>
      <c r="K237" s="5">
        <f>BOQ!$E$1207</f>
        <v>0</v>
      </c>
      <c r="L237" s="954">
        <f>K237*F237</f>
        <v>0</v>
      </c>
      <c r="M237" s="1491" t="s">
        <v>844</v>
      </c>
    </row>
    <row r="238" spans="2:13">
      <c r="B238" s="812"/>
      <c r="C238" s="792" t="s">
        <v>845</v>
      </c>
      <c r="D238" s="813"/>
      <c r="E238" s="814"/>
      <c r="F238" s="336">
        <v>0.16600000000000001</v>
      </c>
      <c r="G238" s="811" t="s">
        <v>846</v>
      </c>
      <c r="H238" s="797">
        <f>H229</f>
        <v>136000</v>
      </c>
      <c r="I238" s="793">
        <f t="shared" si="15"/>
        <v>22576</v>
      </c>
      <c r="J238" s="1174"/>
    </row>
    <row r="239" spans="2:13">
      <c r="B239" s="812"/>
      <c r="C239" s="792" t="s">
        <v>847</v>
      </c>
      <c r="D239" s="813"/>
      <c r="E239" s="814"/>
      <c r="F239" s="336">
        <v>0.16600000000000001</v>
      </c>
      <c r="G239" s="811" t="s">
        <v>846</v>
      </c>
      <c r="H239" s="797">
        <f>H230</f>
        <v>170000</v>
      </c>
      <c r="I239" s="793">
        <f t="shared" si="15"/>
        <v>28220</v>
      </c>
      <c r="J239" s="1174"/>
    </row>
    <row r="240" spans="2:13">
      <c r="B240" s="812"/>
      <c r="C240" s="792" t="s">
        <v>848</v>
      </c>
      <c r="D240" s="813"/>
      <c r="E240" s="814"/>
      <c r="F240" s="336">
        <v>3.3000000000000002E-2</v>
      </c>
      <c r="G240" s="811" t="s">
        <v>846</v>
      </c>
      <c r="H240" s="797">
        <f>H231</f>
        <v>170000</v>
      </c>
      <c r="I240" s="793">
        <f t="shared" si="15"/>
        <v>5610</v>
      </c>
      <c r="J240" s="1174"/>
    </row>
    <row r="241" spans="2:13">
      <c r="B241" s="794"/>
      <c r="C241" s="792" t="s">
        <v>136</v>
      </c>
      <c r="D241" s="642"/>
      <c r="E241" s="796"/>
      <c r="F241" s="336">
        <v>1.66E-2</v>
      </c>
      <c r="G241" s="816" t="s">
        <v>846</v>
      </c>
      <c r="H241" s="797">
        <f>H232</f>
        <v>180000</v>
      </c>
      <c r="I241" s="798">
        <f t="shared" si="15"/>
        <v>2988</v>
      </c>
      <c r="J241" s="1174">
        <f>SUM(I238:I241)</f>
        <v>59394</v>
      </c>
    </row>
    <row r="242" spans="2:13">
      <c r="B242" s="799"/>
      <c r="C242" s="810" t="s">
        <v>645</v>
      </c>
      <c r="D242" s="801"/>
      <c r="E242" s="801"/>
      <c r="F242" s="801"/>
      <c r="G242" s="801"/>
      <c r="H242" s="802"/>
      <c r="I242" s="803">
        <f>SUM(I236:I241)</f>
        <v>227394</v>
      </c>
      <c r="J242" s="1174"/>
    </row>
    <row r="243" spans="2:13" ht="15.75" thickBot="1">
      <c r="B243" s="804"/>
      <c r="C243" s="805" t="s">
        <v>229</v>
      </c>
      <c r="D243" s="806"/>
      <c r="E243" s="806"/>
      <c r="F243" s="806"/>
      <c r="G243" s="806"/>
      <c r="H243" s="807"/>
      <c r="I243" s="808">
        <f>ROUND(I242,0)</f>
        <v>227394</v>
      </c>
      <c r="J243" s="775"/>
    </row>
    <row r="244" spans="2:13">
      <c r="B244" s="782" t="s">
        <v>1447</v>
      </c>
      <c r="C244" s="783" t="s">
        <v>1850</v>
      </c>
      <c r="D244" s="784"/>
      <c r="E244" s="784"/>
      <c r="F244" s="785"/>
      <c r="G244" s="785"/>
      <c r="H244" s="786"/>
      <c r="I244" s="787"/>
      <c r="J244" s="1174"/>
    </row>
    <row r="245" spans="2:13">
      <c r="B245" s="788"/>
      <c r="C245" s="792" t="s">
        <v>1422</v>
      </c>
      <c r="D245" s="635"/>
      <c r="E245" s="165"/>
      <c r="F245" s="345">
        <v>1</v>
      </c>
      <c r="G245" s="811" t="s">
        <v>88</v>
      </c>
      <c r="H245" s="681">
        <f>BAHAN!$E$329</f>
        <v>1749300</v>
      </c>
      <c r="I245" s="790">
        <f>+F245*H245</f>
        <v>1749300</v>
      </c>
      <c r="J245" s="1174"/>
      <c r="K245" s="1410">
        <f>SUMIF(BOQ!$G$1:$G$3199,J246,BOQ!$E$1:$E$3199)</f>
        <v>0</v>
      </c>
      <c r="L245" s="954">
        <f>K245*F245</f>
        <v>0</v>
      </c>
      <c r="M245" s="1491" t="s">
        <v>88</v>
      </c>
    </row>
    <row r="246" spans="2:13">
      <c r="B246" s="791"/>
      <c r="C246" s="792" t="s">
        <v>843</v>
      </c>
      <c r="D246" s="603"/>
      <c r="E246" s="171"/>
      <c r="F246" s="336">
        <v>5</v>
      </c>
      <c r="G246" s="811" t="s">
        <v>844</v>
      </c>
      <c r="H246" s="686">
        <f>I245</f>
        <v>1749300</v>
      </c>
      <c r="I246" s="793">
        <f>+F246%*H246</f>
        <v>87465</v>
      </c>
      <c r="J246" s="1174">
        <f>SUM(I245:I246)</f>
        <v>1836765</v>
      </c>
      <c r="K246" s="5">
        <f>$K$245</f>
        <v>0</v>
      </c>
      <c r="L246" s="954">
        <f>K246*F246</f>
        <v>0</v>
      </c>
      <c r="M246" s="1491" t="s">
        <v>844</v>
      </c>
    </row>
    <row r="247" spans="2:13">
      <c r="B247" s="812"/>
      <c r="C247" s="792" t="s">
        <v>845</v>
      </c>
      <c r="D247" s="813"/>
      <c r="E247" s="814"/>
      <c r="F247" s="336">
        <v>0.16600000000000001</v>
      </c>
      <c r="G247" s="811" t="s">
        <v>846</v>
      </c>
      <c r="H247" s="797">
        <f>H139</f>
        <v>136000</v>
      </c>
      <c r="I247" s="793">
        <f>+F247*H247</f>
        <v>22576</v>
      </c>
      <c r="J247" s="1174"/>
    </row>
    <row r="248" spans="2:13">
      <c r="B248" s="812"/>
      <c r="C248" s="792" t="s">
        <v>847</v>
      </c>
      <c r="D248" s="813"/>
      <c r="E248" s="814"/>
      <c r="F248" s="336">
        <v>0.16600000000000001</v>
      </c>
      <c r="G248" s="811" t="s">
        <v>846</v>
      </c>
      <c r="H248" s="797">
        <f>H140</f>
        <v>170000</v>
      </c>
      <c r="I248" s="793">
        <f>+F248*H248</f>
        <v>28220</v>
      </c>
      <c r="J248" s="1174"/>
    </row>
    <row r="249" spans="2:13">
      <c r="B249" s="812"/>
      <c r="C249" s="792" t="s">
        <v>2148</v>
      </c>
      <c r="D249" s="813"/>
      <c r="E249" s="814"/>
      <c r="F249" s="336">
        <v>3.3000000000000002E-2</v>
      </c>
      <c r="G249" s="811" t="s">
        <v>846</v>
      </c>
      <c r="H249" s="797">
        <f>H141</f>
        <v>170000</v>
      </c>
      <c r="I249" s="793">
        <f>+F249*H249</f>
        <v>5610</v>
      </c>
      <c r="J249" s="1174"/>
    </row>
    <row r="250" spans="2:13">
      <c r="B250" s="794"/>
      <c r="C250" s="792" t="s">
        <v>136</v>
      </c>
      <c r="D250" s="642"/>
      <c r="E250" s="796"/>
      <c r="F250" s="336">
        <v>1.66E-2</v>
      </c>
      <c r="G250" s="816" t="s">
        <v>846</v>
      </c>
      <c r="H250" s="797">
        <f>H142</f>
        <v>180000</v>
      </c>
      <c r="I250" s="798">
        <f>+F250*H250</f>
        <v>2988</v>
      </c>
      <c r="J250" s="1174">
        <f>SUM(I247:I250)</f>
        <v>59394</v>
      </c>
    </row>
    <row r="251" spans="2:13">
      <c r="B251" s="799"/>
      <c r="C251" s="810" t="s">
        <v>645</v>
      </c>
      <c r="D251" s="801"/>
      <c r="E251" s="801"/>
      <c r="F251" s="801"/>
      <c r="G251" s="801"/>
      <c r="H251" s="802"/>
      <c r="I251" s="803">
        <f>SUM(I245:I250)</f>
        <v>1896159</v>
      </c>
      <c r="J251" s="1174"/>
    </row>
    <row r="252" spans="2:13" ht="15.75" thickBot="1">
      <c r="B252" s="804"/>
      <c r="C252" s="805" t="s">
        <v>229</v>
      </c>
      <c r="D252" s="806"/>
      <c r="E252" s="806"/>
      <c r="F252" s="806"/>
      <c r="G252" s="806"/>
      <c r="H252" s="807"/>
      <c r="I252" s="808">
        <f>ROUND(I251,0)</f>
        <v>1896159</v>
      </c>
      <c r="J252" s="775"/>
    </row>
    <row r="253" spans="2:13">
      <c r="B253" s="782" t="s">
        <v>1479</v>
      </c>
      <c r="C253" s="783" t="s">
        <v>1437</v>
      </c>
      <c r="D253" s="784"/>
      <c r="E253" s="784"/>
      <c r="F253" s="785"/>
      <c r="G253" s="785"/>
      <c r="H253" s="786"/>
      <c r="I253" s="787"/>
      <c r="J253" s="1174"/>
    </row>
    <row r="254" spans="2:13">
      <c r="B254" s="788"/>
      <c r="C254" s="792" t="s">
        <v>1438</v>
      </c>
      <c r="D254" s="635"/>
      <c r="E254" s="165"/>
      <c r="F254" s="345">
        <v>1.05</v>
      </c>
      <c r="G254" s="811" t="s">
        <v>841</v>
      </c>
      <c r="H254" s="681">
        <f>BAHAN!$E$331</f>
        <v>11960</v>
      </c>
      <c r="I254" s="790">
        <f>+F254*H254</f>
        <v>12558</v>
      </c>
      <c r="J254" s="1174"/>
      <c r="K254" s="1410">
        <f>BOQ!$E$998</f>
        <v>55.000000000000007</v>
      </c>
      <c r="L254" s="910">
        <f>K254*F254</f>
        <v>57.750000000000007</v>
      </c>
      <c r="M254" s="1491" t="s">
        <v>841</v>
      </c>
    </row>
    <row r="255" spans="2:13">
      <c r="B255" s="791"/>
      <c r="C255" s="792" t="s">
        <v>842</v>
      </c>
      <c r="D255" s="603"/>
      <c r="E255" s="171"/>
      <c r="F255" s="336">
        <v>1</v>
      </c>
      <c r="G255" s="811" t="s">
        <v>841</v>
      </c>
      <c r="H255" s="686">
        <f>BAHAN!$E$326</f>
        <v>3200</v>
      </c>
      <c r="I255" s="793">
        <f>+F255*H255</f>
        <v>3200</v>
      </c>
      <c r="J255" s="1174"/>
      <c r="K255" s="1410">
        <f>$K$254</f>
        <v>55.000000000000007</v>
      </c>
      <c r="L255" s="910">
        <f>K255*F255</f>
        <v>55.000000000000007</v>
      </c>
      <c r="M255" s="1491" t="s">
        <v>841</v>
      </c>
    </row>
    <row r="256" spans="2:13">
      <c r="B256" s="791"/>
      <c r="C256" s="792" t="s">
        <v>843</v>
      </c>
      <c r="D256" s="603"/>
      <c r="E256" s="171"/>
      <c r="F256" s="336">
        <v>5</v>
      </c>
      <c r="G256" s="811" t="s">
        <v>844</v>
      </c>
      <c r="H256" s="686">
        <f>I254</f>
        <v>12558</v>
      </c>
      <c r="I256" s="793">
        <f>+F256%*H256</f>
        <v>627.90000000000009</v>
      </c>
      <c r="J256" s="1174">
        <f>SUM(I254:I256)</f>
        <v>16385.900000000001</v>
      </c>
      <c r="K256" s="1410">
        <f>$K$254</f>
        <v>55.000000000000007</v>
      </c>
      <c r="L256" s="910">
        <f>K256*F256</f>
        <v>275.00000000000006</v>
      </c>
      <c r="M256" s="1491" t="s">
        <v>844</v>
      </c>
    </row>
    <row r="257" spans="2:13">
      <c r="B257" s="812"/>
      <c r="C257" s="792" t="s">
        <v>845</v>
      </c>
      <c r="D257" s="813"/>
      <c r="E257" s="814"/>
      <c r="F257" s="815">
        <v>0.1</v>
      </c>
      <c r="G257" s="811" t="s">
        <v>846</v>
      </c>
      <c r="H257" s="797">
        <f>UPAH!$E$26</f>
        <v>136000</v>
      </c>
      <c r="I257" s="793">
        <f>+F257*H257</f>
        <v>13600</v>
      </c>
      <c r="J257" s="1174"/>
    </row>
    <row r="258" spans="2:13">
      <c r="B258" s="812"/>
      <c r="C258" s="792" t="s">
        <v>847</v>
      </c>
      <c r="D258" s="813"/>
      <c r="E258" s="814"/>
      <c r="F258" s="815">
        <v>0.1</v>
      </c>
      <c r="G258" s="811" t="s">
        <v>846</v>
      </c>
      <c r="H258" s="797">
        <f>UPAH!$E$20</f>
        <v>170000</v>
      </c>
      <c r="I258" s="793">
        <f>+F258*H258</f>
        <v>17000</v>
      </c>
      <c r="J258" s="1174"/>
    </row>
    <row r="259" spans="2:13">
      <c r="B259" s="812"/>
      <c r="C259" s="792" t="s">
        <v>848</v>
      </c>
      <c r="D259" s="813"/>
      <c r="E259" s="814"/>
      <c r="F259" s="815">
        <v>0.05</v>
      </c>
      <c r="G259" s="811" t="s">
        <v>846</v>
      </c>
      <c r="H259" s="797">
        <f>UPAH!$E$14</f>
        <v>170000</v>
      </c>
      <c r="I259" s="793">
        <f>+F259*H259</f>
        <v>8500</v>
      </c>
      <c r="J259" s="1174"/>
    </row>
    <row r="260" spans="2:13">
      <c r="B260" s="794"/>
      <c r="C260" s="792" t="s">
        <v>136</v>
      </c>
      <c r="D260" s="642"/>
      <c r="E260" s="796"/>
      <c r="F260" s="691">
        <v>0.05</v>
      </c>
      <c r="G260" s="816" t="s">
        <v>846</v>
      </c>
      <c r="H260" s="797">
        <f>UPAH!$E$9</f>
        <v>180000</v>
      </c>
      <c r="I260" s="798">
        <f>+F260*H260</f>
        <v>9000</v>
      </c>
      <c r="J260" s="1174">
        <f>SUM(I257:I260)</f>
        <v>48100</v>
      </c>
    </row>
    <row r="261" spans="2:13">
      <c r="B261" s="799"/>
      <c r="C261" s="810" t="s">
        <v>645</v>
      </c>
      <c r="D261" s="801"/>
      <c r="E261" s="801"/>
      <c r="F261" s="801"/>
      <c r="G261" s="801"/>
      <c r="H261" s="802"/>
      <c r="I261" s="803">
        <f>SUM(I254:I260)</f>
        <v>64485.9</v>
      </c>
      <c r="J261" s="1174"/>
    </row>
    <row r="262" spans="2:13" ht="15.75" thickBot="1">
      <c r="B262" s="804"/>
      <c r="C262" s="805" t="s">
        <v>229</v>
      </c>
      <c r="D262" s="806"/>
      <c r="E262" s="806"/>
      <c r="F262" s="806"/>
      <c r="G262" s="806"/>
      <c r="H262" s="807"/>
      <c r="I262" s="808">
        <f>ROUND(I261,0)</f>
        <v>64486</v>
      </c>
      <c r="J262" s="775"/>
    </row>
    <row r="263" spans="2:13" s="1824" customFormat="1">
      <c r="B263" s="1851" t="s">
        <v>1482</v>
      </c>
      <c r="C263" s="1852" t="s">
        <v>1440</v>
      </c>
      <c r="D263" s="1853"/>
      <c r="E263" s="1853"/>
      <c r="F263" s="1854"/>
      <c r="G263" s="1854"/>
      <c r="H263" s="1855"/>
      <c r="I263" s="1856"/>
      <c r="J263" s="1857"/>
      <c r="M263" s="1841"/>
    </row>
    <row r="264" spans="2:13">
      <c r="B264" s="788"/>
      <c r="C264" s="792" t="s">
        <v>1442</v>
      </c>
      <c r="D264" s="635"/>
      <c r="E264" s="165"/>
      <c r="F264" s="345">
        <v>1</v>
      </c>
      <c r="G264" s="811" t="s">
        <v>88</v>
      </c>
      <c r="H264" s="681">
        <f>BAHAN!$E$330</f>
        <v>40000</v>
      </c>
      <c r="I264" s="790">
        <f>+F264*H264</f>
        <v>40000</v>
      </c>
      <c r="J264" s="1174"/>
      <c r="K264" s="1410">
        <f>SUMIF(BOQ!$G$1:$G$3199,J265,BOQ!$E$1:$E$3199)</f>
        <v>0</v>
      </c>
      <c r="L264" s="954">
        <f>K264*F264</f>
        <v>0</v>
      </c>
      <c r="M264" s="1491" t="s">
        <v>88</v>
      </c>
    </row>
    <row r="265" spans="2:13">
      <c r="B265" s="791"/>
      <c r="C265" s="792" t="s">
        <v>843</v>
      </c>
      <c r="D265" s="603"/>
      <c r="E265" s="171"/>
      <c r="F265" s="336">
        <v>5</v>
      </c>
      <c r="G265" s="811" t="s">
        <v>844</v>
      </c>
      <c r="H265" s="686">
        <f>I264</f>
        <v>40000</v>
      </c>
      <c r="I265" s="793">
        <f>+F265%*H265</f>
        <v>2000</v>
      </c>
      <c r="J265" s="1174">
        <f>SUM(I264:I265)</f>
        <v>42000</v>
      </c>
      <c r="K265" s="1410">
        <f>BOQ!$E$987+BOQ!$E$1030</f>
        <v>1</v>
      </c>
      <c r="L265" s="954">
        <f>K265*F265</f>
        <v>5</v>
      </c>
      <c r="M265" s="1491" t="s">
        <v>844</v>
      </c>
    </row>
    <row r="266" spans="2:13">
      <c r="B266" s="812"/>
      <c r="C266" s="792" t="s">
        <v>845</v>
      </c>
      <c r="D266" s="813"/>
      <c r="E266" s="814"/>
      <c r="F266" s="336">
        <v>0.16600000000000001</v>
      </c>
      <c r="G266" s="811" t="s">
        <v>846</v>
      </c>
      <c r="H266" s="797">
        <f>H257</f>
        <v>136000</v>
      </c>
      <c r="I266" s="793">
        <f>+F266*H266</f>
        <v>22576</v>
      </c>
      <c r="J266" s="1174"/>
    </row>
    <row r="267" spans="2:13">
      <c r="B267" s="812"/>
      <c r="C267" s="792" t="s">
        <v>847</v>
      </c>
      <c r="D267" s="813"/>
      <c r="E267" s="814"/>
      <c r="F267" s="336">
        <v>0.16600000000000001</v>
      </c>
      <c r="G267" s="811" t="s">
        <v>846</v>
      </c>
      <c r="H267" s="797">
        <f>H258</f>
        <v>170000</v>
      </c>
      <c r="I267" s="793">
        <f>+F267*H267</f>
        <v>28220</v>
      </c>
      <c r="J267" s="1174"/>
    </row>
    <row r="268" spans="2:13">
      <c r="B268" s="812"/>
      <c r="C268" s="792" t="s">
        <v>848</v>
      </c>
      <c r="D268" s="813"/>
      <c r="E268" s="814"/>
      <c r="F268" s="336">
        <v>3.3000000000000002E-2</v>
      </c>
      <c r="G268" s="811" t="s">
        <v>846</v>
      </c>
      <c r="H268" s="797">
        <f>H259</f>
        <v>170000</v>
      </c>
      <c r="I268" s="793">
        <f>+F268*H268</f>
        <v>5610</v>
      </c>
      <c r="J268" s="1174"/>
    </row>
    <row r="269" spans="2:13">
      <c r="B269" s="794"/>
      <c r="C269" s="792" t="s">
        <v>136</v>
      </c>
      <c r="D269" s="642"/>
      <c r="E269" s="796"/>
      <c r="F269" s="336">
        <v>1.66E-2</v>
      </c>
      <c r="G269" s="816" t="s">
        <v>846</v>
      </c>
      <c r="H269" s="797">
        <f>H260</f>
        <v>180000</v>
      </c>
      <c r="I269" s="798">
        <f>+F269*H269</f>
        <v>2988</v>
      </c>
      <c r="J269" s="1174">
        <f>SUM(I266:I269)</f>
        <v>59394</v>
      </c>
    </row>
    <row r="270" spans="2:13">
      <c r="B270" s="799"/>
      <c r="C270" s="810" t="s">
        <v>645</v>
      </c>
      <c r="D270" s="801"/>
      <c r="E270" s="801"/>
      <c r="F270" s="801"/>
      <c r="G270" s="801"/>
      <c r="H270" s="802"/>
      <c r="I270" s="803">
        <f>SUM(I264:I269)</f>
        <v>101394</v>
      </c>
      <c r="J270" s="1174"/>
    </row>
    <row r="271" spans="2:13" ht="15.75" thickBot="1">
      <c r="B271" s="799"/>
      <c r="C271" s="1809" t="s">
        <v>229</v>
      </c>
      <c r="D271" s="1809"/>
      <c r="E271" s="1809"/>
      <c r="F271" s="1809"/>
      <c r="G271" s="1809"/>
      <c r="H271" s="1810"/>
      <c r="I271" s="1811">
        <f>ROUND(I270,0)</f>
        <v>101394</v>
      </c>
      <c r="J271" s="1174"/>
    </row>
    <row r="272" spans="2:13">
      <c r="B272" s="782" t="s">
        <v>1485</v>
      </c>
      <c r="C272" s="783" t="s">
        <v>2149</v>
      </c>
      <c r="D272" s="784"/>
      <c r="E272" s="784"/>
      <c r="F272" s="785"/>
      <c r="G272" s="785"/>
      <c r="H272" s="786"/>
      <c r="I272" s="787"/>
      <c r="J272" s="1174"/>
    </row>
    <row r="273" spans="2:13">
      <c r="B273" s="788"/>
      <c r="C273" s="792" t="s">
        <v>2155</v>
      </c>
      <c r="D273" s="635"/>
      <c r="E273" s="165"/>
      <c r="F273" s="1238">
        <v>1</v>
      </c>
      <c r="G273" s="811" t="s">
        <v>88</v>
      </c>
      <c r="H273" s="681">
        <f>BAHAN!$E$294</f>
        <v>65536</v>
      </c>
      <c r="I273" s="790">
        <f>+F273*H273</f>
        <v>65536</v>
      </c>
      <c r="J273" s="1174"/>
      <c r="K273" s="1410" t="e">
        <f>BOQ!$P$989</f>
        <v>#REF!</v>
      </c>
      <c r="L273" s="954" t="e">
        <f>K273*F273</f>
        <v>#REF!</v>
      </c>
      <c r="M273" s="1491" t="s">
        <v>88</v>
      </c>
    </row>
    <row r="274" spans="2:13">
      <c r="B274" s="791"/>
      <c r="C274" s="792" t="s">
        <v>843</v>
      </c>
      <c r="D274" s="603"/>
      <c r="E274" s="171"/>
      <c r="F274" s="336">
        <v>5</v>
      </c>
      <c r="G274" s="811" t="s">
        <v>844</v>
      </c>
      <c r="H274" s="686">
        <f>$I$273</f>
        <v>65536</v>
      </c>
      <c r="I274" s="793">
        <f>+F274%*H274</f>
        <v>3276.8</v>
      </c>
      <c r="J274" s="1174">
        <f>SUM(I273:I274)</f>
        <v>68812.800000000003</v>
      </c>
      <c r="K274" s="1410" t="e">
        <f>$K$273</f>
        <v>#REF!</v>
      </c>
      <c r="L274" s="954" t="e">
        <f>K274*F274</f>
        <v>#REF!</v>
      </c>
      <c r="M274" s="1491" t="s">
        <v>844</v>
      </c>
    </row>
    <row r="275" spans="2:13">
      <c r="B275" s="812"/>
      <c r="C275" s="792" t="s">
        <v>845</v>
      </c>
      <c r="D275" s="813"/>
      <c r="E275" s="814"/>
      <c r="F275" s="336">
        <v>0.16600000000000001</v>
      </c>
      <c r="G275" s="811" t="s">
        <v>846</v>
      </c>
      <c r="H275" s="797">
        <f>$H$256</f>
        <v>12558</v>
      </c>
      <c r="I275" s="793">
        <f>+F275*H275</f>
        <v>2084.6280000000002</v>
      </c>
      <c r="J275" s="1174"/>
    </row>
    <row r="276" spans="2:13">
      <c r="B276" s="812"/>
      <c r="C276" s="792" t="s">
        <v>847</v>
      </c>
      <c r="D276" s="813"/>
      <c r="E276" s="814"/>
      <c r="F276" s="336">
        <v>0.16600000000000001</v>
      </c>
      <c r="G276" s="811" t="s">
        <v>846</v>
      </c>
      <c r="H276" s="797">
        <f>$H$257</f>
        <v>136000</v>
      </c>
      <c r="I276" s="793">
        <f>+F276*H276</f>
        <v>22576</v>
      </c>
      <c r="J276" s="1174"/>
    </row>
    <row r="277" spans="2:13">
      <c r="B277" s="812"/>
      <c r="C277" s="792" t="s">
        <v>848</v>
      </c>
      <c r="D277" s="813"/>
      <c r="E277" s="814"/>
      <c r="F277" s="336">
        <v>3.3000000000000002E-2</v>
      </c>
      <c r="G277" s="811" t="s">
        <v>846</v>
      </c>
      <c r="H277" s="797">
        <f>$H$258</f>
        <v>170000</v>
      </c>
      <c r="I277" s="793">
        <f>+F277*H277</f>
        <v>5610</v>
      </c>
      <c r="J277" s="1174"/>
    </row>
    <row r="278" spans="2:13">
      <c r="B278" s="794"/>
      <c r="C278" s="792" t="s">
        <v>136</v>
      </c>
      <c r="D278" s="642"/>
      <c r="E278" s="796"/>
      <c r="F278" s="336">
        <v>1.66E-2</v>
      </c>
      <c r="G278" s="816" t="s">
        <v>846</v>
      </c>
      <c r="H278" s="797">
        <f>$H$259</f>
        <v>170000</v>
      </c>
      <c r="I278" s="798">
        <f>+F278*H278</f>
        <v>2822</v>
      </c>
      <c r="J278" s="1174">
        <f>SUM(I275:I278)</f>
        <v>33092.627999999997</v>
      </c>
    </row>
    <row r="279" spans="2:13">
      <c r="B279" s="799"/>
      <c r="C279" s="810" t="s">
        <v>645</v>
      </c>
      <c r="D279" s="801"/>
      <c r="E279" s="801"/>
      <c r="F279" s="801"/>
      <c r="G279" s="801"/>
      <c r="H279" s="802"/>
      <c r="I279" s="803">
        <f>SUM(I273:I278)</f>
        <v>101905.428</v>
      </c>
      <c r="J279" s="1174"/>
    </row>
    <row r="280" spans="2:13" ht="15.75" thickBot="1">
      <c r="B280" s="804"/>
      <c r="C280" s="805" t="s">
        <v>229</v>
      </c>
      <c r="D280" s="806"/>
      <c r="E280" s="806"/>
      <c r="F280" s="806"/>
      <c r="G280" s="806"/>
      <c r="H280" s="807"/>
      <c r="I280" s="808">
        <f>ROUND(I279,0)</f>
        <v>101905</v>
      </c>
      <c r="J280" s="775"/>
    </row>
    <row r="281" spans="2:13">
      <c r="B281" s="782" t="s">
        <v>1485</v>
      </c>
      <c r="C281" s="783" t="s">
        <v>2150</v>
      </c>
      <c r="D281" s="784"/>
      <c r="E281" s="784"/>
      <c r="F281" s="785"/>
      <c r="G281" s="785"/>
      <c r="H281" s="786"/>
      <c r="I281" s="787"/>
      <c r="J281" s="1174"/>
    </row>
    <row r="282" spans="2:13">
      <c r="B282" s="788"/>
      <c r="C282" s="792" t="s">
        <v>2156</v>
      </c>
      <c r="D282" s="635"/>
      <c r="E282" s="165"/>
      <c r="F282" s="345">
        <v>1</v>
      </c>
      <c r="G282" s="811" t="s">
        <v>88</v>
      </c>
      <c r="H282" s="681">
        <f>BAHAN!$E$295</f>
        <v>65536</v>
      </c>
      <c r="I282" s="790">
        <f>+F282*H282</f>
        <v>65536</v>
      </c>
      <c r="J282" s="1174"/>
      <c r="K282" s="1410" t="e">
        <f>BOQ!#REF!</f>
        <v>#REF!</v>
      </c>
      <c r="L282" s="954" t="e">
        <f>K282*F282</f>
        <v>#REF!</v>
      </c>
      <c r="M282" s="1491" t="s">
        <v>88</v>
      </c>
    </row>
    <row r="283" spans="2:13">
      <c r="B283" s="791"/>
      <c r="C283" s="792" t="s">
        <v>843</v>
      </c>
      <c r="D283" s="603"/>
      <c r="E283" s="171"/>
      <c r="F283" s="336">
        <v>5</v>
      </c>
      <c r="G283" s="811" t="s">
        <v>844</v>
      </c>
      <c r="H283" s="686">
        <f>$I$273</f>
        <v>65536</v>
      </c>
      <c r="I283" s="793">
        <f>+F283%*H283</f>
        <v>3276.8</v>
      </c>
      <c r="J283" s="1174">
        <f>SUM(I282:I283)</f>
        <v>68812.800000000003</v>
      </c>
      <c r="K283" s="1410" t="e">
        <f>$K$282</f>
        <v>#REF!</v>
      </c>
      <c r="L283" s="954" t="e">
        <f>K283*F283</f>
        <v>#REF!</v>
      </c>
      <c r="M283" s="1491" t="s">
        <v>844</v>
      </c>
    </row>
    <row r="284" spans="2:13">
      <c r="B284" s="812"/>
      <c r="C284" s="792" t="s">
        <v>845</v>
      </c>
      <c r="D284" s="813"/>
      <c r="E284" s="814"/>
      <c r="F284" s="336">
        <v>0.16600000000000001</v>
      </c>
      <c r="G284" s="811" t="s">
        <v>846</v>
      </c>
      <c r="H284" s="797">
        <f>$H$256</f>
        <v>12558</v>
      </c>
      <c r="I284" s="793">
        <f>+F284*H284</f>
        <v>2084.6280000000002</v>
      </c>
      <c r="J284" s="1174"/>
    </row>
    <row r="285" spans="2:13">
      <c r="B285" s="812"/>
      <c r="C285" s="792" t="s">
        <v>847</v>
      </c>
      <c r="D285" s="813"/>
      <c r="E285" s="814"/>
      <c r="F285" s="336">
        <v>0.16600000000000001</v>
      </c>
      <c r="G285" s="811" t="s">
        <v>846</v>
      </c>
      <c r="H285" s="797">
        <f>$H$257</f>
        <v>136000</v>
      </c>
      <c r="I285" s="793">
        <f>+F285*H285</f>
        <v>22576</v>
      </c>
      <c r="J285" s="1174"/>
    </row>
    <row r="286" spans="2:13">
      <c r="B286" s="812"/>
      <c r="C286" s="792" t="s">
        <v>848</v>
      </c>
      <c r="D286" s="813"/>
      <c r="E286" s="814"/>
      <c r="F286" s="336">
        <v>3.3000000000000002E-2</v>
      </c>
      <c r="G286" s="811" t="s">
        <v>846</v>
      </c>
      <c r="H286" s="797">
        <f>$H$258</f>
        <v>170000</v>
      </c>
      <c r="I286" s="793">
        <f>+F286*H286</f>
        <v>5610</v>
      </c>
      <c r="J286" s="1174"/>
    </row>
    <row r="287" spans="2:13">
      <c r="B287" s="794"/>
      <c r="C287" s="792" t="s">
        <v>136</v>
      </c>
      <c r="D287" s="642"/>
      <c r="E287" s="796"/>
      <c r="F287" s="336">
        <v>1.66E-2</v>
      </c>
      <c r="G287" s="816" t="s">
        <v>846</v>
      </c>
      <c r="H287" s="797">
        <f>$H$259</f>
        <v>170000</v>
      </c>
      <c r="I287" s="798">
        <f>+F287*H287</f>
        <v>2822</v>
      </c>
      <c r="J287" s="1174">
        <f>SUM(I284:I287)</f>
        <v>33092.627999999997</v>
      </c>
    </row>
    <row r="288" spans="2:13">
      <c r="B288" s="799"/>
      <c r="C288" s="810" t="s">
        <v>645</v>
      </c>
      <c r="D288" s="801"/>
      <c r="E288" s="801"/>
      <c r="F288" s="801"/>
      <c r="G288" s="801"/>
      <c r="H288" s="802"/>
      <c r="I288" s="803">
        <f>SUM(I282:I287)</f>
        <v>101905.428</v>
      </c>
      <c r="J288" s="1174"/>
    </row>
    <row r="289" spans="2:13" ht="15.75" thickBot="1">
      <c r="B289" s="804"/>
      <c r="C289" s="805" t="s">
        <v>229</v>
      </c>
      <c r="D289" s="806"/>
      <c r="E289" s="806"/>
      <c r="F289" s="806"/>
      <c r="G289" s="806"/>
      <c r="H289" s="807"/>
      <c r="I289" s="808">
        <f>ROUND(I288,0)</f>
        <v>101905</v>
      </c>
      <c r="J289" s="775"/>
    </row>
    <row r="290" spans="2:13">
      <c r="B290" s="782" t="s">
        <v>1485</v>
      </c>
      <c r="C290" s="783" t="s">
        <v>1441</v>
      </c>
      <c r="D290" s="784"/>
      <c r="E290" s="784"/>
      <c r="F290" s="785"/>
      <c r="G290" s="785"/>
      <c r="H290" s="786"/>
      <c r="I290" s="787"/>
      <c r="J290" s="1174"/>
    </row>
    <row r="291" spans="2:13">
      <c r="B291" s="788"/>
      <c r="C291" s="792" t="s">
        <v>1443</v>
      </c>
      <c r="D291" s="635"/>
      <c r="E291" s="165"/>
      <c r="F291" s="1238">
        <v>1</v>
      </c>
      <c r="G291" s="811" t="s">
        <v>88</v>
      </c>
      <c r="H291" s="681">
        <f>BAHAN!$E$296</f>
        <v>49884</v>
      </c>
      <c r="I291" s="790">
        <f>+F291*H291</f>
        <v>49884</v>
      </c>
      <c r="J291" s="1174"/>
      <c r="K291" s="1410">
        <v>0</v>
      </c>
      <c r="L291" s="954">
        <f>K291*F291</f>
        <v>0</v>
      </c>
      <c r="M291" s="1491" t="s">
        <v>88</v>
      </c>
    </row>
    <row r="292" spans="2:13">
      <c r="B292" s="791"/>
      <c r="C292" s="792" t="s">
        <v>843</v>
      </c>
      <c r="D292" s="603"/>
      <c r="E292" s="171"/>
      <c r="F292" s="336">
        <v>5</v>
      </c>
      <c r="G292" s="811" t="s">
        <v>844</v>
      </c>
      <c r="H292" s="686">
        <f>$I$273</f>
        <v>65536</v>
      </c>
      <c r="I292" s="793">
        <f>+F292%*H292</f>
        <v>3276.8</v>
      </c>
      <c r="J292" s="1174">
        <f>SUM(I291:I292)</f>
        <v>53160.800000000003</v>
      </c>
      <c r="K292" s="1410">
        <f>$K$291</f>
        <v>0</v>
      </c>
      <c r="L292" s="954">
        <f>K292*F292</f>
        <v>0</v>
      </c>
      <c r="M292" s="1491" t="s">
        <v>844</v>
      </c>
    </row>
    <row r="293" spans="2:13">
      <c r="B293" s="812"/>
      <c r="C293" s="792" t="s">
        <v>845</v>
      </c>
      <c r="D293" s="813"/>
      <c r="E293" s="814"/>
      <c r="F293" s="336">
        <v>0.16600000000000001</v>
      </c>
      <c r="G293" s="811" t="s">
        <v>846</v>
      </c>
      <c r="H293" s="797">
        <f>$H$256</f>
        <v>12558</v>
      </c>
      <c r="I293" s="793">
        <f>+F293*H293</f>
        <v>2084.6280000000002</v>
      </c>
      <c r="J293" s="1174"/>
    </row>
    <row r="294" spans="2:13">
      <c r="B294" s="812"/>
      <c r="C294" s="792" t="s">
        <v>847</v>
      </c>
      <c r="D294" s="813"/>
      <c r="E294" s="814"/>
      <c r="F294" s="336">
        <v>0.16600000000000001</v>
      </c>
      <c r="G294" s="811" t="s">
        <v>846</v>
      </c>
      <c r="H294" s="797">
        <f>$H$257</f>
        <v>136000</v>
      </c>
      <c r="I294" s="793">
        <f>+F294*H294</f>
        <v>22576</v>
      </c>
      <c r="J294" s="1174"/>
    </row>
    <row r="295" spans="2:13">
      <c r="B295" s="812"/>
      <c r="C295" s="792" t="s">
        <v>848</v>
      </c>
      <c r="D295" s="813"/>
      <c r="E295" s="814"/>
      <c r="F295" s="336">
        <v>3.3000000000000002E-2</v>
      </c>
      <c r="G295" s="811" t="s">
        <v>846</v>
      </c>
      <c r="H295" s="797">
        <f>$H$258</f>
        <v>170000</v>
      </c>
      <c r="I295" s="793">
        <f>+F295*H295</f>
        <v>5610</v>
      </c>
      <c r="J295" s="1174"/>
    </row>
    <row r="296" spans="2:13">
      <c r="B296" s="794"/>
      <c r="C296" s="792" t="s">
        <v>136</v>
      </c>
      <c r="D296" s="642"/>
      <c r="E296" s="796"/>
      <c r="F296" s="336">
        <v>1.66E-2</v>
      </c>
      <c r="G296" s="816" t="s">
        <v>846</v>
      </c>
      <c r="H296" s="797">
        <f>$H$259</f>
        <v>170000</v>
      </c>
      <c r="I296" s="798">
        <f>+F296*H296</f>
        <v>2822</v>
      </c>
      <c r="J296" s="1174">
        <f>SUM(I293:I296)</f>
        <v>33092.627999999997</v>
      </c>
    </row>
    <row r="297" spans="2:13">
      <c r="B297" s="799"/>
      <c r="C297" s="810" t="s">
        <v>645</v>
      </c>
      <c r="D297" s="801"/>
      <c r="E297" s="801"/>
      <c r="F297" s="801"/>
      <c r="G297" s="801"/>
      <c r="H297" s="802"/>
      <c r="I297" s="803">
        <f>SUM(I291:I296)</f>
        <v>86253.428</v>
      </c>
      <c r="J297" s="1174"/>
    </row>
    <row r="298" spans="2:13" ht="15.75" thickBot="1">
      <c r="B298" s="804"/>
      <c r="C298" s="805" t="s">
        <v>229</v>
      </c>
      <c r="D298" s="806"/>
      <c r="E298" s="806"/>
      <c r="F298" s="806"/>
      <c r="G298" s="806"/>
      <c r="H298" s="807"/>
      <c r="I298" s="808">
        <f>ROUND(I297,0)</f>
        <v>86253</v>
      </c>
      <c r="J298" s="775"/>
    </row>
    <row r="299" spans="2:13">
      <c r="B299" s="782" t="s">
        <v>1485</v>
      </c>
      <c r="C299" s="783" t="s">
        <v>2151</v>
      </c>
      <c r="D299" s="784"/>
      <c r="E299" s="784"/>
      <c r="F299" s="785"/>
      <c r="G299" s="785"/>
      <c r="H299" s="786"/>
      <c r="I299" s="787"/>
      <c r="J299" s="775"/>
    </row>
    <row r="300" spans="2:13">
      <c r="B300" s="788"/>
      <c r="C300" s="792" t="s">
        <v>2157</v>
      </c>
      <c r="D300" s="635"/>
      <c r="E300" s="165"/>
      <c r="F300" s="1238">
        <v>1</v>
      </c>
      <c r="G300" s="811" t="s">
        <v>88</v>
      </c>
      <c r="H300" s="681">
        <f>BAHAN!$E$298</f>
        <v>49884</v>
      </c>
      <c r="I300" s="790">
        <f>+F300*H300</f>
        <v>49884</v>
      </c>
      <c r="J300" s="1174"/>
      <c r="K300" s="1410">
        <v>0</v>
      </c>
      <c r="L300" s="5">
        <f>K300*F300</f>
        <v>0</v>
      </c>
      <c r="M300" s="1392" t="s">
        <v>88</v>
      </c>
    </row>
    <row r="301" spans="2:13">
      <c r="B301" s="788"/>
      <c r="C301" s="792" t="s">
        <v>843</v>
      </c>
      <c r="D301" s="635"/>
      <c r="E301" s="165"/>
      <c r="F301" s="1238">
        <v>5</v>
      </c>
      <c r="G301" s="811" t="s">
        <v>844</v>
      </c>
      <c r="H301" s="681">
        <f>$I$273</f>
        <v>65536</v>
      </c>
      <c r="I301" s="790">
        <f>+F301%*H301</f>
        <v>3276.8</v>
      </c>
      <c r="J301" s="1174">
        <f>SUM(I300:I301)</f>
        <v>53160.800000000003</v>
      </c>
      <c r="K301" s="1410">
        <f>$K$300</f>
        <v>0</v>
      </c>
      <c r="L301" s="954">
        <f>K301*F301</f>
        <v>0</v>
      </c>
      <c r="M301" s="1491" t="s">
        <v>844</v>
      </c>
    </row>
    <row r="302" spans="2:13">
      <c r="B302" s="791"/>
      <c r="C302" s="792" t="s">
        <v>845</v>
      </c>
      <c r="D302" s="603"/>
      <c r="E302" s="171"/>
      <c r="F302" s="336">
        <v>0.16600000000000001</v>
      </c>
      <c r="G302" s="811" t="s">
        <v>846</v>
      </c>
      <c r="H302" s="686">
        <f>$H$256</f>
        <v>12558</v>
      </c>
      <c r="I302" s="793">
        <f>+F302*H302</f>
        <v>2084.6280000000002</v>
      </c>
      <c r="J302" s="1174"/>
      <c r="K302" s="1410"/>
      <c r="L302" s="954"/>
      <c r="M302" s="1491"/>
    </row>
    <row r="303" spans="2:13">
      <c r="B303" s="812"/>
      <c r="C303" s="792" t="s">
        <v>847</v>
      </c>
      <c r="D303" s="813"/>
      <c r="E303" s="814"/>
      <c r="F303" s="336">
        <v>0.16600000000000001</v>
      </c>
      <c r="G303" s="811" t="s">
        <v>846</v>
      </c>
      <c r="H303" s="797">
        <f>$H$257</f>
        <v>136000</v>
      </c>
      <c r="I303" s="793">
        <f>+F303*H303</f>
        <v>22576</v>
      </c>
      <c r="J303" s="1174"/>
    </row>
    <row r="304" spans="2:13">
      <c r="B304" s="812"/>
      <c r="C304" s="792" t="s">
        <v>848</v>
      </c>
      <c r="D304" s="813"/>
      <c r="E304" s="814"/>
      <c r="F304" s="336">
        <v>3.3000000000000002E-2</v>
      </c>
      <c r="G304" s="811" t="s">
        <v>846</v>
      </c>
      <c r="H304" s="797">
        <f>$H$258</f>
        <v>170000</v>
      </c>
      <c r="I304" s="793">
        <f>+F304*H304</f>
        <v>5610</v>
      </c>
      <c r="J304" s="1174"/>
    </row>
    <row r="305" spans="2:13">
      <c r="B305" s="812"/>
      <c r="C305" s="792" t="s">
        <v>136</v>
      </c>
      <c r="D305" s="813"/>
      <c r="E305" s="814"/>
      <c r="F305" s="336">
        <v>1.66E-2</v>
      </c>
      <c r="G305" s="811" t="s">
        <v>846</v>
      </c>
      <c r="H305" s="797">
        <f>$H$259</f>
        <v>170000</v>
      </c>
      <c r="I305" s="793">
        <f>+F305*H305</f>
        <v>2822</v>
      </c>
      <c r="J305" s="1174">
        <f>SUM(I302:I305)</f>
        <v>33092.627999999997</v>
      </c>
    </row>
    <row r="306" spans="2:13">
      <c r="B306" s="794"/>
      <c r="C306" s="792" t="s">
        <v>645</v>
      </c>
      <c r="D306" s="642"/>
      <c r="E306" s="796"/>
      <c r="F306" s="336"/>
      <c r="G306" s="816"/>
      <c r="H306" s="797"/>
      <c r="I306" s="798">
        <f>SUM(I300:I305)</f>
        <v>86253.428</v>
      </c>
      <c r="J306" s="1174"/>
    </row>
    <row r="307" spans="2:13" ht="15.75" thickBot="1">
      <c r="B307" s="799"/>
      <c r="C307" s="810" t="s">
        <v>229</v>
      </c>
      <c r="D307" s="801"/>
      <c r="E307" s="801"/>
      <c r="F307" s="801"/>
      <c r="G307" s="801"/>
      <c r="H307" s="802"/>
      <c r="I307" s="803">
        <f>ROUND(I306,0)</f>
        <v>86253</v>
      </c>
      <c r="J307" s="1174"/>
    </row>
    <row r="308" spans="2:13">
      <c r="B308" s="782" t="s">
        <v>1485</v>
      </c>
      <c r="C308" s="783" t="s">
        <v>2152</v>
      </c>
      <c r="D308" s="784"/>
      <c r="E308" s="784"/>
      <c r="F308" s="785"/>
      <c r="G308" s="785"/>
      <c r="H308" s="786"/>
      <c r="I308" s="787"/>
      <c r="J308" s="775"/>
    </row>
    <row r="309" spans="2:13">
      <c r="B309" s="788"/>
      <c r="C309" s="792" t="s">
        <v>2158</v>
      </c>
      <c r="D309" s="635"/>
      <c r="E309" s="165"/>
      <c r="F309" s="1238">
        <v>1</v>
      </c>
      <c r="G309" s="811" t="s">
        <v>88</v>
      </c>
      <c r="H309" s="681">
        <f>BAHAN!$E$298</f>
        <v>49884</v>
      </c>
      <c r="I309" s="790">
        <f>+F309*H309</f>
        <v>49884</v>
      </c>
      <c r="J309" s="1174"/>
      <c r="K309" s="1410" t="e">
        <f>BOQ!$P$991</f>
        <v>#REF!</v>
      </c>
      <c r="L309" s="5" t="e">
        <f>K309*F309</f>
        <v>#REF!</v>
      </c>
      <c r="M309" s="1392" t="s">
        <v>88</v>
      </c>
    </row>
    <row r="310" spans="2:13">
      <c r="B310" s="788"/>
      <c r="C310" s="792" t="s">
        <v>843</v>
      </c>
      <c r="D310" s="635"/>
      <c r="E310" s="165"/>
      <c r="F310" s="1238">
        <v>5</v>
      </c>
      <c r="G310" s="811" t="s">
        <v>844</v>
      </c>
      <c r="H310" s="681">
        <f>$I$273</f>
        <v>65536</v>
      </c>
      <c r="I310" s="790">
        <f>+F310%*H310</f>
        <v>3276.8</v>
      </c>
      <c r="J310" s="1174">
        <f>SUM(I309:I310)</f>
        <v>53160.800000000003</v>
      </c>
      <c r="K310" s="1410" t="e">
        <f>$K$309</f>
        <v>#REF!</v>
      </c>
      <c r="L310" s="954" t="e">
        <f>K310*F310</f>
        <v>#REF!</v>
      </c>
      <c r="M310" s="1491" t="s">
        <v>844</v>
      </c>
    </row>
    <row r="311" spans="2:13">
      <c r="B311" s="791"/>
      <c r="C311" s="792" t="s">
        <v>845</v>
      </c>
      <c r="D311" s="603"/>
      <c r="E311" s="171"/>
      <c r="F311" s="336">
        <v>0.16600000000000001</v>
      </c>
      <c r="G311" s="811" t="s">
        <v>846</v>
      </c>
      <c r="H311" s="686">
        <f>$H$256</f>
        <v>12558</v>
      </c>
      <c r="I311" s="793">
        <f>+F311*H311</f>
        <v>2084.6280000000002</v>
      </c>
      <c r="J311" s="1174"/>
      <c r="K311" s="1410"/>
      <c r="L311" s="954"/>
      <c r="M311" s="1491"/>
    </row>
    <row r="312" spans="2:13">
      <c r="B312" s="812"/>
      <c r="C312" s="792" t="s">
        <v>847</v>
      </c>
      <c r="D312" s="813"/>
      <c r="E312" s="814"/>
      <c r="F312" s="336">
        <v>0.16600000000000001</v>
      </c>
      <c r="G312" s="811" t="s">
        <v>846</v>
      </c>
      <c r="H312" s="797">
        <f>$H$257</f>
        <v>136000</v>
      </c>
      <c r="I312" s="793">
        <f>+F312*H312</f>
        <v>22576</v>
      </c>
      <c r="J312" s="1174"/>
    </row>
    <row r="313" spans="2:13">
      <c r="B313" s="812"/>
      <c r="C313" s="792" t="s">
        <v>848</v>
      </c>
      <c r="D313" s="813"/>
      <c r="E313" s="814"/>
      <c r="F313" s="336">
        <v>3.3000000000000002E-2</v>
      </c>
      <c r="G313" s="811" t="s">
        <v>846</v>
      </c>
      <c r="H313" s="797">
        <f>$H$258</f>
        <v>170000</v>
      </c>
      <c r="I313" s="793">
        <f>+F313*H313</f>
        <v>5610</v>
      </c>
      <c r="J313" s="1174"/>
    </row>
    <row r="314" spans="2:13">
      <c r="B314" s="812"/>
      <c r="C314" s="792" t="s">
        <v>136</v>
      </c>
      <c r="D314" s="813"/>
      <c r="E314" s="814"/>
      <c r="F314" s="336">
        <v>1.66E-2</v>
      </c>
      <c r="G314" s="811" t="s">
        <v>846</v>
      </c>
      <c r="H314" s="797">
        <f>$H$259</f>
        <v>170000</v>
      </c>
      <c r="I314" s="793">
        <f>+F314*H314</f>
        <v>2822</v>
      </c>
      <c r="J314" s="1174">
        <f>SUM(I311:I314)</f>
        <v>33092.627999999997</v>
      </c>
    </row>
    <row r="315" spans="2:13">
      <c r="B315" s="794"/>
      <c r="C315" s="792" t="s">
        <v>645</v>
      </c>
      <c r="D315" s="642"/>
      <c r="E315" s="796"/>
      <c r="F315" s="336"/>
      <c r="G315" s="816"/>
      <c r="H315" s="797"/>
      <c r="I315" s="798">
        <f>SUM(I309:I314)</f>
        <v>86253.428</v>
      </c>
      <c r="J315" s="1174"/>
    </row>
    <row r="316" spans="2:13" ht="15.75" thickBot="1">
      <c r="B316" s="799"/>
      <c r="C316" s="810" t="s">
        <v>229</v>
      </c>
      <c r="D316" s="801"/>
      <c r="E316" s="801"/>
      <c r="F316" s="801"/>
      <c r="G316" s="801"/>
      <c r="H316" s="802"/>
      <c r="I316" s="803">
        <f>ROUND(I315,0)</f>
        <v>86253</v>
      </c>
      <c r="J316" s="1174"/>
    </row>
    <row r="317" spans="2:13">
      <c r="B317" s="782" t="s">
        <v>1485</v>
      </c>
      <c r="C317" s="783" t="s">
        <v>2153</v>
      </c>
      <c r="D317" s="784"/>
      <c r="E317" s="784"/>
      <c r="F317" s="785"/>
      <c r="G317" s="785"/>
      <c r="H317" s="786"/>
      <c r="I317" s="787"/>
      <c r="J317" s="775"/>
    </row>
    <row r="318" spans="2:13">
      <c r="B318" s="788"/>
      <c r="C318" s="792" t="s">
        <v>2159</v>
      </c>
      <c r="D318" s="635"/>
      <c r="E318" s="165"/>
      <c r="F318" s="1238">
        <v>1</v>
      </c>
      <c r="G318" s="811" t="s">
        <v>88</v>
      </c>
      <c r="H318" s="681">
        <f>BAHAN!$E$298</f>
        <v>49884</v>
      </c>
      <c r="I318" s="790">
        <f>+F318*H318</f>
        <v>49884</v>
      </c>
      <c r="J318" s="775"/>
      <c r="K318" s="1410">
        <v>0</v>
      </c>
      <c r="L318" s="5">
        <f>K318*F318</f>
        <v>0</v>
      </c>
      <c r="M318" s="1392" t="s">
        <v>88</v>
      </c>
    </row>
    <row r="319" spans="2:13">
      <c r="B319" s="788"/>
      <c r="C319" s="792" t="s">
        <v>843</v>
      </c>
      <c r="D319" s="635"/>
      <c r="E319" s="165"/>
      <c r="F319" s="1238">
        <v>5</v>
      </c>
      <c r="G319" s="811" t="s">
        <v>844</v>
      </c>
      <c r="H319" s="681">
        <f>$I$273</f>
        <v>65536</v>
      </c>
      <c r="I319" s="790">
        <f>+F319%*H319</f>
        <v>3276.8</v>
      </c>
      <c r="J319" s="1174">
        <f>SUM(I318:I319)</f>
        <v>53160.800000000003</v>
      </c>
      <c r="K319" s="1410">
        <f>$K$318</f>
        <v>0</v>
      </c>
      <c r="L319" s="5">
        <f>K319*F319</f>
        <v>0</v>
      </c>
      <c r="M319" s="1392" t="s">
        <v>844</v>
      </c>
    </row>
    <row r="320" spans="2:13">
      <c r="B320" s="788"/>
      <c r="C320" s="792" t="s">
        <v>845</v>
      </c>
      <c r="D320" s="635"/>
      <c r="E320" s="165"/>
      <c r="F320" s="1238">
        <v>0.16600000000000001</v>
      </c>
      <c r="G320" s="811" t="s">
        <v>846</v>
      </c>
      <c r="H320" s="681">
        <f>$H$256</f>
        <v>12558</v>
      </c>
      <c r="I320" s="790">
        <f>+F320*H320</f>
        <v>2084.6280000000002</v>
      </c>
      <c r="J320" s="1174"/>
      <c r="K320" s="1410"/>
      <c r="L320" s="954"/>
      <c r="M320" s="1491"/>
    </row>
    <row r="321" spans="2:13">
      <c r="B321" s="791"/>
      <c r="C321" s="792" t="s">
        <v>847</v>
      </c>
      <c r="D321" s="603"/>
      <c r="E321" s="171"/>
      <c r="F321" s="336">
        <v>0.16600000000000001</v>
      </c>
      <c r="G321" s="811" t="s">
        <v>846</v>
      </c>
      <c r="H321" s="686">
        <f>$H$257</f>
        <v>136000</v>
      </c>
      <c r="I321" s="793">
        <f>+F321*H321</f>
        <v>22576</v>
      </c>
      <c r="J321" s="1174"/>
      <c r="K321" s="1410"/>
      <c r="L321" s="954"/>
      <c r="M321" s="1491"/>
    </row>
    <row r="322" spans="2:13">
      <c r="B322" s="812"/>
      <c r="C322" s="792" t="s">
        <v>848</v>
      </c>
      <c r="D322" s="813"/>
      <c r="E322" s="814"/>
      <c r="F322" s="336">
        <v>3.3000000000000002E-2</v>
      </c>
      <c r="G322" s="811" t="s">
        <v>846</v>
      </c>
      <c r="H322" s="797">
        <f>$H$258</f>
        <v>170000</v>
      </c>
      <c r="I322" s="793">
        <f>+F322*H322</f>
        <v>5610</v>
      </c>
      <c r="J322" s="1174"/>
    </row>
    <row r="323" spans="2:13">
      <c r="B323" s="812"/>
      <c r="C323" s="792" t="s">
        <v>136</v>
      </c>
      <c r="D323" s="813"/>
      <c r="E323" s="814"/>
      <c r="F323" s="336">
        <v>1.66E-2</v>
      </c>
      <c r="G323" s="811" t="s">
        <v>846</v>
      </c>
      <c r="H323" s="797">
        <f>$H$259</f>
        <v>170000</v>
      </c>
      <c r="I323" s="793">
        <f>+F323*H323</f>
        <v>2822</v>
      </c>
      <c r="J323" s="1174">
        <f>SUM(I320:I323)</f>
        <v>33092.627999999997</v>
      </c>
    </row>
    <row r="324" spans="2:13">
      <c r="B324" s="812"/>
      <c r="C324" s="792" t="s">
        <v>645</v>
      </c>
      <c r="D324" s="813"/>
      <c r="E324" s="814"/>
      <c r="F324" s="336"/>
      <c r="G324" s="811"/>
      <c r="H324" s="797"/>
      <c r="I324" s="793">
        <f>SUM(I318:I323)</f>
        <v>86253.428</v>
      </c>
      <c r="J324" s="1174"/>
    </row>
    <row r="325" spans="2:13" ht="15.75" thickBot="1">
      <c r="B325" s="794"/>
      <c r="C325" s="1812" t="s">
        <v>229</v>
      </c>
      <c r="D325" s="642"/>
      <c r="E325" s="796"/>
      <c r="F325" s="336"/>
      <c r="G325" s="816"/>
      <c r="H325" s="797"/>
      <c r="I325" s="798">
        <f>ROUND(I324,0)</f>
        <v>86253</v>
      </c>
      <c r="J325" s="1174"/>
    </row>
    <row r="326" spans="2:13">
      <c r="B326" s="782" t="s">
        <v>1485</v>
      </c>
      <c r="C326" s="783" t="s">
        <v>2154</v>
      </c>
      <c r="D326" s="784"/>
      <c r="E326" s="784"/>
      <c r="F326" s="785"/>
      <c r="G326" s="785"/>
      <c r="H326" s="786"/>
      <c r="I326" s="787"/>
      <c r="J326" s="775"/>
    </row>
    <row r="327" spans="2:13">
      <c r="B327" s="788"/>
      <c r="C327" s="792" t="s">
        <v>2160</v>
      </c>
      <c r="D327" s="635"/>
      <c r="E327" s="165"/>
      <c r="F327" s="1238">
        <v>1</v>
      </c>
      <c r="G327" s="811" t="s">
        <v>88</v>
      </c>
      <c r="H327" s="681">
        <f>BAHAN!$E$300</f>
        <v>55381</v>
      </c>
      <c r="I327" s="790">
        <f>+F327*H327</f>
        <v>55381</v>
      </c>
      <c r="J327" s="1174"/>
      <c r="K327" s="1410">
        <v>0</v>
      </c>
      <c r="L327" s="5">
        <f>K327*F327</f>
        <v>0</v>
      </c>
      <c r="M327" s="1392" t="s">
        <v>88</v>
      </c>
    </row>
    <row r="328" spans="2:13">
      <c r="B328" s="788"/>
      <c r="C328" s="792" t="s">
        <v>843</v>
      </c>
      <c r="D328" s="635"/>
      <c r="E328" s="165"/>
      <c r="F328" s="1238">
        <v>5</v>
      </c>
      <c r="G328" s="811" t="s">
        <v>844</v>
      </c>
      <c r="H328" s="681">
        <f>$I$273</f>
        <v>65536</v>
      </c>
      <c r="I328" s="790">
        <f>+F328%*H328</f>
        <v>3276.8</v>
      </c>
      <c r="J328" s="1174">
        <f>SUM(I327:I328)</f>
        <v>58657.8</v>
      </c>
      <c r="K328" s="1410">
        <f>$K$327</f>
        <v>0</v>
      </c>
      <c r="L328" s="954">
        <f>K328*F328</f>
        <v>0</v>
      </c>
      <c r="M328" s="1491" t="s">
        <v>844</v>
      </c>
    </row>
    <row r="329" spans="2:13">
      <c r="B329" s="791"/>
      <c r="C329" s="792" t="s">
        <v>845</v>
      </c>
      <c r="D329" s="603"/>
      <c r="E329" s="171"/>
      <c r="F329" s="336">
        <v>0.16600000000000001</v>
      </c>
      <c r="G329" s="811" t="s">
        <v>846</v>
      </c>
      <c r="H329" s="686">
        <f>$H$256</f>
        <v>12558</v>
      </c>
      <c r="I329" s="793">
        <f>+F329*H329</f>
        <v>2084.6280000000002</v>
      </c>
      <c r="J329" s="1174"/>
      <c r="K329" s="1410"/>
      <c r="L329" s="954"/>
      <c r="M329" s="1491"/>
    </row>
    <row r="330" spans="2:13">
      <c r="B330" s="812"/>
      <c r="C330" s="792" t="s">
        <v>847</v>
      </c>
      <c r="D330" s="813"/>
      <c r="E330" s="814"/>
      <c r="F330" s="336">
        <v>0.16600000000000001</v>
      </c>
      <c r="G330" s="811" t="s">
        <v>846</v>
      </c>
      <c r="H330" s="797">
        <f>$H$257</f>
        <v>136000</v>
      </c>
      <c r="I330" s="793">
        <f>+F330*H330</f>
        <v>22576</v>
      </c>
      <c r="J330" s="1174"/>
    </row>
    <row r="331" spans="2:13">
      <c r="B331" s="812"/>
      <c r="C331" s="792" t="s">
        <v>848</v>
      </c>
      <c r="D331" s="813"/>
      <c r="E331" s="814"/>
      <c r="F331" s="336">
        <v>3.3000000000000002E-2</v>
      </c>
      <c r="G331" s="811" t="s">
        <v>846</v>
      </c>
      <c r="H331" s="797">
        <f>$H$258</f>
        <v>170000</v>
      </c>
      <c r="I331" s="793">
        <f>+F331*H331</f>
        <v>5610</v>
      </c>
      <c r="J331" s="1174"/>
    </row>
    <row r="332" spans="2:13">
      <c r="B332" s="812"/>
      <c r="C332" s="792" t="s">
        <v>136</v>
      </c>
      <c r="D332" s="813"/>
      <c r="E332" s="814"/>
      <c r="F332" s="336">
        <v>1.66E-2</v>
      </c>
      <c r="G332" s="811" t="s">
        <v>846</v>
      </c>
      <c r="H332" s="797">
        <f>$H$259</f>
        <v>170000</v>
      </c>
      <c r="I332" s="793">
        <f>+F332*H332</f>
        <v>2822</v>
      </c>
      <c r="J332" s="1174">
        <f>SUM(I329:I332)</f>
        <v>33092.627999999997</v>
      </c>
    </row>
    <row r="333" spans="2:13">
      <c r="B333" s="794"/>
      <c r="C333" s="792" t="s">
        <v>645</v>
      </c>
      <c r="D333" s="642"/>
      <c r="E333" s="796"/>
      <c r="F333" s="336"/>
      <c r="G333" s="816"/>
      <c r="H333" s="797"/>
      <c r="I333" s="798">
        <f>SUM(I327:I332)</f>
        <v>91750.428</v>
      </c>
      <c r="J333" s="1174"/>
    </row>
    <row r="334" spans="2:13" ht="15.75" thickBot="1">
      <c r="B334" s="799"/>
      <c r="C334" s="810" t="s">
        <v>229</v>
      </c>
      <c r="D334" s="801"/>
      <c r="E334" s="801"/>
      <c r="F334" s="801"/>
      <c r="G334" s="801"/>
      <c r="H334" s="802"/>
      <c r="I334" s="803">
        <f>ROUND(I333,0)</f>
        <v>91750</v>
      </c>
      <c r="J334" s="1174"/>
    </row>
    <row r="335" spans="2:13">
      <c r="B335" s="782" t="s">
        <v>1485</v>
      </c>
      <c r="C335" s="783" t="s">
        <v>2162</v>
      </c>
      <c r="D335" s="784"/>
      <c r="E335" s="784"/>
      <c r="F335" s="785"/>
      <c r="G335" s="785"/>
      <c r="H335" s="786"/>
      <c r="I335" s="787"/>
      <c r="J335" s="775"/>
    </row>
    <row r="336" spans="2:13">
      <c r="B336" s="788"/>
      <c r="C336" s="792" t="s">
        <v>2161</v>
      </c>
      <c r="D336" s="635"/>
      <c r="E336" s="165"/>
      <c r="F336" s="1238">
        <v>1</v>
      </c>
      <c r="G336" s="811" t="s">
        <v>88</v>
      </c>
      <c r="H336" s="681">
        <f>BAHAN!$E$301</f>
        <v>57888</v>
      </c>
      <c r="I336" s="790">
        <f>+F336*H336</f>
        <v>57888</v>
      </c>
      <c r="J336" s="775"/>
      <c r="K336" s="1410">
        <v>0</v>
      </c>
      <c r="L336" s="5">
        <f>K336*F336</f>
        <v>0</v>
      </c>
      <c r="M336" s="1392" t="s">
        <v>88</v>
      </c>
    </row>
    <row r="337" spans="2:13">
      <c r="B337" s="788"/>
      <c r="C337" s="792" t="s">
        <v>843</v>
      </c>
      <c r="D337" s="635"/>
      <c r="E337" s="165"/>
      <c r="F337" s="1238">
        <v>5</v>
      </c>
      <c r="G337" s="811" t="s">
        <v>844</v>
      </c>
      <c r="H337" s="681">
        <f>$I$273</f>
        <v>65536</v>
      </c>
      <c r="I337" s="790">
        <f>+F337%*H337</f>
        <v>3276.8</v>
      </c>
      <c r="J337" s="1174">
        <f>SUM(I336:I337)</f>
        <v>61164.800000000003</v>
      </c>
      <c r="K337" s="1410">
        <f>$K$336</f>
        <v>0</v>
      </c>
      <c r="L337" s="5">
        <f>K337*F337</f>
        <v>0</v>
      </c>
      <c r="M337" s="1392" t="s">
        <v>844</v>
      </c>
    </row>
    <row r="338" spans="2:13">
      <c r="B338" s="788"/>
      <c r="C338" s="792" t="s">
        <v>845</v>
      </c>
      <c r="D338" s="635"/>
      <c r="E338" s="165"/>
      <c r="F338" s="1238">
        <v>0.16600000000000001</v>
      </c>
      <c r="G338" s="811" t="s">
        <v>846</v>
      </c>
      <c r="H338" s="681">
        <f>$H$256</f>
        <v>12558</v>
      </c>
      <c r="I338" s="790">
        <f>+F338*H338</f>
        <v>2084.6280000000002</v>
      </c>
      <c r="J338" s="1174"/>
      <c r="K338" s="1410"/>
      <c r="L338" s="954"/>
      <c r="M338" s="1491"/>
    </row>
    <row r="339" spans="2:13">
      <c r="B339" s="791"/>
      <c r="C339" s="792" t="s">
        <v>847</v>
      </c>
      <c r="D339" s="603"/>
      <c r="E339" s="171"/>
      <c r="F339" s="336">
        <v>0.16600000000000001</v>
      </c>
      <c r="G339" s="811" t="s">
        <v>846</v>
      </c>
      <c r="H339" s="686">
        <f>$H$257</f>
        <v>136000</v>
      </c>
      <c r="I339" s="793">
        <f>+F339*H339</f>
        <v>22576</v>
      </c>
      <c r="J339" s="1174"/>
      <c r="K339" s="1410"/>
      <c r="L339" s="954"/>
      <c r="M339" s="1491"/>
    </row>
    <row r="340" spans="2:13">
      <c r="B340" s="812"/>
      <c r="C340" s="792" t="s">
        <v>848</v>
      </c>
      <c r="D340" s="813"/>
      <c r="E340" s="814"/>
      <c r="F340" s="336">
        <v>3.3000000000000002E-2</v>
      </c>
      <c r="G340" s="811" t="s">
        <v>846</v>
      </c>
      <c r="H340" s="797">
        <f>$H$258</f>
        <v>170000</v>
      </c>
      <c r="I340" s="793">
        <f>+F340*H340</f>
        <v>5610</v>
      </c>
      <c r="J340" s="1174"/>
    </row>
    <row r="341" spans="2:13">
      <c r="B341" s="812"/>
      <c r="C341" s="792" t="s">
        <v>136</v>
      </c>
      <c r="D341" s="813"/>
      <c r="E341" s="814"/>
      <c r="F341" s="336">
        <v>1.66E-2</v>
      </c>
      <c r="G341" s="811" t="s">
        <v>846</v>
      </c>
      <c r="H341" s="797">
        <f>$H$259</f>
        <v>170000</v>
      </c>
      <c r="I341" s="793">
        <f>+F341*H341</f>
        <v>2822</v>
      </c>
      <c r="J341" s="1174">
        <f>SUM(I338:I341)</f>
        <v>33092.627999999997</v>
      </c>
    </row>
    <row r="342" spans="2:13">
      <c r="B342" s="812"/>
      <c r="C342" s="792" t="s">
        <v>645</v>
      </c>
      <c r="D342" s="813"/>
      <c r="E342" s="814"/>
      <c r="F342" s="336"/>
      <c r="G342" s="811"/>
      <c r="H342" s="797"/>
      <c r="I342" s="793">
        <f>SUM(I336:I341)</f>
        <v>94257.428</v>
      </c>
      <c r="J342" s="1174"/>
    </row>
    <row r="343" spans="2:13" ht="15.75" thickBot="1">
      <c r="B343" s="794"/>
      <c r="C343" s="1812" t="s">
        <v>229</v>
      </c>
      <c r="D343" s="642"/>
      <c r="E343" s="796"/>
      <c r="F343" s="336"/>
      <c r="G343" s="816"/>
      <c r="H343" s="797"/>
      <c r="I343" s="798">
        <f>ROUND(I342,0)</f>
        <v>94257</v>
      </c>
      <c r="J343" s="1174"/>
    </row>
    <row r="344" spans="2:13">
      <c r="B344" s="782" t="s">
        <v>1485</v>
      </c>
      <c r="C344" s="783" t="s">
        <v>2403</v>
      </c>
      <c r="D344" s="784"/>
      <c r="E344" s="784"/>
      <c r="F344" s="785"/>
      <c r="G344" s="785"/>
      <c r="H344" s="786"/>
      <c r="I344" s="787"/>
      <c r="J344" s="775"/>
    </row>
    <row r="345" spans="2:13">
      <c r="B345" s="788"/>
      <c r="C345" s="792" t="s">
        <v>2404</v>
      </c>
      <c r="D345" s="635"/>
      <c r="E345" s="165"/>
      <c r="F345" s="1238">
        <v>1</v>
      </c>
      <c r="G345" s="811" t="s">
        <v>88</v>
      </c>
      <c r="H345" s="681">
        <f>BAHAN!$E$302</f>
        <v>69854</v>
      </c>
      <c r="I345" s="790">
        <f>+F345*H345</f>
        <v>69854</v>
      </c>
      <c r="J345" s="775"/>
      <c r="K345" s="1410">
        <v>0</v>
      </c>
      <c r="L345" s="5">
        <f>K345*F345</f>
        <v>0</v>
      </c>
      <c r="M345" s="1392" t="s">
        <v>88</v>
      </c>
    </row>
    <row r="346" spans="2:13">
      <c r="B346" s="788"/>
      <c r="C346" s="792" t="s">
        <v>843</v>
      </c>
      <c r="D346" s="635"/>
      <c r="E346" s="165"/>
      <c r="F346" s="1238">
        <v>5</v>
      </c>
      <c r="G346" s="811" t="s">
        <v>844</v>
      </c>
      <c r="H346" s="681">
        <f>$I$273</f>
        <v>65536</v>
      </c>
      <c r="I346" s="790">
        <f>+F346%*H346</f>
        <v>3276.8</v>
      </c>
      <c r="J346" s="1174">
        <f>SUM(I345:I346)</f>
        <v>73130.8</v>
      </c>
      <c r="K346" s="1410">
        <f>$K$336</f>
        <v>0</v>
      </c>
      <c r="L346" s="5">
        <f>K346*F346</f>
        <v>0</v>
      </c>
      <c r="M346" s="1392" t="s">
        <v>844</v>
      </c>
    </row>
    <row r="347" spans="2:13">
      <c r="B347" s="788"/>
      <c r="C347" s="792" t="s">
        <v>845</v>
      </c>
      <c r="D347" s="635"/>
      <c r="E347" s="165"/>
      <c r="F347" s="1238">
        <v>0.16600000000000001</v>
      </c>
      <c r="G347" s="811" t="s">
        <v>846</v>
      </c>
      <c r="H347" s="681">
        <f>$H$256</f>
        <v>12558</v>
      </c>
      <c r="I347" s="790">
        <f>+F347*H347</f>
        <v>2084.6280000000002</v>
      </c>
      <c r="J347" s="1174"/>
      <c r="K347" s="1410"/>
      <c r="L347" s="954"/>
      <c r="M347" s="1491"/>
    </row>
    <row r="348" spans="2:13">
      <c r="B348" s="791"/>
      <c r="C348" s="792" t="s">
        <v>847</v>
      </c>
      <c r="D348" s="603"/>
      <c r="E348" s="171"/>
      <c r="F348" s="336">
        <v>0.16600000000000001</v>
      </c>
      <c r="G348" s="811" t="s">
        <v>846</v>
      </c>
      <c r="H348" s="686">
        <f>$H$257</f>
        <v>136000</v>
      </c>
      <c r="I348" s="793">
        <f>+F348*H348</f>
        <v>22576</v>
      </c>
      <c r="J348" s="1174"/>
      <c r="K348" s="1410"/>
      <c r="L348" s="954"/>
      <c r="M348" s="1491"/>
    </row>
    <row r="349" spans="2:13">
      <c r="B349" s="812"/>
      <c r="C349" s="792" t="s">
        <v>848</v>
      </c>
      <c r="D349" s="813"/>
      <c r="E349" s="814"/>
      <c r="F349" s="336">
        <v>3.3000000000000002E-2</v>
      </c>
      <c r="G349" s="811" t="s">
        <v>846</v>
      </c>
      <c r="H349" s="797">
        <f>$H$258</f>
        <v>170000</v>
      </c>
      <c r="I349" s="793">
        <f>+F349*H349</f>
        <v>5610</v>
      </c>
      <c r="J349" s="1174"/>
    </row>
    <row r="350" spans="2:13">
      <c r="B350" s="812"/>
      <c r="C350" s="792" t="s">
        <v>136</v>
      </c>
      <c r="D350" s="813"/>
      <c r="E350" s="814"/>
      <c r="F350" s="336">
        <v>1.66E-2</v>
      </c>
      <c r="G350" s="811" t="s">
        <v>846</v>
      </c>
      <c r="H350" s="797">
        <f>$H$259</f>
        <v>170000</v>
      </c>
      <c r="I350" s="793">
        <f>+F350*H350</f>
        <v>2822</v>
      </c>
      <c r="J350" s="1174">
        <f>SUM(I347:I350)</f>
        <v>33092.627999999997</v>
      </c>
    </row>
    <row r="351" spans="2:13">
      <c r="B351" s="812"/>
      <c r="C351" s="792" t="s">
        <v>645</v>
      </c>
      <c r="D351" s="813"/>
      <c r="E351" s="814"/>
      <c r="F351" s="336"/>
      <c r="G351" s="811"/>
      <c r="H351" s="797"/>
      <c r="I351" s="793">
        <f>SUM(I345:I350)</f>
        <v>106223.428</v>
      </c>
      <c r="J351" s="1174"/>
    </row>
    <row r="352" spans="2:13" ht="15.75" thickBot="1">
      <c r="B352" s="794"/>
      <c r="C352" s="1812" t="s">
        <v>229</v>
      </c>
      <c r="D352" s="642"/>
      <c r="E352" s="796"/>
      <c r="F352" s="336"/>
      <c r="G352" s="816"/>
      <c r="H352" s="797"/>
      <c r="I352" s="798">
        <f>ROUND(I351,0)</f>
        <v>106223</v>
      </c>
      <c r="J352" s="1174"/>
    </row>
    <row r="353" spans="2:12">
      <c r="B353" s="782" t="s">
        <v>1510</v>
      </c>
      <c r="C353" s="783" t="s">
        <v>1448</v>
      </c>
      <c r="D353" s="784"/>
      <c r="E353" s="784"/>
      <c r="F353" s="785"/>
      <c r="G353" s="785"/>
      <c r="H353" s="786"/>
      <c r="I353" s="787"/>
      <c r="J353" s="1174"/>
    </row>
    <row r="354" spans="2:12">
      <c r="B354" s="788"/>
      <c r="C354" s="792" t="s">
        <v>1449</v>
      </c>
      <c r="D354" s="635"/>
      <c r="E354" s="165"/>
      <c r="F354" s="345">
        <v>1</v>
      </c>
      <c r="G354" s="811" t="s">
        <v>88</v>
      </c>
      <c r="H354" s="681">
        <f>BAHAN!$E$332</f>
        <v>55000</v>
      </c>
      <c r="I354" s="790">
        <f>+F354*H354</f>
        <v>55000</v>
      </c>
      <c r="J354" s="1174"/>
    </row>
    <row r="355" spans="2:12">
      <c r="B355" s="791"/>
      <c r="C355" s="792" t="s">
        <v>843</v>
      </c>
      <c r="D355" s="603"/>
      <c r="E355" s="171"/>
      <c r="F355" s="336">
        <v>5</v>
      </c>
      <c r="G355" s="811" t="s">
        <v>844</v>
      </c>
      <c r="H355" s="686">
        <f>I354</f>
        <v>55000</v>
      </c>
      <c r="I355" s="793">
        <f>+F355%*H355</f>
        <v>2750</v>
      </c>
      <c r="J355" s="1174">
        <f>SUM(I354:I355)</f>
        <v>57750</v>
      </c>
    </row>
    <row r="356" spans="2:12">
      <c r="B356" s="812"/>
      <c r="C356" s="792" t="s">
        <v>845</v>
      </c>
      <c r="D356" s="813"/>
      <c r="E356" s="814"/>
      <c r="F356" s="336">
        <v>0.16600000000000001</v>
      </c>
      <c r="G356" s="811" t="s">
        <v>846</v>
      </c>
      <c r="H356" s="797">
        <f>H284</f>
        <v>12558</v>
      </c>
      <c r="I356" s="793">
        <f>+F356*H356</f>
        <v>2084.6280000000002</v>
      </c>
      <c r="J356" s="1174"/>
    </row>
    <row r="357" spans="2:12">
      <c r="B357" s="812"/>
      <c r="C357" s="792" t="s">
        <v>847</v>
      </c>
      <c r="D357" s="813"/>
      <c r="E357" s="814"/>
      <c r="F357" s="336">
        <v>0.16600000000000001</v>
      </c>
      <c r="G357" s="811" t="s">
        <v>846</v>
      </c>
      <c r="H357" s="797">
        <f>H285</f>
        <v>136000</v>
      </c>
      <c r="I357" s="793">
        <f>+F357*H357</f>
        <v>22576</v>
      </c>
      <c r="J357" s="1174"/>
    </row>
    <row r="358" spans="2:12">
      <c r="B358" s="812"/>
      <c r="C358" s="792" t="s">
        <v>848</v>
      </c>
      <c r="D358" s="813"/>
      <c r="E358" s="814"/>
      <c r="F358" s="336">
        <v>3.3000000000000002E-2</v>
      </c>
      <c r="G358" s="811" t="s">
        <v>846</v>
      </c>
      <c r="H358" s="797">
        <f>H286</f>
        <v>170000</v>
      </c>
      <c r="I358" s="793">
        <f>+F358*H358</f>
        <v>5610</v>
      </c>
      <c r="J358" s="1174"/>
    </row>
    <row r="359" spans="2:12">
      <c r="B359" s="794"/>
      <c r="C359" s="792" t="s">
        <v>136</v>
      </c>
      <c r="D359" s="642"/>
      <c r="E359" s="796"/>
      <c r="F359" s="336">
        <v>1.66E-2</v>
      </c>
      <c r="G359" s="816" t="s">
        <v>846</v>
      </c>
      <c r="H359" s="797">
        <f>H287</f>
        <v>170000</v>
      </c>
      <c r="I359" s="798">
        <f>+F359*H359</f>
        <v>2822</v>
      </c>
      <c r="J359" s="1174">
        <f>SUM(I356:I359)</f>
        <v>33092.627999999997</v>
      </c>
    </row>
    <row r="360" spans="2:12">
      <c r="B360" s="799"/>
      <c r="C360" s="810" t="s">
        <v>645</v>
      </c>
      <c r="D360" s="801"/>
      <c r="E360" s="801"/>
      <c r="F360" s="801"/>
      <c r="G360" s="801"/>
      <c r="H360" s="802"/>
      <c r="I360" s="803">
        <f>SUM(I354:I359)</f>
        <v>90842.627999999997</v>
      </c>
      <c r="J360" s="1174"/>
    </row>
    <row r="361" spans="2:12" ht="15.75" thickBot="1">
      <c r="B361" s="804"/>
      <c r="C361" s="805" t="s">
        <v>229</v>
      </c>
      <c r="D361" s="806"/>
      <c r="E361" s="806"/>
      <c r="F361" s="806"/>
      <c r="G361" s="806"/>
      <c r="H361" s="807"/>
      <c r="I361" s="808">
        <f>ROUND(I360,0)</f>
        <v>90843</v>
      </c>
      <c r="J361" s="775"/>
    </row>
    <row r="362" spans="2:12">
      <c r="B362" s="782" t="s">
        <v>1532</v>
      </c>
      <c r="C362" s="783" t="s">
        <v>1871</v>
      </c>
      <c r="D362" s="784"/>
      <c r="E362" s="784"/>
      <c r="F362" s="785"/>
      <c r="G362" s="785"/>
      <c r="H362" s="786"/>
      <c r="I362" s="787"/>
      <c r="J362" s="1174"/>
    </row>
    <row r="363" spans="2:12">
      <c r="B363" s="788"/>
      <c r="C363" s="792" t="s">
        <v>1866</v>
      </c>
      <c r="D363" s="635"/>
      <c r="E363" s="165"/>
      <c r="F363" s="1238">
        <v>1</v>
      </c>
      <c r="G363" s="811" t="s">
        <v>88</v>
      </c>
      <c r="H363" s="681">
        <f>BAHAN!$E$333</f>
        <v>80701</v>
      </c>
      <c r="I363" s="790">
        <f>+F363*H363</f>
        <v>80701</v>
      </c>
      <c r="J363" s="1174"/>
      <c r="K363" s="1410">
        <f>SUMIF(BOQ!$G$1:$G$3199,J364,BOQ!$E$1:$E$3199)</f>
        <v>0</v>
      </c>
      <c r="L363" s="954">
        <f>K363*F363</f>
        <v>0</v>
      </c>
    </row>
    <row r="364" spans="2:12">
      <c r="B364" s="791"/>
      <c r="C364" s="792" t="s">
        <v>843</v>
      </c>
      <c r="D364" s="603"/>
      <c r="E364" s="171"/>
      <c r="F364" s="336">
        <v>5</v>
      </c>
      <c r="G364" s="811" t="s">
        <v>844</v>
      </c>
      <c r="H364" s="686">
        <f>I363</f>
        <v>80701</v>
      </c>
      <c r="I364" s="793">
        <f>+F364%*H364</f>
        <v>4035.05</v>
      </c>
      <c r="J364" s="1174">
        <f>SUM(I363:I364)</f>
        <v>84736.05</v>
      </c>
    </row>
    <row r="365" spans="2:12">
      <c r="B365" s="812"/>
      <c r="C365" s="792" t="s">
        <v>845</v>
      </c>
      <c r="D365" s="813"/>
      <c r="E365" s="814"/>
      <c r="F365" s="336">
        <v>2.5000000000000001E-2</v>
      </c>
      <c r="G365" s="811" t="s">
        <v>846</v>
      </c>
      <c r="H365" s="797">
        <f>H266</f>
        <v>136000</v>
      </c>
      <c r="I365" s="793">
        <f>+F365*H365</f>
        <v>3400</v>
      </c>
      <c r="J365" s="1174"/>
    </row>
    <row r="366" spans="2:12">
      <c r="B366" s="812"/>
      <c r="C366" s="792" t="s">
        <v>847</v>
      </c>
      <c r="D366" s="813"/>
      <c r="E366" s="814"/>
      <c r="F366" s="336">
        <v>2.5000000000000001E-2</v>
      </c>
      <c r="G366" s="811" t="s">
        <v>846</v>
      </c>
      <c r="H366" s="797">
        <f>H267</f>
        <v>170000</v>
      </c>
      <c r="I366" s="793">
        <f>+F366*H366</f>
        <v>4250</v>
      </c>
      <c r="J366" s="1174"/>
    </row>
    <row r="367" spans="2:12">
      <c r="B367" s="812"/>
      <c r="C367" s="792" t="s">
        <v>848</v>
      </c>
      <c r="D367" s="813"/>
      <c r="E367" s="814"/>
      <c r="F367" s="336">
        <v>1.66E-2</v>
      </c>
      <c r="G367" s="811" t="s">
        <v>846</v>
      </c>
      <c r="H367" s="797">
        <f>H268</f>
        <v>170000</v>
      </c>
      <c r="I367" s="793">
        <f>+F367*H367</f>
        <v>2822</v>
      </c>
      <c r="J367" s="1174"/>
    </row>
    <row r="368" spans="2:12">
      <c r="B368" s="794"/>
      <c r="C368" s="792" t="s">
        <v>136</v>
      </c>
      <c r="D368" s="642"/>
      <c r="E368" s="796"/>
      <c r="F368" s="691">
        <v>1.4E-2</v>
      </c>
      <c r="G368" s="816" t="s">
        <v>846</v>
      </c>
      <c r="H368" s="797">
        <f>H269</f>
        <v>180000</v>
      </c>
      <c r="I368" s="798">
        <f>+F368*H368</f>
        <v>2520</v>
      </c>
      <c r="J368" s="1174">
        <f>SUM(I365:I368)</f>
        <v>12992</v>
      </c>
    </row>
    <row r="369" spans="2:13">
      <c r="B369" s="799"/>
      <c r="C369" s="810" t="s">
        <v>645</v>
      </c>
      <c r="D369" s="801"/>
      <c r="E369" s="801"/>
      <c r="F369" s="801"/>
      <c r="G369" s="801"/>
      <c r="H369" s="802"/>
      <c r="I369" s="803">
        <f>SUM(I363:I368)</f>
        <v>97728.05</v>
      </c>
      <c r="J369" s="1174"/>
    </row>
    <row r="370" spans="2:13" ht="15.75" thickBot="1">
      <c r="B370" s="804"/>
      <c r="C370" s="805" t="s">
        <v>229</v>
      </c>
      <c r="D370" s="806"/>
      <c r="E370" s="806"/>
      <c r="F370" s="806"/>
      <c r="G370" s="806"/>
      <c r="H370" s="807"/>
      <c r="I370" s="808">
        <f>ROUND(I369,0)</f>
        <v>97728</v>
      </c>
      <c r="J370" s="775"/>
    </row>
    <row r="371" spans="2:13">
      <c r="B371" s="782" t="s">
        <v>1532</v>
      </c>
      <c r="C371" s="783" t="s">
        <v>1675</v>
      </c>
      <c r="D371" s="784"/>
      <c r="E371" s="784"/>
      <c r="F371" s="785"/>
      <c r="G371" s="785"/>
      <c r="H371" s="786"/>
      <c r="I371" s="787"/>
      <c r="J371" s="1174"/>
    </row>
    <row r="372" spans="2:13">
      <c r="B372" s="788"/>
      <c r="C372" s="792" t="s">
        <v>1674</v>
      </c>
      <c r="D372" s="635"/>
      <c r="E372" s="165"/>
      <c r="F372" s="345">
        <v>1</v>
      </c>
      <c r="G372" s="811" t="s">
        <v>88</v>
      </c>
      <c r="H372" s="681">
        <f>BAHAN!$E$334</f>
        <v>41272</v>
      </c>
      <c r="I372" s="790">
        <f>+F372*H372</f>
        <v>41272</v>
      </c>
      <c r="J372" s="1174"/>
      <c r="K372" s="1410">
        <f>SUMIF(BOQ!$G$1:$G$3199,J373,BOQ!$E$1:$E$3199)</f>
        <v>0</v>
      </c>
      <c r="L372" s="954">
        <f>K372*F372</f>
        <v>0</v>
      </c>
    </row>
    <row r="373" spans="2:13">
      <c r="B373" s="791"/>
      <c r="C373" s="792" t="s">
        <v>843</v>
      </c>
      <c r="D373" s="603"/>
      <c r="E373" s="171"/>
      <c r="F373" s="336">
        <v>5</v>
      </c>
      <c r="G373" s="811" t="s">
        <v>844</v>
      </c>
      <c r="H373" s="686">
        <f>I372</f>
        <v>41272</v>
      </c>
      <c r="I373" s="793">
        <f>+F373%*H373</f>
        <v>2063.6</v>
      </c>
      <c r="J373" s="1174">
        <f>SUM(I372:I373)</f>
        <v>43335.6</v>
      </c>
    </row>
    <row r="374" spans="2:13">
      <c r="B374" s="812"/>
      <c r="C374" s="792" t="s">
        <v>845</v>
      </c>
      <c r="D374" s="813"/>
      <c r="E374" s="814"/>
      <c r="F374" s="336">
        <v>2.5000000000000001E-2</v>
      </c>
      <c r="G374" s="811" t="s">
        <v>846</v>
      </c>
      <c r="H374" s="797">
        <f>H284</f>
        <v>12558</v>
      </c>
      <c r="I374" s="793">
        <f>+F374*H374</f>
        <v>313.95000000000005</v>
      </c>
      <c r="J374" s="1174"/>
    </row>
    <row r="375" spans="2:13">
      <c r="B375" s="812"/>
      <c r="C375" s="792" t="s">
        <v>847</v>
      </c>
      <c r="D375" s="813"/>
      <c r="E375" s="814"/>
      <c r="F375" s="336">
        <v>2.5000000000000001E-2</v>
      </c>
      <c r="G375" s="811" t="s">
        <v>846</v>
      </c>
      <c r="H375" s="797">
        <f>H285</f>
        <v>136000</v>
      </c>
      <c r="I375" s="793">
        <f>+F375*H375</f>
        <v>3400</v>
      </c>
      <c r="J375" s="1174"/>
    </row>
    <row r="376" spans="2:13">
      <c r="B376" s="812"/>
      <c r="C376" s="792" t="s">
        <v>848</v>
      </c>
      <c r="D376" s="813"/>
      <c r="E376" s="814"/>
      <c r="F376" s="336">
        <v>1.66E-2</v>
      </c>
      <c r="G376" s="811" t="s">
        <v>846</v>
      </c>
      <c r="H376" s="797">
        <f>H286</f>
        <v>170000</v>
      </c>
      <c r="I376" s="793">
        <f>+F376*H376</f>
        <v>2822</v>
      </c>
      <c r="J376" s="1174"/>
    </row>
    <row r="377" spans="2:13">
      <c r="B377" s="794"/>
      <c r="C377" s="792" t="s">
        <v>136</v>
      </c>
      <c r="D377" s="642"/>
      <c r="E377" s="796"/>
      <c r="F377" s="691">
        <v>1.4E-2</v>
      </c>
      <c r="G377" s="816" t="s">
        <v>846</v>
      </c>
      <c r="H377" s="797">
        <f>H287</f>
        <v>170000</v>
      </c>
      <c r="I377" s="798">
        <f>+F377*H377</f>
        <v>2380</v>
      </c>
      <c r="J377" s="1174">
        <f>SUM(I374:I377)</f>
        <v>8915.9500000000007</v>
      </c>
    </row>
    <row r="378" spans="2:13">
      <c r="B378" s="799"/>
      <c r="C378" s="810" t="s">
        <v>645</v>
      </c>
      <c r="D378" s="801"/>
      <c r="E378" s="801"/>
      <c r="F378" s="801"/>
      <c r="G378" s="801"/>
      <c r="H378" s="802"/>
      <c r="I378" s="803">
        <f>SUM(I372:I377)</f>
        <v>52251.549999999996</v>
      </c>
      <c r="J378" s="1174"/>
    </row>
    <row r="379" spans="2:13" ht="15.75" thickBot="1">
      <c r="B379" s="804"/>
      <c r="C379" s="805" t="s">
        <v>229</v>
      </c>
      <c r="D379" s="806"/>
      <c r="E379" s="806"/>
      <c r="F379" s="806"/>
      <c r="G379" s="806"/>
      <c r="H379" s="807"/>
      <c r="I379" s="808">
        <f>ROUND(I378,0)</f>
        <v>52252</v>
      </c>
      <c r="J379" s="775"/>
    </row>
    <row r="380" spans="2:13">
      <c r="B380" s="782" t="s">
        <v>1532</v>
      </c>
      <c r="C380" s="783" t="s">
        <v>1533</v>
      </c>
      <c r="D380" s="784"/>
      <c r="E380" s="784"/>
      <c r="F380" s="785"/>
      <c r="G380" s="785"/>
      <c r="H380" s="786"/>
      <c r="I380" s="787"/>
      <c r="J380" s="1174"/>
    </row>
    <row r="381" spans="2:13">
      <c r="B381" s="788"/>
      <c r="C381" s="792" t="s">
        <v>1531</v>
      </c>
      <c r="D381" s="635"/>
      <c r="E381" s="165"/>
      <c r="F381" s="345">
        <v>1</v>
      </c>
      <c r="G381" s="811" t="s">
        <v>88</v>
      </c>
      <c r="H381" s="681">
        <f>BAHAN!E335</f>
        <v>31458</v>
      </c>
      <c r="I381" s="790">
        <f>+F381*H381</f>
        <v>31458</v>
      </c>
      <c r="J381" s="1174"/>
      <c r="K381" s="1410">
        <f>SUMIF(BOQ!$G$1:$G$3199,J382,BOQ!$E$1:$E$3199)</f>
        <v>0</v>
      </c>
      <c r="L381" s="954">
        <f>K381*F381</f>
        <v>0</v>
      </c>
      <c r="M381" s="1491" t="s">
        <v>88</v>
      </c>
    </row>
    <row r="382" spans="2:13">
      <c r="B382" s="791"/>
      <c r="C382" s="792" t="s">
        <v>843</v>
      </c>
      <c r="D382" s="603"/>
      <c r="E382" s="171"/>
      <c r="F382" s="336">
        <v>5</v>
      </c>
      <c r="G382" s="811" t="s">
        <v>844</v>
      </c>
      <c r="H382" s="686">
        <f>I381</f>
        <v>31458</v>
      </c>
      <c r="I382" s="793">
        <f>+F382%*H382</f>
        <v>1572.9</v>
      </c>
      <c r="J382" s="1174">
        <f>SUM(I381:I382)</f>
        <v>33030.9</v>
      </c>
      <c r="K382" s="1410">
        <f>BOQ!$E$1024+BOQ!$E$1068</f>
        <v>0</v>
      </c>
      <c r="L382" s="954">
        <f>K382*F382</f>
        <v>0</v>
      </c>
      <c r="M382" s="1491" t="s">
        <v>844</v>
      </c>
    </row>
    <row r="383" spans="2:13">
      <c r="B383" s="812"/>
      <c r="C383" s="792" t="s">
        <v>845</v>
      </c>
      <c r="D383" s="813"/>
      <c r="E383" s="814"/>
      <c r="F383" s="336">
        <v>2.5000000000000001E-2</v>
      </c>
      <c r="G383" s="811" t="s">
        <v>846</v>
      </c>
      <c r="H383" s="797">
        <f>H356</f>
        <v>12558</v>
      </c>
      <c r="I383" s="793">
        <f>+F383*H383</f>
        <v>313.95000000000005</v>
      </c>
      <c r="J383" s="1174"/>
    </row>
    <row r="384" spans="2:13">
      <c r="B384" s="812"/>
      <c r="C384" s="792" t="s">
        <v>847</v>
      </c>
      <c r="D384" s="813"/>
      <c r="E384" s="814"/>
      <c r="F384" s="336">
        <v>2.5000000000000001E-2</v>
      </c>
      <c r="G384" s="811" t="s">
        <v>846</v>
      </c>
      <c r="H384" s="797">
        <f>H357</f>
        <v>136000</v>
      </c>
      <c r="I384" s="793">
        <f>+F384*H384</f>
        <v>3400</v>
      </c>
      <c r="J384" s="1174"/>
    </row>
    <row r="385" spans="2:13">
      <c r="B385" s="812"/>
      <c r="C385" s="792" t="s">
        <v>848</v>
      </c>
      <c r="D385" s="813"/>
      <c r="E385" s="814"/>
      <c r="F385" s="336">
        <v>1.66E-2</v>
      </c>
      <c r="G385" s="811" t="s">
        <v>846</v>
      </c>
      <c r="H385" s="797">
        <f>H358</f>
        <v>170000</v>
      </c>
      <c r="I385" s="793">
        <f>+F385*H385</f>
        <v>2822</v>
      </c>
      <c r="J385" s="1174"/>
    </row>
    <row r="386" spans="2:13">
      <c r="B386" s="794"/>
      <c r="C386" s="792" t="s">
        <v>136</v>
      </c>
      <c r="D386" s="642"/>
      <c r="E386" s="796"/>
      <c r="F386" s="691">
        <v>1.4E-2</v>
      </c>
      <c r="G386" s="816" t="s">
        <v>846</v>
      </c>
      <c r="H386" s="797">
        <f>H359</f>
        <v>170000</v>
      </c>
      <c r="I386" s="798">
        <f>+F386*H386</f>
        <v>2380</v>
      </c>
      <c r="J386" s="1174">
        <f>SUM(I383:I386)</f>
        <v>8915.9500000000007</v>
      </c>
    </row>
    <row r="387" spans="2:13">
      <c r="B387" s="799"/>
      <c r="C387" s="810" t="s">
        <v>645</v>
      </c>
      <c r="D387" s="801"/>
      <c r="E387" s="801"/>
      <c r="F387" s="801"/>
      <c r="G387" s="801"/>
      <c r="H387" s="802"/>
      <c r="I387" s="803">
        <f>SUM(I381:I386)</f>
        <v>41946.85</v>
      </c>
      <c r="J387" s="1174"/>
    </row>
    <row r="388" spans="2:13" ht="15.75" thickBot="1">
      <c r="B388" s="804"/>
      <c r="C388" s="805" t="s">
        <v>229</v>
      </c>
      <c r="D388" s="806"/>
      <c r="E388" s="806"/>
      <c r="F388" s="806"/>
      <c r="G388" s="806"/>
      <c r="H388" s="807"/>
      <c r="I388" s="808">
        <f>ROUND(I387,0)</f>
        <v>41947</v>
      </c>
      <c r="J388" s="775"/>
    </row>
    <row r="389" spans="2:13">
      <c r="B389" s="782" t="s">
        <v>1538</v>
      </c>
      <c r="C389" s="783" t="s">
        <v>1670</v>
      </c>
      <c r="D389" s="784"/>
      <c r="E389" s="784"/>
      <c r="F389" s="785"/>
      <c r="G389" s="785"/>
      <c r="H389" s="786"/>
      <c r="I389" s="787"/>
      <c r="J389" s="1174"/>
    </row>
    <row r="390" spans="2:13">
      <c r="B390" s="788"/>
      <c r="C390" s="999" t="s">
        <v>1669</v>
      </c>
      <c r="D390" s="635"/>
      <c r="E390" s="165"/>
      <c r="F390" s="345">
        <v>1</v>
      </c>
      <c r="G390" s="1000" t="s">
        <v>88</v>
      </c>
      <c r="H390" s="681">
        <v>23440</v>
      </c>
      <c r="I390" s="790">
        <f>F390*H390</f>
        <v>23440</v>
      </c>
      <c r="J390" s="1174"/>
      <c r="K390" s="1410">
        <f>SUMIF(BOQ!$G$1:$G$3199,J391,BOQ!$E$1:$E$3199)</f>
        <v>0</v>
      </c>
      <c r="L390" s="954">
        <f>K390*F390</f>
        <v>0</v>
      </c>
    </row>
    <row r="391" spans="2:13">
      <c r="B391" s="1001"/>
      <c r="C391" s="999" t="s">
        <v>843</v>
      </c>
      <c r="D391" s="1002"/>
      <c r="E391" s="1003"/>
      <c r="F391" s="1004">
        <v>5</v>
      </c>
      <c r="G391" s="1000" t="s">
        <v>844</v>
      </c>
      <c r="H391" s="1005">
        <f>I390</f>
        <v>23440</v>
      </c>
      <c r="I391" s="1006">
        <f>+F391%*H391</f>
        <v>1172</v>
      </c>
      <c r="J391" s="1174">
        <f>SUM(I390:I391)</f>
        <v>24612</v>
      </c>
    </row>
    <row r="392" spans="2:13">
      <c r="B392" s="1007"/>
      <c r="C392" s="999" t="s">
        <v>845</v>
      </c>
      <c r="D392" s="1008"/>
      <c r="E392" s="1009"/>
      <c r="F392" s="1004">
        <v>2.5000000000000001E-2</v>
      </c>
      <c r="G392" s="1000" t="s">
        <v>846</v>
      </c>
      <c r="H392" s="1010">
        <f>H383</f>
        <v>12558</v>
      </c>
      <c r="I392" s="1006">
        <f>+F392*H392</f>
        <v>313.95000000000005</v>
      </c>
      <c r="J392" s="1174"/>
    </row>
    <row r="393" spans="2:13">
      <c r="B393" s="1007"/>
      <c r="C393" s="999" t="s">
        <v>847</v>
      </c>
      <c r="D393" s="1008"/>
      <c r="E393" s="1009"/>
      <c r="F393" s="1004">
        <v>2.5000000000000001E-2</v>
      </c>
      <c r="G393" s="1000" t="s">
        <v>846</v>
      </c>
      <c r="H393" s="1010">
        <f>H384</f>
        <v>136000</v>
      </c>
      <c r="I393" s="1006">
        <f>+F393*H393</f>
        <v>3400</v>
      </c>
      <c r="J393" s="1174"/>
    </row>
    <row r="394" spans="2:13">
      <c r="B394" s="1007"/>
      <c r="C394" s="999" t="s">
        <v>848</v>
      </c>
      <c r="D394" s="1008"/>
      <c r="E394" s="1009"/>
      <c r="F394" s="1004">
        <v>1.66E-2</v>
      </c>
      <c r="G394" s="1000" t="s">
        <v>846</v>
      </c>
      <c r="H394" s="1010">
        <f>H385</f>
        <v>170000</v>
      </c>
      <c r="I394" s="1006">
        <f>+F394*H394</f>
        <v>2822</v>
      </c>
      <c r="J394" s="1174"/>
    </row>
    <row r="395" spans="2:13">
      <c r="B395" s="1011"/>
      <c r="C395" s="999" t="s">
        <v>136</v>
      </c>
      <c r="D395" s="1012"/>
      <c r="E395" s="1013"/>
      <c r="F395" s="1014">
        <v>1.4E-2</v>
      </c>
      <c r="G395" s="1015" t="s">
        <v>846</v>
      </c>
      <c r="H395" s="1010">
        <f>H386</f>
        <v>170000</v>
      </c>
      <c r="I395" s="1016">
        <f>+F395*H395</f>
        <v>2380</v>
      </c>
      <c r="J395" s="1174">
        <f>SUM(I392:I395)</f>
        <v>8915.9500000000007</v>
      </c>
    </row>
    <row r="396" spans="2:13">
      <c r="B396" s="799"/>
      <c r="C396" s="1017" t="s">
        <v>645</v>
      </c>
      <c r="D396" s="801"/>
      <c r="E396" s="801"/>
      <c r="F396" s="801"/>
      <c r="G396" s="801"/>
      <c r="H396" s="1018"/>
      <c r="I396" s="1019">
        <f>SUM(I390:I395)</f>
        <v>33527.949999999997</v>
      </c>
      <c r="J396" s="1174"/>
    </row>
    <row r="397" spans="2:13" ht="15.75" thickBot="1">
      <c r="B397" s="804"/>
      <c r="C397" s="1020" t="s">
        <v>229</v>
      </c>
      <c r="D397" s="1021"/>
      <c r="E397" s="1021"/>
      <c r="F397" s="1021"/>
      <c r="G397" s="1021"/>
      <c r="H397" s="1022"/>
      <c r="I397" s="1023">
        <f>ROUND(I396,0)</f>
        <v>33528</v>
      </c>
      <c r="J397" s="775"/>
    </row>
    <row r="398" spans="2:13">
      <c r="B398" s="782" t="s">
        <v>1538</v>
      </c>
      <c r="C398" s="783" t="s">
        <v>1536</v>
      </c>
      <c r="D398" s="784"/>
      <c r="E398" s="784"/>
      <c r="F398" s="785"/>
      <c r="G398" s="785"/>
      <c r="H398" s="786"/>
      <c r="I398" s="787"/>
      <c r="J398" s="1174"/>
    </row>
    <row r="399" spans="2:13">
      <c r="B399" s="788"/>
      <c r="C399" s="792" t="s">
        <v>1537</v>
      </c>
      <c r="D399" s="635"/>
      <c r="E399" s="165"/>
      <c r="F399" s="345">
        <v>1</v>
      </c>
      <c r="G399" s="811" t="s">
        <v>88</v>
      </c>
      <c r="H399" s="681">
        <v>73626</v>
      </c>
      <c r="I399" s="790">
        <v>73626</v>
      </c>
      <c r="J399" s="1174"/>
      <c r="K399" s="1410">
        <f>SUMIF(BOQ!$G$1:$G$3199,J400,BOQ!$E$1:$E$3199)</f>
        <v>0</v>
      </c>
      <c r="L399" s="954">
        <f>K399*F399</f>
        <v>0</v>
      </c>
      <c r="M399" s="1491" t="s">
        <v>88</v>
      </c>
    </row>
    <row r="400" spans="2:13">
      <c r="B400" s="791"/>
      <c r="C400" s="792" t="s">
        <v>843</v>
      </c>
      <c r="D400" s="603"/>
      <c r="E400" s="171"/>
      <c r="F400" s="336">
        <v>5</v>
      </c>
      <c r="G400" s="811" t="s">
        <v>844</v>
      </c>
      <c r="H400" s="686">
        <v>73626</v>
      </c>
      <c r="I400" s="793">
        <v>3681.3</v>
      </c>
      <c r="J400" s="1174">
        <f>SUM(I399:I400)</f>
        <v>77307.3</v>
      </c>
      <c r="K400" s="1410">
        <f>$K$399</f>
        <v>0</v>
      </c>
      <c r="L400" s="954">
        <f>K400*F400</f>
        <v>0</v>
      </c>
      <c r="M400" s="1491" t="s">
        <v>844</v>
      </c>
    </row>
    <row r="401" spans="2:12">
      <c r="B401" s="812"/>
      <c r="C401" s="792" t="s">
        <v>845</v>
      </c>
      <c r="D401" s="813"/>
      <c r="E401" s="814"/>
      <c r="F401" s="336">
        <v>2.5000000000000001E-2</v>
      </c>
      <c r="G401" s="811" t="s">
        <v>846</v>
      </c>
      <c r="H401" s="797">
        <v>90000</v>
      </c>
      <c r="I401" s="793">
        <v>2250</v>
      </c>
      <c r="J401" s="1174"/>
    </row>
    <row r="402" spans="2:12">
      <c r="B402" s="812"/>
      <c r="C402" s="792" t="s">
        <v>847</v>
      </c>
      <c r="D402" s="813"/>
      <c r="E402" s="814"/>
      <c r="F402" s="336">
        <v>2.5000000000000001E-2</v>
      </c>
      <c r="G402" s="811" t="s">
        <v>846</v>
      </c>
      <c r="H402" s="797">
        <v>120000</v>
      </c>
      <c r="I402" s="793">
        <v>3000</v>
      </c>
      <c r="J402" s="1174"/>
    </row>
    <row r="403" spans="2:12">
      <c r="B403" s="812"/>
      <c r="C403" s="792" t="s">
        <v>848</v>
      </c>
      <c r="D403" s="813"/>
      <c r="E403" s="814"/>
      <c r="F403" s="336">
        <v>1.66E-2</v>
      </c>
      <c r="G403" s="811" t="s">
        <v>846</v>
      </c>
      <c r="H403" s="797">
        <v>150000</v>
      </c>
      <c r="I403" s="793">
        <v>2490</v>
      </c>
      <c r="J403" s="1174"/>
    </row>
    <row r="404" spans="2:12">
      <c r="B404" s="794"/>
      <c r="C404" s="792" t="s">
        <v>136</v>
      </c>
      <c r="D404" s="642"/>
      <c r="E404" s="796"/>
      <c r="F404" s="691">
        <v>1.4E-2</v>
      </c>
      <c r="G404" s="816" t="s">
        <v>846</v>
      </c>
      <c r="H404" s="797">
        <v>200000</v>
      </c>
      <c r="I404" s="798">
        <v>2800</v>
      </c>
      <c r="J404" s="1174">
        <f>SUM(I401:I404)</f>
        <v>10540</v>
      </c>
    </row>
    <row r="405" spans="2:12">
      <c r="B405" s="799"/>
      <c r="C405" s="810" t="s">
        <v>645</v>
      </c>
      <c r="D405" s="801"/>
      <c r="E405" s="801"/>
      <c r="F405" s="801"/>
      <c r="G405" s="801"/>
      <c r="H405" s="802"/>
      <c r="I405" s="803">
        <v>87847.3</v>
      </c>
      <c r="J405" s="1174"/>
    </row>
    <row r="406" spans="2:12" ht="15.75" thickBot="1">
      <c r="B406" s="804"/>
      <c r="C406" s="805" t="s">
        <v>229</v>
      </c>
      <c r="D406" s="806"/>
      <c r="E406" s="806"/>
      <c r="F406" s="806"/>
      <c r="G406" s="806"/>
      <c r="H406" s="807"/>
      <c r="I406" s="808">
        <v>87847</v>
      </c>
      <c r="J406" s="775"/>
    </row>
    <row r="407" spans="2:12">
      <c r="B407" s="782" t="s">
        <v>1671</v>
      </c>
      <c r="C407" s="783" t="s">
        <v>1672</v>
      </c>
      <c r="D407" s="784"/>
      <c r="E407" s="784"/>
      <c r="F407" s="785"/>
      <c r="G407" s="785"/>
      <c r="H407" s="786"/>
      <c r="I407" s="787"/>
      <c r="J407" s="1174"/>
    </row>
    <row r="408" spans="2:12">
      <c r="B408" s="788"/>
      <c r="C408" s="999" t="s">
        <v>1667</v>
      </c>
      <c r="D408" s="635"/>
      <c r="E408" s="165"/>
      <c r="F408" s="345">
        <v>1</v>
      </c>
      <c r="G408" s="1000" t="s">
        <v>841</v>
      </c>
      <c r="H408" s="681">
        <v>15800</v>
      </c>
      <c r="I408" s="790">
        <f>+F408*H408</f>
        <v>15800</v>
      </c>
      <c r="J408" s="1174"/>
      <c r="K408" s="1410">
        <f>SUMIF(BOQ!$G$1:$G$3199,J409,BOQ!$E$1:$E$3199)</f>
        <v>0</v>
      </c>
      <c r="L408" s="954">
        <f>K408*F408</f>
        <v>0</v>
      </c>
    </row>
    <row r="409" spans="2:12">
      <c r="B409" s="1001"/>
      <c r="C409" s="999" t="s">
        <v>843</v>
      </c>
      <c r="D409" s="1002"/>
      <c r="E409" s="1003"/>
      <c r="F409" s="1004">
        <v>5</v>
      </c>
      <c r="G409" s="1000" t="s">
        <v>844</v>
      </c>
      <c r="H409" s="1005">
        <f>I408</f>
        <v>15800</v>
      </c>
      <c r="I409" s="1006">
        <f>+F409%*H409</f>
        <v>790</v>
      </c>
      <c r="J409" s="1174">
        <f>SUM(I408:I409)</f>
        <v>16590</v>
      </c>
    </row>
    <row r="410" spans="2:12">
      <c r="B410" s="1007"/>
      <c r="C410" s="999" t="s">
        <v>845</v>
      </c>
      <c r="D410" s="1008"/>
      <c r="E410" s="1009"/>
      <c r="F410" s="1004">
        <v>0.16600000000000001</v>
      </c>
      <c r="G410" s="1000" t="s">
        <v>846</v>
      </c>
      <c r="H410" s="1010">
        <f>$H$356</f>
        <v>12558</v>
      </c>
      <c r="I410" s="1006">
        <f>+F410*H410</f>
        <v>2084.6280000000002</v>
      </c>
      <c r="J410" s="1174"/>
    </row>
    <row r="411" spans="2:12">
      <c r="B411" s="1007"/>
      <c r="C411" s="999" t="s">
        <v>847</v>
      </c>
      <c r="D411" s="1008"/>
      <c r="E411" s="1009"/>
      <c r="F411" s="1004">
        <v>0.16600000000000001</v>
      </c>
      <c r="G411" s="1000" t="s">
        <v>846</v>
      </c>
      <c r="H411" s="1010">
        <f>$H$357</f>
        <v>136000</v>
      </c>
      <c r="I411" s="1006">
        <f>+F411*H411</f>
        <v>22576</v>
      </c>
      <c r="J411" s="1174"/>
    </row>
    <row r="412" spans="2:12">
      <c r="B412" s="1007"/>
      <c r="C412" s="999" t="s">
        <v>848</v>
      </c>
      <c r="D412" s="1008"/>
      <c r="E412" s="1009"/>
      <c r="F412" s="1004">
        <v>3.3000000000000002E-2</v>
      </c>
      <c r="G412" s="1000" t="s">
        <v>846</v>
      </c>
      <c r="H412" s="1010">
        <f>$H$358</f>
        <v>170000</v>
      </c>
      <c r="I412" s="1006">
        <f>+F412*H412</f>
        <v>5610</v>
      </c>
      <c r="J412" s="1174"/>
    </row>
    <row r="413" spans="2:12">
      <c r="B413" s="1011"/>
      <c r="C413" s="999" t="s">
        <v>136</v>
      </c>
      <c r="D413" s="1012"/>
      <c r="E413" s="1013"/>
      <c r="F413" s="1004">
        <v>1.66E-2</v>
      </c>
      <c r="G413" s="1015" t="s">
        <v>846</v>
      </c>
      <c r="H413" s="1010">
        <f>$H$359</f>
        <v>170000</v>
      </c>
      <c r="I413" s="1016">
        <f>+F413*H413</f>
        <v>2822</v>
      </c>
      <c r="J413" s="1174">
        <f>SUM(I410:I413)</f>
        <v>33092.627999999997</v>
      </c>
    </row>
    <row r="414" spans="2:12">
      <c r="B414" s="799"/>
      <c r="C414" s="800" t="s">
        <v>645</v>
      </c>
      <c r="D414" s="801"/>
      <c r="E414" s="801"/>
      <c r="F414" s="801"/>
      <c r="G414" s="801"/>
      <c r="H414" s="1018"/>
      <c r="I414" s="1019">
        <f>SUM(I408:I413)</f>
        <v>49682.627999999997</v>
      </c>
      <c r="J414" s="1174"/>
    </row>
    <row r="415" spans="2:12" ht="15.75" thickBot="1">
      <c r="B415" s="804"/>
      <c r="C415" s="1020" t="s">
        <v>229</v>
      </c>
      <c r="D415" s="1021"/>
      <c r="E415" s="1021"/>
      <c r="F415" s="1021"/>
      <c r="G415" s="1021"/>
      <c r="H415" s="1022"/>
      <c r="I415" s="1023">
        <f>ROUND(I414,0)</f>
        <v>49683</v>
      </c>
      <c r="J415" s="775"/>
    </row>
    <row r="416" spans="2:12">
      <c r="B416" s="782" t="s">
        <v>2325</v>
      </c>
      <c r="C416" s="783" t="s">
        <v>2610</v>
      </c>
      <c r="D416" s="784"/>
      <c r="E416" s="784"/>
      <c r="F416" s="785"/>
      <c r="G416" s="785"/>
      <c r="H416" s="786"/>
      <c r="I416" s="787"/>
      <c r="J416" s="1174"/>
    </row>
    <row r="417" spans="2:13">
      <c r="B417" s="788"/>
      <c r="C417" s="792" t="s">
        <v>2607</v>
      </c>
      <c r="D417" s="635"/>
      <c r="E417" s="165"/>
      <c r="F417" s="1238">
        <v>1</v>
      </c>
      <c r="G417" s="811" t="s">
        <v>88</v>
      </c>
      <c r="H417" s="681">
        <f>BAHAN!$E$341</f>
        <v>99000</v>
      </c>
      <c r="I417" s="790">
        <f>+F417*H417</f>
        <v>99000</v>
      </c>
      <c r="J417" s="1174"/>
      <c r="K417" s="1410">
        <f>SUMIF(BOQ!$G$1:$G$3199,J418,BOQ!$E$1:$E$3199)</f>
        <v>0</v>
      </c>
      <c r="L417" s="954">
        <f>K417*F417</f>
        <v>0</v>
      </c>
      <c r="M417" s="1491" t="s">
        <v>88</v>
      </c>
    </row>
    <row r="418" spans="2:13">
      <c r="B418" s="791"/>
      <c r="C418" s="792" t="s">
        <v>843</v>
      </c>
      <c r="D418" s="603"/>
      <c r="E418" s="171"/>
      <c r="F418" s="336">
        <v>5</v>
      </c>
      <c r="G418" s="811" t="s">
        <v>844</v>
      </c>
      <c r="H418" s="686">
        <f>I417</f>
        <v>99000</v>
      </c>
      <c r="I418" s="793">
        <f>+F418%*H418</f>
        <v>4950</v>
      </c>
      <c r="J418" s="1174">
        <f>SUM(I417:I418)</f>
        <v>103950</v>
      </c>
      <c r="K418" s="1410">
        <f>K417</f>
        <v>0</v>
      </c>
      <c r="L418" s="954">
        <f>K418*F418</f>
        <v>0</v>
      </c>
      <c r="M418" s="1491" t="s">
        <v>844</v>
      </c>
    </row>
    <row r="419" spans="2:13">
      <c r="B419" s="812"/>
      <c r="C419" s="792" t="s">
        <v>845</v>
      </c>
      <c r="D419" s="813"/>
      <c r="E419" s="814"/>
      <c r="F419" s="336">
        <v>0.16600000000000001</v>
      </c>
      <c r="G419" s="811" t="s">
        <v>846</v>
      </c>
      <c r="H419" s="797">
        <f>H410</f>
        <v>12558</v>
      </c>
      <c r="I419" s="793">
        <f>+F419*H419</f>
        <v>2084.6280000000002</v>
      </c>
      <c r="J419" s="1174"/>
    </row>
    <row r="420" spans="2:13">
      <c r="B420" s="812"/>
      <c r="C420" s="792" t="s">
        <v>847</v>
      </c>
      <c r="D420" s="813"/>
      <c r="E420" s="814"/>
      <c r="F420" s="336">
        <v>0.16600000000000001</v>
      </c>
      <c r="G420" s="811" t="s">
        <v>846</v>
      </c>
      <c r="H420" s="797">
        <f>H411</f>
        <v>136000</v>
      </c>
      <c r="I420" s="793">
        <f>+F420*H420</f>
        <v>22576</v>
      </c>
      <c r="J420" s="1174"/>
    </row>
    <row r="421" spans="2:13">
      <c r="B421" s="812"/>
      <c r="C421" s="792" t="s">
        <v>848</v>
      </c>
      <c r="D421" s="813"/>
      <c r="E421" s="814"/>
      <c r="F421" s="336">
        <v>3.3000000000000002E-2</v>
      </c>
      <c r="G421" s="811" t="s">
        <v>846</v>
      </c>
      <c r="H421" s="797">
        <f>H412</f>
        <v>170000</v>
      </c>
      <c r="I421" s="793">
        <f>+F421*H421</f>
        <v>5610</v>
      </c>
      <c r="J421" s="1174"/>
    </row>
    <row r="422" spans="2:13">
      <c r="B422" s="794"/>
      <c r="C422" s="792" t="s">
        <v>136</v>
      </c>
      <c r="D422" s="642"/>
      <c r="E422" s="796"/>
      <c r="F422" s="336">
        <v>1.66E-2</v>
      </c>
      <c r="G422" s="816" t="s">
        <v>846</v>
      </c>
      <c r="H422" s="797">
        <f>H413</f>
        <v>170000</v>
      </c>
      <c r="I422" s="798">
        <f>+F422*H422</f>
        <v>2822</v>
      </c>
      <c r="J422" s="1174">
        <f>SUM(I419:I422)</f>
        <v>33092.627999999997</v>
      </c>
    </row>
    <row r="423" spans="2:13">
      <c r="B423" s="799"/>
      <c r="C423" s="810" t="s">
        <v>645</v>
      </c>
      <c r="D423" s="801"/>
      <c r="E423" s="801"/>
      <c r="F423" s="801"/>
      <c r="G423" s="801"/>
      <c r="H423" s="802"/>
      <c r="I423" s="803">
        <f>SUM(I417:I422)</f>
        <v>137042.628</v>
      </c>
      <c r="J423" s="1174"/>
    </row>
    <row r="424" spans="2:13" ht="15.75" thickBot="1">
      <c r="B424" s="804"/>
      <c r="C424" s="805" t="s">
        <v>229</v>
      </c>
      <c r="D424" s="806"/>
      <c r="E424" s="806"/>
      <c r="F424" s="806"/>
      <c r="G424" s="806"/>
      <c r="H424" s="807"/>
      <c r="I424" s="808">
        <f>ROUND(I423,0)</f>
        <v>137043</v>
      </c>
      <c r="J424" s="775"/>
    </row>
    <row r="425" spans="2:13">
      <c r="B425" s="782" t="s">
        <v>2327</v>
      </c>
      <c r="C425" s="783" t="s">
        <v>2328</v>
      </c>
      <c r="D425" s="784"/>
      <c r="E425" s="784"/>
      <c r="F425" s="785"/>
      <c r="G425" s="785"/>
      <c r="H425" s="786"/>
      <c r="I425" s="787"/>
      <c r="J425" s="1174"/>
    </row>
    <row r="426" spans="2:13">
      <c r="B426" s="788"/>
      <c r="C426" s="792" t="s">
        <v>2329</v>
      </c>
      <c r="D426" s="635"/>
      <c r="E426" s="165"/>
      <c r="F426" s="1238">
        <v>1</v>
      </c>
      <c r="G426" s="811" t="s">
        <v>88</v>
      </c>
      <c r="H426" s="681">
        <f>BAHAN!E339</f>
        <v>66000</v>
      </c>
      <c r="I426" s="790">
        <f>+F426*H426</f>
        <v>66000</v>
      </c>
      <c r="J426" s="1174"/>
      <c r="K426" s="1410">
        <f>SUMIF(BOQ!$G$1:$G$3199,J427,BOQ!$E$1:$E$3199)</f>
        <v>0</v>
      </c>
      <c r="L426" s="954">
        <f>K426*F426</f>
        <v>0</v>
      </c>
      <c r="M426" s="1491" t="s">
        <v>88</v>
      </c>
    </row>
    <row r="427" spans="2:13">
      <c r="B427" s="791"/>
      <c r="C427" s="792" t="s">
        <v>843</v>
      </c>
      <c r="D427" s="603"/>
      <c r="E427" s="171"/>
      <c r="F427" s="336">
        <v>5</v>
      </c>
      <c r="G427" s="811" t="s">
        <v>844</v>
      </c>
      <c r="H427" s="686">
        <f>I426</f>
        <v>66000</v>
      </c>
      <c r="I427" s="793">
        <f>+F427%*H427</f>
        <v>3300</v>
      </c>
      <c r="J427" s="1174">
        <f>SUM(I426:I427)</f>
        <v>69300</v>
      </c>
      <c r="K427" s="1410">
        <f>K426</f>
        <v>0</v>
      </c>
      <c r="L427" s="954">
        <f>K427*F427</f>
        <v>0</v>
      </c>
      <c r="M427" s="1491" t="s">
        <v>844</v>
      </c>
    </row>
    <row r="428" spans="2:13">
      <c r="B428" s="812"/>
      <c r="C428" s="792" t="s">
        <v>845</v>
      </c>
      <c r="D428" s="813"/>
      <c r="E428" s="814"/>
      <c r="F428" s="336">
        <v>0.16600000000000001</v>
      </c>
      <c r="G428" s="811" t="s">
        <v>846</v>
      </c>
      <c r="H428" s="797">
        <f>H419</f>
        <v>12558</v>
      </c>
      <c r="I428" s="793">
        <f>+F428*H428</f>
        <v>2084.6280000000002</v>
      </c>
      <c r="J428" s="1174"/>
    </row>
    <row r="429" spans="2:13">
      <c r="B429" s="812"/>
      <c r="C429" s="792" t="s">
        <v>847</v>
      </c>
      <c r="D429" s="813"/>
      <c r="E429" s="814"/>
      <c r="F429" s="336">
        <v>0.16600000000000001</v>
      </c>
      <c r="G429" s="811" t="s">
        <v>846</v>
      </c>
      <c r="H429" s="797">
        <f>H420</f>
        <v>136000</v>
      </c>
      <c r="I429" s="793">
        <f>+F429*H429</f>
        <v>22576</v>
      </c>
      <c r="J429" s="1174"/>
    </row>
    <row r="430" spans="2:13">
      <c r="B430" s="812"/>
      <c r="C430" s="792" t="s">
        <v>848</v>
      </c>
      <c r="D430" s="813"/>
      <c r="E430" s="814"/>
      <c r="F430" s="336">
        <v>3.3000000000000002E-2</v>
      </c>
      <c r="G430" s="811" t="s">
        <v>846</v>
      </c>
      <c r="H430" s="797">
        <f>H421</f>
        <v>170000</v>
      </c>
      <c r="I430" s="793">
        <f>+F430*H430</f>
        <v>5610</v>
      </c>
      <c r="J430" s="1174"/>
    </row>
    <row r="431" spans="2:13">
      <c r="B431" s="794"/>
      <c r="C431" s="792" t="s">
        <v>136</v>
      </c>
      <c r="D431" s="642"/>
      <c r="E431" s="796"/>
      <c r="F431" s="336">
        <v>1.66E-2</v>
      </c>
      <c r="G431" s="816" t="s">
        <v>846</v>
      </c>
      <c r="H431" s="797">
        <f>H422</f>
        <v>170000</v>
      </c>
      <c r="I431" s="798">
        <f>+F431*H431</f>
        <v>2822</v>
      </c>
      <c r="J431" s="1174">
        <f>SUM(I428:I431)</f>
        <v>33092.627999999997</v>
      </c>
    </row>
    <row r="432" spans="2:13">
      <c r="B432" s="799"/>
      <c r="C432" s="810" t="s">
        <v>645</v>
      </c>
      <c r="D432" s="801"/>
      <c r="E432" s="801"/>
      <c r="F432" s="801"/>
      <c r="G432" s="801"/>
      <c r="H432" s="802"/>
      <c r="I432" s="803">
        <f>SUM(I426:I431)</f>
        <v>102392.628</v>
      </c>
      <c r="J432" s="1174"/>
    </row>
    <row r="433" spans="2:13" ht="15.75" thickBot="1">
      <c r="B433" s="804"/>
      <c r="C433" s="805" t="s">
        <v>229</v>
      </c>
      <c r="D433" s="806"/>
      <c r="E433" s="806"/>
      <c r="F433" s="806"/>
      <c r="G433" s="806"/>
      <c r="H433" s="807"/>
      <c r="I433" s="808">
        <f>ROUND(I432,0)</f>
        <v>102393</v>
      </c>
      <c r="J433" s="775"/>
    </row>
    <row r="434" spans="2:13">
      <c r="B434" s="782" t="s">
        <v>2327</v>
      </c>
      <c r="C434" s="783" t="s">
        <v>2421</v>
      </c>
      <c r="D434" s="784"/>
      <c r="E434" s="784"/>
      <c r="F434" s="785"/>
      <c r="G434" s="785"/>
      <c r="H434" s="786"/>
      <c r="I434" s="787"/>
      <c r="J434" s="1174"/>
    </row>
    <row r="435" spans="2:13">
      <c r="B435" s="788"/>
      <c r="C435" s="792" t="s">
        <v>2422</v>
      </c>
      <c r="D435" s="635"/>
      <c r="E435" s="165"/>
      <c r="F435" s="1238">
        <v>1</v>
      </c>
      <c r="G435" s="811" t="s">
        <v>88</v>
      </c>
      <c r="H435" s="681">
        <f>BAHAN!$E$340</f>
        <v>179000</v>
      </c>
      <c r="I435" s="790">
        <f>+F435*H435</f>
        <v>179000</v>
      </c>
      <c r="J435" s="1174"/>
      <c r="K435" s="1410">
        <f>SUMIF(BOQ!$G$1:$G$3199,J436,BOQ!$E$1:$E$3199)</f>
        <v>0</v>
      </c>
      <c r="L435" s="954">
        <f>K435*F435</f>
        <v>0</v>
      </c>
      <c r="M435" s="1491" t="s">
        <v>88</v>
      </c>
    </row>
    <row r="436" spans="2:13">
      <c r="B436" s="791"/>
      <c r="C436" s="792" t="s">
        <v>843</v>
      </c>
      <c r="D436" s="603"/>
      <c r="E436" s="171"/>
      <c r="F436" s="336">
        <v>5</v>
      </c>
      <c r="G436" s="811" t="s">
        <v>844</v>
      </c>
      <c r="H436" s="686">
        <f>I435</f>
        <v>179000</v>
      </c>
      <c r="I436" s="793">
        <f>+F436%*H436</f>
        <v>8950</v>
      </c>
      <c r="J436" s="1174">
        <f>SUM(I435:I436)</f>
        <v>187950</v>
      </c>
      <c r="K436" s="1410">
        <f>K435</f>
        <v>0</v>
      </c>
      <c r="L436" s="954">
        <f>K436*F436</f>
        <v>0</v>
      </c>
      <c r="M436" s="1491" t="s">
        <v>844</v>
      </c>
    </row>
    <row r="437" spans="2:13">
      <c r="B437" s="812"/>
      <c r="C437" s="792" t="s">
        <v>845</v>
      </c>
      <c r="D437" s="813"/>
      <c r="E437" s="814"/>
      <c r="F437" s="336">
        <v>0.16600000000000001</v>
      </c>
      <c r="G437" s="811" t="s">
        <v>846</v>
      </c>
      <c r="H437" s="797">
        <f>H428</f>
        <v>12558</v>
      </c>
      <c r="I437" s="793">
        <f>+F437*H437</f>
        <v>2084.6280000000002</v>
      </c>
      <c r="J437" s="1174"/>
    </row>
    <row r="438" spans="2:13">
      <c r="B438" s="812"/>
      <c r="C438" s="792" t="s">
        <v>847</v>
      </c>
      <c r="D438" s="813"/>
      <c r="E438" s="814"/>
      <c r="F438" s="336">
        <v>0.16600000000000001</v>
      </c>
      <c r="G438" s="811" t="s">
        <v>846</v>
      </c>
      <c r="H438" s="797">
        <f>H429</f>
        <v>136000</v>
      </c>
      <c r="I438" s="793">
        <f>+F438*H438</f>
        <v>22576</v>
      </c>
      <c r="J438" s="1174"/>
    </row>
    <row r="439" spans="2:13">
      <c r="B439" s="812"/>
      <c r="C439" s="792" t="s">
        <v>848</v>
      </c>
      <c r="D439" s="813"/>
      <c r="E439" s="814"/>
      <c r="F439" s="336">
        <v>3.3000000000000002E-2</v>
      </c>
      <c r="G439" s="811" t="s">
        <v>846</v>
      </c>
      <c r="H439" s="797">
        <f>H430</f>
        <v>170000</v>
      </c>
      <c r="I439" s="793">
        <f>+F439*H439</f>
        <v>5610</v>
      </c>
      <c r="J439" s="1174"/>
    </row>
    <row r="440" spans="2:13">
      <c r="B440" s="794"/>
      <c r="C440" s="792" t="s">
        <v>136</v>
      </c>
      <c r="D440" s="642"/>
      <c r="E440" s="796"/>
      <c r="F440" s="336">
        <v>1.66E-2</v>
      </c>
      <c r="G440" s="816" t="s">
        <v>846</v>
      </c>
      <c r="H440" s="797">
        <f>H431</f>
        <v>170000</v>
      </c>
      <c r="I440" s="798">
        <f>+F440*H440</f>
        <v>2822</v>
      </c>
      <c r="J440" s="1174">
        <f>SUM(I437:I440)</f>
        <v>33092.627999999997</v>
      </c>
    </row>
    <row r="441" spans="2:13">
      <c r="B441" s="799"/>
      <c r="C441" s="810" t="s">
        <v>645</v>
      </c>
      <c r="D441" s="801"/>
      <c r="E441" s="801"/>
      <c r="F441" s="801"/>
      <c r="G441" s="801"/>
      <c r="H441" s="802"/>
      <c r="I441" s="803">
        <f>SUM(I435:I440)</f>
        <v>221042.628</v>
      </c>
      <c r="J441" s="1174"/>
    </row>
    <row r="442" spans="2:13" ht="15.75" thickBot="1">
      <c r="B442" s="804"/>
      <c r="C442" s="805" t="s">
        <v>229</v>
      </c>
      <c r="D442" s="806"/>
      <c r="E442" s="806"/>
      <c r="F442" s="806"/>
      <c r="G442" s="806"/>
      <c r="H442" s="807"/>
      <c r="I442" s="808">
        <f>ROUND(I441,0)</f>
        <v>221043</v>
      </c>
      <c r="J442" s="775"/>
    </row>
  </sheetData>
  <pageMargins left="0.7" right="0.7" top="0.75" bottom="0.75" header="0.3" footer="0.3"/>
  <pageSetup scale="82" orientation="portrait" r:id="rId1"/>
  <rowBreaks count="1" manualBreakCount="1">
    <brk id="168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36</vt:i4>
      </vt:variant>
      <vt:variant>
        <vt:lpstr>Named Ranges</vt:lpstr>
      </vt:variant>
      <vt:variant>
        <vt:i4>43</vt:i4>
      </vt:variant>
    </vt:vector>
  </HeadingPairs>
  <TitlesOfParts>
    <vt:vector size="79" baseType="lpstr">
      <vt:lpstr>REKAP </vt:lpstr>
      <vt:lpstr>KUSTOM NAMA</vt:lpstr>
      <vt:lpstr>IDC</vt:lpstr>
      <vt:lpstr>BOQ</vt:lpstr>
      <vt:lpstr>HARGA SATUAN PEKERJAAN</vt:lpstr>
      <vt:lpstr>KEB. MATERIAL</vt:lpstr>
      <vt:lpstr>BAHAN</vt:lpstr>
      <vt:lpstr>UPAH</vt:lpstr>
      <vt:lpstr>PONDASI DAN SLOOF</vt:lpstr>
      <vt:lpstr>HIT. BESI, BETON, DAN BEKISTING</vt:lpstr>
      <vt:lpstr>BTN</vt:lpstr>
      <vt:lpstr>HIT.PINTU</vt:lpstr>
      <vt:lpstr>ANALISA HARGA PINTU</vt:lpstr>
      <vt:lpstr>ACC PINTU JENDELA</vt:lpstr>
      <vt:lpstr>HIT.DINDING,ATAP</vt:lpstr>
      <vt:lpstr>DINDING BATA</vt:lpstr>
      <vt:lpstr>KUSEN PINTU</vt:lpstr>
      <vt:lpstr>INSTALASI AIR</vt:lpstr>
      <vt:lpstr>LISTRIK</vt:lpstr>
      <vt:lpstr>PRP</vt:lpstr>
      <vt:lpstr>PSP</vt:lpstr>
      <vt:lpstr>B</vt:lpstr>
      <vt:lpstr>C</vt:lpstr>
      <vt:lpstr>D</vt:lpstr>
      <vt:lpstr>E</vt:lpstr>
      <vt:lpstr>F</vt:lpstr>
      <vt:lpstr>G</vt:lpstr>
      <vt:lpstr>H</vt:lpstr>
      <vt:lpstr>I</vt:lpstr>
      <vt:lpstr>J</vt:lpstr>
      <vt:lpstr>K</vt:lpstr>
      <vt:lpstr>L</vt:lpstr>
      <vt:lpstr>M</vt:lpstr>
      <vt:lpstr>N</vt:lpstr>
      <vt:lpstr>O</vt:lpstr>
      <vt:lpstr>P</vt:lpstr>
      <vt:lpstr>f207.</vt:lpstr>
      <vt:lpstr>H23e137</vt:lpstr>
      <vt:lpstr>'ACC PINTU JENDELA'!Print_Area</vt:lpstr>
      <vt:lpstr>'ANALISA HARGA PINTU'!Print_Area</vt:lpstr>
      <vt:lpstr>B!Print_Area</vt:lpstr>
      <vt:lpstr>BAHAN!Print_Area</vt:lpstr>
      <vt:lpstr>BOQ!Print_Area</vt:lpstr>
      <vt:lpstr>'C'!Print_Area</vt:lpstr>
      <vt:lpstr>D!Print_Area</vt:lpstr>
      <vt:lpstr>E!Print_Area</vt:lpstr>
      <vt:lpstr>F!Print_Area</vt:lpstr>
      <vt:lpstr>G!Print_Area</vt:lpstr>
      <vt:lpstr>H!Print_Area</vt:lpstr>
      <vt:lpstr>'HARGA SATUAN PEKERJAAN'!Print_Area</vt:lpstr>
      <vt:lpstr>I!Print_Area</vt:lpstr>
      <vt:lpstr>IDC!Print_Area</vt:lpstr>
      <vt:lpstr>J!Print_Area</vt:lpstr>
      <vt:lpstr>K!Print_Area</vt:lpstr>
      <vt:lpstr>'KEB. MATERIAL'!Print_Area</vt:lpstr>
      <vt:lpstr>'KUSTOM NAMA'!Print_Area</vt:lpstr>
      <vt:lpstr>L!Print_Area</vt:lpstr>
      <vt:lpstr>M!Print_Area</vt:lpstr>
      <vt:lpstr>N!Print_Area</vt:lpstr>
      <vt:lpstr>P!Print_Area</vt:lpstr>
      <vt:lpstr>PSP!Print_Area</vt:lpstr>
      <vt:lpstr>'REKAP '!Print_Area</vt:lpstr>
      <vt:lpstr>UPAH!Print_Area</vt:lpstr>
      <vt:lpstr>B!Print_Titles</vt:lpstr>
      <vt:lpstr>BOQ!Print_Titles</vt:lpstr>
      <vt:lpstr>'C'!Print_Titles</vt:lpstr>
      <vt:lpstr>D!Print_Titles</vt:lpstr>
      <vt:lpstr>E!Print_Titles</vt:lpstr>
      <vt:lpstr>F!Print_Titles</vt:lpstr>
      <vt:lpstr>G!Print_Titles</vt:lpstr>
      <vt:lpstr>H!Print_Titles</vt:lpstr>
      <vt:lpstr>'HARGA SATUAN PEKERJAAN'!Print_Titles</vt:lpstr>
      <vt:lpstr>I!Print_Titles</vt:lpstr>
      <vt:lpstr>J!Print_Titles</vt:lpstr>
      <vt:lpstr>K!Print_Titles</vt:lpstr>
      <vt:lpstr>L!Print_Titles</vt:lpstr>
      <vt:lpstr>M!Print_Titles</vt:lpstr>
      <vt:lpstr>N!Print_Titles</vt:lpstr>
      <vt:lpstr>PSP!Print_Titles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RusliOV</cp:lastModifiedBy>
  <cp:lastPrinted>2021-07-19T17:09:45Z</cp:lastPrinted>
  <dcterms:created xsi:type="dcterms:W3CDTF">2017-12-09T02:10:16Z</dcterms:created>
  <dcterms:modified xsi:type="dcterms:W3CDTF">2026-05-23T06:19:44Z</dcterms:modified>
</cp:coreProperties>
</file>